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li\Documents\PhD\Model development\Data\"/>
    </mc:Choice>
  </mc:AlternateContent>
  <xr:revisionPtr revIDLastSave="0" documentId="13_ncr:1_{5089C0BD-6253-4AAF-B8D7-C9C9CF161CE2}" xr6:coauthVersionLast="44" xr6:coauthVersionMax="44" xr10:uidLastSave="{00000000-0000-0000-0000-000000000000}"/>
  <bookViews>
    <workbookView xWindow="-110" yWindow="-110" windowWidth="19420" windowHeight="10420" tabRatio="607" activeTab="2" xr2:uid="{5174F2F4-3259-4D90-B57A-C50D0AB18A6A}"/>
  </bookViews>
  <sheets>
    <sheet name="Record info" sheetId="2" r:id="rId1"/>
    <sheet name="Land use" sheetId="4" r:id="rId2"/>
    <sheet name="Reported burning" sheetId="3" r:id="rId3"/>
    <sheet name="Estimated burning" sheetId="10" r:id="rId4"/>
    <sheet name="Fire suppression" sheetId="8" r:id="rId5"/>
    <sheet name="Fire Policy" sheetId="6" r:id="rId6"/>
    <sheet name="IGNORE Lookups" sheetId="11" r:id="rId7"/>
  </sheets>
  <definedNames>
    <definedName name="_xlnm._FilterDatabase" localSheetId="3" hidden="1">'Estimated burning'!$A$1:$AB$774</definedName>
    <definedName name="_xlnm._FilterDatabase" localSheetId="1" hidden="1">'Land use'!$D$1:$D$529</definedName>
    <definedName name="_xlnm._FilterDatabase" localSheetId="2" hidden="1">'Reported burning'!$A$1:$AD$1268</definedName>
    <definedName name="_xlnm.Print_Titles" localSheetId="1">'Land use'!$1:$1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15" i="10" l="1"/>
  <c r="E216" i="10"/>
  <c r="E217" i="10"/>
  <c r="G393" i="10"/>
  <c r="A153" i="10" l="1"/>
  <c r="B153" i="10"/>
  <c r="C153" i="10"/>
  <c r="D153" i="10"/>
  <c r="E153" i="10"/>
  <c r="F153" i="10"/>
  <c r="G153" i="10"/>
  <c r="H153" i="10"/>
  <c r="A154" i="10"/>
  <c r="B154" i="10"/>
  <c r="C154" i="10"/>
  <c r="D154" i="10"/>
  <c r="E154" i="10"/>
  <c r="F154" i="10"/>
  <c r="G154" i="10"/>
  <c r="H154" i="10"/>
  <c r="J1440" i="3" l="1"/>
  <c r="A946" i="10"/>
  <c r="B946" i="10"/>
  <c r="C946" i="10"/>
  <c r="D946" i="10"/>
  <c r="E946" i="10"/>
  <c r="F946" i="10"/>
  <c r="G946" i="10"/>
  <c r="H946" i="10"/>
  <c r="A1117" i="10"/>
  <c r="B1117" i="10"/>
  <c r="C1117" i="10"/>
  <c r="D1117" i="10"/>
  <c r="E1117" i="10"/>
  <c r="F1117" i="10"/>
  <c r="G1117" i="10"/>
  <c r="H1117" i="10"/>
  <c r="V1117" i="3"/>
  <c r="A3" i="10"/>
  <c r="B3" i="10"/>
  <c r="C3" i="10"/>
  <c r="D3" i="10"/>
  <c r="E3" i="10"/>
  <c r="F3" i="10"/>
  <c r="G3" i="10"/>
  <c r="H3" i="10"/>
  <c r="A4" i="10"/>
  <c r="B4" i="10"/>
  <c r="C4" i="10"/>
  <c r="D4" i="10"/>
  <c r="E4" i="10"/>
  <c r="F4" i="10"/>
  <c r="G4" i="10"/>
  <c r="H4" i="10"/>
  <c r="A5" i="10"/>
  <c r="B5" i="10"/>
  <c r="C5" i="10"/>
  <c r="D5" i="10"/>
  <c r="E5" i="10"/>
  <c r="F5" i="10"/>
  <c r="G5" i="10"/>
  <c r="H5" i="10"/>
  <c r="A6" i="10"/>
  <c r="B6" i="10"/>
  <c r="C6" i="10"/>
  <c r="D6" i="10"/>
  <c r="E6" i="10"/>
  <c r="F6" i="10"/>
  <c r="G6" i="10"/>
  <c r="H6" i="10"/>
  <c r="A7" i="10"/>
  <c r="B7" i="10"/>
  <c r="C7" i="10"/>
  <c r="D7" i="10"/>
  <c r="E7" i="10"/>
  <c r="F7" i="10"/>
  <c r="G7" i="10"/>
  <c r="H7" i="10"/>
  <c r="A8" i="10"/>
  <c r="B8" i="10"/>
  <c r="C8" i="10"/>
  <c r="D8" i="10"/>
  <c r="E8" i="10"/>
  <c r="F8" i="10"/>
  <c r="G8" i="10"/>
  <c r="H8" i="10"/>
  <c r="A9" i="10"/>
  <c r="B9" i="10"/>
  <c r="C9" i="10"/>
  <c r="D9" i="10"/>
  <c r="E9" i="10"/>
  <c r="F9" i="10"/>
  <c r="G9" i="10"/>
  <c r="H9" i="10"/>
  <c r="A10" i="10"/>
  <c r="B10" i="10"/>
  <c r="C10" i="10"/>
  <c r="D10" i="10"/>
  <c r="E10" i="10"/>
  <c r="F10" i="10"/>
  <c r="G10" i="10"/>
  <c r="H10" i="10"/>
  <c r="A11" i="10"/>
  <c r="B11" i="10"/>
  <c r="C11" i="10"/>
  <c r="D11" i="10"/>
  <c r="E11" i="10"/>
  <c r="F11" i="10"/>
  <c r="G11" i="10"/>
  <c r="H11" i="10"/>
  <c r="A12" i="10"/>
  <c r="B12" i="10"/>
  <c r="C12" i="10"/>
  <c r="D12" i="10"/>
  <c r="E12" i="10"/>
  <c r="F12" i="10"/>
  <c r="G12" i="10"/>
  <c r="H12" i="10"/>
  <c r="A13" i="10"/>
  <c r="B13" i="10"/>
  <c r="C13" i="10"/>
  <c r="D13" i="10"/>
  <c r="E13" i="10"/>
  <c r="F13" i="10"/>
  <c r="G13" i="10"/>
  <c r="H13" i="10"/>
  <c r="A14" i="10"/>
  <c r="B14" i="10"/>
  <c r="C14" i="10"/>
  <c r="D14" i="10"/>
  <c r="E14" i="10"/>
  <c r="F14" i="10"/>
  <c r="G14" i="10"/>
  <c r="H14" i="10"/>
  <c r="A15" i="10"/>
  <c r="B15" i="10"/>
  <c r="C15" i="10"/>
  <c r="D15" i="10"/>
  <c r="E15" i="10"/>
  <c r="F15" i="10"/>
  <c r="G15" i="10"/>
  <c r="H15" i="10"/>
  <c r="A16" i="10"/>
  <c r="B16" i="10"/>
  <c r="C16" i="10"/>
  <c r="D16" i="10"/>
  <c r="E16" i="10"/>
  <c r="F16" i="10"/>
  <c r="G16" i="10"/>
  <c r="H16" i="10"/>
  <c r="A17" i="10"/>
  <c r="B17" i="10"/>
  <c r="C17" i="10"/>
  <c r="D17" i="10"/>
  <c r="E17" i="10"/>
  <c r="F17" i="10"/>
  <c r="G17" i="10"/>
  <c r="H17" i="10"/>
  <c r="A18" i="10"/>
  <c r="B18" i="10"/>
  <c r="C18" i="10"/>
  <c r="D18" i="10"/>
  <c r="E18" i="10"/>
  <c r="F18" i="10"/>
  <c r="G18" i="10"/>
  <c r="H18" i="10"/>
  <c r="A19" i="10"/>
  <c r="B19" i="10"/>
  <c r="C19" i="10"/>
  <c r="D19" i="10"/>
  <c r="E19" i="10"/>
  <c r="F19" i="10"/>
  <c r="G19" i="10"/>
  <c r="H19" i="10"/>
  <c r="A20" i="10"/>
  <c r="B20" i="10"/>
  <c r="C20" i="10"/>
  <c r="D20" i="10"/>
  <c r="E20" i="10"/>
  <c r="F20" i="10"/>
  <c r="G20" i="10"/>
  <c r="H20" i="10"/>
  <c r="A21" i="10"/>
  <c r="B21" i="10"/>
  <c r="C21" i="10"/>
  <c r="D21" i="10"/>
  <c r="E21" i="10"/>
  <c r="F21" i="10"/>
  <c r="G21" i="10"/>
  <c r="H21" i="10"/>
  <c r="A22" i="10"/>
  <c r="B22" i="10"/>
  <c r="C22" i="10"/>
  <c r="D22" i="10"/>
  <c r="E22" i="10"/>
  <c r="F22" i="10"/>
  <c r="G22" i="10"/>
  <c r="H22" i="10"/>
  <c r="A23" i="10"/>
  <c r="B23" i="10"/>
  <c r="C23" i="10"/>
  <c r="D23" i="10"/>
  <c r="E23" i="10"/>
  <c r="F23" i="10"/>
  <c r="G23" i="10"/>
  <c r="H23" i="10"/>
  <c r="A24" i="10"/>
  <c r="B24" i="10"/>
  <c r="C24" i="10"/>
  <c r="D24" i="10"/>
  <c r="E24" i="10"/>
  <c r="F24" i="10"/>
  <c r="G24" i="10"/>
  <c r="H24" i="10"/>
  <c r="A25" i="10"/>
  <c r="B25" i="10"/>
  <c r="C25" i="10"/>
  <c r="D25" i="10"/>
  <c r="E25" i="10"/>
  <c r="F25" i="10"/>
  <c r="G25" i="10"/>
  <c r="H25" i="10"/>
  <c r="A26" i="10"/>
  <c r="B26" i="10"/>
  <c r="C26" i="10"/>
  <c r="D26" i="10"/>
  <c r="E26" i="10"/>
  <c r="F26" i="10"/>
  <c r="G26" i="10"/>
  <c r="H26" i="10"/>
  <c r="A27" i="10"/>
  <c r="B27" i="10"/>
  <c r="C27" i="10"/>
  <c r="D27" i="10"/>
  <c r="E27" i="10"/>
  <c r="F27" i="10"/>
  <c r="G27" i="10"/>
  <c r="H27" i="10"/>
  <c r="A28" i="10"/>
  <c r="B28" i="10"/>
  <c r="C28" i="10"/>
  <c r="D28" i="10"/>
  <c r="E28" i="10"/>
  <c r="F28" i="10"/>
  <c r="G28" i="10"/>
  <c r="H28" i="10"/>
  <c r="A29" i="10"/>
  <c r="B29" i="10"/>
  <c r="C29" i="10"/>
  <c r="D29" i="10"/>
  <c r="E29" i="10"/>
  <c r="F29" i="10"/>
  <c r="G29" i="10"/>
  <c r="H29" i="10"/>
  <c r="A30" i="10"/>
  <c r="B30" i="10"/>
  <c r="C30" i="10"/>
  <c r="D30" i="10"/>
  <c r="E30" i="10"/>
  <c r="F30" i="10"/>
  <c r="G30" i="10"/>
  <c r="H30" i="10"/>
  <c r="A31" i="10"/>
  <c r="B31" i="10"/>
  <c r="C31" i="10"/>
  <c r="D31" i="10"/>
  <c r="E31" i="10"/>
  <c r="F31" i="10"/>
  <c r="G31" i="10"/>
  <c r="H31" i="10"/>
  <c r="A32" i="10"/>
  <c r="B32" i="10"/>
  <c r="C32" i="10"/>
  <c r="D32" i="10"/>
  <c r="E32" i="10"/>
  <c r="F32" i="10"/>
  <c r="G32" i="10"/>
  <c r="H32" i="10"/>
  <c r="A33" i="10"/>
  <c r="B33" i="10"/>
  <c r="C33" i="10"/>
  <c r="D33" i="10"/>
  <c r="E33" i="10"/>
  <c r="F33" i="10"/>
  <c r="G33" i="10"/>
  <c r="H33" i="10"/>
  <c r="A34" i="10"/>
  <c r="B34" i="10"/>
  <c r="C34" i="10"/>
  <c r="D34" i="10"/>
  <c r="E34" i="10"/>
  <c r="F34" i="10"/>
  <c r="G34" i="10"/>
  <c r="H34" i="10"/>
  <c r="A35" i="10"/>
  <c r="B35" i="10"/>
  <c r="C35" i="10"/>
  <c r="D35" i="10"/>
  <c r="E35" i="10"/>
  <c r="F35" i="10"/>
  <c r="G35" i="10"/>
  <c r="H35" i="10"/>
  <c r="A36" i="10"/>
  <c r="B36" i="10"/>
  <c r="C36" i="10"/>
  <c r="D36" i="10"/>
  <c r="E36" i="10"/>
  <c r="F36" i="10"/>
  <c r="G36" i="10"/>
  <c r="H36" i="10"/>
  <c r="A37" i="10"/>
  <c r="B37" i="10"/>
  <c r="C37" i="10"/>
  <c r="D37" i="10"/>
  <c r="E37" i="10"/>
  <c r="F37" i="10"/>
  <c r="G37" i="10"/>
  <c r="H37" i="10"/>
  <c r="A38" i="10"/>
  <c r="B38" i="10"/>
  <c r="C38" i="10"/>
  <c r="D38" i="10"/>
  <c r="E38" i="10"/>
  <c r="F38" i="10"/>
  <c r="G38" i="10"/>
  <c r="H38" i="10"/>
  <c r="A39" i="10"/>
  <c r="B39" i="10"/>
  <c r="C39" i="10"/>
  <c r="D39" i="10"/>
  <c r="E39" i="10"/>
  <c r="F39" i="10"/>
  <c r="G39" i="10"/>
  <c r="H39" i="10"/>
  <c r="A40" i="10"/>
  <c r="B40" i="10"/>
  <c r="C40" i="10"/>
  <c r="D40" i="10"/>
  <c r="E40" i="10"/>
  <c r="F40" i="10"/>
  <c r="G40" i="10"/>
  <c r="H40" i="10"/>
  <c r="A41" i="10"/>
  <c r="B41" i="10"/>
  <c r="C41" i="10"/>
  <c r="D41" i="10"/>
  <c r="E41" i="10"/>
  <c r="F41" i="10"/>
  <c r="G41" i="10"/>
  <c r="H41" i="10"/>
  <c r="A42" i="10"/>
  <c r="B42" i="10"/>
  <c r="C42" i="10"/>
  <c r="D42" i="10"/>
  <c r="E42" i="10"/>
  <c r="F42" i="10"/>
  <c r="G42" i="10"/>
  <c r="H42" i="10"/>
  <c r="A43" i="10"/>
  <c r="B43" i="10"/>
  <c r="C43" i="10"/>
  <c r="D43" i="10"/>
  <c r="E43" i="10"/>
  <c r="F43" i="10"/>
  <c r="G43" i="10"/>
  <c r="H43" i="10"/>
  <c r="A44" i="10"/>
  <c r="B44" i="10"/>
  <c r="C44" i="10"/>
  <c r="D44" i="10"/>
  <c r="E44" i="10"/>
  <c r="F44" i="10"/>
  <c r="G44" i="10"/>
  <c r="H44" i="10"/>
  <c r="A45" i="10"/>
  <c r="B45" i="10"/>
  <c r="C45" i="10"/>
  <c r="D45" i="10"/>
  <c r="E45" i="10"/>
  <c r="F45" i="10"/>
  <c r="G45" i="10"/>
  <c r="H45" i="10"/>
  <c r="A46" i="10"/>
  <c r="B46" i="10"/>
  <c r="C46" i="10"/>
  <c r="D46" i="10"/>
  <c r="E46" i="10"/>
  <c r="F46" i="10"/>
  <c r="G46" i="10"/>
  <c r="H46" i="10"/>
  <c r="A47" i="10"/>
  <c r="B47" i="10"/>
  <c r="C47" i="10"/>
  <c r="D47" i="10"/>
  <c r="E47" i="10"/>
  <c r="F47" i="10"/>
  <c r="G47" i="10"/>
  <c r="H47" i="10"/>
  <c r="A48" i="10"/>
  <c r="B48" i="10"/>
  <c r="C48" i="10"/>
  <c r="D48" i="10"/>
  <c r="E48" i="10"/>
  <c r="F48" i="10"/>
  <c r="G48" i="10"/>
  <c r="H48" i="10"/>
  <c r="A49" i="10"/>
  <c r="B49" i="10"/>
  <c r="C49" i="10"/>
  <c r="D49" i="10"/>
  <c r="E49" i="10"/>
  <c r="F49" i="10"/>
  <c r="G49" i="10"/>
  <c r="H49" i="10"/>
  <c r="A50" i="10"/>
  <c r="B50" i="10"/>
  <c r="C50" i="10"/>
  <c r="D50" i="10"/>
  <c r="E50" i="10"/>
  <c r="F50" i="10"/>
  <c r="G50" i="10"/>
  <c r="H50" i="10"/>
  <c r="A51" i="10"/>
  <c r="B51" i="10"/>
  <c r="C51" i="10"/>
  <c r="D51" i="10"/>
  <c r="E51" i="10"/>
  <c r="F51" i="10"/>
  <c r="G51" i="10"/>
  <c r="H51" i="10"/>
  <c r="A52" i="10"/>
  <c r="B52" i="10"/>
  <c r="C52" i="10"/>
  <c r="D52" i="10"/>
  <c r="E52" i="10"/>
  <c r="F52" i="10"/>
  <c r="G52" i="10"/>
  <c r="H52" i="10"/>
  <c r="A53" i="10"/>
  <c r="B53" i="10"/>
  <c r="C53" i="10"/>
  <c r="D53" i="10"/>
  <c r="E53" i="10"/>
  <c r="F53" i="10"/>
  <c r="G53" i="10"/>
  <c r="H53" i="10"/>
  <c r="A54" i="10"/>
  <c r="B54" i="10"/>
  <c r="C54" i="10"/>
  <c r="D54" i="10"/>
  <c r="E54" i="10"/>
  <c r="F54" i="10"/>
  <c r="G54" i="10"/>
  <c r="H54" i="10"/>
  <c r="A55" i="10"/>
  <c r="B55" i="10"/>
  <c r="C55" i="10"/>
  <c r="D55" i="10"/>
  <c r="E55" i="10"/>
  <c r="F55" i="10"/>
  <c r="G55" i="10"/>
  <c r="H55" i="10"/>
  <c r="A56" i="10"/>
  <c r="B56" i="10"/>
  <c r="C56" i="10"/>
  <c r="D56" i="10"/>
  <c r="E56" i="10"/>
  <c r="F56" i="10"/>
  <c r="G56" i="10"/>
  <c r="H56" i="10"/>
  <c r="A57" i="10"/>
  <c r="B57" i="10"/>
  <c r="C57" i="10"/>
  <c r="D57" i="10"/>
  <c r="E57" i="10"/>
  <c r="F57" i="10"/>
  <c r="G57" i="10"/>
  <c r="H57" i="10"/>
  <c r="A58" i="10"/>
  <c r="B58" i="10"/>
  <c r="C58" i="10"/>
  <c r="D58" i="10"/>
  <c r="E58" i="10"/>
  <c r="F58" i="10"/>
  <c r="G58" i="10"/>
  <c r="H58" i="10"/>
  <c r="A59" i="10"/>
  <c r="B59" i="10"/>
  <c r="C59" i="10"/>
  <c r="D59" i="10"/>
  <c r="E59" i="10"/>
  <c r="F59" i="10"/>
  <c r="G59" i="10"/>
  <c r="H59" i="10"/>
  <c r="A60" i="10"/>
  <c r="B60" i="10"/>
  <c r="C60" i="10"/>
  <c r="D60" i="10"/>
  <c r="E60" i="10"/>
  <c r="F60" i="10"/>
  <c r="G60" i="10"/>
  <c r="H60" i="10"/>
  <c r="A61" i="10"/>
  <c r="B61" i="10"/>
  <c r="C61" i="10"/>
  <c r="D61" i="10"/>
  <c r="E61" i="10"/>
  <c r="F61" i="10"/>
  <c r="G61" i="10"/>
  <c r="H61" i="10"/>
  <c r="A62" i="10"/>
  <c r="B62" i="10"/>
  <c r="C62" i="10"/>
  <c r="D62" i="10"/>
  <c r="E62" i="10"/>
  <c r="F62" i="10"/>
  <c r="G62" i="10"/>
  <c r="H62" i="10"/>
  <c r="A63" i="10"/>
  <c r="B63" i="10"/>
  <c r="C63" i="10"/>
  <c r="D63" i="10"/>
  <c r="E63" i="10"/>
  <c r="F63" i="10"/>
  <c r="G63" i="10"/>
  <c r="H63" i="10"/>
  <c r="A64" i="10"/>
  <c r="B64" i="10"/>
  <c r="C64" i="10"/>
  <c r="D64" i="10"/>
  <c r="E64" i="10"/>
  <c r="F64" i="10"/>
  <c r="G64" i="10"/>
  <c r="H64" i="10"/>
  <c r="A65" i="10"/>
  <c r="B65" i="10"/>
  <c r="C65" i="10"/>
  <c r="D65" i="10"/>
  <c r="E65" i="10"/>
  <c r="F65" i="10"/>
  <c r="G65" i="10"/>
  <c r="H65" i="10"/>
  <c r="A66" i="10"/>
  <c r="B66" i="10"/>
  <c r="C66" i="10"/>
  <c r="D66" i="10"/>
  <c r="E66" i="10"/>
  <c r="F66" i="10"/>
  <c r="G66" i="10"/>
  <c r="H66" i="10"/>
  <c r="A67" i="10"/>
  <c r="B67" i="10"/>
  <c r="C67" i="10"/>
  <c r="D67" i="10"/>
  <c r="E67" i="10"/>
  <c r="F67" i="10"/>
  <c r="G67" i="10"/>
  <c r="H67" i="10"/>
  <c r="A68" i="10"/>
  <c r="B68" i="10"/>
  <c r="C68" i="10"/>
  <c r="D68" i="10"/>
  <c r="E68" i="10"/>
  <c r="F68" i="10"/>
  <c r="G68" i="10"/>
  <c r="H68" i="10"/>
  <c r="A69" i="10"/>
  <c r="B69" i="10"/>
  <c r="C69" i="10"/>
  <c r="D69" i="10"/>
  <c r="E69" i="10"/>
  <c r="F69" i="10"/>
  <c r="G69" i="10"/>
  <c r="H69" i="10"/>
  <c r="A70" i="10"/>
  <c r="B70" i="10"/>
  <c r="C70" i="10"/>
  <c r="D70" i="10"/>
  <c r="E70" i="10"/>
  <c r="F70" i="10"/>
  <c r="G70" i="10"/>
  <c r="H70" i="10"/>
  <c r="A71" i="10"/>
  <c r="B71" i="10"/>
  <c r="C71" i="10"/>
  <c r="D71" i="10"/>
  <c r="E71" i="10"/>
  <c r="F71" i="10"/>
  <c r="G71" i="10"/>
  <c r="H71" i="10"/>
  <c r="A72" i="10"/>
  <c r="B72" i="10"/>
  <c r="C72" i="10"/>
  <c r="D72" i="10"/>
  <c r="E72" i="10"/>
  <c r="F72" i="10"/>
  <c r="G72" i="10"/>
  <c r="H72" i="10"/>
  <c r="A73" i="10"/>
  <c r="B73" i="10"/>
  <c r="C73" i="10"/>
  <c r="D73" i="10"/>
  <c r="E73" i="10"/>
  <c r="F73" i="10"/>
  <c r="G73" i="10"/>
  <c r="H73" i="10"/>
  <c r="A74" i="10"/>
  <c r="B74" i="10"/>
  <c r="C74" i="10"/>
  <c r="D74" i="10"/>
  <c r="E74" i="10"/>
  <c r="F74" i="10"/>
  <c r="G74" i="10"/>
  <c r="H74" i="10"/>
  <c r="A75" i="10"/>
  <c r="B75" i="10"/>
  <c r="C75" i="10"/>
  <c r="D75" i="10"/>
  <c r="E75" i="10"/>
  <c r="F75" i="10"/>
  <c r="G75" i="10"/>
  <c r="H75" i="10"/>
  <c r="A76" i="10"/>
  <c r="B76" i="10"/>
  <c r="C76" i="10"/>
  <c r="D76" i="10"/>
  <c r="E76" i="10"/>
  <c r="F76" i="10"/>
  <c r="G76" i="10"/>
  <c r="H76" i="10"/>
  <c r="A77" i="10"/>
  <c r="B77" i="10"/>
  <c r="C77" i="10"/>
  <c r="D77" i="10"/>
  <c r="E77" i="10"/>
  <c r="F77" i="10"/>
  <c r="G77" i="10"/>
  <c r="H77" i="10"/>
  <c r="A78" i="10"/>
  <c r="B78" i="10"/>
  <c r="C78" i="10"/>
  <c r="D78" i="10"/>
  <c r="E78" i="10"/>
  <c r="F78" i="10"/>
  <c r="G78" i="10"/>
  <c r="H78" i="10"/>
  <c r="A79" i="10"/>
  <c r="B79" i="10"/>
  <c r="C79" i="10"/>
  <c r="D79" i="10"/>
  <c r="E79" i="10"/>
  <c r="F79" i="10"/>
  <c r="G79" i="10"/>
  <c r="H79" i="10"/>
  <c r="A80" i="10"/>
  <c r="B80" i="10"/>
  <c r="C80" i="10"/>
  <c r="D80" i="10"/>
  <c r="E80" i="10"/>
  <c r="F80" i="10"/>
  <c r="G80" i="10"/>
  <c r="H80" i="10"/>
  <c r="A81" i="10"/>
  <c r="B81" i="10"/>
  <c r="C81" i="10"/>
  <c r="D81" i="10"/>
  <c r="E81" i="10"/>
  <c r="F81" i="10"/>
  <c r="G81" i="10"/>
  <c r="H81" i="10"/>
  <c r="A82" i="10"/>
  <c r="B82" i="10"/>
  <c r="C82" i="10"/>
  <c r="D82" i="10"/>
  <c r="E82" i="10"/>
  <c r="F82" i="10"/>
  <c r="G82" i="10"/>
  <c r="H82" i="10"/>
  <c r="A83" i="10"/>
  <c r="B83" i="10"/>
  <c r="C83" i="10"/>
  <c r="D83" i="10"/>
  <c r="E83" i="10"/>
  <c r="F83" i="10"/>
  <c r="G83" i="10"/>
  <c r="H83" i="10"/>
  <c r="A84" i="10"/>
  <c r="B84" i="10"/>
  <c r="C84" i="10"/>
  <c r="D84" i="10"/>
  <c r="E84" i="10"/>
  <c r="F84" i="10"/>
  <c r="G84" i="10"/>
  <c r="H84" i="10"/>
  <c r="A85" i="10"/>
  <c r="B85" i="10"/>
  <c r="C85" i="10"/>
  <c r="D85" i="10"/>
  <c r="E85" i="10"/>
  <c r="F85" i="10"/>
  <c r="G85" i="10"/>
  <c r="H85" i="10"/>
  <c r="A86" i="10"/>
  <c r="B86" i="10"/>
  <c r="C86" i="10"/>
  <c r="D86" i="10"/>
  <c r="E86" i="10"/>
  <c r="F86" i="10"/>
  <c r="G86" i="10"/>
  <c r="H86" i="10"/>
  <c r="A87" i="10"/>
  <c r="B87" i="10"/>
  <c r="C87" i="10"/>
  <c r="D87" i="10"/>
  <c r="E87" i="10"/>
  <c r="F87" i="10"/>
  <c r="G87" i="10"/>
  <c r="H87" i="10"/>
  <c r="A88" i="10"/>
  <c r="B88" i="10"/>
  <c r="C88" i="10"/>
  <c r="D88" i="10"/>
  <c r="E88" i="10"/>
  <c r="F88" i="10"/>
  <c r="G88" i="10"/>
  <c r="H88" i="10"/>
  <c r="A89" i="10"/>
  <c r="B89" i="10"/>
  <c r="C89" i="10"/>
  <c r="D89" i="10"/>
  <c r="E89" i="10"/>
  <c r="F89" i="10"/>
  <c r="G89" i="10"/>
  <c r="H89" i="10"/>
  <c r="A90" i="10"/>
  <c r="B90" i="10"/>
  <c r="C90" i="10"/>
  <c r="D90" i="10"/>
  <c r="E90" i="10"/>
  <c r="F90" i="10"/>
  <c r="G90" i="10"/>
  <c r="H90" i="10"/>
  <c r="A91" i="10"/>
  <c r="B91" i="10"/>
  <c r="C91" i="10"/>
  <c r="D91" i="10"/>
  <c r="E91" i="10"/>
  <c r="F91" i="10"/>
  <c r="G91" i="10"/>
  <c r="H91" i="10"/>
  <c r="A92" i="10"/>
  <c r="B92" i="10"/>
  <c r="C92" i="10"/>
  <c r="D92" i="10"/>
  <c r="E92" i="10"/>
  <c r="F92" i="10"/>
  <c r="G92" i="10"/>
  <c r="H92" i="10"/>
  <c r="A93" i="10"/>
  <c r="B93" i="10"/>
  <c r="C93" i="10"/>
  <c r="D93" i="10"/>
  <c r="E93" i="10"/>
  <c r="F93" i="10"/>
  <c r="G93" i="10"/>
  <c r="H93" i="10"/>
  <c r="A94" i="10"/>
  <c r="B94" i="10"/>
  <c r="C94" i="10"/>
  <c r="D94" i="10"/>
  <c r="E94" i="10"/>
  <c r="F94" i="10"/>
  <c r="G94" i="10"/>
  <c r="H94" i="10"/>
  <c r="A95" i="10"/>
  <c r="B95" i="10"/>
  <c r="C95" i="10"/>
  <c r="D95" i="10"/>
  <c r="E95" i="10"/>
  <c r="F95" i="10"/>
  <c r="G95" i="10"/>
  <c r="H95" i="10"/>
  <c r="A96" i="10"/>
  <c r="B96" i="10"/>
  <c r="C96" i="10"/>
  <c r="D96" i="10"/>
  <c r="E96" i="10"/>
  <c r="F96" i="10"/>
  <c r="G96" i="10"/>
  <c r="H96" i="10"/>
  <c r="A97" i="10"/>
  <c r="B97" i="10"/>
  <c r="C97" i="10"/>
  <c r="D97" i="10"/>
  <c r="E97" i="10"/>
  <c r="F97" i="10"/>
  <c r="G97" i="10"/>
  <c r="H97" i="10"/>
  <c r="A98" i="10"/>
  <c r="B98" i="10"/>
  <c r="C98" i="10"/>
  <c r="D98" i="10"/>
  <c r="E98" i="10"/>
  <c r="F98" i="10"/>
  <c r="G98" i="10"/>
  <c r="H98" i="10"/>
  <c r="A99" i="10"/>
  <c r="B99" i="10"/>
  <c r="C99" i="10"/>
  <c r="D99" i="10"/>
  <c r="E99" i="10"/>
  <c r="F99" i="10"/>
  <c r="G99" i="10"/>
  <c r="H99" i="10"/>
  <c r="A100" i="10"/>
  <c r="B100" i="10"/>
  <c r="C100" i="10"/>
  <c r="D100" i="10"/>
  <c r="E100" i="10"/>
  <c r="F100" i="10"/>
  <c r="G100" i="10"/>
  <c r="H100" i="10"/>
  <c r="A101" i="10"/>
  <c r="B101" i="10"/>
  <c r="C101" i="10"/>
  <c r="D101" i="10"/>
  <c r="E101" i="10"/>
  <c r="F101" i="10"/>
  <c r="G101" i="10"/>
  <c r="H101" i="10"/>
  <c r="A102" i="10"/>
  <c r="B102" i="10"/>
  <c r="C102" i="10"/>
  <c r="D102" i="10"/>
  <c r="E102" i="10"/>
  <c r="F102" i="10"/>
  <c r="G102" i="10"/>
  <c r="H102" i="10"/>
  <c r="A103" i="10"/>
  <c r="B103" i="10"/>
  <c r="C103" i="10"/>
  <c r="D103" i="10"/>
  <c r="E103" i="10"/>
  <c r="F103" i="10"/>
  <c r="G103" i="10"/>
  <c r="H103" i="10"/>
  <c r="A104" i="10"/>
  <c r="B104" i="10"/>
  <c r="C104" i="10"/>
  <c r="D104" i="10"/>
  <c r="E104" i="10"/>
  <c r="F104" i="10"/>
  <c r="G104" i="10"/>
  <c r="H104" i="10"/>
  <c r="A105" i="10"/>
  <c r="B105" i="10"/>
  <c r="C105" i="10"/>
  <c r="D105" i="10"/>
  <c r="E105" i="10"/>
  <c r="F105" i="10"/>
  <c r="G105" i="10"/>
  <c r="H105" i="10"/>
  <c r="A106" i="10"/>
  <c r="B106" i="10"/>
  <c r="C106" i="10"/>
  <c r="D106" i="10"/>
  <c r="E106" i="10"/>
  <c r="F106" i="10"/>
  <c r="G106" i="10"/>
  <c r="H106" i="10"/>
  <c r="A107" i="10"/>
  <c r="B107" i="10"/>
  <c r="C107" i="10"/>
  <c r="D107" i="10"/>
  <c r="E107" i="10"/>
  <c r="F107" i="10"/>
  <c r="G107" i="10"/>
  <c r="H107" i="10"/>
  <c r="A108" i="10"/>
  <c r="B108" i="10"/>
  <c r="C108" i="10"/>
  <c r="D108" i="10"/>
  <c r="E108" i="10"/>
  <c r="F108" i="10"/>
  <c r="G108" i="10"/>
  <c r="H108" i="10"/>
  <c r="A109" i="10"/>
  <c r="B109" i="10"/>
  <c r="C109" i="10"/>
  <c r="D109" i="10"/>
  <c r="E109" i="10"/>
  <c r="F109" i="10"/>
  <c r="G109" i="10"/>
  <c r="H109" i="10"/>
  <c r="A110" i="10"/>
  <c r="B110" i="10"/>
  <c r="C110" i="10"/>
  <c r="D110" i="10"/>
  <c r="E110" i="10"/>
  <c r="F110" i="10"/>
  <c r="G110" i="10"/>
  <c r="H110" i="10"/>
  <c r="A111" i="10"/>
  <c r="B111" i="10"/>
  <c r="C111" i="10"/>
  <c r="D111" i="10"/>
  <c r="E111" i="10"/>
  <c r="F111" i="10"/>
  <c r="G111" i="10"/>
  <c r="H111" i="10"/>
  <c r="A112" i="10"/>
  <c r="B112" i="10"/>
  <c r="C112" i="10"/>
  <c r="D112" i="10"/>
  <c r="E112" i="10"/>
  <c r="F112" i="10"/>
  <c r="G112" i="10"/>
  <c r="H112" i="10"/>
  <c r="A113" i="10"/>
  <c r="B113" i="10"/>
  <c r="C113" i="10"/>
  <c r="D113" i="10"/>
  <c r="E113" i="10"/>
  <c r="F113" i="10"/>
  <c r="G113" i="10"/>
  <c r="H113" i="10"/>
  <c r="A114" i="10"/>
  <c r="B114" i="10"/>
  <c r="C114" i="10"/>
  <c r="D114" i="10"/>
  <c r="E114" i="10"/>
  <c r="F114" i="10"/>
  <c r="G114" i="10"/>
  <c r="H114" i="10"/>
  <c r="A115" i="10"/>
  <c r="B115" i="10"/>
  <c r="C115" i="10"/>
  <c r="D115" i="10"/>
  <c r="E115" i="10"/>
  <c r="F115" i="10"/>
  <c r="G115" i="10"/>
  <c r="H115" i="10"/>
  <c r="A116" i="10"/>
  <c r="B116" i="10"/>
  <c r="C116" i="10"/>
  <c r="D116" i="10"/>
  <c r="E116" i="10"/>
  <c r="F116" i="10"/>
  <c r="G116" i="10"/>
  <c r="H116" i="10"/>
  <c r="A117" i="10"/>
  <c r="B117" i="10"/>
  <c r="C117" i="10"/>
  <c r="D117" i="10"/>
  <c r="E117" i="10"/>
  <c r="F117" i="10"/>
  <c r="G117" i="10"/>
  <c r="H117" i="10"/>
  <c r="A118" i="10"/>
  <c r="B118" i="10"/>
  <c r="C118" i="10"/>
  <c r="D118" i="10"/>
  <c r="E118" i="10"/>
  <c r="F118" i="10"/>
  <c r="G118" i="10"/>
  <c r="H118" i="10"/>
  <c r="A119" i="10"/>
  <c r="B119" i="10"/>
  <c r="C119" i="10"/>
  <c r="D119" i="10"/>
  <c r="E119" i="10"/>
  <c r="F119" i="10"/>
  <c r="G119" i="10"/>
  <c r="H119" i="10"/>
  <c r="A120" i="10"/>
  <c r="B120" i="10"/>
  <c r="C120" i="10"/>
  <c r="D120" i="10"/>
  <c r="E120" i="10"/>
  <c r="F120" i="10"/>
  <c r="G120" i="10"/>
  <c r="H120" i="10"/>
  <c r="A121" i="10"/>
  <c r="B121" i="10"/>
  <c r="C121" i="10"/>
  <c r="D121" i="10"/>
  <c r="E121" i="10"/>
  <c r="F121" i="10"/>
  <c r="G121" i="10"/>
  <c r="H121" i="10"/>
  <c r="A122" i="10"/>
  <c r="B122" i="10"/>
  <c r="C122" i="10"/>
  <c r="D122" i="10"/>
  <c r="E122" i="10"/>
  <c r="F122" i="10"/>
  <c r="G122" i="10"/>
  <c r="H122" i="10"/>
  <c r="A123" i="10"/>
  <c r="B123" i="10"/>
  <c r="C123" i="10"/>
  <c r="D123" i="10"/>
  <c r="E123" i="10"/>
  <c r="F123" i="10"/>
  <c r="G123" i="10"/>
  <c r="H123" i="10"/>
  <c r="A124" i="10"/>
  <c r="B124" i="10"/>
  <c r="C124" i="10"/>
  <c r="D124" i="10"/>
  <c r="E124" i="10"/>
  <c r="F124" i="10"/>
  <c r="G124" i="10"/>
  <c r="H124" i="10"/>
  <c r="A125" i="10"/>
  <c r="B125" i="10"/>
  <c r="C125" i="10"/>
  <c r="D125" i="10"/>
  <c r="E125" i="10"/>
  <c r="F125" i="10"/>
  <c r="G125" i="10"/>
  <c r="H125" i="10"/>
  <c r="A126" i="10"/>
  <c r="B126" i="10"/>
  <c r="C126" i="10"/>
  <c r="D126" i="10"/>
  <c r="E126" i="10"/>
  <c r="F126" i="10"/>
  <c r="G126" i="10"/>
  <c r="H126" i="10"/>
  <c r="A127" i="10"/>
  <c r="B127" i="10"/>
  <c r="C127" i="10"/>
  <c r="D127" i="10"/>
  <c r="E127" i="10"/>
  <c r="F127" i="10"/>
  <c r="G127" i="10"/>
  <c r="H127" i="10"/>
  <c r="A128" i="10"/>
  <c r="B128" i="10"/>
  <c r="C128" i="10"/>
  <c r="D128" i="10"/>
  <c r="E128" i="10"/>
  <c r="F128" i="10"/>
  <c r="G128" i="10"/>
  <c r="H128" i="10"/>
  <c r="A129" i="10"/>
  <c r="B129" i="10"/>
  <c r="C129" i="10"/>
  <c r="D129" i="10"/>
  <c r="E129" i="10"/>
  <c r="F129" i="10"/>
  <c r="G129" i="10"/>
  <c r="H129" i="10"/>
  <c r="A130" i="10"/>
  <c r="B130" i="10"/>
  <c r="C130" i="10"/>
  <c r="D130" i="10"/>
  <c r="E130" i="10"/>
  <c r="F130" i="10"/>
  <c r="G130" i="10"/>
  <c r="H130" i="10"/>
  <c r="A131" i="10"/>
  <c r="B131" i="10"/>
  <c r="C131" i="10"/>
  <c r="D131" i="10"/>
  <c r="E131" i="10"/>
  <c r="F131" i="10"/>
  <c r="G131" i="10"/>
  <c r="H131" i="10"/>
  <c r="A132" i="10"/>
  <c r="B132" i="10"/>
  <c r="C132" i="10"/>
  <c r="D132" i="10"/>
  <c r="E132" i="10"/>
  <c r="F132" i="10"/>
  <c r="G132" i="10"/>
  <c r="H132" i="10"/>
  <c r="A133" i="10"/>
  <c r="B133" i="10"/>
  <c r="C133" i="10"/>
  <c r="D133" i="10"/>
  <c r="E133" i="10"/>
  <c r="F133" i="10"/>
  <c r="G133" i="10"/>
  <c r="H133" i="10"/>
  <c r="A134" i="10"/>
  <c r="B134" i="10"/>
  <c r="C134" i="10"/>
  <c r="D134" i="10"/>
  <c r="E134" i="10"/>
  <c r="F134" i="10"/>
  <c r="G134" i="10"/>
  <c r="H134" i="10"/>
  <c r="A135" i="10"/>
  <c r="B135" i="10"/>
  <c r="C135" i="10"/>
  <c r="D135" i="10"/>
  <c r="E135" i="10"/>
  <c r="F135" i="10"/>
  <c r="G135" i="10"/>
  <c r="H135" i="10"/>
  <c r="A136" i="10"/>
  <c r="B136" i="10"/>
  <c r="C136" i="10"/>
  <c r="D136" i="10"/>
  <c r="E136" i="10"/>
  <c r="F136" i="10"/>
  <c r="G136" i="10"/>
  <c r="H136" i="10"/>
  <c r="A137" i="10"/>
  <c r="B137" i="10"/>
  <c r="C137" i="10"/>
  <c r="D137" i="10"/>
  <c r="E137" i="10"/>
  <c r="F137" i="10"/>
  <c r="G137" i="10"/>
  <c r="H137" i="10"/>
  <c r="A138" i="10"/>
  <c r="B138" i="10"/>
  <c r="C138" i="10"/>
  <c r="D138" i="10"/>
  <c r="E138" i="10"/>
  <c r="F138" i="10"/>
  <c r="G138" i="10"/>
  <c r="H138" i="10"/>
  <c r="A139" i="10"/>
  <c r="B139" i="10"/>
  <c r="C139" i="10"/>
  <c r="D139" i="10"/>
  <c r="E139" i="10"/>
  <c r="F139" i="10"/>
  <c r="G139" i="10"/>
  <c r="H139" i="10"/>
  <c r="A140" i="10"/>
  <c r="B140" i="10"/>
  <c r="C140" i="10"/>
  <c r="D140" i="10"/>
  <c r="E140" i="10"/>
  <c r="F140" i="10"/>
  <c r="G140" i="10"/>
  <c r="H140" i="10"/>
  <c r="A141" i="10"/>
  <c r="B141" i="10"/>
  <c r="C141" i="10"/>
  <c r="D141" i="10"/>
  <c r="E141" i="10"/>
  <c r="F141" i="10"/>
  <c r="G141" i="10"/>
  <c r="H141" i="10"/>
  <c r="A142" i="10"/>
  <c r="B142" i="10"/>
  <c r="C142" i="10"/>
  <c r="D142" i="10"/>
  <c r="E142" i="10"/>
  <c r="F142" i="10"/>
  <c r="G142" i="10"/>
  <c r="H142" i="10"/>
  <c r="A143" i="10"/>
  <c r="B143" i="10"/>
  <c r="C143" i="10"/>
  <c r="D143" i="10"/>
  <c r="E143" i="10"/>
  <c r="F143" i="10"/>
  <c r="G143" i="10"/>
  <c r="H143" i="10"/>
  <c r="A144" i="10"/>
  <c r="B144" i="10"/>
  <c r="C144" i="10"/>
  <c r="D144" i="10"/>
  <c r="E144" i="10"/>
  <c r="F144" i="10"/>
  <c r="G144" i="10"/>
  <c r="H144" i="10"/>
  <c r="A145" i="10"/>
  <c r="B145" i="10"/>
  <c r="C145" i="10"/>
  <c r="D145" i="10"/>
  <c r="E145" i="10"/>
  <c r="F145" i="10"/>
  <c r="G145" i="10"/>
  <c r="H145" i="10"/>
  <c r="A146" i="10"/>
  <c r="B146" i="10"/>
  <c r="C146" i="10"/>
  <c r="D146" i="10"/>
  <c r="E146" i="10"/>
  <c r="F146" i="10"/>
  <c r="G146" i="10"/>
  <c r="H146" i="10"/>
  <c r="A147" i="10"/>
  <c r="B147" i="10"/>
  <c r="C147" i="10"/>
  <c r="D147" i="10"/>
  <c r="E147" i="10"/>
  <c r="F147" i="10"/>
  <c r="G147" i="10"/>
  <c r="H147" i="10"/>
  <c r="A148" i="10"/>
  <c r="B148" i="10"/>
  <c r="C148" i="10"/>
  <c r="D148" i="10"/>
  <c r="E148" i="10"/>
  <c r="F148" i="10"/>
  <c r="G148" i="10"/>
  <c r="H148" i="10"/>
  <c r="A149" i="10"/>
  <c r="B149" i="10"/>
  <c r="C149" i="10"/>
  <c r="D149" i="10"/>
  <c r="E149" i="10"/>
  <c r="F149" i="10"/>
  <c r="G149" i="10"/>
  <c r="H149" i="10"/>
  <c r="A150" i="10"/>
  <c r="B150" i="10"/>
  <c r="C150" i="10"/>
  <c r="D150" i="10"/>
  <c r="E150" i="10"/>
  <c r="F150" i="10"/>
  <c r="G150" i="10"/>
  <c r="H150" i="10"/>
  <c r="A151" i="10"/>
  <c r="B151" i="10"/>
  <c r="C151" i="10"/>
  <c r="D151" i="10"/>
  <c r="E151" i="10"/>
  <c r="F151" i="10"/>
  <c r="G151" i="10"/>
  <c r="H151" i="10"/>
  <c r="A152" i="10"/>
  <c r="B152" i="10"/>
  <c r="C152" i="10"/>
  <c r="D152" i="10"/>
  <c r="E152" i="10"/>
  <c r="F152" i="10"/>
  <c r="G152" i="10"/>
  <c r="H152" i="10"/>
  <c r="A155" i="10"/>
  <c r="B155" i="10"/>
  <c r="C155" i="10"/>
  <c r="D155" i="10"/>
  <c r="E155" i="10"/>
  <c r="F155" i="10"/>
  <c r="G155" i="10"/>
  <c r="H155" i="10"/>
  <c r="A156" i="10"/>
  <c r="B156" i="10"/>
  <c r="C156" i="10"/>
  <c r="D156" i="10"/>
  <c r="E156" i="10"/>
  <c r="F156" i="10"/>
  <c r="G156" i="10"/>
  <c r="H156" i="10"/>
  <c r="A157" i="10"/>
  <c r="B157" i="10"/>
  <c r="C157" i="10"/>
  <c r="D157" i="10"/>
  <c r="E157" i="10"/>
  <c r="F157" i="10"/>
  <c r="G157" i="10"/>
  <c r="H157" i="10"/>
  <c r="A158" i="10"/>
  <c r="B158" i="10"/>
  <c r="C158" i="10"/>
  <c r="D158" i="10"/>
  <c r="E158" i="10"/>
  <c r="F158" i="10"/>
  <c r="G158" i="10"/>
  <c r="H158" i="10"/>
  <c r="A159" i="10"/>
  <c r="B159" i="10"/>
  <c r="C159" i="10"/>
  <c r="D159" i="10"/>
  <c r="E159" i="10"/>
  <c r="F159" i="10"/>
  <c r="G159" i="10"/>
  <c r="H159" i="10"/>
  <c r="A160" i="10"/>
  <c r="B160" i="10"/>
  <c r="C160" i="10"/>
  <c r="D160" i="10"/>
  <c r="E160" i="10"/>
  <c r="F160" i="10"/>
  <c r="G160" i="10"/>
  <c r="H160" i="10"/>
  <c r="A161" i="10"/>
  <c r="B161" i="10"/>
  <c r="C161" i="10"/>
  <c r="D161" i="10"/>
  <c r="E161" i="10"/>
  <c r="F161" i="10"/>
  <c r="G161" i="10"/>
  <c r="H161" i="10"/>
  <c r="A162" i="10"/>
  <c r="B162" i="10"/>
  <c r="C162" i="10"/>
  <c r="D162" i="10"/>
  <c r="E162" i="10"/>
  <c r="F162" i="10"/>
  <c r="G162" i="10"/>
  <c r="H162" i="10"/>
  <c r="A163" i="10"/>
  <c r="B163" i="10"/>
  <c r="C163" i="10"/>
  <c r="D163" i="10"/>
  <c r="E163" i="10"/>
  <c r="F163" i="10"/>
  <c r="G163" i="10"/>
  <c r="H163" i="10"/>
  <c r="A164" i="10"/>
  <c r="B164" i="10"/>
  <c r="C164" i="10"/>
  <c r="D164" i="10"/>
  <c r="E164" i="10"/>
  <c r="F164" i="10"/>
  <c r="G164" i="10"/>
  <c r="H164" i="10"/>
  <c r="A165" i="10"/>
  <c r="B165" i="10"/>
  <c r="C165" i="10"/>
  <c r="D165" i="10"/>
  <c r="E165" i="10"/>
  <c r="F165" i="10"/>
  <c r="G165" i="10"/>
  <c r="H165" i="10"/>
  <c r="A166" i="10"/>
  <c r="B166" i="10"/>
  <c r="C166" i="10"/>
  <c r="D166" i="10"/>
  <c r="E166" i="10"/>
  <c r="F166" i="10"/>
  <c r="G166" i="10"/>
  <c r="H166" i="10"/>
  <c r="A167" i="10"/>
  <c r="B167" i="10"/>
  <c r="C167" i="10"/>
  <c r="D167" i="10"/>
  <c r="E167" i="10"/>
  <c r="F167" i="10"/>
  <c r="G167" i="10"/>
  <c r="H167" i="10"/>
  <c r="A168" i="10"/>
  <c r="B168" i="10"/>
  <c r="C168" i="10"/>
  <c r="D168" i="10"/>
  <c r="E168" i="10"/>
  <c r="F168" i="10"/>
  <c r="G168" i="10"/>
  <c r="H168" i="10"/>
  <c r="A169" i="10"/>
  <c r="B169" i="10"/>
  <c r="C169" i="10"/>
  <c r="D169" i="10"/>
  <c r="E169" i="10"/>
  <c r="F169" i="10"/>
  <c r="G169" i="10"/>
  <c r="H169" i="10"/>
  <c r="A170" i="10"/>
  <c r="B170" i="10"/>
  <c r="C170" i="10"/>
  <c r="D170" i="10"/>
  <c r="E170" i="10"/>
  <c r="F170" i="10"/>
  <c r="G170" i="10"/>
  <c r="H170" i="10"/>
  <c r="A171" i="10"/>
  <c r="B171" i="10"/>
  <c r="C171" i="10"/>
  <c r="D171" i="10"/>
  <c r="E171" i="10"/>
  <c r="F171" i="10"/>
  <c r="G171" i="10"/>
  <c r="H171" i="10"/>
  <c r="A172" i="10"/>
  <c r="B172" i="10"/>
  <c r="C172" i="10"/>
  <c r="D172" i="10"/>
  <c r="E172" i="10"/>
  <c r="F172" i="10"/>
  <c r="G172" i="10"/>
  <c r="H172" i="10"/>
  <c r="A173" i="10"/>
  <c r="B173" i="10"/>
  <c r="C173" i="10"/>
  <c r="D173" i="10"/>
  <c r="E173" i="10"/>
  <c r="F173" i="10"/>
  <c r="G173" i="10"/>
  <c r="H173" i="10"/>
  <c r="A174" i="10"/>
  <c r="B174" i="10"/>
  <c r="C174" i="10"/>
  <c r="D174" i="10"/>
  <c r="E174" i="10"/>
  <c r="F174" i="10"/>
  <c r="G174" i="10"/>
  <c r="H174" i="10"/>
  <c r="A175" i="10"/>
  <c r="B175" i="10"/>
  <c r="C175" i="10"/>
  <c r="D175" i="10"/>
  <c r="E175" i="10"/>
  <c r="F175" i="10"/>
  <c r="G175" i="10"/>
  <c r="H175" i="10"/>
  <c r="A176" i="10"/>
  <c r="B176" i="10"/>
  <c r="C176" i="10"/>
  <c r="D176" i="10"/>
  <c r="E176" i="10"/>
  <c r="F176" i="10"/>
  <c r="G176" i="10"/>
  <c r="H176" i="10"/>
  <c r="A177" i="10"/>
  <c r="B177" i="10"/>
  <c r="C177" i="10"/>
  <c r="D177" i="10"/>
  <c r="E177" i="10"/>
  <c r="F177" i="10"/>
  <c r="G177" i="10"/>
  <c r="H177" i="10"/>
  <c r="A178" i="10"/>
  <c r="B178" i="10"/>
  <c r="C178" i="10"/>
  <c r="D178" i="10"/>
  <c r="E178" i="10"/>
  <c r="F178" i="10"/>
  <c r="G178" i="10"/>
  <c r="H178" i="10"/>
  <c r="A179" i="10"/>
  <c r="B179" i="10"/>
  <c r="C179" i="10"/>
  <c r="D179" i="10"/>
  <c r="E179" i="10"/>
  <c r="F179" i="10"/>
  <c r="G179" i="10"/>
  <c r="H179" i="10"/>
  <c r="A180" i="10"/>
  <c r="B180" i="10"/>
  <c r="C180" i="10"/>
  <c r="D180" i="10"/>
  <c r="E180" i="10"/>
  <c r="F180" i="10"/>
  <c r="G180" i="10"/>
  <c r="H180" i="10"/>
  <c r="A181" i="10"/>
  <c r="B181" i="10"/>
  <c r="C181" i="10"/>
  <c r="D181" i="10"/>
  <c r="E181" i="10"/>
  <c r="F181" i="10"/>
  <c r="G181" i="10"/>
  <c r="H181" i="10"/>
  <c r="A182" i="10"/>
  <c r="B182" i="10"/>
  <c r="C182" i="10"/>
  <c r="D182" i="10"/>
  <c r="E182" i="10"/>
  <c r="F182" i="10"/>
  <c r="G182" i="10"/>
  <c r="H182" i="10"/>
  <c r="A183" i="10"/>
  <c r="B183" i="10"/>
  <c r="C183" i="10"/>
  <c r="D183" i="10"/>
  <c r="E183" i="10"/>
  <c r="F183" i="10"/>
  <c r="G183" i="10"/>
  <c r="H183" i="10"/>
  <c r="A184" i="10"/>
  <c r="B184" i="10"/>
  <c r="C184" i="10"/>
  <c r="D184" i="10"/>
  <c r="E184" i="10"/>
  <c r="F184" i="10"/>
  <c r="G184" i="10"/>
  <c r="H184" i="10"/>
  <c r="A185" i="10"/>
  <c r="B185" i="10"/>
  <c r="C185" i="10"/>
  <c r="D185" i="10"/>
  <c r="E185" i="10"/>
  <c r="F185" i="10"/>
  <c r="G185" i="10"/>
  <c r="H185" i="10"/>
  <c r="A186" i="10"/>
  <c r="B186" i="10"/>
  <c r="C186" i="10"/>
  <c r="D186" i="10"/>
  <c r="E186" i="10"/>
  <c r="F186" i="10"/>
  <c r="G186" i="10"/>
  <c r="H186" i="10"/>
  <c r="A187" i="10"/>
  <c r="B187" i="10"/>
  <c r="C187" i="10"/>
  <c r="D187" i="10"/>
  <c r="E187" i="10"/>
  <c r="F187" i="10"/>
  <c r="G187" i="10"/>
  <c r="H187" i="10"/>
  <c r="A188" i="10"/>
  <c r="B188" i="10"/>
  <c r="C188" i="10"/>
  <c r="D188" i="10"/>
  <c r="E188" i="10"/>
  <c r="F188" i="10"/>
  <c r="G188" i="10"/>
  <c r="H188" i="10"/>
  <c r="A189" i="10"/>
  <c r="B189" i="10"/>
  <c r="C189" i="10"/>
  <c r="D189" i="10"/>
  <c r="E189" i="10"/>
  <c r="F189" i="10"/>
  <c r="G189" i="10"/>
  <c r="H189" i="10"/>
  <c r="A190" i="10"/>
  <c r="B190" i="10"/>
  <c r="C190" i="10"/>
  <c r="D190" i="10"/>
  <c r="E190" i="10"/>
  <c r="F190" i="10"/>
  <c r="G190" i="10"/>
  <c r="H190" i="10"/>
  <c r="A191" i="10"/>
  <c r="B191" i="10"/>
  <c r="C191" i="10"/>
  <c r="D191" i="10"/>
  <c r="E191" i="10"/>
  <c r="F191" i="10"/>
  <c r="G191" i="10"/>
  <c r="H191" i="10"/>
  <c r="A192" i="10"/>
  <c r="B192" i="10"/>
  <c r="C192" i="10"/>
  <c r="D192" i="10"/>
  <c r="E192" i="10"/>
  <c r="F192" i="10"/>
  <c r="G192" i="10"/>
  <c r="H192" i="10"/>
  <c r="A193" i="10"/>
  <c r="B193" i="10"/>
  <c r="C193" i="10"/>
  <c r="D193" i="10"/>
  <c r="E193" i="10"/>
  <c r="F193" i="10"/>
  <c r="G193" i="10"/>
  <c r="H193" i="10"/>
  <c r="A194" i="10"/>
  <c r="B194" i="10"/>
  <c r="C194" i="10"/>
  <c r="D194" i="10"/>
  <c r="E194" i="10"/>
  <c r="F194" i="10"/>
  <c r="G194" i="10"/>
  <c r="H194" i="10"/>
  <c r="A195" i="10"/>
  <c r="B195" i="10"/>
  <c r="C195" i="10"/>
  <c r="D195" i="10"/>
  <c r="E195" i="10"/>
  <c r="F195" i="10"/>
  <c r="G195" i="10"/>
  <c r="H195" i="10"/>
  <c r="A196" i="10"/>
  <c r="B196" i="10"/>
  <c r="C196" i="10"/>
  <c r="D196" i="10"/>
  <c r="E196" i="10"/>
  <c r="F196" i="10"/>
  <c r="G196" i="10"/>
  <c r="H196" i="10"/>
  <c r="A197" i="10"/>
  <c r="B197" i="10"/>
  <c r="C197" i="10"/>
  <c r="D197" i="10"/>
  <c r="E197" i="10"/>
  <c r="F197" i="10"/>
  <c r="G197" i="10"/>
  <c r="H197" i="10"/>
  <c r="A198" i="10"/>
  <c r="B198" i="10"/>
  <c r="C198" i="10"/>
  <c r="D198" i="10"/>
  <c r="E198" i="10"/>
  <c r="F198" i="10"/>
  <c r="G198" i="10"/>
  <c r="H198" i="10"/>
  <c r="A199" i="10"/>
  <c r="B199" i="10"/>
  <c r="C199" i="10"/>
  <c r="D199" i="10"/>
  <c r="E199" i="10"/>
  <c r="F199" i="10"/>
  <c r="G199" i="10"/>
  <c r="H199" i="10"/>
  <c r="A200" i="10"/>
  <c r="B200" i="10"/>
  <c r="C200" i="10"/>
  <c r="D200" i="10"/>
  <c r="E200" i="10"/>
  <c r="F200" i="10"/>
  <c r="G200" i="10"/>
  <c r="H200" i="10"/>
  <c r="A201" i="10"/>
  <c r="B201" i="10"/>
  <c r="C201" i="10"/>
  <c r="D201" i="10"/>
  <c r="E201" i="10"/>
  <c r="F201" i="10"/>
  <c r="G201" i="10"/>
  <c r="H201" i="10"/>
  <c r="A202" i="10"/>
  <c r="B202" i="10"/>
  <c r="C202" i="10"/>
  <c r="D202" i="10"/>
  <c r="E202" i="10"/>
  <c r="F202" i="10"/>
  <c r="G202" i="10"/>
  <c r="H202" i="10"/>
  <c r="A203" i="10"/>
  <c r="B203" i="10"/>
  <c r="C203" i="10"/>
  <c r="D203" i="10"/>
  <c r="E203" i="10"/>
  <c r="F203" i="10"/>
  <c r="G203" i="10"/>
  <c r="H203" i="10"/>
  <c r="A204" i="10"/>
  <c r="B204" i="10"/>
  <c r="C204" i="10"/>
  <c r="D204" i="10"/>
  <c r="E204" i="10"/>
  <c r="F204" i="10"/>
  <c r="G204" i="10"/>
  <c r="H204" i="10"/>
  <c r="A205" i="10"/>
  <c r="B205" i="10"/>
  <c r="C205" i="10"/>
  <c r="D205" i="10"/>
  <c r="E205" i="10"/>
  <c r="F205" i="10"/>
  <c r="G205" i="10"/>
  <c r="H205" i="10"/>
  <c r="A206" i="10"/>
  <c r="B206" i="10"/>
  <c r="C206" i="10"/>
  <c r="D206" i="10"/>
  <c r="E206" i="10"/>
  <c r="F206" i="10"/>
  <c r="G206" i="10"/>
  <c r="H206" i="10"/>
  <c r="A207" i="10"/>
  <c r="B207" i="10"/>
  <c r="C207" i="10"/>
  <c r="D207" i="10"/>
  <c r="E207" i="10"/>
  <c r="F207" i="10"/>
  <c r="G207" i="10"/>
  <c r="H207" i="10"/>
  <c r="A208" i="10"/>
  <c r="B208" i="10"/>
  <c r="C208" i="10"/>
  <c r="D208" i="10"/>
  <c r="E208" i="10"/>
  <c r="F208" i="10"/>
  <c r="G208" i="10"/>
  <c r="H208" i="10"/>
  <c r="A209" i="10"/>
  <c r="B209" i="10"/>
  <c r="C209" i="10"/>
  <c r="D209" i="10"/>
  <c r="E209" i="10"/>
  <c r="F209" i="10"/>
  <c r="G209" i="10"/>
  <c r="H209" i="10"/>
  <c r="A210" i="10"/>
  <c r="B210" i="10"/>
  <c r="C210" i="10"/>
  <c r="D210" i="10"/>
  <c r="E210" i="10"/>
  <c r="F210" i="10"/>
  <c r="G210" i="10"/>
  <c r="H210" i="10"/>
  <c r="A211" i="10"/>
  <c r="B211" i="10"/>
  <c r="C211" i="10"/>
  <c r="D211" i="10"/>
  <c r="E211" i="10"/>
  <c r="F211" i="10"/>
  <c r="G211" i="10"/>
  <c r="H211" i="10"/>
  <c r="A212" i="10"/>
  <c r="B212" i="10"/>
  <c r="C212" i="10"/>
  <c r="D212" i="10"/>
  <c r="E212" i="10"/>
  <c r="F212" i="10"/>
  <c r="G212" i="10"/>
  <c r="H212" i="10"/>
  <c r="A213" i="10"/>
  <c r="B213" i="10"/>
  <c r="C213" i="10"/>
  <c r="D213" i="10"/>
  <c r="E213" i="10"/>
  <c r="F213" i="10"/>
  <c r="G213" i="10"/>
  <c r="H213" i="10"/>
  <c r="A214" i="10"/>
  <c r="B214" i="10"/>
  <c r="C214" i="10"/>
  <c r="D214" i="10"/>
  <c r="E214" i="10"/>
  <c r="F214" i="10"/>
  <c r="G214" i="10"/>
  <c r="H214" i="10"/>
  <c r="A215" i="10"/>
  <c r="B215" i="10"/>
  <c r="C215" i="10"/>
  <c r="D215" i="10"/>
  <c r="F215" i="10"/>
  <c r="G215" i="10"/>
  <c r="H215" i="10"/>
  <c r="A216" i="10"/>
  <c r="B216" i="10"/>
  <c r="C216" i="10"/>
  <c r="D216" i="10"/>
  <c r="F216" i="10"/>
  <c r="G216" i="10"/>
  <c r="H216" i="10"/>
  <c r="A217" i="10"/>
  <c r="B217" i="10"/>
  <c r="C217" i="10"/>
  <c r="D217" i="10"/>
  <c r="F217" i="10"/>
  <c r="G217" i="10"/>
  <c r="H217" i="10"/>
  <c r="A218" i="10"/>
  <c r="B218" i="10"/>
  <c r="C218" i="10"/>
  <c r="D218" i="10"/>
  <c r="E218" i="10"/>
  <c r="F218" i="10"/>
  <c r="G218" i="10"/>
  <c r="H218" i="10"/>
  <c r="A219" i="10"/>
  <c r="B219" i="10"/>
  <c r="C219" i="10"/>
  <c r="D219" i="10"/>
  <c r="E219" i="10"/>
  <c r="F219" i="10"/>
  <c r="G219" i="10"/>
  <c r="H219" i="10"/>
  <c r="A220" i="10"/>
  <c r="B220" i="10"/>
  <c r="C220" i="10"/>
  <c r="D220" i="10"/>
  <c r="E220" i="10"/>
  <c r="F220" i="10"/>
  <c r="G220" i="10"/>
  <c r="H220" i="10"/>
  <c r="A221" i="10"/>
  <c r="B221" i="10"/>
  <c r="C221" i="10"/>
  <c r="D221" i="10"/>
  <c r="E221" i="10"/>
  <c r="F221" i="10"/>
  <c r="G221" i="10"/>
  <c r="H221" i="10"/>
  <c r="A222" i="10"/>
  <c r="B222" i="10"/>
  <c r="C222" i="10"/>
  <c r="D222" i="10"/>
  <c r="E222" i="10"/>
  <c r="F222" i="10"/>
  <c r="G222" i="10"/>
  <c r="H222" i="10"/>
  <c r="A223" i="10"/>
  <c r="B223" i="10"/>
  <c r="C223" i="10"/>
  <c r="D223" i="10"/>
  <c r="E223" i="10"/>
  <c r="F223" i="10"/>
  <c r="G223" i="10"/>
  <c r="H223" i="10"/>
  <c r="A224" i="10"/>
  <c r="B224" i="10"/>
  <c r="C224" i="10"/>
  <c r="D224" i="10"/>
  <c r="E224" i="10"/>
  <c r="F224" i="10"/>
  <c r="G224" i="10"/>
  <c r="H224" i="10"/>
  <c r="A225" i="10"/>
  <c r="B225" i="10"/>
  <c r="C225" i="10"/>
  <c r="D225" i="10"/>
  <c r="E225" i="10"/>
  <c r="F225" i="10"/>
  <c r="G225" i="10"/>
  <c r="H225" i="10"/>
  <c r="A226" i="10"/>
  <c r="B226" i="10"/>
  <c r="C226" i="10"/>
  <c r="D226" i="10"/>
  <c r="E226" i="10"/>
  <c r="F226" i="10"/>
  <c r="G226" i="10"/>
  <c r="H226" i="10"/>
  <c r="A227" i="10"/>
  <c r="B227" i="10"/>
  <c r="C227" i="10"/>
  <c r="D227" i="10"/>
  <c r="E227" i="10"/>
  <c r="F227" i="10"/>
  <c r="G227" i="10"/>
  <c r="H227" i="10"/>
  <c r="A228" i="10"/>
  <c r="B228" i="10"/>
  <c r="C228" i="10"/>
  <c r="D228" i="10"/>
  <c r="E228" i="10"/>
  <c r="F228" i="10"/>
  <c r="G228" i="10"/>
  <c r="H228" i="10"/>
  <c r="A229" i="10"/>
  <c r="B229" i="10"/>
  <c r="C229" i="10"/>
  <c r="D229" i="10"/>
  <c r="E229" i="10"/>
  <c r="F229" i="10"/>
  <c r="G229" i="10"/>
  <c r="H229" i="10"/>
  <c r="A230" i="10"/>
  <c r="B230" i="10"/>
  <c r="C230" i="10"/>
  <c r="D230" i="10"/>
  <c r="E230" i="10"/>
  <c r="F230" i="10"/>
  <c r="G230" i="10"/>
  <c r="H230" i="10"/>
  <c r="A231" i="10"/>
  <c r="B231" i="10"/>
  <c r="C231" i="10"/>
  <c r="D231" i="10"/>
  <c r="E231" i="10"/>
  <c r="F231" i="10"/>
  <c r="G231" i="10"/>
  <c r="H231" i="10"/>
  <c r="A232" i="10"/>
  <c r="B232" i="10"/>
  <c r="C232" i="10"/>
  <c r="D232" i="10"/>
  <c r="E232" i="10"/>
  <c r="F232" i="10"/>
  <c r="G232" i="10"/>
  <c r="H232" i="10"/>
  <c r="A233" i="10"/>
  <c r="B233" i="10"/>
  <c r="C233" i="10"/>
  <c r="D233" i="10"/>
  <c r="E233" i="10"/>
  <c r="F233" i="10"/>
  <c r="G233" i="10"/>
  <c r="H233" i="10"/>
  <c r="A234" i="10"/>
  <c r="B234" i="10"/>
  <c r="C234" i="10"/>
  <c r="D234" i="10"/>
  <c r="E234" i="10"/>
  <c r="F234" i="10"/>
  <c r="G234" i="10"/>
  <c r="H234" i="10"/>
  <c r="A235" i="10"/>
  <c r="B235" i="10"/>
  <c r="C235" i="10"/>
  <c r="D235" i="10"/>
  <c r="E235" i="10"/>
  <c r="F235" i="10"/>
  <c r="G235" i="10"/>
  <c r="H235" i="10"/>
  <c r="A236" i="10"/>
  <c r="B236" i="10"/>
  <c r="C236" i="10"/>
  <c r="D236" i="10"/>
  <c r="E236" i="10"/>
  <c r="F236" i="10"/>
  <c r="G236" i="10"/>
  <c r="H236" i="10"/>
  <c r="A237" i="10"/>
  <c r="B237" i="10"/>
  <c r="C237" i="10"/>
  <c r="D237" i="10"/>
  <c r="E237" i="10"/>
  <c r="F237" i="10"/>
  <c r="G237" i="10"/>
  <c r="H237" i="10"/>
  <c r="A238" i="10"/>
  <c r="B238" i="10"/>
  <c r="C238" i="10"/>
  <c r="D238" i="10"/>
  <c r="E238" i="10"/>
  <c r="F238" i="10"/>
  <c r="G238" i="10"/>
  <c r="H238" i="10"/>
  <c r="A239" i="10"/>
  <c r="B239" i="10"/>
  <c r="C239" i="10"/>
  <c r="D239" i="10"/>
  <c r="E239" i="10"/>
  <c r="F239" i="10"/>
  <c r="G239" i="10"/>
  <c r="H239" i="10"/>
  <c r="A240" i="10"/>
  <c r="B240" i="10"/>
  <c r="C240" i="10"/>
  <c r="D240" i="10"/>
  <c r="E240" i="10"/>
  <c r="F240" i="10"/>
  <c r="G240" i="10"/>
  <c r="H240" i="10"/>
  <c r="A241" i="10"/>
  <c r="B241" i="10"/>
  <c r="C241" i="10"/>
  <c r="D241" i="10"/>
  <c r="E241" i="10"/>
  <c r="F241" i="10"/>
  <c r="G241" i="10"/>
  <c r="H241" i="10"/>
  <c r="A242" i="10"/>
  <c r="B242" i="10"/>
  <c r="C242" i="10"/>
  <c r="D242" i="10"/>
  <c r="E242" i="10"/>
  <c r="F242" i="10"/>
  <c r="G242" i="10"/>
  <c r="H242" i="10"/>
  <c r="A243" i="10"/>
  <c r="B243" i="10"/>
  <c r="C243" i="10"/>
  <c r="D243" i="10"/>
  <c r="E243" i="10"/>
  <c r="F243" i="10"/>
  <c r="G243" i="10"/>
  <c r="H243" i="10"/>
  <c r="A244" i="10"/>
  <c r="B244" i="10"/>
  <c r="C244" i="10"/>
  <c r="D244" i="10"/>
  <c r="E244" i="10"/>
  <c r="F244" i="10"/>
  <c r="G244" i="10"/>
  <c r="H244" i="10"/>
  <c r="A245" i="10"/>
  <c r="B245" i="10"/>
  <c r="C245" i="10"/>
  <c r="D245" i="10"/>
  <c r="E245" i="10"/>
  <c r="F245" i="10"/>
  <c r="G245" i="10"/>
  <c r="H245" i="10"/>
  <c r="A246" i="10"/>
  <c r="B246" i="10"/>
  <c r="C246" i="10"/>
  <c r="D246" i="10"/>
  <c r="E246" i="10"/>
  <c r="F246" i="10"/>
  <c r="G246" i="10"/>
  <c r="H246" i="10"/>
  <c r="A247" i="10"/>
  <c r="B247" i="10"/>
  <c r="C247" i="10"/>
  <c r="D247" i="10"/>
  <c r="E247" i="10"/>
  <c r="F247" i="10"/>
  <c r="G247" i="10"/>
  <c r="H247" i="10"/>
  <c r="A248" i="10"/>
  <c r="B248" i="10"/>
  <c r="C248" i="10"/>
  <c r="D248" i="10"/>
  <c r="E248" i="10"/>
  <c r="F248" i="10"/>
  <c r="G248" i="10"/>
  <c r="H248" i="10"/>
  <c r="A249" i="10"/>
  <c r="B249" i="10"/>
  <c r="C249" i="10"/>
  <c r="D249" i="10"/>
  <c r="E249" i="10"/>
  <c r="F249" i="10"/>
  <c r="G249" i="10"/>
  <c r="H249" i="10"/>
  <c r="A250" i="10"/>
  <c r="B250" i="10"/>
  <c r="C250" i="10"/>
  <c r="D250" i="10"/>
  <c r="E250" i="10"/>
  <c r="F250" i="10"/>
  <c r="G250" i="10"/>
  <c r="H250" i="10"/>
  <c r="A251" i="10"/>
  <c r="B251" i="10"/>
  <c r="C251" i="10"/>
  <c r="D251" i="10"/>
  <c r="E251" i="10"/>
  <c r="F251" i="10"/>
  <c r="G251" i="10"/>
  <c r="H251" i="10"/>
  <c r="A252" i="10"/>
  <c r="B252" i="10"/>
  <c r="C252" i="10"/>
  <c r="D252" i="10"/>
  <c r="E252" i="10"/>
  <c r="F252" i="10"/>
  <c r="G252" i="10"/>
  <c r="H252" i="10"/>
  <c r="A253" i="10"/>
  <c r="B253" i="10"/>
  <c r="C253" i="10"/>
  <c r="D253" i="10"/>
  <c r="E253" i="10"/>
  <c r="F253" i="10"/>
  <c r="G253" i="10"/>
  <c r="H253" i="10"/>
  <c r="A254" i="10"/>
  <c r="B254" i="10"/>
  <c r="C254" i="10"/>
  <c r="D254" i="10"/>
  <c r="E254" i="10"/>
  <c r="F254" i="10"/>
  <c r="G254" i="10"/>
  <c r="H254" i="10"/>
  <c r="A255" i="10"/>
  <c r="B255" i="10"/>
  <c r="C255" i="10"/>
  <c r="D255" i="10"/>
  <c r="E255" i="10"/>
  <c r="F255" i="10"/>
  <c r="G255" i="10"/>
  <c r="H255" i="10"/>
  <c r="A256" i="10"/>
  <c r="B256" i="10"/>
  <c r="C256" i="10"/>
  <c r="D256" i="10"/>
  <c r="E256" i="10"/>
  <c r="F256" i="10"/>
  <c r="G256" i="10"/>
  <c r="H256" i="10"/>
  <c r="A257" i="10"/>
  <c r="B257" i="10"/>
  <c r="C257" i="10"/>
  <c r="D257" i="10"/>
  <c r="E257" i="10"/>
  <c r="F257" i="10"/>
  <c r="G257" i="10"/>
  <c r="H257" i="10"/>
  <c r="A258" i="10"/>
  <c r="B258" i="10"/>
  <c r="C258" i="10"/>
  <c r="D258" i="10"/>
  <c r="E258" i="10"/>
  <c r="F258" i="10"/>
  <c r="G258" i="10"/>
  <c r="H258" i="10"/>
  <c r="A259" i="10"/>
  <c r="B259" i="10"/>
  <c r="C259" i="10"/>
  <c r="D259" i="10"/>
  <c r="E259" i="10"/>
  <c r="F259" i="10"/>
  <c r="G259" i="10"/>
  <c r="H259" i="10"/>
  <c r="A260" i="10"/>
  <c r="B260" i="10"/>
  <c r="C260" i="10"/>
  <c r="D260" i="10"/>
  <c r="E260" i="10"/>
  <c r="F260" i="10"/>
  <c r="G260" i="10"/>
  <c r="H260" i="10"/>
  <c r="A261" i="10"/>
  <c r="B261" i="10"/>
  <c r="C261" i="10"/>
  <c r="D261" i="10"/>
  <c r="E261" i="10"/>
  <c r="F261" i="10"/>
  <c r="G261" i="10"/>
  <c r="H261" i="10"/>
  <c r="A262" i="10"/>
  <c r="B262" i="10"/>
  <c r="C262" i="10"/>
  <c r="D262" i="10"/>
  <c r="E262" i="10"/>
  <c r="F262" i="10"/>
  <c r="G262" i="10"/>
  <c r="H262" i="10"/>
  <c r="A263" i="10"/>
  <c r="B263" i="10"/>
  <c r="C263" i="10"/>
  <c r="D263" i="10"/>
  <c r="E263" i="10"/>
  <c r="F263" i="10"/>
  <c r="G263" i="10"/>
  <c r="H263" i="10"/>
  <c r="A264" i="10"/>
  <c r="B264" i="10"/>
  <c r="C264" i="10"/>
  <c r="D264" i="10"/>
  <c r="E264" i="10"/>
  <c r="F264" i="10"/>
  <c r="G264" i="10"/>
  <c r="H264" i="10"/>
  <c r="A265" i="10"/>
  <c r="B265" i="10"/>
  <c r="C265" i="10"/>
  <c r="D265" i="10"/>
  <c r="E265" i="10"/>
  <c r="F265" i="10"/>
  <c r="G265" i="10"/>
  <c r="H265" i="10"/>
  <c r="A266" i="10"/>
  <c r="B266" i="10"/>
  <c r="C266" i="10"/>
  <c r="D266" i="10"/>
  <c r="E266" i="10"/>
  <c r="F266" i="10"/>
  <c r="G266" i="10"/>
  <c r="H266" i="10"/>
  <c r="A267" i="10"/>
  <c r="B267" i="10"/>
  <c r="C267" i="10"/>
  <c r="D267" i="10"/>
  <c r="E267" i="10"/>
  <c r="F267" i="10"/>
  <c r="G267" i="10"/>
  <c r="H267" i="10"/>
  <c r="A268" i="10"/>
  <c r="B268" i="10"/>
  <c r="C268" i="10"/>
  <c r="D268" i="10"/>
  <c r="E268" i="10"/>
  <c r="F268" i="10"/>
  <c r="G268" i="10"/>
  <c r="H268" i="10"/>
  <c r="A269" i="10"/>
  <c r="B269" i="10"/>
  <c r="C269" i="10"/>
  <c r="D269" i="10"/>
  <c r="E269" i="10"/>
  <c r="F269" i="10"/>
  <c r="G269" i="10"/>
  <c r="H269" i="10"/>
  <c r="A270" i="10"/>
  <c r="B270" i="10"/>
  <c r="C270" i="10"/>
  <c r="D270" i="10"/>
  <c r="E270" i="10"/>
  <c r="F270" i="10"/>
  <c r="G270" i="10"/>
  <c r="H270" i="10"/>
  <c r="A271" i="10"/>
  <c r="B271" i="10"/>
  <c r="C271" i="10"/>
  <c r="D271" i="10"/>
  <c r="E271" i="10"/>
  <c r="F271" i="10"/>
  <c r="G271" i="10"/>
  <c r="H271" i="10"/>
  <c r="A272" i="10"/>
  <c r="B272" i="10"/>
  <c r="C272" i="10"/>
  <c r="D272" i="10"/>
  <c r="E272" i="10"/>
  <c r="F272" i="10"/>
  <c r="G272" i="10"/>
  <c r="H272" i="10"/>
  <c r="A273" i="10"/>
  <c r="B273" i="10"/>
  <c r="C273" i="10"/>
  <c r="D273" i="10"/>
  <c r="E273" i="10"/>
  <c r="F273" i="10"/>
  <c r="G273" i="10"/>
  <c r="H273" i="10"/>
  <c r="A274" i="10"/>
  <c r="B274" i="10"/>
  <c r="C274" i="10"/>
  <c r="D274" i="10"/>
  <c r="E274" i="10"/>
  <c r="F274" i="10"/>
  <c r="G274" i="10"/>
  <c r="H274" i="10"/>
  <c r="A275" i="10"/>
  <c r="B275" i="10"/>
  <c r="C275" i="10"/>
  <c r="D275" i="10"/>
  <c r="E275" i="10"/>
  <c r="F275" i="10"/>
  <c r="G275" i="10"/>
  <c r="H275" i="10"/>
  <c r="A276" i="10"/>
  <c r="B276" i="10"/>
  <c r="C276" i="10"/>
  <c r="D276" i="10"/>
  <c r="E276" i="10"/>
  <c r="F276" i="10"/>
  <c r="G276" i="10"/>
  <c r="H276" i="10"/>
  <c r="A277" i="10"/>
  <c r="B277" i="10"/>
  <c r="C277" i="10"/>
  <c r="D277" i="10"/>
  <c r="E277" i="10"/>
  <c r="F277" i="10"/>
  <c r="G277" i="10"/>
  <c r="H277" i="10"/>
  <c r="A278" i="10"/>
  <c r="B278" i="10"/>
  <c r="C278" i="10"/>
  <c r="D278" i="10"/>
  <c r="E278" i="10"/>
  <c r="F278" i="10"/>
  <c r="G278" i="10"/>
  <c r="H278" i="10"/>
  <c r="A279" i="10"/>
  <c r="B279" i="10"/>
  <c r="C279" i="10"/>
  <c r="D279" i="10"/>
  <c r="E279" i="10"/>
  <c r="F279" i="10"/>
  <c r="G279" i="10"/>
  <c r="H279" i="10"/>
  <c r="A280" i="10"/>
  <c r="B280" i="10"/>
  <c r="C280" i="10"/>
  <c r="D280" i="10"/>
  <c r="E280" i="10"/>
  <c r="F280" i="10"/>
  <c r="G280" i="10"/>
  <c r="H280" i="10"/>
  <c r="A281" i="10"/>
  <c r="B281" i="10"/>
  <c r="C281" i="10"/>
  <c r="D281" i="10"/>
  <c r="E281" i="10"/>
  <c r="F281" i="10"/>
  <c r="G281" i="10"/>
  <c r="H281" i="10"/>
  <c r="A282" i="10"/>
  <c r="B282" i="10"/>
  <c r="C282" i="10"/>
  <c r="D282" i="10"/>
  <c r="E282" i="10"/>
  <c r="F282" i="10"/>
  <c r="G282" i="10"/>
  <c r="H282" i="10"/>
  <c r="A283" i="10"/>
  <c r="B283" i="10"/>
  <c r="C283" i="10"/>
  <c r="D283" i="10"/>
  <c r="E283" i="10"/>
  <c r="F283" i="10"/>
  <c r="G283" i="10"/>
  <c r="H283" i="10"/>
  <c r="A284" i="10"/>
  <c r="B284" i="10"/>
  <c r="C284" i="10"/>
  <c r="D284" i="10"/>
  <c r="E284" i="10"/>
  <c r="F284" i="10"/>
  <c r="G284" i="10"/>
  <c r="H284" i="10"/>
  <c r="A285" i="10"/>
  <c r="B285" i="10"/>
  <c r="C285" i="10"/>
  <c r="D285" i="10"/>
  <c r="E285" i="10"/>
  <c r="F285" i="10"/>
  <c r="G285" i="10"/>
  <c r="H285" i="10"/>
  <c r="A286" i="10"/>
  <c r="B286" i="10"/>
  <c r="C286" i="10"/>
  <c r="D286" i="10"/>
  <c r="E286" i="10"/>
  <c r="F286" i="10"/>
  <c r="G286" i="10"/>
  <c r="H286" i="10"/>
  <c r="A287" i="10"/>
  <c r="B287" i="10"/>
  <c r="C287" i="10"/>
  <c r="D287" i="10"/>
  <c r="E287" i="10"/>
  <c r="F287" i="10"/>
  <c r="G287" i="10"/>
  <c r="H287" i="10"/>
  <c r="A288" i="10"/>
  <c r="B288" i="10"/>
  <c r="C288" i="10"/>
  <c r="D288" i="10"/>
  <c r="E288" i="10"/>
  <c r="F288" i="10"/>
  <c r="G288" i="10"/>
  <c r="H288" i="10"/>
  <c r="A289" i="10"/>
  <c r="B289" i="10"/>
  <c r="C289" i="10"/>
  <c r="D289" i="10"/>
  <c r="E289" i="10"/>
  <c r="F289" i="10"/>
  <c r="G289" i="10"/>
  <c r="H289" i="10"/>
  <c r="A290" i="10"/>
  <c r="B290" i="10"/>
  <c r="C290" i="10"/>
  <c r="D290" i="10"/>
  <c r="E290" i="10"/>
  <c r="F290" i="10"/>
  <c r="G290" i="10"/>
  <c r="H290" i="10"/>
  <c r="A291" i="10"/>
  <c r="B291" i="10"/>
  <c r="C291" i="10"/>
  <c r="D291" i="10"/>
  <c r="E291" i="10"/>
  <c r="F291" i="10"/>
  <c r="G291" i="10"/>
  <c r="H291" i="10"/>
  <c r="A292" i="10"/>
  <c r="B292" i="10"/>
  <c r="C292" i="10"/>
  <c r="D292" i="10"/>
  <c r="E292" i="10"/>
  <c r="F292" i="10"/>
  <c r="G292" i="10"/>
  <c r="H292" i="10"/>
  <c r="A293" i="10"/>
  <c r="B293" i="10"/>
  <c r="C293" i="10"/>
  <c r="D293" i="10"/>
  <c r="E293" i="10"/>
  <c r="F293" i="10"/>
  <c r="G293" i="10"/>
  <c r="H293" i="10"/>
  <c r="A294" i="10"/>
  <c r="B294" i="10"/>
  <c r="C294" i="10"/>
  <c r="D294" i="10"/>
  <c r="E294" i="10"/>
  <c r="F294" i="10"/>
  <c r="G294" i="10"/>
  <c r="H294" i="10"/>
  <c r="A295" i="10"/>
  <c r="B295" i="10"/>
  <c r="C295" i="10"/>
  <c r="D295" i="10"/>
  <c r="E295" i="10"/>
  <c r="F295" i="10"/>
  <c r="G295" i="10"/>
  <c r="H295" i="10"/>
  <c r="A296" i="10"/>
  <c r="B296" i="10"/>
  <c r="C296" i="10"/>
  <c r="D296" i="10"/>
  <c r="E296" i="10"/>
  <c r="F296" i="10"/>
  <c r="G296" i="10"/>
  <c r="H296" i="10"/>
  <c r="A297" i="10"/>
  <c r="B297" i="10"/>
  <c r="C297" i="10"/>
  <c r="D297" i="10"/>
  <c r="E297" i="10"/>
  <c r="F297" i="10"/>
  <c r="G297" i="10"/>
  <c r="H297" i="10"/>
  <c r="A298" i="10"/>
  <c r="B298" i="10"/>
  <c r="C298" i="10"/>
  <c r="D298" i="10"/>
  <c r="E298" i="10"/>
  <c r="F298" i="10"/>
  <c r="G298" i="10"/>
  <c r="H298" i="10"/>
  <c r="A299" i="10"/>
  <c r="B299" i="10"/>
  <c r="C299" i="10"/>
  <c r="D299" i="10"/>
  <c r="E299" i="10"/>
  <c r="F299" i="10"/>
  <c r="G299" i="10"/>
  <c r="H299" i="10"/>
  <c r="A300" i="10"/>
  <c r="B300" i="10"/>
  <c r="C300" i="10"/>
  <c r="D300" i="10"/>
  <c r="E300" i="10"/>
  <c r="F300" i="10"/>
  <c r="G300" i="10"/>
  <c r="H300" i="10"/>
  <c r="A301" i="10"/>
  <c r="B301" i="10"/>
  <c r="C301" i="10"/>
  <c r="D301" i="10"/>
  <c r="E301" i="10"/>
  <c r="F301" i="10"/>
  <c r="G301" i="10"/>
  <c r="H301" i="10"/>
  <c r="A302" i="10"/>
  <c r="B302" i="10"/>
  <c r="C302" i="10"/>
  <c r="D302" i="10"/>
  <c r="E302" i="10"/>
  <c r="F302" i="10"/>
  <c r="G302" i="10"/>
  <c r="H302" i="10"/>
  <c r="A303" i="10"/>
  <c r="B303" i="10"/>
  <c r="C303" i="10"/>
  <c r="D303" i="10"/>
  <c r="E303" i="10"/>
  <c r="F303" i="10"/>
  <c r="G303" i="10"/>
  <c r="H303" i="10"/>
  <c r="A304" i="10"/>
  <c r="B304" i="10"/>
  <c r="C304" i="10"/>
  <c r="D304" i="10"/>
  <c r="E304" i="10"/>
  <c r="F304" i="10"/>
  <c r="G304" i="10"/>
  <c r="H304" i="10"/>
  <c r="A305" i="10"/>
  <c r="B305" i="10"/>
  <c r="C305" i="10"/>
  <c r="D305" i="10"/>
  <c r="E305" i="10"/>
  <c r="F305" i="10"/>
  <c r="G305" i="10"/>
  <c r="H305" i="10"/>
  <c r="A306" i="10"/>
  <c r="B306" i="10"/>
  <c r="C306" i="10"/>
  <c r="D306" i="10"/>
  <c r="E306" i="10"/>
  <c r="F306" i="10"/>
  <c r="G306" i="10"/>
  <c r="H306" i="10"/>
  <c r="A307" i="10"/>
  <c r="B307" i="10"/>
  <c r="C307" i="10"/>
  <c r="D307" i="10"/>
  <c r="E307" i="10"/>
  <c r="F307" i="10"/>
  <c r="G307" i="10"/>
  <c r="H307" i="10"/>
  <c r="A308" i="10"/>
  <c r="B308" i="10"/>
  <c r="C308" i="10"/>
  <c r="D308" i="10"/>
  <c r="E308" i="10"/>
  <c r="F308" i="10"/>
  <c r="G308" i="10"/>
  <c r="H308" i="10"/>
  <c r="A309" i="10"/>
  <c r="B309" i="10"/>
  <c r="C309" i="10"/>
  <c r="D309" i="10"/>
  <c r="E309" i="10"/>
  <c r="F309" i="10"/>
  <c r="G309" i="10"/>
  <c r="H309" i="10"/>
  <c r="A310" i="10"/>
  <c r="B310" i="10"/>
  <c r="C310" i="10"/>
  <c r="D310" i="10"/>
  <c r="E310" i="10"/>
  <c r="F310" i="10"/>
  <c r="G310" i="10"/>
  <c r="H310" i="10"/>
  <c r="A311" i="10"/>
  <c r="B311" i="10"/>
  <c r="C311" i="10"/>
  <c r="D311" i="10"/>
  <c r="E311" i="10"/>
  <c r="F311" i="10"/>
  <c r="G311" i="10"/>
  <c r="H311" i="10"/>
  <c r="A312" i="10"/>
  <c r="B312" i="10"/>
  <c r="C312" i="10"/>
  <c r="D312" i="10"/>
  <c r="E312" i="10"/>
  <c r="F312" i="10"/>
  <c r="G312" i="10"/>
  <c r="H312" i="10"/>
  <c r="A313" i="10"/>
  <c r="B313" i="10"/>
  <c r="C313" i="10"/>
  <c r="D313" i="10"/>
  <c r="E313" i="10"/>
  <c r="F313" i="10"/>
  <c r="G313" i="10"/>
  <c r="H313" i="10"/>
  <c r="A314" i="10"/>
  <c r="B314" i="10"/>
  <c r="C314" i="10"/>
  <c r="D314" i="10"/>
  <c r="E314" i="10"/>
  <c r="F314" i="10"/>
  <c r="G314" i="10"/>
  <c r="H314" i="10"/>
  <c r="A315" i="10"/>
  <c r="B315" i="10"/>
  <c r="C315" i="10"/>
  <c r="D315" i="10"/>
  <c r="E315" i="10"/>
  <c r="F315" i="10"/>
  <c r="G315" i="10"/>
  <c r="H315" i="10"/>
  <c r="A316" i="10"/>
  <c r="B316" i="10"/>
  <c r="C316" i="10"/>
  <c r="D316" i="10"/>
  <c r="E316" i="10"/>
  <c r="F316" i="10"/>
  <c r="G316" i="10"/>
  <c r="H316" i="10"/>
  <c r="A317" i="10"/>
  <c r="B317" i="10"/>
  <c r="C317" i="10"/>
  <c r="D317" i="10"/>
  <c r="E317" i="10"/>
  <c r="F317" i="10"/>
  <c r="G317" i="10"/>
  <c r="H317" i="10"/>
  <c r="A318" i="10"/>
  <c r="B318" i="10"/>
  <c r="C318" i="10"/>
  <c r="D318" i="10"/>
  <c r="E318" i="10"/>
  <c r="F318" i="10"/>
  <c r="G318" i="10"/>
  <c r="H318" i="10"/>
  <c r="A319" i="10"/>
  <c r="B319" i="10"/>
  <c r="C319" i="10"/>
  <c r="D319" i="10"/>
  <c r="E319" i="10"/>
  <c r="F319" i="10"/>
  <c r="G319" i="10"/>
  <c r="H319" i="10"/>
  <c r="A320" i="10"/>
  <c r="B320" i="10"/>
  <c r="C320" i="10"/>
  <c r="D320" i="10"/>
  <c r="E320" i="10"/>
  <c r="F320" i="10"/>
  <c r="G320" i="10"/>
  <c r="H320" i="10"/>
  <c r="A321" i="10"/>
  <c r="B321" i="10"/>
  <c r="C321" i="10"/>
  <c r="D321" i="10"/>
  <c r="E321" i="10"/>
  <c r="F321" i="10"/>
  <c r="G321" i="10"/>
  <c r="H321" i="10"/>
  <c r="A322" i="10"/>
  <c r="B322" i="10"/>
  <c r="C322" i="10"/>
  <c r="D322" i="10"/>
  <c r="E322" i="10"/>
  <c r="F322" i="10"/>
  <c r="G322" i="10"/>
  <c r="H322" i="10"/>
  <c r="A323" i="10"/>
  <c r="B323" i="10"/>
  <c r="C323" i="10"/>
  <c r="D323" i="10"/>
  <c r="E323" i="10"/>
  <c r="F323" i="10"/>
  <c r="G323" i="10"/>
  <c r="H323" i="10"/>
  <c r="A324" i="10"/>
  <c r="B324" i="10"/>
  <c r="C324" i="10"/>
  <c r="D324" i="10"/>
  <c r="E324" i="10"/>
  <c r="F324" i="10"/>
  <c r="G324" i="10"/>
  <c r="H324" i="10"/>
  <c r="A325" i="10"/>
  <c r="B325" i="10"/>
  <c r="C325" i="10"/>
  <c r="D325" i="10"/>
  <c r="E325" i="10"/>
  <c r="F325" i="10"/>
  <c r="G325" i="10"/>
  <c r="H325" i="10"/>
  <c r="A326" i="10"/>
  <c r="B326" i="10"/>
  <c r="C326" i="10"/>
  <c r="D326" i="10"/>
  <c r="E326" i="10"/>
  <c r="F326" i="10"/>
  <c r="G326" i="10"/>
  <c r="H326" i="10"/>
  <c r="A327" i="10"/>
  <c r="B327" i="10"/>
  <c r="C327" i="10"/>
  <c r="D327" i="10"/>
  <c r="E327" i="10"/>
  <c r="F327" i="10"/>
  <c r="G327" i="10"/>
  <c r="H327" i="10"/>
  <c r="A328" i="10"/>
  <c r="B328" i="10"/>
  <c r="C328" i="10"/>
  <c r="D328" i="10"/>
  <c r="E328" i="10"/>
  <c r="F328" i="10"/>
  <c r="G328" i="10"/>
  <c r="H328" i="10"/>
  <c r="A329" i="10"/>
  <c r="B329" i="10"/>
  <c r="C329" i="10"/>
  <c r="D329" i="10"/>
  <c r="E329" i="10"/>
  <c r="F329" i="10"/>
  <c r="G329" i="10"/>
  <c r="H329" i="10"/>
  <c r="A330" i="10"/>
  <c r="B330" i="10"/>
  <c r="C330" i="10"/>
  <c r="D330" i="10"/>
  <c r="E330" i="10"/>
  <c r="F330" i="10"/>
  <c r="G330" i="10"/>
  <c r="H330" i="10"/>
  <c r="A331" i="10"/>
  <c r="B331" i="10"/>
  <c r="C331" i="10"/>
  <c r="D331" i="10"/>
  <c r="E331" i="10"/>
  <c r="F331" i="10"/>
  <c r="G331" i="10"/>
  <c r="H331" i="10"/>
  <c r="A332" i="10"/>
  <c r="B332" i="10"/>
  <c r="C332" i="10"/>
  <c r="D332" i="10"/>
  <c r="E332" i="10"/>
  <c r="F332" i="10"/>
  <c r="G332" i="10"/>
  <c r="H332" i="10"/>
  <c r="A333" i="10"/>
  <c r="B333" i="10"/>
  <c r="C333" i="10"/>
  <c r="D333" i="10"/>
  <c r="E333" i="10"/>
  <c r="F333" i="10"/>
  <c r="G333" i="10"/>
  <c r="H333" i="10"/>
  <c r="A334" i="10"/>
  <c r="B334" i="10"/>
  <c r="C334" i="10"/>
  <c r="D334" i="10"/>
  <c r="E334" i="10"/>
  <c r="F334" i="10"/>
  <c r="G334" i="10"/>
  <c r="H334" i="10"/>
  <c r="A335" i="10"/>
  <c r="B335" i="10"/>
  <c r="C335" i="10"/>
  <c r="D335" i="10"/>
  <c r="E335" i="10"/>
  <c r="F335" i="10"/>
  <c r="G335" i="10"/>
  <c r="H335" i="10"/>
  <c r="A336" i="10"/>
  <c r="B336" i="10"/>
  <c r="C336" i="10"/>
  <c r="D336" i="10"/>
  <c r="E336" i="10"/>
  <c r="F336" i="10"/>
  <c r="G336" i="10"/>
  <c r="H336" i="10"/>
  <c r="A337" i="10"/>
  <c r="B337" i="10"/>
  <c r="C337" i="10"/>
  <c r="D337" i="10"/>
  <c r="E337" i="10"/>
  <c r="F337" i="10"/>
  <c r="G337" i="10"/>
  <c r="H337" i="10"/>
  <c r="A338" i="10"/>
  <c r="B338" i="10"/>
  <c r="C338" i="10"/>
  <c r="D338" i="10"/>
  <c r="E338" i="10"/>
  <c r="F338" i="10"/>
  <c r="G338" i="10"/>
  <c r="H338" i="10"/>
  <c r="A339" i="10"/>
  <c r="B339" i="10"/>
  <c r="C339" i="10"/>
  <c r="D339" i="10"/>
  <c r="E339" i="10"/>
  <c r="F339" i="10"/>
  <c r="G339" i="10"/>
  <c r="H339" i="10"/>
  <c r="A340" i="10"/>
  <c r="B340" i="10"/>
  <c r="C340" i="10"/>
  <c r="D340" i="10"/>
  <c r="E340" i="10"/>
  <c r="F340" i="10"/>
  <c r="G340" i="10"/>
  <c r="H340" i="10"/>
  <c r="A341" i="10"/>
  <c r="B341" i="10"/>
  <c r="C341" i="10"/>
  <c r="D341" i="10"/>
  <c r="E341" i="10"/>
  <c r="F341" i="10"/>
  <c r="G341" i="10"/>
  <c r="H341" i="10"/>
  <c r="A342" i="10"/>
  <c r="B342" i="10"/>
  <c r="C342" i="10"/>
  <c r="D342" i="10"/>
  <c r="E342" i="10"/>
  <c r="F342" i="10"/>
  <c r="G342" i="10"/>
  <c r="H342" i="10"/>
  <c r="A343" i="10"/>
  <c r="B343" i="10"/>
  <c r="C343" i="10"/>
  <c r="D343" i="10"/>
  <c r="E343" i="10"/>
  <c r="F343" i="10"/>
  <c r="G343" i="10"/>
  <c r="H343" i="10"/>
  <c r="A344" i="10"/>
  <c r="B344" i="10"/>
  <c r="C344" i="10"/>
  <c r="D344" i="10"/>
  <c r="E344" i="10"/>
  <c r="F344" i="10"/>
  <c r="G344" i="10"/>
  <c r="H344" i="10"/>
  <c r="A345" i="10"/>
  <c r="B345" i="10"/>
  <c r="C345" i="10"/>
  <c r="D345" i="10"/>
  <c r="E345" i="10"/>
  <c r="F345" i="10"/>
  <c r="G345" i="10"/>
  <c r="H345" i="10"/>
  <c r="A346" i="10"/>
  <c r="B346" i="10"/>
  <c r="C346" i="10"/>
  <c r="D346" i="10"/>
  <c r="E346" i="10"/>
  <c r="F346" i="10"/>
  <c r="G346" i="10"/>
  <c r="H346" i="10"/>
  <c r="A347" i="10"/>
  <c r="B347" i="10"/>
  <c r="C347" i="10"/>
  <c r="D347" i="10"/>
  <c r="E347" i="10"/>
  <c r="F347" i="10"/>
  <c r="G347" i="10"/>
  <c r="H347" i="10"/>
  <c r="A348" i="10"/>
  <c r="B348" i="10"/>
  <c r="C348" i="10"/>
  <c r="D348" i="10"/>
  <c r="E348" i="10"/>
  <c r="F348" i="10"/>
  <c r="G348" i="10"/>
  <c r="H348" i="10"/>
  <c r="A349" i="10"/>
  <c r="B349" i="10"/>
  <c r="C349" i="10"/>
  <c r="D349" i="10"/>
  <c r="E349" i="10"/>
  <c r="F349" i="10"/>
  <c r="G349" i="10"/>
  <c r="H349" i="10"/>
  <c r="A350" i="10"/>
  <c r="B350" i="10"/>
  <c r="C350" i="10"/>
  <c r="D350" i="10"/>
  <c r="E350" i="10"/>
  <c r="F350" i="10"/>
  <c r="G350" i="10"/>
  <c r="H350" i="10"/>
  <c r="A351" i="10"/>
  <c r="B351" i="10"/>
  <c r="C351" i="10"/>
  <c r="D351" i="10"/>
  <c r="E351" i="10"/>
  <c r="F351" i="10"/>
  <c r="G351" i="10"/>
  <c r="H351" i="10"/>
  <c r="A352" i="10"/>
  <c r="B352" i="10"/>
  <c r="C352" i="10"/>
  <c r="D352" i="10"/>
  <c r="E352" i="10"/>
  <c r="F352" i="10"/>
  <c r="G352" i="10"/>
  <c r="H352" i="10"/>
  <c r="A353" i="10"/>
  <c r="B353" i="10"/>
  <c r="C353" i="10"/>
  <c r="D353" i="10"/>
  <c r="E353" i="10"/>
  <c r="F353" i="10"/>
  <c r="G353" i="10"/>
  <c r="H353" i="10"/>
  <c r="A354" i="10"/>
  <c r="B354" i="10"/>
  <c r="C354" i="10"/>
  <c r="D354" i="10"/>
  <c r="E354" i="10"/>
  <c r="F354" i="10"/>
  <c r="G354" i="10"/>
  <c r="H354" i="10"/>
  <c r="A355" i="10"/>
  <c r="B355" i="10"/>
  <c r="C355" i="10"/>
  <c r="D355" i="10"/>
  <c r="E355" i="10"/>
  <c r="F355" i="10"/>
  <c r="G355" i="10"/>
  <c r="H355" i="10"/>
  <c r="A356" i="10"/>
  <c r="B356" i="10"/>
  <c r="C356" i="10"/>
  <c r="D356" i="10"/>
  <c r="E356" i="10"/>
  <c r="F356" i="10"/>
  <c r="G356" i="10"/>
  <c r="H356" i="10"/>
  <c r="A357" i="10"/>
  <c r="B357" i="10"/>
  <c r="C357" i="10"/>
  <c r="D357" i="10"/>
  <c r="E357" i="10"/>
  <c r="F357" i="10"/>
  <c r="G357" i="10"/>
  <c r="H357" i="10"/>
  <c r="A358" i="10"/>
  <c r="B358" i="10"/>
  <c r="C358" i="10"/>
  <c r="D358" i="10"/>
  <c r="E358" i="10"/>
  <c r="F358" i="10"/>
  <c r="G358" i="10"/>
  <c r="H358" i="10"/>
  <c r="A359" i="10"/>
  <c r="B359" i="10"/>
  <c r="C359" i="10"/>
  <c r="D359" i="10"/>
  <c r="E359" i="10"/>
  <c r="F359" i="10"/>
  <c r="G359" i="10"/>
  <c r="H359" i="10"/>
  <c r="A360" i="10"/>
  <c r="B360" i="10"/>
  <c r="C360" i="10"/>
  <c r="D360" i="10"/>
  <c r="E360" i="10"/>
  <c r="F360" i="10"/>
  <c r="G360" i="10"/>
  <c r="H360" i="10"/>
  <c r="A361" i="10"/>
  <c r="B361" i="10"/>
  <c r="C361" i="10"/>
  <c r="D361" i="10"/>
  <c r="E361" i="10"/>
  <c r="F361" i="10"/>
  <c r="G361" i="10"/>
  <c r="H361" i="10"/>
  <c r="A362" i="10"/>
  <c r="B362" i="10"/>
  <c r="C362" i="10"/>
  <c r="D362" i="10"/>
  <c r="E362" i="10"/>
  <c r="F362" i="10"/>
  <c r="G362" i="10"/>
  <c r="H362" i="10"/>
  <c r="A363" i="10"/>
  <c r="B363" i="10"/>
  <c r="C363" i="10"/>
  <c r="D363" i="10"/>
  <c r="E363" i="10"/>
  <c r="F363" i="10"/>
  <c r="G363" i="10"/>
  <c r="H363" i="10"/>
  <c r="A364" i="10"/>
  <c r="B364" i="10"/>
  <c r="C364" i="10"/>
  <c r="D364" i="10"/>
  <c r="E364" i="10"/>
  <c r="F364" i="10"/>
  <c r="G364" i="10"/>
  <c r="H364" i="10"/>
  <c r="A365" i="10"/>
  <c r="B365" i="10"/>
  <c r="C365" i="10"/>
  <c r="D365" i="10"/>
  <c r="E365" i="10"/>
  <c r="F365" i="10"/>
  <c r="G365" i="10"/>
  <c r="H365" i="10"/>
  <c r="A366" i="10"/>
  <c r="B366" i="10"/>
  <c r="C366" i="10"/>
  <c r="D366" i="10"/>
  <c r="E366" i="10"/>
  <c r="F366" i="10"/>
  <c r="G366" i="10"/>
  <c r="H366" i="10"/>
  <c r="A367" i="10"/>
  <c r="B367" i="10"/>
  <c r="C367" i="10"/>
  <c r="D367" i="10"/>
  <c r="E367" i="10"/>
  <c r="F367" i="10"/>
  <c r="G367" i="10"/>
  <c r="H367" i="10"/>
  <c r="A368" i="10"/>
  <c r="B368" i="10"/>
  <c r="C368" i="10"/>
  <c r="D368" i="10"/>
  <c r="E368" i="10"/>
  <c r="F368" i="10"/>
  <c r="G368" i="10"/>
  <c r="H368" i="10"/>
  <c r="A369" i="10"/>
  <c r="B369" i="10"/>
  <c r="C369" i="10"/>
  <c r="D369" i="10"/>
  <c r="E369" i="10"/>
  <c r="F369" i="10"/>
  <c r="G369" i="10"/>
  <c r="H369" i="10"/>
  <c r="A370" i="10"/>
  <c r="B370" i="10"/>
  <c r="C370" i="10"/>
  <c r="D370" i="10"/>
  <c r="E370" i="10"/>
  <c r="F370" i="10"/>
  <c r="G370" i="10"/>
  <c r="H370" i="10"/>
  <c r="A371" i="10"/>
  <c r="B371" i="10"/>
  <c r="C371" i="10"/>
  <c r="D371" i="10"/>
  <c r="E371" i="10"/>
  <c r="F371" i="10"/>
  <c r="G371" i="10"/>
  <c r="H371" i="10"/>
  <c r="A372" i="10"/>
  <c r="B372" i="10"/>
  <c r="C372" i="10"/>
  <c r="D372" i="10"/>
  <c r="E372" i="10"/>
  <c r="F372" i="10"/>
  <c r="G372" i="10"/>
  <c r="H372" i="10"/>
  <c r="A373" i="10"/>
  <c r="B373" i="10"/>
  <c r="C373" i="10"/>
  <c r="D373" i="10"/>
  <c r="E373" i="10"/>
  <c r="F373" i="10"/>
  <c r="G373" i="10"/>
  <c r="H373" i="10"/>
  <c r="A374" i="10"/>
  <c r="B374" i="10"/>
  <c r="C374" i="10"/>
  <c r="D374" i="10"/>
  <c r="E374" i="10"/>
  <c r="F374" i="10"/>
  <c r="G374" i="10"/>
  <c r="H374" i="10"/>
  <c r="A375" i="10"/>
  <c r="B375" i="10"/>
  <c r="C375" i="10"/>
  <c r="D375" i="10"/>
  <c r="E375" i="10"/>
  <c r="F375" i="10"/>
  <c r="G375" i="10"/>
  <c r="H375" i="10"/>
  <c r="A376" i="10"/>
  <c r="B376" i="10"/>
  <c r="C376" i="10"/>
  <c r="D376" i="10"/>
  <c r="E376" i="10"/>
  <c r="F376" i="10"/>
  <c r="G376" i="10"/>
  <c r="H376" i="10"/>
  <c r="A377" i="10"/>
  <c r="B377" i="10"/>
  <c r="C377" i="10"/>
  <c r="D377" i="10"/>
  <c r="E377" i="10"/>
  <c r="F377" i="10"/>
  <c r="G377" i="10"/>
  <c r="H377" i="10"/>
  <c r="A378" i="10"/>
  <c r="B378" i="10"/>
  <c r="C378" i="10"/>
  <c r="D378" i="10"/>
  <c r="E378" i="10"/>
  <c r="F378" i="10"/>
  <c r="G378" i="10"/>
  <c r="H378" i="10"/>
  <c r="A379" i="10"/>
  <c r="B379" i="10"/>
  <c r="C379" i="10"/>
  <c r="D379" i="10"/>
  <c r="E379" i="10"/>
  <c r="F379" i="10"/>
  <c r="G379" i="10"/>
  <c r="H379" i="10"/>
  <c r="A380" i="10"/>
  <c r="B380" i="10"/>
  <c r="C380" i="10"/>
  <c r="D380" i="10"/>
  <c r="E380" i="10"/>
  <c r="F380" i="10"/>
  <c r="G380" i="10"/>
  <c r="H380" i="10"/>
  <c r="A381" i="10"/>
  <c r="B381" i="10"/>
  <c r="C381" i="10"/>
  <c r="D381" i="10"/>
  <c r="E381" i="10"/>
  <c r="F381" i="10"/>
  <c r="G381" i="10"/>
  <c r="H381" i="10"/>
  <c r="A382" i="10"/>
  <c r="B382" i="10"/>
  <c r="C382" i="10"/>
  <c r="D382" i="10"/>
  <c r="E382" i="10"/>
  <c r="F382" i="10"/>
  <c r="G382" i="10"/>
  <c r="H382" i="10"/>
  <c r="A383" i="10"/>
  <c r="B383" i="10"/>
  <c r="C383" i="10"/>
  <c r="D383" i="10"/>
  <c r="E383" i="10"/>
  <c r="F383" i="10"/>
  <c r="G383" i="10"/>
  <c r="H383" i="10"/>
  <c r="A384" i="10"/>
  <c r="B384" i="10"/>
  <c r="C384" i="10"/>
  <c r="D384" i="10"/>
  <c r="E384" i="10"/>
  <c r="F384" i="10"/>
  <c r="G384" i="10"/>
  <c r="H384" i="10"/>
  <c r="A385" i="10"/>
  <c r="B385" i="10"/>
  <c r="C385" i="10"/>
  <c r="D385" i="10"/>
  <c r="E385" i="10"/>
  <c r="F385" i="10"/>
  <c r="G385" i="10"/>
  <c r="H385" i="10"/>
  <c r="A386" i="10"/>
  <c r="B386" i="10"/>
  <c r="C386" i="10"/>
  <c r="D386" i="10"/>
  <c r="E386" i="10"/>
  <c r="F386" i="10"/>
  <c r="G386" i="10"/>
  <c r="H386" i="10"/>
  <c r="A387" i="10"/>
  <c r="B387" i="10"/>
  <c r="C387" i="10"/>
  <c r="D387" i="10"/>
  <c r="E387" i="10"/>
  <c r="F387" i="10"/>
  <c r="G387" i="10"/>
  <c r="H387" i="10"/>
  <c r="A388" i="10"/>
  <c r="B388" i="10"/>
  <c r="C388" i="10"/>
  <c r="D388" i="10"/>
  <c r="E388" i="10"/>
  <c r="F388" i="10"/>
  <c r="G388" i="10"/>
  <c r="H388" i="10"/>
  <c r="A389" i="10"/>
  <c r="B389" i="10"/>
  <c r="C389" i="10"/>
  <c r="D389" i="10"/>
  <c r="E389" i="10"/>
  <c r="F389" i="10"/>
  <c r="G389" i="10"/>
  <c r="H389" i="10"/>
  <c r="A390" i="10"/>
  <c r="B390" i="10"/>
  <c r="C390" i="10"/>
  <c r="D390" i="10"/>
  <c r="E390" i="10"/>
  <c r="F390" i="10"/>
  <c r="G390" i="10"/>
  <c r="H390" i="10"/>
  <c r="A391" i="10"/>
  <c r="B391" i="10"/>
  <c r="C391" i="10"/>
  <c r="D391" i="10"/>
  <c r="E391" i="10"/>
  <c r="F391" i="10"/>
  <c r="G391" i="10"/>
  <c r="H391" i="10"/>
  <c r="A392" i="10"/>
  <c r="B392" i="10"/>
  <c r="C392" i="10"/>
  <c r="D392" i="10"/>
  <c r="E392" i="10"/>
  <c r="F392" i="10"/>
  <c r="G392" i="10"/>
  <c r="H392" i="10"/>
  <c r="A393" i="10"/>
  <c r="B393" i="10"/>
  <c r="C393" i="10"/>
  <c r="D393" i="10"/>
  <c r="E393" i="10"/>
  <c r="F393" i="10"/>
  <c r="H393" i="10"/>
  <c r="A394" i="10"/>
  <c r="B394" i="10"/>
  <c r="C394" i="10"/>
  <c r="D394" i="10"/>
  <c r="E394" i="10"/>
  <c r="F394" i="10"/>
  <c r="G394" i="10"/>
  <c r="H394" i="10"/>
  <c r="A395" i="10"/>
  <c r="B395" i="10"/>
  <c r="C395" i="10"/>
  <c r="D395" i="10"/>
  <c r="E395" i="10"/>
  <c r="F395" i="10"/>
  <c r="G395" i="10"/>
  <c r="H395" i="10"/>
  <c r="A396" i="10"/>
  <c r="B396" i="10"/>
  <c r="C396" i="10"/>
  <c r="D396" i="10"/>
  <c r="E396" i="10"/>
  <c r="F396" i="10"/>
  <c r="G396" i="10"/>
  <c r="H396" i="10"/>
  <c r="A397" i="10"/>
  <c r="B397" i="10"/>
  <c r="C397" i="10"/>
  <c r="D397" i="10"/>
  <c r="E397" i="10"/>
  <c r="F397" i="10"/>
  <c r="G397" i="10"/>
  <c r="H397" i="10"/>
  <c r="A398" i="10"/>
  <c r="B398" i="10"/>
  <c r="C398" i="10"/>
  <c r="D398" i="10"/>
  <c r="E398" i="10"/>
  <c r="F398" i="10"/>
  <c r="G398" i="10"/>
  <c r="H398" i="10"/>
  <c r="A399" i="10"/>
  <c r="B399" i="10"/>
  <c r="C399" i="10"/>
  <c r="D399" i="10"/>
  <c r="E399" i="10"/>
  <c r="F399" i="10"/>
  <c r="G399" i="10"/>
  <c r="H399" i="10"/>
  <c r="A400" i="10"/>
  <c r="B400" i="10"/>
  <c r="C400" i="10"/>
  <c r="D400" i="10"/>
  <c r="E400" i="10"/>
  <c r="F400" i="10"/>
  <c r="G400" i="10"/>
  <c r="H400" i="10"/>
  <c r="A401" i="10"/>
  <c r="B401" i="10"/>
  <c r="C401" i="10"/>
  <c r="D401" i="10"/>
  <c r="E401" i="10"/>
  <c r="F401" i="10"/>
  <c r="G401" i="10"/>
  <c r="H401" i="10"/>
  <c r="A402" i="10"/>
  <c r="B402" i="10"/>
  <c r="C402" i="10"/>
  <c r="D402" i="10"/>
  <c r="E402" i="10"/>
  <c r="F402" i="10"/>
  <c r="G402" i="10"/>
  <c r="H402" i="10"/>
  <c r="A403" i="10"/>
  <c r="B403" i="10"/>
  <c r="C403" i="10"/>
  <c r="D403" i="10"/>
  <c r="E403" i="10"/>
  <c r="F403" i="10"/>
  <c r="G403" i="10"/>
  <c r="H403" i="10"/>
  <c r="A404" i="10"/>
  <c r="B404" i="10"/>
  <c r="C404" i="10"/>
  <c r="D404" i="10"/>
  <c r="E404" i="10"/>
  <c r="F404" i="10"/>
  <c r="G404" i="10"/>
  <c r="H404" i="10"/>
  <c r="A405" i="10"/>
  <c r="B405" i="10"/>
  <c r="C405" i="10"/>
  <c r="D405" i="10"/>
  <c r="E405" i="10"/>
  <c r="F405" i="10"/>
  <c r="G405" i="10"/>
  <c r="H405" i="10"/>
  <c r="A406" i="10"/>
  <c r="B406" i="10"/>
  <c r="C406" i="10"/>
  <c r="D406" i="10"/>
  <c r="E406" i="10"/>
  <c r="F406" i="10"/>
  <c r="G406" i="10"/>
  <c r="H406" i="10"/>
  <c r="A407" i="10"/>
  <c r="B407" i="10"/>
  <c r="C407" i="10"/>
  <c r="D407" i="10"/>
  <c r="E407" i="10"/>
  <c r="F407" i="10"/>
  <c r="G407" i="10"/>
  <c r="H407" i="10"/>
  <c r="A408" i="10"/>
  <c r="B408" i="10"/>
  <c r="C408" i="10"/>
  <c r="D408" i="10"/>
  <c r="E408" i="10"/>
  <c r="F408" i="10"/>
  <c r="G408" i="10"/>
  <c r="H408" i="10"/>
  <c r="A409" i="10"/>
  <c r="B409" i="10"/>
  <c r="C409" i="10"/>
  <c r="D409" i="10"/>
  <c r="E409" i="10"/>
  <c r="F409" i="10"/>
  <c r="G409" i="10"/>
  <c r="H409" i="10"/>
  <c r="A410" i="10"/>
  <c r="B410" i="10"/>
  <c r="C410" i="10"/>
  <c r="D410" i="10"/>
  <c r="E410" i="10"/>
  <c r="F410" i="10"/>
  <c r="G410" i="10"/>
  <c r="H410" i="10"/>
  <c r="A411" i="10"/>
  <c r="B411" i="10"/>
  <c r="C411" i="10"/>
  <c r="D411" i="10"/>
  <c r="E411" i="10"/>
  <c r="F411" i="10"/>
  <c r="G411" i="10"/>
  <c r="H411" i="10"/>
  <c r="A412" i="10"/>
  <c r="B412" i="10"/>
  <c r="C412" i="10"/>
  <c r="D412" i="10"/>
  <c r="E412" i="10"/>
  <c r="F412" i="10"/>
  <c r="G412" i="10"/>
  <c r="H412" i="10"/>
  <c r="A413" i="10"/>
  <c r="B413" i="10"/>
  <c r="C413" i="10"/>
  <c r="D413" i="10"/>
  <c r="E413" i="10"/>
  <c r="F413" i="10"/>
  <c r="G413" i="10"/>
  <c r="H413" i="10"/>
  <c r="A414" i="10"/>
  <c r="B414" i="10"/>
  <c r="C414" i="10"/>
  <c r="D414" i="10"/>
  <c r="E414" i="10"/>
  <c r="F414" i="10"/>
  <c r="G414" i="10"/>
  <c r="H414" i="10"/>
  <c r="A415" i="10"/>
  <c r="B415" i="10"/>
  <c r="C415" i="10"/>
  <c r="D415" i="10"/>
  <c r="E415" i="10"/>
  <c r="F415" i="10"/>
  <c r="G415" i="10"/>
  <c r="H415" i="10"/>
  <c r="A416" i="10"/>
  <c r="B416" i="10"/>
  <c r="C416" i="10"/>
  <c r="D416" i="10"/>
  <c r="E416" i="10"/>
  <c r="F416" i="10"/>
  <c r="G416" i="10"/>
  <c r="H416" i="10"/>
  <c r="A417" i="10"/>
  <c r="B417" i="10"/>
  <c r="C417" i="10"/>
  <c r="D417" i="10"/>
  <c r="E417" i="10"/>
  <c r="F417" i="10"/>
  <c r="G417" i="10"/>
  <c r="H417" i="10"/>
  <c r="A418" i="10"/>
  <c r="B418" i="10"/>
  <c r="C418" i="10"/>
  <c r="D418" i="10"/>
  <c r="E418" i="10"/>
  <c r="F418" i="10"/>
  <c r="G418" i="10"/>
  <c r="H418" i="10"/>
  <c r="A419" i="10"/>
  <c r="B419" i="10"/>
  <c r="C419" i="10"/>
  <c r="D419" i="10"/>
  <c r="E419" i="10"/>
  <c r="F419" i="10"/>
  <c r="G419" i="10"/>
  <c r="H419" i="10"/>
  <c r="A420" i="10"/>
  <c r="B420" i="10"/>
  <c r="C420" i="10"/>
  <c r="D420" i="10"/>
  <c r="E420" i="10"/>
  <c r="F420" i="10"/>
  <c r="G420" i="10"/>
  <c r="H420" i="10"/>
  <c r="A421" i="10"/>
  <c r="B421" i="10"/>
  <c r="C421" i="10"/>
  <c r="D421" i="10"/>
  <c r="E421" i="10"/>
  <c r="F421" i="10"/>
  <c r="G421" i="10"/>
  <c r="H421" i="10"/>
  <c r="A422" i="10"/>
  <c r="B422" i="10"/>
  <c r="C422" i="10"/>
  <c r="D422" i="10"/>
  <c r="E422" i="10"/>
  <c r="F422" i="10"/>
  <c r="G422" i="10"/>
  <c r="H422" i="10"/>
  <c r="A423" i="10"/>
  <c r="B423" i="10"/>
  <c r="C423" i="10"/>
  <c r="D423" i="10"/>
  <c r="E423" i="10"/>
  <c r="F423" i="10"/>
  <c r="G423" i="10"/>
  <c r="H423" i="10"/>
  <c r="A424" i="10"/>
  <c r="B424" i="10"/>
  <c r="C424" i="10"/>
  <c r="D424" i="10"/>
  <c r="E424" i="10"/>
  <c r="F424" i="10"/>
  <c r="G424" i="10"/>
  <c r="H424" i="10"/>
  <c r="A425" i="10"/>
  <c r="B425" i="10"/>
  <c r="C425" i="10"/>
  <c r="D425" i="10"/>
  <c r="E425" i="10"/>
  <c r="F425" i="10"/>
  <c r="G425" i="10"/>
  <c r="H425" i="10"/>
  <c r="A426" i="10"/>
  <c r="B426" i="10"/>
  <c r="C426" i="10"/>
  <c r="D426" i="10"/>
  <c r="E426" i="10"/>
  <c r="F426" i="10"/>
  <c r="G426" i="10"/>
  <c r="H426" i="10"/>
  <c r="A427" i="10"/>
  <c r="B427" i="10"/>
  <c r="C427" i="10"/>
  <c r="D427" i="10"/>
  <c r="E427" i="10"/>
  <c r="F427" i="10"/>
  <c r="G427" i="10"/>
  <c r="H427" i="10"/>
  <c r="A428" i="10"/>
  <c r="B428" i="10"/>
  <c r="C428" i="10"/>
  <c r="D428" i="10"/>
  <c r="E428" i="10"/>
  <c r="F428" i="10"/>
  <c r="G428" i="10"/>
  <c r="H428" i="10"/>
  <c r="A429" i="10"/>
  <c r="B429" i="10"/>
  <c r="C429" i="10"/>
  <c r="D429" i="10"/>
  <c r="E429" i="10"/>
  <c r="F429" i="10"/>
  <c r="G429" i="10"/>
  <c r="H429" i="10"/>
  <c r="A430" i="10"/>
  <c r="B430" i="10"/>
  <c r="C430" i="10"/>
  <c r="D430" i="10"/>
  <c r="E430" i="10"/>
  <c r="F430" i="10"/>
  <c r="G430" i="10"/>
  <c r="H430" i="10"/>
  <c r="A431" i="10"/>
  <c r="B431" i="10"/>
  <c r="C431" i="10"/>
  <c r="D431" i="10"/>
  <c r="E431" i="10"/>
  <c r="F431" i="10"/>
  <c r="G431" i="10"/>
  <c r="H431" i="10"/>
  <c r="A432" i="10"/>
  <c r="B432" i="10"/>
  <c r="C432" i="10"/>
  <c r="D432" i="10"/>
  <c r="E432" i="10"/>
  <c r="F432" i="10"/>
  <c r="G432" i="10"/>
  <c r="H432" i="10"/>
  <c r="A433" i="10"/>
  <c r="B433" i="10"/>
  <c r="C433" i="10"/>
  <c r="D433" i="10"/>
  <c r="E433" i="10"/>
  <c r="F433" i="10"/>
  <c r="G433" i="10"/>
  <c r="H433" i="10"/>
  <c r="A434" i="10"/>
  <c r="B434" i="10"/>
  <c r="C434" i="10"/>
  <c r="D434" i="10"/>
  <c r="E434" i="10"/>
  <c r="F434" i="10"/>
  <c r="G434" i="10"/>
  <c r="H434" i="10"/>
  <c r="A435" i="10"/>
  <c r="B435" i="10"/>
  <c r="C435" i="10"/>
  <c r="D435" i="10"/>
  <c r="E435" i="10"/>
  <c r="F435" i="10"/>
  <c r="G435" i="10"/>
  <c r="H435" i="10"/>
  <c r="A436" i="10"/>
  <c r="B436" i="10"/>
  <c r="C436" i="10"/>
  <c r="D436" i="10"/>
  <c r="E436" i="10"/>
  <c r="F436" i="10"/>
  <c r="G436" i="10"/>
  <c r="H436" i="10"/>
  <c r="A437" i="10"/>
  <c r="B437" i="10"/>
  <c r="C437" i="10"/>
  <c r="D437" i="10"/>
  <c r="E437" i="10"/>
  <c r="F437" i="10"/>
  <c r="G437" i="10"/>
  <c r="H437" i="10"/>
  <c r="A438" i="10"/>
  <c r="B438" i="10"/>
  <c r="C438" i="10"/>
  <c r="D438" i="10"/>
  <c r="E438" i="10"/>
  <c r="F438" i="10"/>
  <c r="G438" i="10"/>
  <c r="H438" i="10"/>
  <c r="A439" i="10"/>
  <c r="B439" i="10"/>
  <c r="C439" i="10"/>
  <c r="D439" i="10"/>
  <c r="E439" i="10"/>
  <c r="F439" i="10"/>
  <c r="G439" i="10"/>
  <c r="H439" i="10"/>
  <c r="A440" i="10"/>
  <c r="B440" i="10"/>
  <c r="C440" i="10"/>
  <c r="D440" i="10"/>
  <c r="E440" i="10"/>
  <c r="F440" i="10"/>
  <c r="G440" i="10"/>
  <c r="H440" i="10"/>
  <c r="A441" i="10"/>
  <c r="B441" i="10"/>
  <c r="C441" i="10"/>
  <c r="D441" i="10"/>
  <c r="E441" i="10"/>
  <c r="F441" i="10"/>
  <c r="G441" i="10"/>
  <c r="H441" i="10"/>
  <c r="A442" i="10"/>
  <c r="B442" i="10"/>
  <c r="C442" i="10"/>
  <c r="D442" i="10"/>
  <c r="E442" i="10"/>
  <c r="F442" i="10"/>
  <c r="G442" i="10"/>
  <c r="H442" i="10"/>
  <c r="A443" i="10"/>
  <c r="B443" i="10"/>
  <c r="C443" i="10"/>
  <c r="D443" i="10"/>
  <c r="E443" i="10"/>
  <c r="F443" i="10"/>
  <c r="G443" i="10"/>
  <c r="H443" i="10"/>
  <c r="A444" i="10"/>
  <c r="B444" i="10"/>
  <c r="C444" i="10"/>
  <c r="D444" i="10"/>
  <c r="E444" i="10"/>
  <c r="F444" i="10"/>
  <c r="G444" i="10"/>
  <c r="H444" i="10"/>
  <c r="A445" i="10"/>
  <c r="B445" i="10"/>
  <c r="C445" i="10"/>
  <c r="D445" i="10"/>
  <c r="E445" i="10"/>
  <c r="F445" i="10"/>
  <c r="G445" i="10"/>
  <c r="H445" i="10"/>
  <c r="A446" i="10"/>
  <c r="B446" i="10"/>
  <c r="C446" i="10"/>
  <c r="D446" i="10"/>
  <c r="E446" i="10"/>
  <c r="F446" i="10"/>
  <c r="G446" i="10"/>
  <c r="H446" i="10"/>
  <c r="A447" i="10"/>
  <c r="B447" i="10"/>
  <c r="C447" i="10"/>
  <c r="D447" i="10"/>
  <c r="E447" i="10"/>
  <c r="F447" i="10"/>
  <c r="G447" i="10"/>
  <c r="H447" i="10"/>
  <c r="A448" i="10"/>
  <c r="B448" i="10"/>
  <c r="C448" i="10"/>
  <c r="D448" i="10"/>
  <c r="E448" i="10"/>
  <c r="F448" i="10"/>
  <c r="G448" i="10"/>
  <c r="H448" i="10"/>
  <c r="A449" i="10"/>
  <c r="B449" i="10"/>
  <c r="C449" i="10"/>
  <c r="D449" i="10"/>
  <c r="E449" i="10"/>
  <c r="F449" i="10"/>
  <c r="G449" i="10"/>
  <c r="H449" i="10"/>
  <c r="A450" i="10"/>
  <c r="B450" i="10"/>
  <c r="C450" i="10"/>
  <c r="D450" i="10"/>
  <c r="E450" i="10"/>
  <c r="F450" i="10"/>
  <c r="G450" i="10"/>
  <c r="H450" i="10"/>
  <c r="A451" i="10"/>
  <c r="B451" i="10"/>
  <c r="C451" i="10"/>
  <c r="D451" i="10"/>
  <c r="E451" i="10"/>
  <c r="F451" i="10"/>
  <c r="G451" i="10"/>
  <c r="H451" i="10"/>
  <c r="A452" i="10"/>
  <c r="B452" i="10"/>
  <c r="C452" i="10"/>
  <c r="D452" i="10"/>
  <c r="E452" i="10"/>
  <c r="F452" i="10"/>
  <c r="G452" i="10"/>
  <c r="H452" i="10"/>
  <c r="A453" i="10"/>
  <c r="B453" i="10"/>
  <c r="C453" i="10"/>
  <c r="D453" i="10"/>
  <c r="E453" i="10"/>
  <c r="F453" i="10"/>
  <c r="G453" i="10"/>
  <c r="H453" i="10"/>
  <c r="A454" i="10"/>
  <c r="B454" i="10"/>
  <c r="C454" i="10"/>
  <c r="D454" i="10"/>
  <c r="E454" i="10"/>
  <c r="F454" i="10"/>
  <c r="G454" i="10"/>
  <c r="H454" i="10"/>
  <c r="A455" i="10"/>
  <c r="B455" i="10"/>
  <c r="C455" i="10"/>
  <c r="D455" i="10"/>
  <c r="E455" i="10"/>
  <c r="F455" i="10"/>
  <c r="G455" i="10"/>
  <c r="H455" i="10"/>
  <c r="A456" i="10"/>
  <c r="B456" i="10"/>
  <c r="C456" i="10"/>
  <c r="D456" i="10"/>
  <c r="E456" i="10"/>
  <c r="F456" i="10"/>
  <c r="G456" i="10"/>
  <c r="H456" i="10"/>
  <c r="A457" i="10"/>
  <c r="B457" i="10"/>
  <c r="C457" i="10"/>
  <c r="D457" i="10"/>
  <c r="E457" i="10"/>
  <c r="F457" i="10"/>
  <c r="G457" i="10"/>
  <c r="H457" i="10"/>
  <c r="A458" i="10"/>
  <c r="B458" i="10"/>
  <c r="C458" i="10"/>
  <c r="D458" i="10"/>
  <c r="E458" i="10"/>
  <c r="F458" i="10"/>
  <c r="G458" i="10"/>
  <c r="H458" i="10"/>
  <c r="A459" i="10"/>
  <c r="B459" i="10"/>
  <c r="C459" i="10"/>
  <c r="D459" i="10"/>
  <c r="E459" i="10"/>
  <c r="F459" i="10"/>
  <c r="G459" i="10"/>
  <c r="H459" i="10"/>
  <c r="A460" i="10"/>
  <c r="B460" i="10"/>
  <c r="C460" i="10"/>
  <c r="D460" i="10"/>
  <c r="E460" i="10"/>
  <c r="F460" i="10"/>
  <c r="G460" i="10"/>
  <c r="H460" i="10"/>
  <c r="A461" i="10"/>
  <c r="B461" i="10"/>
  <c r="C461" i="10"/>
  <c r="D461" i="10"/>
  <c r="E461" i="10"/>
  <c r="F461" i="10"/>
  <c r="G461" i="10"/>
  <c r="H461" i="10"/>
  <c r="A462" i="10"/>
  <c r="B462" i="10"/>
  <c r="C462" i="10"/>
  <c r="D462" i="10"/>
  <c r="E462" i="10"/>
  <c r="F462" i="10"/>
  <c r="G462" i="10"/>
  <c r="H462" i="10"/>
  <c r="A463" i="10"/>
  <c r="B463" i="10"/>
  <c r="C463" i="10"/>
  <c r="D463" i="10"/>
  <c r="E463" i="10"/>
  <c r="F463" i="10"/>
  <c r="G463" i="10"/>
  <c r="H463" i="10"/>
  <c r="A464" i="10"/>
  <c r="B464" i="10"/>
  <c r="C464" i="10"/>
  <c r="D464" i="10"/>
  <c r="E464" i="10"/>
  <c r="F464" i="10"/>
  <c r="G464" i="10"/>
  <c r="H464" i="10"/>
  <c r="A465" i="10"/>
  <c r="B465" i="10"/>
  <c r="C465" i="10"/>
  <c r="D465" i="10"/>
  <c r="E465" i="10"/>
  <c r="F465" i="10"/>
  <c r="G465" i="10"/>
  <c r="H465" i="10"/>
  <c r="A466" i="10"/>
  <c r="B466" i="10"/>
  <c r="C466" i="10"/>
  <c r="D466" i="10"/>
  <c r="E466" i="10"/>
  <c r="F466" i="10"/>
  <c r="G466" i="10"/>
  <c r="H466" i="10"/>
  <c r="A467" i="10"/>
  <c r="B467" i="10"/>
  <c r="C467" i="10"/>
  <c r="D467" i="10"/>
  <c r="E467" i="10"/>
  <c r="F467" i="10"/>
  <c r="G467" i="10"/>
  <c r="H467" i="10"/>
  <c r="A468" i="10"/>
  <c r="B468" i="10"/>
  <c r="C468" i="10"/>
  <c r="D468" i="10"/>
  <c r="E468" i="10"/>
  <c r="F468" i="10"/>
  <c r="G468" i="10"/>
  <c r="H468" i="10"/>
  <c r="A469" i="10"/>
  <c r="B469" i="10"/>
  <c r="C469" i="10"/>
  <c r="D469" i="10"/>
  <c r="E469" i="10"/>
  <c r="F469" i="10"/>
  <c r="G469" i="10"/>
  <c r="H469" i="10"/>
  <c r="A470" i="10"/>
  <c r="B470" i="10"/>
  <c r="C470" i="10"/>
  <c r="D470" i="10"/>
  <c r="E470" i="10"/>
  <c r="F470" i="10"/>
  <c r="G470" i="10"/>
  <c r="H470" i="10"/>
  <c r="A471" i="10"/>
  <c r="B471" i="10"/>
  <c r="C471" i="10"/>
  <c r="D471" i="10"/>
  <c r="E471" i="10"/>
  <c r="F471" i="10"/>
  <c r="G471" i="10"/>
  <c r="H471" i="10"/>
  <c r="A472" i="10"/>
  <c r="B472" i="10"/>
  <c r="C472" i="10"/>
  <c r="D472" i="10"/>
  <c r="E472" i="10"/>
  <c r="F472" i="10"/>
  <c r="G472" i="10"/>
  <c r="H472" i="10"/>
  <c r="A473" i="10"/>
  <c r="B473" i="10"/>
  <c r="C473" i="10"/>
  <c r="D473" i="10"/>
  <c r="E473" i="10"/>
  <c r="F473" i="10"/>
  <c r="G473" i="10"/>
  <c r="H473" i="10"/>
  <c r="A474" i="10"/>
  <c r="B474" i="10"/>
  <c r="C474" i="10"/>
  <c r="D474" i="10"/>
  <c r="E474" i="10"/>
  <c r="F474" i="10"/>
  <c r="G474" i="10"/>
  <c r="H474" i="10"/>
  <c r="A475" i="10"/>
  <c r="B475" i="10"/>
  <c r="C475" i="10"/>
  <c r="D475" i="10"/>
  <c r="E475" i="10"/>
  <c r="F475" i="10"/>
  <c r="G475" i="10"/>
  <c r="H475" i="10"/>
  <c r="A476" i="10"/>
  <c r="B476" i="10"/>
  <c r="C476" i="10"/>
  <c r="D476" i="10"/>
  <c r="E476" i="10"/>
  <c r="F476" i="10"/>
  <c r="G476" i="10"/>
  <c r="H476" i="10"/>
  <c r="A477" i="10"/>
  <c r="B477" i="10"/>
  <c r="C477" i="10"/>
  <c r="D477" i="10"/>
  <c r="E477" i="10"/>
  <c r="F477" i="10"/>
  <c r="G477" i="10"/>
  <c r="H477" i="10"/>
  <c r="A478" i="10"/>
  <c r="B478" i="10"/>
  <c r="C478" i="10"/>
  <c r="D478" i="10"/>
  <c r="E478" i="10"/>
  <c r="F478" i="10"/>
  <c r="G478" i="10"/>
  <c r="H478" i="10"/>
  <c r="A479" i="10"/>
  <c r="B479" i="10"/>
  <c r="C479" i="10"/>
  <c r="D479" i="10"/>
  <c r="E479" i="10"/>
  <c r="F479" i="10"/>
  <c r="G479" i="10"/>
  <c r="H479" i="10"/>
  <c r="A480" i="10"/>
  <c r="B480" i="10"/>
  <c r="C480" i="10"/>
  <c r="D480" i="10"/>
  <c r="E480" i="10"/>
  <c r="F480" i="10"/>
  <c r="G480" i="10"/>
  <c r="H480" i="10"/>
  <c r="A481" i="10"/>
  <c r="B481" i="10"/>
  <c r="C481" i="10"/>
  <c r="D481" i="10"/>
  <c r="E481" i="10"/>
  <c r="F481" i="10"/>
  <c r="G481" i="10"/>
  <c r="H481" i="10"/>
  <c r="A482" i="10"/>
  <c r="B482" i="10"/>
  <c r="C482" i="10"/>
  <c r="D482" i="10"/>
  <c r="E482" i="10"/>
  <c r="F482" i="10"/>
  <c r="G482" i="10"/>
  <c r="H482" i="10"/>
  <c r="A483" i="10"/>
  <c r="B483" i="10"/>
  <c r="C483" i="10"/>
  <c r="D483" i="10"/>
  <c r="E483" i="10"/>
  <c r="F483" i="10"/>
  <c r="G483" i="10"/>
  <c r="H483" i="10"/>
  <c r="A484" i="10"/>
  <c r="B484" i="10"/>
  <c r="C484" i="10"/>
  <c r="D484" i="10"/>
  <c r="E484" i="10"/>
  <c r="F484" i="10"/>
  <c r="G484" i="10"/>
  <c r="H484" i="10"/>
  <c r="A485" i="10"/>
  <c r="B485" i="10"/>
  <c r="C485" i="10"/>
  <c r="D485" i="10"/>
  <c r="E485" i="10"/>
  <c r="F485" i="10"/>
  <c r="G485" i="10"/>
  <c r="H485" i="10"/>
  <c r="A486" i="10"/>
  <c r="B486" i="10"/>
  <c r="C486" i="10"/>
  <c r="D486" i="10"/>
  <c r="E486" i="10"/>
  <c r="F486" i="10"/>
  <c r="G486" i="10"/>
  <c r="H486" i="10"/>
  <c r="A487" i="10"/>
  <c r="B487" i="10"/>
  <c r="C487" i="10"/>
  <c r="D487" i="10"/>
  <c r="E487" i="10"/>
  <c r="F487" i="10"/>
  <c r="G487" i="10"/>
  <c r="H487" i="10"/>
  <c r="A488" i="10"/>
  <c r="B488" i="10"/>
  <c r="C488" i="10"/>
  <c r="D488" i="10"/>
  <c r="E488" i="10"/>
  <c r="F488" i="10"/>
  <c r="G488" i="10"/>
  <c r="H488" i="10"/>
  <c r="A489" i="10"/>
  <c r="B489" i="10"/>
  <c r="C489" i="10"/>
  <c r="D489" i="10"/>
  <c r="E489" i="10"/>
  <c r="F489" i="10"/>
  <c r="G489" i="10"/>
  <c r="H489" i="10"/>
  <c r="A490" i="10"/>
  <c r="B490" i="10"/>
  <c r="C490" i="10"/>
  <c r="D490" i="10"/>
  <c r="E490" i="10"/>
  <c r="F490" i="10"/>
  <c r="G490" i="10"/>
  <c r="H490" i="10"/>
  <c r="A491" i="10"/>
  <c r="B491" i="10"/>
  <c r="C491" i="10"/>
  <c r="D491" i="10"/>
  <c r="E491" i="10"/>
  <c r="F491" i="10"/>
  <c r="G491" i="10"/>
  <c r="H491" i="10"/>
  <c r="A492" i="10"/>
  <c r="B492" i="10"/>
  <c r="C492" i="10"/>
  <c r="D492" i="10"/>
  <c r="E492" i="10"/>
  <c r="F492" i="10"/>
  <c r="G492" i="10"/>
  <c r="H492" i="10"/>
  <c r="A493" i="10"/>
  <c r="B493" i="10"/>
  <c r="C493" i="10"/>
  <c r="D493" i="10"/>
  <c r="E493" i="10"/>
  <c r="F493" i="10"/>
  <c r="G493" i="10"/>
  <c r="H493" i="10"/>
  <c r="A494" i="10"/>
  <c r="B494" i="10"/>
  <c r="C494" i="10"/>
  <c r="D494" i="10"/>
  <c r="E494" i="10"/>
  <c r="F494" i="10"/>
  <c r="G494" i="10"/>
  <c r="H494" i="10"/>
  <c r="A495" i="10"/>
  <c r="B495" i="10"/>
  <c r="C495" i="10"/>
  <c r="D495" i="10"/>
  <c r="E495" i="10"/>
  <c r="F495" i="10"/>
  <c r="G495" i="10"/>
  <c r="H495" i="10"/>
  <c r="A496" i="10"/>
  <c r="B496" i="10"/>
  <c r="C496" i="10"/>
  <c r="D496" i="10"/>
  <c r="E496" i="10"/>
  <c r="F496" i="10"/>
  <c r="G496" i="10"/>
  <c r="H496" i="10"/>
  <c r="A497" i="10"/>
  <c r="B497" i="10"/>
  <c r="C497" i="10"/>
  <c r="D497" i="10"/>
  <c r="E497" i="10"/>
  <c r="F497" i="10"/>
  <c r="G497" i="10"/>
  <c r="H497" i="10"/>
  <c r="A498" i="10"/>
  <c r="B498" i="10"/>
  <c r="C498" i="10"/>
  <c r="D498" i="10"/>
  <c r="E498" i="10"/>
  <c r="F498" i="10"/>
  <c r="G498" i="10"/>
  <c r="H498" i="10"/>
  <c r="A499" i="10"/>
  <c r="B499" i="10"/>
  <c r="C499" i="10"/>
  <c r="D499" i="10"/>
  <c r="E499" i="10"/>
  <c r="F499" i="10"/>
  <c r="G499" i="10"/>
  <c r="H499" i="10"/>
  <c r="A500" i="10"/>
  <c r="B500" i="10"/>
  <c r="C500" i="10"/>
  <c r="D500" i="10"/>
  <c r="E500" i="10"/>
  <c r="F500" i="10"/>
  <c r="G500" i="10"/>
  <c r="H500" i="10"/>
  <c r="A501" i="10"/>
  <c r="B501" i="10"/>
  <c r="C501" i="10"/>
  <c r="D501" i="10"/>
  <c r="E501" i="10"/>
  <c r="F501" i="10"/>
  <c r="G501" i="10"/>
  <c r="H501" i="10"/>
  <c r="A502" i="10"/>
  <c r="B502" i="10"/>
  <c r="C502" i="10"/>
  <c r="D502" i="10"/>
  <c r="E502" i="10"/>
  <c r="F502" i="10"/>
  <c r="G502" i="10"/>
  <c r="H502" i="10"/>
  <c r="A503" i="10"/>
  <c r="B503" i="10"/>
  <c r="C503" i="10"/>
  <c r="D503" i="10"/>
  <c r="E503" i="10"/>
  <c r="F503" i="10"/>
  <c r="G503" i="10"/>
  <c r="H503" i="10"/>
  <c r="A504" i="10"/>
  <c r="B504" i="10"/>
  <c r="C504" i="10"/>
  <c r="D504" i="10"/>
  <c r="E504" i="10"/>
  <c r="F504" i="10"/>
  <c r="G504" i="10"/>
  <c r="H504" i="10"/>
  <c r="A505" i="10"/>
  <c r="B505" i="10"/>
  <c r="C505" i="10"/>
  <c r="D505" i="10"/>
  <c r="E505" i="10"/>
  <c r="F505" i="10"/>
  <c r="G505" i="10"/>
  <c r="H505" i="10"/>
  <c r="A506" i="10"/>
  <c r="B506" i="10"/>
  <c r="C506" i="10"/>
  <c r="D506" i="10"/>
  <c r="E506" i="10"/>
  <c r="F506" i="10"/>
  <c r="G506" i="10"/>
  <c r="H506" i="10"/>
  <c r="A507" i="10"/>
  <c r="B507" i="10"/>
  <c r="C507" i="10"/>
  <c r="D507" i="10"/>
  <c r="E507" i="10"/>
  <c r="F507" i="10"/>
  <c r="G507" i="10"/>
  <c r="H507" i="10"/>
  <c r="A508" i="10"/>
  <c r="B508" i="10"/>
  <c r="C508" i="10"/>
  <c r="D508" i="10"/>
  <c r="E508" i="10"/>
  <c r="F508" i="10"/>
  <c r="G508" i="10"/>
  <c r="H508" i="10"/>
  <c r="A509" i="10"/>
  <c r="B509" i="10"/>
  <c r="C509" i="10"/>
  <c r="D509" i="10"/>
  <c r="E509" i="10"/>
  <c r="F509" i="10"/>
  <c r="G509" i="10"/>
  <c r="H509" i="10"/>
  <c r="A510" i="10"/>
  <c r="B510" i="10"/>
  <c r="C510" i="10"/>
  <c r="D510" i="10"/>
  <c r="E510" i="10"/>
  <c r="F510" i="10"/>
  <c r="G510" i="10"/>
  <c r="H510" i="10"/>
  <c r="A511" i="10"/>
  <c r="B511" i="10"/>
  <c r="C511" i="10"/>
  <c r="D511" i="10"/>
  <c r="E511" i="10"/>
  <c r="F511" i="10"/>
  <c r="G511" i="10"/>
  <c r="H511" i="10"/>
  <c r="A512" i="10"/>
  <c r="B512" i="10"/>
  <c r="C512" i="10"/>
  <c r="D512" i="10"/>
  <c r="E512" i="10"/>
  <c r="F512" i="10"/>
  <c r="G512" i="10"/>
  <c r="H512" i="10"/>
  <c r="A513" i="10"/>
  <c r="B513" i="10"/>
  <c r="C513" i="10"/>
  <c r="D513" i="10"/>
  <c r="E513" i="10"/>
  <c r="F513" i="10"/>
  <c r="G513" i="10"/>
  <c r="H513" i="10"/>
  <c r="A514" i="10"/>
  <c r="B514" i="10"/>
  <c r="C514" i="10"/>
  <c r="D514" i="10"/>
  <c r="E514" i="10"/>
  <c r="F514" i="10"/>
  <c r="G514" i="10"/>
  <c r="H514" i="10"/>
  <c r="A515" i="10"/>
  <c r="B515" i="10"/>
  <c r="C515" i="10"/>
  <c r="D515" i="10"/>
  <c r="E515" i="10"/>
  <c r="F515" i="10"/>
  <c r="G515" i="10"/>
  <c r="H515" i="10"/>
  <c r="A516" i="10"/>
  <c r="B516" i="10"/>
  <c r="C516" i="10"/>
  <c r="D516" i="10"/>
  <c r="E516" i="10"/>
  <c r="F516" i="10"/>
  <c r="G516" i="10"/>
  <c r="H516" i="10"/>
  <c r="A517" i="10"/>
  <c r="B517" i="10"/>
  <c r="C517" i="10"/>
  <c r="D517" i="10"/>
  <c r="E517" i="10"/>
  <c r="F517" i="10"/>
  <c r="G517" i="10"/>
  <c r="H517" i="10"/>
  <c r="A518" i="10"/>
  <c r="B518" i="10"/>
  <c r="C518" i="10"/>
  <c r="D518" i="10"/>
  <c r="E518" i="10"/>
  <c r="F518" i="10"/>
  <c r="G518" i="10"/>
  <c r="H518" i="10"/>
  <c r="A519" i="10"/>
  <c r="B519" i="10"/>
  <c r="C519" i="10"/>
  <c r="D519" i="10"/>
  <c r="E519" i="10"/>
  <c r="F519" i="10"/>
  <c r="G519" i="10"/>
  <c r="H519" i="10"/>
  <c r="A520" i="10"/>
  <c r="B520" i="10"/>
  <c r="C520" i="10"/>
  <c r="D520" i="10"/>
  <c r="E520" i="10"/>
  <c r="F520" i="10"/>
  <c r="G520" i="10"/>
  <c r="H520" i="10"/>
  <c r="A521" i="10"/>
  <c r="B521" i="10"/>
  <c r="C521" i="10"/>
  <c r="D521" i="10"/>
  <c r="E521" i="10"/>
  <c r="F521" i="10"/>
  <c r="G521" i="10"/>
  <c r="H521" i="10"/>
  <c r="A522" i="10"/>
  <c r="B522" i="10"/>
  <c r="C522" i="10"/>
  <c r="D522" i="10"/>
  <c r="E522" i="10"/>
  <c r="F522" i="10"/>
  <c r="G522" i="10"/>
  <c r="H522" i="10"/>
  <c r="A523" i="10"/>
  <c r="B523" i="10"/>
  <c r="C523" i="10"/>
  <c r="D523" i="10"/>
  <c r="E523" i="10"/>
  <c r="F523" i="10"/>
  <c r="G523" i="10"/>
  <c r="H523" i="10"/>
  <c r="A524" i="10"/>
  <c r="B524" i="10"/>
  <c r="C524" i="10"/>
  <c r="D524" i="10"/>
  <c r="E524" i="10"/>
  <c r="F524" i="10"/>
  <c r="G524" i="10"/>
  <c r="H524" i="10"/>
  <c r="A525" i="10"/>
  <c r="B525" i="10"/>
  <c r="C525" i="10"/>
  <c r="D525" i="10"/>
  <c r="E525" i="10"/>
  <c r="F525" i="10"/>
  <c r="G525" i="10"/>
  <c r="H525" i="10"/>
  <c r="A526" i="10"/>
  <c r="B526" i="10"/>
  <c r="C526" i="10"/>
  <c r="D526" i="10"/>
  <c r="E526" i="10"/>
  <c r="F526" i="10"/>
  <c r="G526" i="10"/>
  <c r="H526" i="10"/>
  <c r="A527" i="10"/>
  <c r="B527" i="10"/>
  <c r="C527" i="10"/>
  <c r="D527" i="10"/>
  <c r="E527" i="10"/>
  <c r="F527" i="10"/>
  <c r="G527" i="10"/>
  <c r="H527" i="10"/>
  <c r="A528" i="10"/>
  <c r="B528" i="10"/>
  <c r="C528" i="10"/>
  <c r="D528" i="10"/>
  <c r="E528" i="10"/>
  <c r="F528" i="10"/>
  <c r="G528" i="10"/>
  <c r="H528" i="10"/>
  <c r="A529" i="10"/>
  <c r="B529" i="10"/>
  <c r="C529" i="10"/>
  <c r="D529" i="10"/>
  <c r="E529" i="10"/>
  <c r="F529" i="10"/>
  <c r="G529" i="10"/>
  <c r="H529" i="10"/>
  <c r="A530" i="10"/>
  <c r="B530" i="10"/>
  <c r="C530" i="10"/>
  <c r="D530" i="10"/>
  <c r="E530" i="10"/>
  <c r="F530" i="10"/>
  <c r="G530" i="10"/>
  <c r="H530" i="10"/>
  <c r="A531" i="10"/>
  <c r="B531" i="10"/>
  <c r="C531" i="10"/>
  <c r="D531" i="10"/>
  <c r="E531" i="10"/>
  <c r="F531" i="10"/>
  <c r="G531" i="10"/>
  <c r="H531" i="10"/>
  <c r="A532" i="10"/>
  <c r="B532" i="10"/>
  <c r="C532" i="10"/>
  <c r="D532" i="10"/>
  <c r="E532" i="10"/>
  <c r="F532" i="10"/>
  <c r="G532" i="10"/>
  <c r="H532" i="10"/>
  <c r="A533" i="10"/>
  <c r="B533" i="10"/>
  <c r="C533" i="10"/>
  <c r="D533" i="10"/>
  <c r="E533" i="10"/>
  <c r="F533" i="10"/>
  <c r="G533" i="10"/>
  <c r="H533" i="10"/>
  <c r="A534" i="10"/>
  <c r="B534" i="10"/>
  <c r="C534" i="10"/>
  <c r="D534" i="10"/>
  <c r="E534" i="10"/>
  <c r="F534" i="10"/>
  <c r="G534" i="10"/>
  <c r="H534" i="10"/>
  <c r="A535" i="10"/>
  <c r="B535" i="10"/>
  <c r="C535" i="10"/>
  <c r="D535" i="10"/>
  <c r="E535" i="10"/>
  <c r="F535" i="10"/>
  <c r="G535" i="10"/>
  <c r="H535" i="10"/>
  <c r="A536" i="10"/>
  <c r="B536" i="10"/>
  <c r="C536" i="10"/>
  <c r="D536" i="10"/>
  <c r="E536" i="10"/>
  <c r="F536" i="10"/>
  <c r="G536" i="10"/>
  <c r="H536" i="10"/>
  <c r="A537" i="10"/>
  <c r="B537" i="10"/>
  <c r="C537" i="10"/>
  <c r="D537" i="10"/>
  <c r="E537" i="10"/>
  <c r="F537" i="10"/>
  <c r="G537" i="10"/>
  <c r="H537" i="10"/>
  <c r="A538" i="10"/>
  <c r="B538" i="10"/>
  <c r="C538" i="10"/>
  <c r="D538" i="10"/>
  <c r="E538" i="10"/>
  <c r="F538" i="10"/>
  <c r="G538" i="10"/>
  <c r="H538" i="10"/>
  <c r="A539" i="10"/>
  <c r="B539" i="10"/>
  <c r="C539" i="10"/>
  <c r="D539" i="10"/>
  <c r="E539" i="10"/>
  <c r="F539" i="10"/>
  <c r="G539" i="10"/>
  <c r="H539" i="10"/>
  <c r="A540" i="10"/>
  <c r="B540" i="10"/>
  <c r="C540" i="10"/>
  <c r="D540" i="10"/>
  <c r="E540" i="10"/>
  <c r="F540" i="10"/>
  <c r="G540" i="10"/>
  <c r="H540" i="10"/>
  <c r="A541" i="10"/>
  <c r="B541" i="10"/>
  <c r="C541" i="10"/>
  <c r="D541" i="10"/>
  <c r="E541" i="10"/>
  <c r="F541" i="10"/>
  <c r="G541" i="10"/>
  <c r="H541" i="10"/>
  <c r="A542" i="10"/>
  <c r="B542" i="10"/>
  <c r="C542" i="10"/>
  <c r="D542" i="10"/>
  <c r="E542" i="10"/>
  <c r="F542" i="10"/>
  <c r="G542" i="10"/>
  <c r="H542" i="10"/>
  <c r="A543" i="10"/>
  <c r="B543" i="10"/>
  <c r="C543" i="10"/>
  <c r="D543" i="10"/>
  <c r="E543" i="10"/>
  <c r="F543" i="10"/>
  <c r="G543" i="10"/>
  <c r="H543" i="10"/>
  <c r="A544" i="10"/>
  <c r="B544" i="10"/>
  <c r="C544" i="10"/>
  <c r="D544" i="10"/>
  <c r="E544" i="10"/>
  <c r="F544" i="10"/>
  <c r="G544" i="10"/>
  <c r="H544" i="10"/>
  <c r="A545" i="10"/>
  <c r="B545" i="10"/>
  <c r="C545" i="10"/>
  <c r="D545" i="10"/>
  <c r="E545" i="10"/>
  <c r="F545" i="10"/>
  <c r="G545" i="10"/>
  <c r="H545" i="10"/>
  <c r="A546" i="10"/>
  <c r="B546" i="10"/>
  <c r="C546" i="10"/>
  <c r="D546" i="10"/>
  <c r="E546" i="10"/>
  <c r="F546" i="10"/>
  <c r="G546" i="10"/>
  <c r="H546" i="10"/>
  <c r="A547" i="10"/>
  <c r="B547" i="10"/>
  <c r="C547" i="10"/>
  <c r="D547" i="10"/>
  <c r="E547" i="10"/>
  <c r="F547" i="10"/>
  <c r="G547" i="10"/>
  <c r="H547" i="10"/>
  <c r="A548" i="10"/>
  <c r="B548" i="10"/>
  <c r="C548" i="10"/>
  <c r="D548" i="10"/>
  <c r="E548" i="10"/>
  <c r="F548" i="10"/>
  <c r="G548" i="10"/>
  <c r="H548" i="10"/>
  <c r="A549" i="10"/>
  <c r="B549" i="10"/>
  <c r="C549" i="10"/>
  <c r="D549" i="10"/>
  <c r="E549" i="10"/>
  <c r="F549" i="10"/>
  <c r="G549" i="10"/>
  <c r="H549" i="10"/>
  <c r="A550" i="10"/>
  <c r="B550" i="10"/>
  <c r="C550" i="10"/>
  <c r="D550" i="10"/>
  <c r="E550" i="10"/>
  <c r="F550" i="10"/>
  <c r="G550" i="10"/>
  <c r="H550" i="10"/>
  <c r="A551" i="10"/>
  <c r="B551" i="10"/>
  <c r="C551" i="10"/>
  <c r="D551" i="10"/>
  <c r="E551" i="10"/>
  <c r="F551" i="10"/>
  <c r="G551" i="10"/>
  <c r="H551" i="10"/>
  <c r="A552" i="10"/>
  <c r="B552" i="10"/>
  <c r="C552" i="10"/>
  <c r="D552" i="10"/>
  <c r="E552" i="10"/>
  <c r="F552" i="10"/>
  <c r="G552" i="10"/>
  <c r="H552" i="10"/>
  <c r="A553" i="10"/>
  <c r="B553" i="10"/>
  <c r="C553" i="10"/>
  <c r="D553" i="10"/>
  <c r="E553" i="10"/>
  <c r="F553" i="10"/>
  <c r="G553" i="10"/>
  <c r="H553" i="10"/>
  <c r="A554" i="10"/>
  <c r="B554" i="10"/>
  <c r="C554" i="10"/>
  <c r="D554" i="10"/>
  <c r="E554" i="10"/>
  <c r="F554" i="10"/>
  <c r="G554" i="10"/>
  <c r="H554" i="10"/>
  <c r="A555" i="10"/>
  <c r="B555" i="10"/>
  <c r="C555" i="10"/>
  <c r="D555" i="10"/>
  <c r="E555" i="10"/>
  <c r="F555" i="10"/>
  <c r="G555" i="10"/>
  <c r="H555" i="10"/>
  <c r="A556" i="10"/>
  <c r="B556" i="10"/>
  <c r="C556" i="10"/>
  <c r="D556" i="10"/>
  <c r="E556" i="10"/>
  <c r="F556" i="10"/>
  <c r="G556" i="10"/>
  <c r="H556" i="10"/>
  <c r="A557" i="10"/>
  <c r="B557" i="10"/>
  <c r="C557" i="10"/>
  <c r="D557" i="10"/>
  <c r="E557" i="10"/>
  <c r="F557" i="10"/>
  <c r="G557" i="10"/>
  <c r="H557" i="10"/>
  <c r="A558" i="10"/>
  <c r="B558" i="10"/>
  <c r="C558" i="10"/>
  <c r="D558" i="10"/>
  <c r="E558" i="10"/>
  <c r="F558" i="10"/>
  <c r="G558" i="10"/>
  <c r="H558" i="10"/>
  <c r="A559" i="10"/>
  <c r="B559" i="10"/>
  <c r="C559" i="10"/>
  <c r="D559" i="10"/>
  <c r="E559" i="10"/>
  <c r="F559" i="10"/>
  <c r="G559" i="10"/>
  <c r="H559" i="10"/>
  <c r="A560" i="10"/>
  <c r="B560" i="10"/>
  <c r="C560" i="10"/>
  <c r="D560" i="10"/>
  <c r="E560" i="10"/>
  <c r="F560" i="10"/>
  <c r="G560" i="10"/>
  <c r="H560" i="10"/>
  <c r="A561" i="10"/>
  <c r="B561" i="10"/>
  <c r="C561" i="10"/>
  <c r="D561" i="10"/>
  <c r="E561" i="10"/>
  <c r="F561" i="10"/>
  <c r="G561" i="10"/>
  <c r="H561" i="10"/>
  <c r="A562" i="10"/>
  <c r="B562" i="10"/>
  <c r="C562" i="10"/>
  <c r="D562" i="10"/>
  <c r="E562" i="10"/>
  <c r="F562" i="10"/>
  <c r="G562" i="10"/>
  <c r="H562" i="10"/>
  <c r="A563" i="10"/>
  <c r="B563" i="10"/>
  <c r="C563" i="10"/>
  <c r="D563" i="10"/>
  <c r="E563" i="10"/>
  <c r="F563" i="10"/>
  <c r="G563" i="10"/>
  <c r="H563" i="10"/>
  <c r="A564" i="10"/>
  <c r="B564" i="10"/>
  <c r="C564" i="10"/>
  <c r="D564" i="10"/>
  <c r="E564" i="10"/>
  <c r="F564" i="10"/>
  <c r="G564" i="10"/>
  <c r="H564" i="10"/>
  <c r="A565" i="10"/>
  <c r="B565" i="10"/>
  <c r="C565" i="10"/>
  <c r="D565" i="10"/>
  <c r="E565" i="10"/>
  <c r="F565" i="10"/>
  <c r="G565" i="10"/>
  <c r="H565" i="10"/>
  <c r="A566" i="10"/>
  <c r="B566" i="10"/>
  <c r="C566" i="10"/>
  <c r="D566" i="10"/>
  <c r="E566" i="10"/>
  <c r="F566" i="10"/>
  <c r="G566" i="10"/>
  <c r="H566" i="10"/>
  <c r="A567" i="10"/>
  <c r="B567" i="10"/>
  <c r="C567" i="10"/>
  <c r="D567" i="10"/>
  <c r="E567" i="10"/>
  <c r="F567" i="10"/>
  <c r="G567" i="10"/>
  <c r="H567" i="10"/>
  <c r="A568" i="10"/>
  <c r="B568" i="10"/>
  <c r="C568" i="10"/>
  <c r="D568" i="10"/>
  <c r="E568" i="10"/>
  <c r="F568" i="10"/>
  <c r="G568" i="10"/>
  <c r="H568" i="10"/>
  <c r="A569" i="10"/>
  <c r="B569" i="10"/>
  <c r="C569" i="10"/>
  <c r="D569" i="10"/>
  <c r="E569" i="10"/>
  <c r="F569" i="10"/>
  <c r="G569" i="10"/>
  <c r="H569" i="10"/>
  <c r="A570" i="10"/>
  <c r="B570" i="10"/>
  <c r="C570" i="10"/>
  <c r="D570" i="10"/>
  <c r="E570" i="10"/>
  <c r="F570" i="10"/>
  <c r="G570" i="10"/>
  <c r="H570" i="10"/>
  <c r="A571" i="10"/>
  <c r="B571" i="10"/>
  <c r="C571" i="10"/>
  <c r="D571" i="10"/>
  <c r="E571" i="10"/>
  <c r="F571" i="10"/>
  <c r="G571" i="10"/>
  <c r="H571" i="10"/>
  <c r="A572" i="10"/>
  <c r="B572" i="10"/>
  <c r="C572" i="10"/>
  <c r="D572" i="10"/>
  <c r="E572" i="10"/>
  <c r="F572" i="10"/>
  <c r="G572" i="10"/>
  <c r="H572" i="10"/>
  <c r="A573" i="10"/>
  <c r="B573" i="10"/>
  <c r="C573" i="10"/>
  <c r="D573" i="10"/>
  <c r="E573" i="10"/>
  <c r="F573" i="10"/>
  <c r="G573" i="10"/>
  <c r="H573" i="10"/>
  <c r="A574" i="10"/>
  <c r="B574" i="10"/>
  <c r="C574" i="10"/>
  <c r="D574" i="10"/>
  <c r="E574" i="10"/>
  <c r="F574" i="10"/>
  <c r="G574" i="10"/>
  <c r="H574" i="10"/>
  <c r="A575" i="10"/>
  <c r="B575" i="10"/>
  <c r="C575" i="10"/>
  <c r="D575" i="10"/>
  <c r="E575" i="10"/>
  <c r="F575" i="10"/>
  <c r="G575" i="10"/>
  <c r="H575" i="10"/>
  <c r="A576" i="10"/>
  <c r="B576" i="10"/>
  <c r="C576" i="10"/>
  <c r="D576" i="10"/>
  <c r="E576" i="10"/>
  <c r="F576" i="10"/>
  <c r="G576" i="10"/>
  <c r="H576" i="10"/>
  <c r="A577" i="10"/>
  <c r="B577" i="10"/>
  <c r="C577" i="10"/>
  <c r="D577" i="10"/>
  <c r="E577" i="10"/>
  <c r="F577" i="10"/>
  <c r="G577" i="10"/>
  <c r="H577" i="10"/>
  <c r="A578" i="10"/>
  <c r="B578" i="10"/>
  <c r="C578" i="10"/>
  <c r="D578" i="10"/>
  <c r="E578" i="10"/>
  <c r="F578" i="10"/>
  <c r="G578" i="10"/>
  <c r="H578" i="10"/>
  <c r="A579" i="10"/>
  <c r="B579" i="10"/>
  <c r="C579" i="10"/>
  <c r="D579" i="10"/>
  <c r="E579" i="10"/>
  <c r="F579" i="10"/>
  <c r="G579" i="10"/>
  <c r="H579" i="10"/>
  <c r="A580" i="10"/>
  <c r="B580" i="10"/>
  <c r="C580" i="10"/>
  <c r="D580" i="10"/>
  <c r="E580" i="10"/>
  <c r="F580" i="10"/>
  <c r="G580" i="10"/>
  <c r="H580" i="10"/>
  <c r="A581" i="10"/>
  <c r="B581" i="10"/>
  <c r="C581" i="10"/>
  <c r="D581" i="10"/>
  <c r="E581" i="10"/>
  <c r="F581" i="10"/>
  <c r="G581" i="10"/>
  <c r="H581" i="10"/>
  <c r="A582" i="10"/>
  <c r="B582" i="10"/>
  <c r="C582" i="10"/>
  <c r="D582" i="10"/>
  <c r="E582" i="10"/>
  <c r="F582" i="10"/>
  <c r="G582" i="10"/>
  <c r="H582" i="10"/>
  <c r="A583" i="10"/>
  <c r="B583" i="10"/>
  <c r="C583" i="10"/>
  <c r="D583" i="10"/>
  <c r="E583" i="10"/>
  <c r="F583" i="10"/>
  <c r="G583" i="10"/>
  <c r="H583" i="10"/>
  <c r="A584" i="10"/>
  <c r="B584" i="10"/>
  <c r="C584" i="10"/>
  <c r="D584" i="10"/>
  <c r="E584" i="10"/>
  <c r="F584" i="10"/>
  <c r="G584" i="10"/>
  <c r="H584" i="10"/>
  <c r="A585" i="10"/>
  <c r="B585" i="10"/>
  <c r="C585" i="10"/>
  <c r="D585" i="10"/>
  <c r="E585" i="10"/>
  <c r="F585" i="10"/>
  <c r="G585" i="10"/>
  <c r="H585" i="10"/>
  <c r="A586" i="10"/>
  <c r="B586" i="10"/>
  <c r="C586" i="10"/>
  <c r="D586" i="10"/>
  <c r="E586" i="10"/>
  <c r="F586" i="10"/>
  <c r="G586" i="10"/>
  <c r="H586" i="10"/>
  <c r="A587" i="10"/>
  <c r="B587" i="10"/>
  <c r="C587" i="10"/>
  <c r="D587" i="10"/>
  <c r="E587" i="10"/>
  <c r="F587" i="10"/>
  <c r="G587" i="10"/>
  <c r="H587" i="10"/>
  <c r="A588" i="10"/>
  <c r="B588" i="10"/>
  <c r="C588" i="10"/>
  <c r="D588" i="10"/>
  <c r="E588" i="10"/>
  <c r="F588" i="10"/>
  <c r="G588" i="10"/>
  <c r="H588" i="10"/>
  <c r="A589" i="10"/>
  <c r="B589" i="10"/>
  <c r="C589" i="10"/>
  <c r="D589" i="10"/>
  <c r="E589" i="10"/>
  <c r="F589" i="10"/>
  <c r="G589" i="10"/>
  <c r="H589" i="10"/>
  <c r="A590" i="10"/>
  <c r="B590" i="10"/>
  <c r="C590" i="10"/>
  <c r="D590" i="10"/>
  <c r="E590" i="10"/>
  <c r="F590" i="10"/>
  <c r="G590" i="10"/>
  <c r="H590" i="10"/>
  <c r="A591" i="10"/>
  <c r="B591" i="10"/>
  <c r="C591" i="10"/>
  <c r="D591" i="10"/>
  <c r="E591" i="10"/>
  <c r="F591" i="10"/>
  <c r="G591" i="10"/>
  <c r="H591" i="10"/>
  <c r="A592" i="10"/>
  <c r="B592" i="10"/>
  <c r="C592" i="10"/>
  <c r="D592" i="10"/>
  <c r="E592" i="10"/>
  <c r="F592" i="10"/>
  <c r="G592" i="10"/>
  <c r="H592" i="10"/>
  <c r="A593" i="10"/>
  <c r="B593" i="10"/>
  <c r="C593" i="10"/>
  <c r="D593" i="10"/>
  <c r="E593" i="10"/>
  <c r="F593" i="10"/>
  <c r="G593" i="10"/>
  <c r="H593" i="10"/>
  <c r="A594" i="10"/>
  <c r="B594" i="10"/>
  <c r="C594" i="10"/>
  <c r="D594" i="10"/>
  <c r="E594" i="10"/>
  <c r="F594" i="10"/>
  <c r="G594" i="10"/>
  <c r="H594" i="10"/>
  <c r="A595" i="10"/>
  <c r="B595" i="10"/>
  <c r="C595" i="10"/>
  <c r="D595" i="10"/>
  <c r="E595" i="10"/>
  <c r="F595" i="10"/>
  <c r="G595" i="10"/>
  <c r="H595" i="10"/>
  <c r="A596" i="10"/>
  <c r="B596" i="10"/>
  <c r="C596" i="10"/>
  <c r="D596" i="10"/>
  <c r="E596" i="10"/>
  <c r="F596" i="10"/>
  <c r="G596" i="10"/>
  <c r="H596" i="10"/>
  <c r="A597" i="10"/>
  <c r="B597" i="10"/>
  <c r="C597" i="10"/>
  <c r="D597" i="10"/>
  <c r="E597" i="10"/>
  <c r="F597" i="10"/>
  <c r="G597" i="10"/>
  <c r="H597" i="10"/>
  <c r="A598" i="10"/>
  <c r="B598" i="10"/>
  <c r="C598" i="10"/>
  <c r="D598" i="10"/>
  <c r="E598" i="10"/>
  <c r="F598" i="10"/>
  <c r="G598" i="10"/>
  <c r="H598" i="10"/>
  <c r="A599" i="10"/>
  <c r="B599" i="10"/>
  <c r="C599" i="10"/>
  <c r="D599" i="10"/>
  <c r="E599" i="10"/>
  <c r="F599" i="10"/>
  <c r="G599" i="10"/>
  <c r="H599" i="10"/>
  <c r="A600" i="10"/>
  <c r="B600" i="10"/>
  <c r="C600" i="10"/>
  <c r="D600" i="10"/>
  <c r="E600" i="10"/>
  <c r="F600" i="10"/>
  <c r="G600" i="10"/>
  <c r="H600" i="10"/>
  <c r="A601" i="10"/>
  <c r="B601" i="10"/>
  <c r="C601" i="10"/>
  <c r="D601" i="10"/>
  <c r="E601" i="10"/>
  <c r="F601" i="10"/>
  <c r="G601" i="10"/>
  <c r="H601" i="10"/>
  <c r="A602" i="10"/>
  <c r="B602" i="10"/>
  <c r="C602" i="10"/>
  <c r="D602" i="10"/>
  <c r="E602" i="10"/>
  <c r="F602" i="10"/>
  <c r="G602" i="10"/>
  <c r="H602" i="10"/>
  <c r="A603" i="10"/>
  <c r="B603" i="10"/>
  <c r="C603" i="10"/>
  <c r="D603" i="10"/>
  <c r="E603" i="10"/>
  <c r="F603" i="10"/>
  <c r="G603" i="10"/>
  <c r="H603" i="10"/>
  <c r="A604" i="10"/>
  <c r="B604" i="10"/>
  <c r="C604" i="10"/>
  <c r="D604" i="10"/>
  <c r="E604" i="10"/>
  <c r="F604" i="10"/>
  <c r="G604" i="10"/>
  <c r="H604" i="10"/>
  <c r="A605" i="10"/>
  <c r="B605" i="10"/>
  <c r="C605" i="10"/>
  <c r="D605" i="10"/>
  <c r="E605" i="10"/>
  <c r="F605" i="10"/>
  <c r="G605" i="10"/>
  <c r="H605" i="10"/>
  <c r="A606" i="10"/>
  <c r="B606" i="10"/>
  <c r="C606" i="10"/>
  <c r="D606" i="10"/>
  <c r="E606" i="10"/>
  <c r="F606" i="10"/>
  <c r="G606" i="10"/>
  <c r="H606" i="10"/>
  <c r="A607" i="10"/>
  <c r="B607" i="10"/>
  <c r="C607" i="10"/>
  <c r="D607" i="10"/>
  <c r="E607" i="10"/>
  <c r="F607" i="10"/>
  <c r="G607" i="10"/>
  <c r="H607" i="10"/>
  <c r="A608" i="10"/>
  <c r="B608" i="10"/>
  <c r="C608" i="10"/>
  <c r="D608" i="10"/>
  <c r="E608" i="10"/>
  <c r="F608" i="10"/>
  <c r="G608" i="10"/>
  <c r="H608" i="10"/>
  <c r="A609" i="10"/>
  <c r="B609" i="10"/>
  <c r="C609" i="10"/>
  <c r="D609" i="10"/>
  <c r="E609" i="10"/>
  <c r="F609" i="10"/>
  <c r="G609" i="10"/>
  <c r="H609" i="10"/>
  <c r="A610" i="10"/>
  <c r="B610" i="10"/>
  <c r="C610" i="10"/>
  <c r="D610" i="10"/>
  <c r="E610" i="10"/>
  <c r="F610" i="10"/>
  <c r="G610" i="10"/>
  <c r="H610" i="10"/>
  <c r="A611" i="10"/>
  <c r="B611" i="10"/>
  <c r="C611" i="10"/>
  <c r="D611" i="10"/>
  <c r="E611" i="10"/>
  <c r="F611" i="10"/>
  <c r="G611" i="10"/>
  <c r="H611" i="10"/>
  <c r="A612" i="10"/>
  <c r="B612" i="10"/>
  <c r="C612" i="10"/>
  <c r="D612" i="10"/>
  <c r="E612" i="10"/>
  <c r="F612" i="10"/>
  <c r="G612" i="10"/>
  <c r="H612" i="10"/>
  <c r="A613" i="10"/>
  <c r="B613" i="10"/>
  <c r="C613" i="10"/>
  <c r="D613" i="10"/>
  <c r="E613" i="10"/>
  <c r="F613" i="10"/>
  <c r="G613" i="10"/>
  <c r="H613" i="10"/>
  <c r="A614" i="10"/>
  <c r="B614" i="10"/>
  <c r="C614" i="10"/>
  <c r="D614" i="10"/>
  <c r="E614" i="10"/>
  <c r="F614" i="10"/>
  <c r="G614" i="10"/>
  <c r="H614" i="10"/>
  <c r="A615" i="10"/>
  <c r="B615" i="10"/>
  <c r="C615" i="10"/>
  <c r="D615" i="10"/>
  <c r="E615" i="10"/>
  <c r="F615" i="10"/>
  <c r="G615" i="10"/>
  <c r="H615" i="10"/>
  <c r="A616" i="10"/>
  <c r="B616" i="10"/>
  <c r="C616" i="10"/>
  <c r="D616" i="10"/>
  <c r="E616" i="10"/>
  <c r="F616" i="10"/>
  <c r="G616" i="10"/>
  <c r="H616" i="10"/>
  <c r="A617" i="10"/>
  <c r="B617" i="10"/>
  <c r="C617" i="10"/>
  <c r="D617" i="10"/>
  <c r="E617" i="10"/>
  <c r="F617" i="10"/>
  <c r="G617" i="10"/>
  <c r="H617" i="10"/>
  <c r="A618" i="10"/>
  <c r="B618" i="10"/>
  <c r="C618" i="10"/>
  <c r="D618" i="10"/>
  <c r="E618" i="10"/>
  <c r="F618" i="10"/>
  <c r="G618" i="10"/>
  <c r="H618" i="10"/>
  <c r="A619" i="10"/>
  <c r="B619" i="10"/>
  <c r="C619" i="10"/>
  <c r="D619" i="10"/>
  <c r="E619" i="10"/>
  <c r="F619" i="10"/>
  <c r="G619" i="10"/>
  <c r="H619" i="10"/>
  <c r="A620" i="10"/>
  <c r="B620" i="10"/>
  <c r="C620" i="10"/>
  <c r="D620" i="10"/>
  <c r="E620" i="10"/>
  <c r="F620" i="10"/>
  <c r="G620" i="10"/>
  <c r="H620" i="10"/>
  <c r="A621" i="10"/>
  <c r="B621" i="10"/>
  <c r="C621" i="10"/>
  <c r="D621" i="10"/>
  <c r="E621" i="10"/>
  <c r="F621" i="10"/>
  <c r="G621" i="10"/>
  <c r="H621" i="10"/>
  <c r="A622" i="10"/>
  <c r="B622" i="10"/>
  <c r="C622" i="10"/>
  <c r="D622" i="10"/>
  <c r="E622" i="10"/>
  <c r="F622" i="10"/>
  <c r="G622" i="10"/>
  <c r="H622" i="10"/>
  <c r="A623" i="10"/>
  <c r="B623" i="10"/>
  <c r="C623" i="10"/>
  <c r="D623" i="10"/>
  <c r="E623" i="10"/>
  <c r="F623" i="10"/>
  <c r="G623" i="10"/>
  <c r="H623" i="10"/>
  <c r="A624" i="10"/>
  <c r="B624" i="10"/>
  <c r="C624" i="10"/>
  <c r="D624" i="10"/>
  <c r="E624" i="10"/>
  <c r="F624" i="10"/>
  <c r="G624" i="10"/>
  <c r="H624" i="10"/>
  <c r="A625" i="10"/>
  <c r="B625" i="10"/>
  <c r="C625" i="10"/>
  <c r="D625" i="10"/>
  <c r="E625" i="10"/>
  <c r="F625" i="10"/>
  <c r="G625" i="10"/>
  <c r="H625" i="10"/>
  <c r="A626" i="10"/>
  <c r="B626" i="10"/>
  <c r="C626" i="10"/>
  <c r="D626" i="10"/>
  <c r="E626" i="10"/>
  <c r="F626" i="10"/>
  <c r="G626" i="10"/>
  <c r="H626" i="10"/>
  <c r="A627" i="10"/>
  <c r="B627" i="10"/>
  <c r="C627" i="10"/>
  <c r="D627" i="10"/>
  <c r="E627" i="10"/>
  <c r="F627" i="10"/>
  <c r="G627" i="10"/>
  <c r="H627" i="10"/>
  <c r="A628" i="10"/>
  <c r="B628" i="10"/>
  <c r="C628" i="10"/>
  <c r="D628" i="10"/>
  <c r="E628" i="10"/>
  <c r="F628" i="10"/>
  <c r="G628" i="10"/>
  <c r="H628" i="10"/>
  <c r="A629" i="10"/>
  <c r="B629" i="10"/>
  <c r="C629" i="10"/>
  <c r="D629" i="10"/>
  <c r="E629" i="10"/>
  <c r="F629" i="10"/>
  <c r="G629" i="10"/>
  <c r="H629" i="10"/>
  <c r="A630" i="10"/>
  <c r="B630" i="10"/>
  <c r="C630" i="10"/>
  <c r="D630" i="10"/>
  <c r="E630" i="10"/>
  <c r="F630" i="10"/>
  <c r="G630" i="10"/>
  <c r="H630" i="10"/>
  <c r="A631" i="10"/>
  <c r="B631" i="10"/>
  <c r="C631" i="10"/>
  <c r="D631" i="10"/>
  <c r="E631" i="10"/>
  <c r="F631" i="10"/>
  <c r="G631" i="10"/>
  <c r="H631" i="10"/>
  <c r="A632" i="10"/>
  <c r="B632" i="10"/>
  <c r="C632" i="10"/>
  <c r="D632" i="10"/>
  <c r="E632" i="10"/>
  <c r="F632" i="10"/>
  <c r="G632" i="10"/>
  <c r="H632" i="10"/>
  <c r="A633" i="10"/>
  <c r="B633" i="10"/>
  <c r="C633" i="10"/>
  <c r="D633" i="10"/>
  <c r="E633" i="10"/>
  <c r="F633" i="10"/>
  <c r="G633" i="10"/>
  <c r="H633" i="10"/>
  <c r="A634" i="10"/>
  <c r="B634" i="10"/>
  <c r="C634" i="10"/>
  <c r="D634" i="10"/>
  <c r="E634" i="10"/>
  <c r="F634" i="10"/>
  <c r="G634" i="10"/>
  <c r="H634" i="10"/>
  <c r="A635" i="10"/>
  <c r="B635" i="10"/>
  <c r="C635" i="10"/>
  <c r="D635" i="10"/>
  <c r="E635" i="10"/>
  <c r="F635" i="10"/>
  <c r="G635" i="10"/>
  <c r="H635" i="10"/>
  <c r="A636" i="10"/>
  <c r="B636" i="10"/>
  <c r="C636" i="10"/>
  <c r="D636" i="10"/>
  <c r="E636" i="10"/>
  <c r="F636" i="10"/>
  <c r="G636" i="10"/>
  <c r="H636" i="10"/>
  <c r="A637" i="10"/>
  <c r="B637" i="10"/>
  <c r="C637" i="10"/>
  <c r="D637" i="10"/>
  <c r="E637" i="10"/>
  <c r="F637" i="10"/>
  <c r="G637" i="10"/>
  <c r="H637" i="10"/>
  <c r="A638" i="10"/>
  <c r="B638" i="10"/>
  <c r="C638" i="10"/>
  <c r="D638" i="10"/>
  <c r="E638" i="10"/>
  <c r="F638" i="10"/>
  <c r="G638" i="10"/>
  <c r="H638" i="10"/>
  <c r="A639" i="10"/>
  <c r="B639" i="10"/>
  <c r="C639" i="10"/>
  <c r="D639" i="10"/>
  <c r="E639" i="10"/>
  <c r="F639" i="10"/>
  <c r="G639" i="10"/>
  <c r="H639" i="10"/>
  <c r="A640" i="10"/>
  <c r="B640" i="10"/>
  <c r="C640" i="10"/>
  <c r="D640" i="10"/>
  <c r="E640" i="10"/>
  <c r="F640" i="10"/>
  <c r="G640" i="10"/>
  <c r="H640" i="10"/>
  <c r="A641" i="10"/>
  <c r="B641" i="10"/>
  <c r="C641" i="10"/>
  <c r="D641" i="10"/>
  <c r="E641" i="10"/>
  <c r="F641" i="10"/>
  <c r="G641" i="10"/>
  <c r="H641" i="10"/>
  <c r="A642" i="10"/>
  <c r="B642" i="10"/>
  <c r="C642" i="10"/>
  <c r="D642" i="10"/>
  <c r="E642" i="10"/>
  <c r="F642" i="10"/>
  <c r="G642" i="10"/>
  <c r="H642" i="10"/>
  <c r="A643" i="10"/>
  <c r="B643" i="10"/>
  <c r="C643" i="10"/>
  <c r="D643" i="10"/>
  <c r="E643" i="10"/>
  <c r="F643" i="10"/>
  <c r="G643" i="10"/>
  <c r="H643" i="10"/>
  <c r="A644" i="10"/>
  <c r="B644" i="10"/>
  <c r="C644" i="10"/>
  <c r="D644" i="10"/>
  <c r="E644" i="10"/>
  <c r="F644" i="10"/>
  <c r="G644" i="10"/>
  <c r="H644" i="10"/>
  <c r="A645" i="10"/>
  <c r="B645" i="10"/>
  <c r="C645" i="10"/>
  <c r="D645" i="10"/>
  <c r="E645" i="10"/>
  <c r="F645" i="10"/>
  <c r="G645" i="10"/>
  <c r="H645" i="10"/>
  <c r="A646" i="10"/>
  <c r="B646" i="10"/>
  <c r="C646" i="10"/>
  <c r="D646" i="10"/>
  <c r="E646" i="10"/>
  <c r="F646" i="10"/>
  <c r="G646" i="10"/>
  <c r="H646" i="10"/>
  <c r="A647" i="10"/>
  <c r="B647" i="10"/>
  <c r="C647" i="10"/>
  <c r="D647" i="10"/>
  <c r="E647" i="10"/>
  <c r="F647" i="10"/>
  <c r="G647" i="10"/>
  <c r="H647" i="10"/>
  <c r="A648" i="10"/>
  <c r="B648" i="10"/>
  <c r="C648" i="10"/>
  <c r="D648" i="10"/>
  <c r="E648" i="10"/>
  <c r="F648" i="10"/>
  <c r="G648" i="10"/>
  <c r="H648" i="10"/>
  <c r="A649" i="10"/>
  <c r="B649" i="10"/>
  <c r="C649" i="10"/>
  <c r="D649" i="10"/>
  <c r="E649" i="10"/>
  <c r="F649" i="10"/>
  <c r="G649" i="10"/>
  <c r="H649" i="10"/>
  <c r="A650" i="10"/>
  <c r="B650" i="10"/>
  <c r="C650" i="10"/>
  <c r="D650" i="10"/>
  <c r="E650" i="10"/>
  <c r="F650" i="10"/>
  <c r="G650" i="10"/>
  <c r="H650" i="10"/>
  <c r="A651" i="10"/>
  <c r="B651" i="10"/>
  <c r="C651" i="10"/>
  <c r="D651" i="10"/>
  <c r="E651" i="10"/>
  <c r="F651" i="10"/>
  <c r="G651" i="10"/>
  <c r="H651" i="10"/>
  <c r="A652" i="10"/>
  <c r="B652" i="10"/>
  <c r="C652" i="10"/>
  <c r="D652" i="10"/>
  <c r="E652" i="10"/>
  <c r="F652" i="10"/>
  <c r="G652" i="10"/>
  <c r="H652" i="10"/>
  <c r="A653" i="10"/>
  <c r="B653" i="10"/>
  <c r="C653" i="10"/>
  <c r="D653" i="10"/>
  <c r="E653" i="10"/>
  <c r="F653" i="10"/>
  <c r="G653" i="10"/>
  <c r="H653" i="10"/>
  <c r="A654" i="10"/>
  <c r="B654" i="10"/>
  <c r="C654" i="10"/>
  <c r="D654" i="10"/>
  <c r="E654" i="10"/>
  <c r="F654" i="10"/>
  <c r="G654" i="10"/>
  <c r="H654" i="10"/>
  <c r="A655" i="10"/>
  <c r="B655" i="10"/>
  <c r="C655" i="10"/>
  <c r="D655" i="10"/>
  <c r="E655" i="10"/>
  <c r="F655" i="10"/>
  <c r="G655" i="10"/>
  <c r="H655" i="10"/>
  <c r="A656" i="10"/>
  <c r="B656" i="10"/>
  <c r="C656" i="10"/>
  <c r="D656" i="10"/>
  <c r="E656" i="10"/>
  <c r="F656" i="10"/>
  <c r="G656" i="10"/>
  <c r="H656" i="10"/>
  <c r="A657" i="10"/>
  <c r="B657" i="10"/>
  <c r="C657" i="10"/>
  <c r="D657" i="10"/>
  <c r="E657" i="10"/>
  <c r="F657" i="10"/>
  <c r="G657" i="10"/>
  <c r="H657" i="10"/>
  <c r="A658" i="10"/>
  <c r="B658" i="10"/>
  <c r="C658" i="10"/>
  <c r="D658" i="10"/>
  <c r="E658" i="10"/>
  <c r="F658" i="10"/>
  <c r="G658" i="10"/>
  <c r="H658" i="10"/>
  <c r="A659" i="10"/>
  <c r="B659" i="10"/>
  <c r="C659" i="10"/>
  <c r="D659" i="10"/>
  <c r="E659" i="10"/>
  <c r="F659" i="10"/>
  <c r="G659" i="10"/>
  <c r="H659" i="10"/>
  <c r="A660" i="10"/>
  <c r="B660" i="10"/>
  <c r="C660" i="10"/>
  <c r="D660" i="10"/>
  <c r="E660" i="10"/>
  <c r="F660" i="10"/>
  <c r="G660" i="10"/>
  <c r="H660" i="10"/>
  <c r="A661" i="10"/>
  <c r="B661" i="10"/>
  <c r="C661" i="10"/>
  <c r="D661" i="10"/>
  <c r="E661" i="10"/>
  <c r="F661" i="10"/>
  <c r="G661" i="10"/>
  <c r="H661" i="10"/>
  <c r="A662" i="10"/>
  <c r="B662" i="10"/>
  <c r="C662" i="10"/>
  <c r="D662" i="10"/>
  <c r="E662" i="10"/>
  <c r="F662" i="10"/>
  <c r="G662" i="10"/>
  <c r="H662" i="10"/>
  <c r="A663" i="10"/>
  <c r="B663" i="10"/>
  <c r="C663" i="10"/>
  <c r="D663" i="10"/>
  <c r="E663" i="10"/>
  <c r="F663" i="10"/>
  <c r="G663" i="10"/>
  <c r="H663" i="10"/>
  <c r="A664" i="10"/>
  <c r="B664" i="10"/>
  <c r="C664" i="10"/>
  <c r="D664" i="10"/>
  <c r="E664" i="10"/>
  <c r="F664" i="10"/>
  <c r="G664" i="10"/>
  <c r="H664" i="10"/>
  <c r="A665" i="10"/>
  <c r="B665" i="10"/>
  <c r="C665" i="10"/>
  <c r="D665" i="10"/>
  <c r="E665" i="10"/>
  <c r="F665" i="10"/>
  <c r="G665" i="10"/>
  <c r="H665" i="10"/>
  <c r="A666" i="10"/>
  <c r="B666" i="10"/>
  <c r="C666" i="10"/>
  <c r="D666" i="10"/>
  <c r="E666" i="10"/>
  <c r="F666" i="10"/>
  <c r="G666" i="10"/>
  <c r="H666" i="10"/>
  <c r="A667" i="10"/>
  <c r="B667" i="10"/>
  <c r="C667" i="10"/>
  <c r="D667" i="10"/>
  <c r="E667" i="10"/>
  <c r="F667" i="10"/>
  <c r="G667" i="10"/>
  <c r="H667" i="10"/>
  <c r="A668" i="10"/>
  <c r="B668" i="10"/>
  <c r="C668" i="10"/>
  <c r="D668" i="10"/>
  <c r="E668" i="10"/>
  <c r="F668" i="10"/>
  <c r="G668" i="10"/>
  <c r="H668" i="10"/>
  <c r="A669" i="10"/>
  <c r="B669" i="10"/>
  <c r="C669" i="10"/>
  <c r="D669" i="10"/>
  <c r="E669" i="10"/>
  <c r="F669" i="10"/>
  <c r="G669" i="10"/>
  <c r="H669" i="10"/>
  <c r="A670" i="10"/>
  <c r="B670" i="10"/>
  <c r="C670" i="10"/>
  <c r="D670" i="10"/>
  <c r="E670" i="10"/>
  <c r="F670" i="10"/>
  <c r="G670" i="10"/>
  <c r="H670" i="10"/>
  <c r="A671" i="10"/>
  <c r="B671" i="10"/>
  <c r="C671" i="10"/>
  <c r="D671" i="10"/>
  <c r="E671" i="10"/>
  <c r="F671" i="10"/>
  <c r="G671" i="10"/>
  <c r="H671" i="10"/>
  <c r="A672" i="10"/>
  <c r="B672" i="10"/>
  <c r="C672" i="10"/>
  <c r="D672" i="10"/>
  <c r="E672" i="10"/>
  <c r="F672" i="10"/>
  <c r="G672" i="10"/>
  <c r="H672" i="10"/>
  <c r="A673" i="10"/>
  <c r="B673" i="10"/>
  <c r="C673" i="10"/>
  <c r="D673" i="10"/>
  <c r="E673" i="10"/>
  <c r="F673" i="10"/>
  <c r="G673" i="10"/>
  <c r="H673" i="10"/>
  <c r="A674" i="10"/>
  <c r="B674" i="10"/>
  <c r="C674" i="10"/>
  <c r="D674" i="10"/>
  <c r="E674" i="10"/>
  <c r="F674" i="10"/>
  <c r="G674" i="10"/>
  <c r="H674" i="10"/>
  <c r="A675" i="10"/>
  <c r="B675" i="10"/>
  <c r="C675" i="10"/>
  <c r="D675" i="10"/>
  <c r="E675" i="10"/>
  <c r="F675" i="10"/>
  <c r="G675" i="10"/>
  <c r="H675" i="10"/>
  <c r="A676" i="10"/>
  <c r="B676" i="10"/>
  <c r="C676" i="10"/>
  <c r="D676" i="10"/>
  <c r="E676" i="10"/>
  <c r="F676" i="10"/>
  <c r="G676" i="10"/>
  <c r="H676" i="10"/>
  <c r="A677" i="10"/>
  <c r="B677" i="10"/>
  <c r="C677" i="10"/>
  <c r="D677" i="10"/>
  <c r="E677" i="10"/>
  <c r="F677" i="10"/>
  <c r="G677" i="10"/>
  <c r="H677" i="10"/>
  <c r="A678" i="10"/>
  <c r="B678" i="10"/>
  <c r="C678" i="10"/>
  <c r="D678" i="10"/>
  <c r="E678" i="10"/>
  <c r="F678" i="10"/>
  <c r="G678" i="10"/>
  <c r="H678" i="10"/>
  <c r="A679" i="10"/>
  <c r="B679" i="10"/>
  <c r="C679" i="10"/>
  <c r="D679" i="10"/>
  <c r="E679" i="10"/>
  <c r="F679" i="10"/>
  <c r="G679" i="10"/>
  <c r="H679" i="10"/>
  <c r="A680" i="10"/>
  <c r="B680" i="10"/>
  <c r="C680" i="10"/>
  <c r="D680" i="10"/>
  <c r="E680" i="10"/>
  <c r="F680" i="10"/>
  <c r="G680" i="10"/>
  <c r="H680" i="10"/>
  <c r="A681" i="10"/>
  <c r="B681" i="10"/>
  <c r="C681" i="10"/>
  <c r="D681" i="10"/>
  <c r="E681" i="10"/>
  <c r="F681" i="10"/>
  <c r="G681" i="10"/>
  <c r="H681" i="10"/>
  <c r="A682" i="10"/>
  <c r="B682" i="10"/>
  <c r="C682" i="10"/>
  <c r="D682" i="10"/>
  <c r="E682" i="10"/>
  <c r="F682" i="10"/>
  <c r="G682" i="10"/>
  <c r="H682" i="10"/>
  <c r="A683" i="10"/>
  <c r="B683" i="10"/>
  <c r="C683" i="10"/>
  <c r="D683" i="10"/>
  <c r="E683" i="10"/>
  <c r="F683" i="10"/>
  <c r="G683" i="10"/>
  <c r="H683" i="10"/>
  <c r="A684" i="10"/>
  <c r="B684" i="10"/>
  <c r="C684" i="10"/>
  <c r="D684" i="10"/>
  <c r="E684" i="10"/>
  <c r="F684" i="10"/>
  <c r="G684" i="10"/>
  <c r="H684" i="10"/>
  <c r="A685" i="10"/>
  <c r="B685" i="10"/>
  <c r="C685" i="10"/>
  <c r="D685" i="10"/>
  <c r="E685" i="10"/>
  <c r="F685" i="10"/>
  <c r="G685" i="10"/>
  <c r="H685" i="10"/>
  <c r="A686" i="10"/>
  <c r="B686" i="10"/>
  <c r="C686" i="10"/>
  <c r="D686" i="10"/>
  <c r="E686" i="10"/>
  <c r="F686" i="10"/>
  <c r="G686" i="10"/>
  <c r="H686" i="10"/>
  <c r="A687" i="10"/>
  <c r="B687" i="10"/>
  <c r="C687" i="10"/>
  <c r="D687" i="10"/>
  <c r="E687" i="10"/>
  <c r="F687" i="10"/>
  <c r="G687" i="10"/>
  <c r="H687" i="10"/>
  <c r="A688" i="10"/>
  <c r="B688" i="10"/>
  <c r="C688" i="10"/>
  <c r="D688" i="10"/>
  <c r="E688" i="10"/>
  <c r="F688" i="10"/>
  <c r="G688" i="10"/>
  <c r="H688" i="10"/>
  <c r="A689" i="10"/>
  <c r="B689" i="10"/>
  <c r="C689" i="10"/>
  <c r="D689" i="10"/>
  <c r="E689" i="10"/>
  <c r="F689" i="10"/>
  <c r="G689" i="10"/>
  <c r="H689" i="10"/>
  <c r="A690" i="10"/>
  <c r="B690" i="10"/>
  <c r="C690" i="10"/>
  <c r="D690" i="10"/>
  <c r="E690" i="10"/>
  <c r="F690" i="10"/>
  <c r="G690" i="10"/>
  <c r="H690" i="10"/>
  <c r="A691" i="10"/>
  <c r="B691" i="10"/>
  <c r="C691" i="10"/>
  <c r="D691" i="10"/>
  <c r="E691" i="10"/>
  <c r="F691" i="10"/>
  <c r="G691" i="10"/>
  <c r="H691" i="10"/>
  <c r="A692" i="10"/>
  <c r="B692" i="10"/>
  <c r="C692" i="10"/>
  <c r="D692" i="10"/>
  <c r="E692" i="10"/>
  <c r="F692" i="10"/>
  <c r="G692" i="10"/>
  <c r="H692" i="10"/>
  <c r="A693" i="10"/>
  <c r="B693" i="10"/>
  <c r="C693" i="10"/>
  <c r="D693" i="10"/>
  <c r="E693" i="10"/>
  <c r="F693" i="10"/>
  <c r="G693" i="10"/>
  <c r="H693" i="10"/>
  <c r="A694" i="10"/>
  <c r="B694" i="10"/>
  <c r="C694" i="10"/>
  <c r="D694" i="10"/>
  <c r="E694" i="10"/>
  <c r="F694" i="10"/>
  <c r="G694" i="10"/>
  <c r="H694" i="10"/>
  <c r="A695" i="10"/>
  <c r="B695" i="10"/>
  <c r="C695" i="10"/>
  <c r="D695" i="10"/>
  <c r="E695" i="10"/>
  <c r="F695" i="10"/>
  <c r="G695" i="10"/>
  <c r="H695" i="10"/>
  <c r="A696" i="10"/>
  <c r="B696" i="10"/>
  <c r="C696" i="10"/>
  <c r="D696" i="10"/>
  <c r="E696" i="10"/>
  <c r="F696" i="10"/>
  <c r="G696" i="10"/>
  <c r="H696" i="10"/>
  <c r="A697" i="10"/>
  <c r="B697" i="10"/>
  <c r="C697" i="10"/>
  <c r="D697" i="10"/>
  <c r="E697" i="10"/>
  <c r="F697" i="10"/>
  <c r="G697" i="10"/>
  <c r="H697" i="10"/>
  <c r="A698" i="10"/>
  <c r="B698" i="10"/>
  <c r="C698" i="10"/>
  <c r="D698" i="10"/>
  <c r="E698" i="10"/>
  <c r="F698" i="10"/>
  <c r="G698" i="10"/>
  <c r="H698" i="10"/>
  <c r="A699" i="10"/>
  <c r="B699" i="10"/>
  <c r="C699" i="10"/>
  <c r="D699" i="10"/>
  <c r="E699" i="10"/>
  <c r="F699" i="10"/>
  <c r="G699" i="10"/>
  <c r="H699" i="10"/>
  <c r="A700" i="10"/>
  <c r="B700" i="10"/>
  <c r="C700" i="10"/>
  <c r="D700" i="10"/>
  <c r="E700" i="10"/>
  <c r="F700" i="10"/>
  <c r="G700" i="10"/>
  <c r="H700" i="10"/>
  <c r="A701" i="10"/>
  <c r="B701" i="10"/>
  <c r="C701" i="10"/>
  <c r="D701" i="10"/>
  <c r="E701" i="10"/>
  <c r="F701" i="10"/>
  <c r="G701" i="10"/>
  <c r="H701" i="10"/>
  <c r="A702" i="10"/>
  <c r="B702" i="10"/>
  <c r="C702" i="10"/>
  <c r="D702" i="10"/>
  <c r="E702" i="10"/>
  <c r="F702" i="10"/>
  <c r="G702" i="10"/>
  <c r="H702" i="10"/>
  <c r="A703" i="10"/>
  <c r="B703" i="10"/>
  <c r="C703" i="10"/>
  <c r="D703" i="10"/>
  <c r="E703" i="10"/>
  <c r="F703" i="10"/>
  <c r="G703" i="10"/>
  <c r="H703" i="10"/>
  <c r="A704" i="10"/>
  <c r="B704" i="10"/>
  <c r="C704" i="10"/>
  <c r="D704" i="10"/>
  <c r="E704" i="10"/>
  <c r="F704" i="10"/>
  <c r="G704" i="10"/>
  <c r="H704" i="10"/>
  <c r="A705" i="10"/>
  <c r="B705" i="10"/>
  <c r="C705" i="10"/>
  <c r="D705" i="10"/>
  <c r="E705" i="10"/>
  <c r="F705" i="10"/>
  <c r="G705" i="10"/>
  <c r="H705" i="10"/>
  <c r="A706" i="10"/>
  <c r="B706" i="10"/>
  <c r="C706" i="10"/>
  <c r="D706" i="10"/>
  <c r="E706" i="10"/>
  <c r="F706" i="10"/>
  <c r="G706" i="10"/>
  <c r="H706" i="10"/>
  <c r="A707" i="10"/>
  <c r="B707" i="10"/>
  <c r="C707" i="10"/>
  <c r="D707" i="10"/>
  <c r="E707" i="10"/>
  <c r="F707" i="10"/>
  <c r="G707" i="10"/>
  <c r="H707" i="10"/>
  <c r="A708" i="10"/>
  <c r="B708" i="10"/>
  <c r="C708" i="10"/>
  <c r="D708" i="10"/>
  <c r="E708" i="10"/>
  <c r="F708" i="10"/>
  <c r="G708" i="10"/>
  <c r="H708" i="10"/>
  <c r="A709" i="10"/>
  <c r="B709" i="10"/>
  <c r="C709" i="10"/>
  <c r="D709" i="10"/>
  <c r="E709" i="10"/>
  <c r="F709" i="10"/>
  <c r="G709" i="10"/>
  <c r="H709" i="10"/>
  <c r="A710" i="10"/>
  <c r="B710" i="10"/>
  <c r="C710" i="10"/>
  <c r="D710" i="10"/>
  <c r="E710" i="10"/>
  <c r="F710" i="10"/>
  <c r="G710" i="10"/>
  <c r="H710" i="10"/>
  <c r="A711" i="10"/>
  <c r="B711" i="10"/>
  <c r="C711" i="10"/>
  <c r="D711" i="10"/>
  <c r="E711" i="10"/>
  <c r="F711" i="10"/>
  <c r="G711" i="10"/>
  <c r="H711" i="10"/>
  <c r="A712" i="10"/>
  <c r="B712" i="10"/>
  <c r="C712" i="10"/>
  <c r="D712" i="10"/>
  <c r="E712" i="10"/>
  <c r="F712" i="10"/>
  <c r="G712" i="10"/>
  <c r="H712" i="10"/>
  <c r="A713" i="10"/>
  <c r="B713" i="10"/>
  <c r="C713" i="10"/>
  <c r="D713" i="10"/>
  <c r="E713" i="10"/>
  <c r="F713" i="10"/>
  <c r="G713" i="10"/>
  <c r="H713" i="10"/>
  <c r="A714" i="10"/>
  <c r="B714" i="10"/>
  <c r="C714" i="10"/>
  <c r="D714" i="10"/>
  <c r="E714" i="10"/>
  <c r="F714" i="10"/>
  <c r="G714" i="10"/>
  <c r="H714" i="10"/>
  <c r="A715" i="10"/>
  <c r="B715" i="10"/>
  <c r="C715" i="10"/>
  <c r="D715" i="10"/>
  <c r="E715" i="10"/>
  <c r="F715" i="10"/>
  <c r="G715" i="10"/>
  <c r="H715" i="10"/>
  <c r="A716" i="10"/>
  <c r="B716" i="10"/>
  <c r="C716" i="10"/>
  <c r="D716" i="10"/>
  <c r="E716" i="10"/>
  <c r="F716" i="10"/>
  <c r="G716" i="10"/>
  <c r="H716" i="10"/>
  <c r="A717" i="10"/>
  <c r="B717" i="10"/>
  <c r="C717" i="10"/>
  <c r="D717" i="10"/>
  <c r="E717" i="10"/>
  <c r="F717" i="10"/>
  <c r="G717" i="10"/>
  <c r="H717" i="10"/>
  <c r="A718" i="10"/>
  <c r="B718" i="10"/>
  <c r="C718" i="10"/>
  <c r="D718" i="10"/>
  <c r="E718" i="10"/>
  <c r="F718" i="10"/>
  <c r="G718" i="10"/>
  <c r="H718" i="10"/>
  <c r="A719" i="10"/>
  <c r="B719" i="10"/>
  <c r="C719" i="10"/>
  <c r="D719" i="10"/>
  <c r="E719" i="10"/>
  <c r="F719" i="10"/>
  <c r="G719" i="10"/>
  <c r="H719" i="10"/>
  <c r="A720" i="10"/>
  <c r="B720" i="10"/>
  <c r="C720" i="10"/>
  <c r="D720" i="10"/>
  <c r="E720" i="10"/>
  <c r="F720" i="10"/>
  <c r="G720" i="10"/>
  <c r="H720" i="10"/>
  <c r="A721" i="10"/>
  <c r="B721" i="10"/>
  <c r="C721" i="10"/>
  <c r="D721" i="10"/>
  <c r="E721" i="10"/>
  <c r="F721" i="10"/>
  <c r="G721" i="10"/>
  <c r="H721" i="10"/>
  <c r="A722" i="10"/>
  <c r="B722" i="10"/>
  <c r="C722" i="10"/>
  <c r="D722" i="10"/>
  <c r="E722" i="10"/>
  <c r="F722" i="10"/>
  <c r="G722" i="10"/>
  <c r="H722" i="10"/>
  <c r="A723" i="10"/>
  <c r="B723" i="10"/>
  <c r="C723" i="10"/>
  <c r="D723" i="10"/>
  <c r="E723" i="10"/>
  <c r="F723" i="10"/>
  <c r="G723" i="10"/>
  <c r="H723" i="10"/>
  <c r="A724" i="10"/>
  <c r="B724" i="10"/>
  <c r="C724" i="10"/>
  <c r="D724" i="10"/>
  <c r="E724" i="10"/>
  <c r="F724" i="10"/>
  <c r="G724" i="10"/>
  <c r="H724" i="10"/>
  <c r="A725" i="10"/>
  <c r="B725" i="10"/>
  <c r="C725" i="10"/>
  <c r="D725" i="10"/>
  <c r="E725" i="10"/>
  <c r="F725" i="10"/>
  <c r="G725" i="10"/>
  <c r="H725" i="10"/>
  <c r="A726" i="10"/>
  <c r="B726" i="10"/>
  <c r="C726" i="10"/>
  <c r="D726" i="10"/>
  <c r="E726" i="10"/>
  <c r="F726" i="10"/>
  <c r="G726" i="10"/>
  <c r="H726" i="10"/>
  <c r="A727" i="10"/>
  <c r="B727" i="10"/>
  <c r="C727" i="10"/>
  <c r="D727" i="10"/>
  <c r="E727" i="10"/>
  <c r="F727" i="10"/>
  <c r="G727" i="10"/>
  <c r="H727" i="10"/>
  <c r="A728" i="10"/>
  <c r="B728" i="10"/>
  <c r="C728" i="10"/>
  <c r="D728" i="10"/>
  <c r="E728" i="10"/>
  <c r="F728" i="10"/>
  <c r="G728" i="10"/>
  <c r="H728" i="10"/>
  <c r="A729" i="10"/>
  <c r="B729" i="10"/>
  <c r="C729" i="10"/>
  <c r="D729" i="10"/>
  <c r="E729" i="10"/>
  <c r="F729" i="10"/>
  <c r="G729" i="10"/>
  <c r="H729" i="10"/>
  <c r="A730" i="10"/>
  <c r="B730" i="10"/>
  <c r="C730" i="10"/>
  <c r="D730" i="10"/>
  <c r="E730" i="10"/>
  <c r="F730" i="10"/>
  <c r="G730" i="10"/>
  <c r="H730" i="10"/>
  <c r="A731" i="10"/>
  <c r="B731" i="10"/>
  <c r="C731" i="10"/>
  <c r="D731" i="10"/>
  <c r="E731" i="10"/>
  <c r="F731" i="10"/>
  <c r="G731" i="10"/>
  <c r="H731" i="10"/>
  <c r="A732" i="10"/>
  <c r="B732" i="10"/>
  <c r="C732" i="10"/>
  <c r="D732" i="10"/>
  <c r="E732" i="10"/>
  <c r="F732" i="10"/>
  <c r="G732" i="10"/>
  <c r="H732" i="10"/>
  <c r="A733" i="10"/>
  <c r="B733" i="10"/>
  <c r="C733" i="10"/>
  <c r="D733" i="10"/>
  <c r="E733" i="10"/>
  <c r="F733" i="10"/>
  <c r="G733" i="10"/>
  <c r="H733" i="10"/>
  <c r="A734" i="10"/>
  <c r="B734" i="10"/>
  <c r="C734" i="10"/>
  <c r="D734" i="10"/>
  <c r="E734" i="10"/>
  <c r="F734" i="10"/>
  <c r="G734" i="10"/>
  <c r="H734" i="10"/>
  <c r="A735" i="10"/>
  <c r="B735" i="10"/>
  <c r="C735" i="10"/>
  <c r="D735" i="10"/>
  <c r="E735" i="10"/>
  <c r="F735" i="10"/>
  <c r="G735" i="10"/>
  <c r="H735" i="10"/>
  <c r="A736" i="10"/>
  <c r="B736" i="10"/>
  <c r="C736" i="10"/>
  <c r="D736" i="10"/>
  <c r="E736" i="10"/>
  <c r="F736" i="10"/>
  <c r="G736" i="10"/>
  <c r="H736" i="10"/>
  <c r="A737" i="10"/>
  <c r="B737" i="10"/>
  <c r="C737" i="10"/>
  <c r="D737" i="10"/>
  <c r="E737" i="10"/>
  <c r="F737" i="10"/>
  <c r="G737" i="10"/>
  <c r="H737" i="10"/>
  <c r="A738" i="10"/>
  <c r="B738" i="10"/>
  <c r="C738" i="10"/>
  <c r="D738" i="10"/>
  <c r="E738" i="10"/>
  <c r="F738" i="10"/>
  <c r="G738" i="10"/>
  <c r="H738" i="10"/>
  <c r="A739" i="10"/>
  <c r="B739" i="10"/>
  <c r="C739" i="10"/>
  <c r="D739" i="10"/>
  <c r="E739" i="10"/>
  <c r="F739" i="10"/>
  <c r="G739" i="10"/>
  <c r="H739" i="10"/>
  <c r="A740" i="10"/>
  <c r="B740" i="10"/>
  <c r="C740" i="10"/>
  <c r="D740" i="10"/>
  <c r="E740" i="10"/>
  <c r="F740" i="10"/>
  <c r="G740" i="10"/>
  <c r="H740" i="10"/>
  <c r="A741" i="10"/>
  <c r="B741" i="10"/>
  <c r="C741" i="10"/>
  <c r="D741" i="10"/>
  <c r="E741" i="10"/>
  <c r="F741" i="10"/>
  <c r="G741" i="10"/>
  <c r="H741" i="10"/>
  <c r="A742" i="10"/>
  <c r="B742" i="10"/>
  <c r="C742" i="10"/>
  <c r="D742" i="10"/>
  <c r="E742" i="10"/>
  <c r="F742" i="10"/>
  <c r="G742" i="10"/>
  <c r="H742" i="10"/>
  <c r="A743" i="10"/>
  <c r="B743" i="10"/>
  <c r="C743" i="10"/>
  <c r="D743" i="10"/>
  <c r="E743" i="10"/>
  <c r="F743" i="10"/>
  <c r="G743" i="10"/>
  <c r="H743" i="10"/>
  <c r="A744" i="10"/>
  <c r="B744" i="10"/>
  <c r="C744" i="10"/>
  <c r="D744" i="10"/>
  <c r="E744" i="10"/>
  <c r="F744" i="10"/>
  <c r="G744" i="10"/>
  <c r="H744" i="10"/>
  <c r="A745" i="10"/>
  <c r="B745" i="10"/>
  <c r="C745" i="10"/>
  <c r="D745" i="10"/>
  <c r="E745" i="10"/>
  <c r="F745" i="10"/>
  <c r="G745" i="10"/>
  <c r="H745" i="10"/>
  <c r="A746" i="10"/>
  <c r="B746" i="10"/>
  <c r="C746" i="10"/>
  <c r="D746" i="10"/>
  <c r="E746" i="10"/>
  <c r="F746" i="10"/>
  <c r="G746" i="10"/>
  <c r="H746" i="10"/>
  <c r="A747" i="10"/>
  <c r="B747" i="10"/>
  <c r="C747" i="10"/>
  <c r="D747" i="10"/>
  <c r="E747" i="10"/>
  <c r="F747" i="10"/>
  <c r="G747" i="10"/>
  <c r="H747" i="10"/>
  <c r="A748" i="10"/>
  <c r="B748" i="10"/>
  <c r="C748" i="10"/>
  <c r="D748" i="10"/>
  <c r="E748" i="10"/>
  <c r="F748" i="10"/>
  <c r="G748" i="10"/>
  <c r="H748" i="10"/>
  <c r="A749" i="10"/>
  <c r="B749" i="10"/>
  <c r="C749" i="10"/>
  <c r="D749" i="10"/>
  <c r="E749" i="10"/>
  <c r="F749" i="10"/>
  <c r="G749" i="10"/>
  <c r="H749" i="10"/>
  <c r="A750" i="10"/>
  <c r="B750" i="10"/>
  <c r="C750" i="10"/>
  <c r="D750" i="10"/>
  <c r="E750" i="10"/>
  <c r="F750" i="10"/>
  <c r="G750" i="10"/>
  <c r="H750" i="10"/>
  <c r="A751" i="10"/>
  <c r="B751" i="10"/>
  <c r="C751" i="10"/>
  <c r="D751" i="10"/>
  <c r="E751" i="10"/>
  <c r="F751" i="10"/>
  <c r="G751" i="10"/>
  <c r="H751" i="10"/>
  <c r="A752" i="10"/>
  <c r="B752" i="10"/>
  <c r="C752" i="10"/>
  <c r="D752" i="10"/>
  <c r="E752" i="10"/>
  <c r="F752" i="10"/>
  <c r="G752" i="10"/>
  <c r="H752" i="10"/>
  <c r="A753" i="10"/>
  <c r="B753" i="10"/>
  <c r="C753" i="10"/>
  <c r="D753" i="10"/>
  <c r="E753" i="10"/>
  <c r="F753" i="10"/>
  <c r="G753" i="10"/>
  <c r="H753" i="10"/>
  <c r="A754" i="10"/>
  <c r="B754" i="10"/>
  <c r="C754" i="10"/>
  <c r="D754" i="10"/>
  <c r="E754" i="10"/>
  <c r="F754" i="10"/>
  <c r="G754" i="10"/>
  <c r="H754" i="10"/>
  <c r="A755" i="10"/>
  <c r="B755" i="10"/>
  <c r="C755" i="10"/>
  <c r="D755" i="10"/>
  <c r="E755" i="10"/>
  <c r="F755" i="10"/>
  <c r="G755" i="10"/>
  <c r="H755" i="10"/>
  <c r="A756" i="10"/>
  <c r="B756" i="10"/>
  <c r="C756" i="10"/>
  <c r="D756" i="10"/>
  <c r="E756" i="10"/>
  <c r="F756" i="10"/>
  <c r="G756" i="10"/>
  <c r="H756" i="10"/>
  <c r="A757" i="10"/>
  <c r="B757" i="10"/>
  <c r="C757" i="10"/>
  <c r="D757" i="10"/>
  <c r="E757" i="10"/>
  <c r="F757" i="10"/>
  <c r="G757" i="10"/>
  <c r="H757" i="10"/>
  <c r="A758" i="10"/>
  <c r="B758" i="10"/>
  <c r="C758" i="10"/>
  <c r="D758" i="10"/>
  <c r="E758" i="10"/>
  <c r="F758" i="10"/>
  <c r="G758" i="10"/>
  <c r="H758" i="10"/>
  <c r="A759" i="10"/>
  <c r="B759" i="10"/>
  <c r="C759" i="10"/>
  <c r="D759" i="10"/>
  <c r="E759" i="10"/>
  <c r="F759" i="10"/>
  <c r="G759" i="10"/>
  <c r="H759" i="10"/>
  <c r="A760" i="10"/>
  <c r="B760" i="10"/>
  <c r="C760" i="10"/>
  <c r="D760" i="10"/>
  <c r="E760" i="10"/>
  <c r="F760" i="10"/>
  <c r="G760" i="10"/>
  <c r="H760" i="10"/>
  <c r="A761" i="10"/>
  <c r="B761" i="10"/>
  <c r="C761" i="10"/>
  <c r="D761" i="10"/>
  <c r="E761" i="10"/>
  <c r="F761" i="10"/>
  <c r="G761" i="10"/>
  <c r="H761" i="10"/>
  <c r="A762" i="10"/>
  <c r="B762" i="10"/>
  <c r="C762" i="10"/>
  <c r="D762" i="10"/>
  <c r="E762" i="10"/>
  <c r="F762" i="10"/>
  <c r="G762" i="10"/>
  <c r="H762" i="10"/>
  <c r="A763" i="10"/>
  <c r="B763" i="10"/>
  <c r="C763" i="10"/>
  <c r="D763" i="10"/>
  <c r="E763" i="10"/>
  <c r="F763" i="10"/>
  <c r="G763" i="10"/>
  <c r="H763" i="10"/>
  <c r="A764" i="10"/>
  <c r="B764" i="10"/>
  <c r="C764" i="10"/>
  <c r="D764" i="10"/>
  <c r="E764" i="10"/>
  <c r="F764" i="10"/>
  <c r="G764" i="10"/>
  <c r="H764" i="10"/>
  <c r="A765" i="10"/>
  <c r="B765" i="10"/>
  <c r="C765" i="10"/>
  <c r="D765" i="10"/>
  <c r="E765" i="10"/>
  <c r="F765" i="10"/>
  <c r="G765" i="10"/>
  <c r="H765" i="10"/>
  <c r="A766" i="10"/>
  <c r="B766" i="10"/>
  <c r="C766" i="10"/>
  <c r="D766" i="10"/>
  <c r="E766" i="10"/>
  <c r="F766" i="10"/>
  <c r="G766" i="10"/>
  <c r="H766" i="10"/>
  <c r="A767" i="10"/>
  <c r="B767" i="10"/>
  <c r="C767" i="10"/>
  <c r="D767" i="10"/>
  <c r="E767" i="10"/>
  <c r="F767" i="10"/>
  <c r="G767" i="10"/>
  <c r="H767" i="10"/>
  <c r="A768" i="10"/>
  <c r="B768" i="10"/>
  <c r="C768" i="10"/>
  <c r="D768" i="10"/>
  <c r="E768" i="10"/>
  <c r="F768" i="10"/>
  <c r="G768" i="10"/>
  <c r="H768" i="10"/>
  <c r="A769" i="10"/>
  <c r="B769" i="10"/>
  <c r="C769" i="10"/>
  <c r="D769" i="10"/>
  <c r="E769" i="10"/>
  <c r="F769" i="10"/>
  <c r="G769" i="10"/>
  <c r="H769" i="10"/>
  <c r="A770" i="10"/>
  <c r="B770" i="10"/>
  <c r="C770" i="10"/>
  <c r="D770" i="10"/>
  <c r="E770" i="10"/>
  <c r="F770" i="10"/>
  <c r="G770" i="10"/>
  <c r="H770" i="10"/>
  <c r="A771" i="10"/>
  <c r="B771" i="10"/>
  <c r="C771" i="10"/>
  <c r="D771" i="10"/>
  <c r="E771" i="10"/>
  <c r="F771" i="10"/>
  <c r="G771" i="10"/>
  <c r="H771" i="10"/>
  <c r="A772" i="10"/>
  <c r="B772" i="10"/>
  <c r="C772" i="10"/>
  <c r="D772" i="10"/>
  <c r="E772" i="10"/>
  <c r="F772" i="10"/>
  <c r="G772" i="10"/>
  <c r="H772" i="10"/>
  <c r="A773" i="10"/>
  <c r="B773" i="10"/>
  <c r="C773" i="10"/>
  <c r="D773" i="10"/>
  <c r="E773" i="10"/>
  <c r="F773" i="10"/>
  <c r="G773" i="10"/>
  <c r="H773" i="10"/>
  <c r="A774" i="10"/>
  <c r="B774" i="10"/>
  <c r="C774" i="10"/>
  <c r="D774" i="10"/>
  <c r="E774" i="10"/>
  <c r="F774" i="10"/>
  <c r="G774" i="10"/>
  <c r="H774" i="10"/>
  <c r="A775" i="10"/>
  <c r="B775" i="10"/>
  <c r="C775" i="10"/>
  <c r="D775" i="10"/>
  <c r="E775" i="10"/>
  <c r="F775" i="10"/>
  <c r="G775" i="10"/>
  <c r="H775" i="10"/>
  <c r="A776" i="10"/>
  <c r="B776" i="10"/>
  <c r="C776" i="10"/>
  <c r="D776" i="10"/>
  <c r="E776" i="10"/>
  <c r="F776" i="10"/>
  <c r="G776" i="10"/>
  <c r="H776" i="10"/>
  <c r="A777" i="10"/>
  <c r="B777" i="10"/>
  <c r="C777" i="10"/>
  <c r="D777" i="10"/>
  <c r="E777" i="10"/>
  <c r="F777" i="10"/>
  <c r="G777" i="10"/>
  <c r="H777" i="10"/>
  <c r="A778" i="10"/>
  <c r="B778" i="10"/>
  <c r="C778" i="10"/>
  <c r="D778" i="10"/>
  <c r="E778" i="10"/>
  <c r="F778" i="10"/>
  <c r="G778" i="10"/>
  <c r="H778" i="10"/>
  <c r="A779" i="10"/>
  <c r="B779" i="10"/>
  <c r="C779" i="10"/>
  <c r="D779" i="10"/>
  <c r="E779" i="10"/>
  <c r="F779" i="10"/>
  <c r="G779" i="10"/>
  <c r="H779" i="10"/>
  <c r="A780" i="10"/>
  <c r="B780" i="10"/>
  <c r="C780" i="10"/>
  <c r="D780" i="10"/>
  <c r="E780" i="10"/>
  <c r="F780" i="10"/>
  <c r="G780" i="10"/>
  <c r="H780" i="10"/>
  <c r="A781" i="10"/>
  <c r="B781" i="10"/>
  <c r="C781" i="10"/>
  <c r="D781" i="10"/>
  <c r="E781" i="10"/>
  <c r="F781" i="10"/>
  <c r="G781" i="10"/>
  <c r="H781" i="10"/>
  <c r="A782" i="10"/>
  <c r="B782" i="10"/>
  <c r="C782" i="10"/>
  <c r="D782" i="10"/>
  <c r="E782" i="10"/>
  <c r="F782" i="10"/>
  <c r="G782" i="10"/>
  <c r="H782" i="10"/>
  <c r="A783" i="10"/>
  <c r="B783" i="10"/>
  <c r="C783" i="10"/>
  <c r="D783" i="10"/>
  <c r="E783" i="10"/>
  <c r="F783" i="10"/>
  <c r="G783" i="10"/>
  <c r="H783" i="10"/>
  <c r="A784" i="10"/>
  <c r="B784" i="10"/>
  <c r="C784" i="10"/>
  <c r="D784" i="10"/>
  <c r="E784" i="10"/>
  <c r="F784" i="10"/>
  <c r="G784" i="10"/>
  <c r="H784" i="10"/>
  <c r="A785" i="10"/>
  <c r="B785" i="10"/>
  <c r="C785" i="10"/>
  <c r="D785" i="10"/>
  <c r="E785" i="10"/>
  <c r="F785" i="10"/>
  <c r="G785" i="10"/>
  <c r="H785" i="10"/>
  <c r="A786" i="10"/>
  <c r="B786" i="10"/>
  <c r="C786" i="10"/>
  <c r="D786" i="10"/>
  <c r="E786" i="10"/>
  <c r="F786" i="10"/>
  <c r="G786" i="10"/>
  <c r="H786" i="10"/>
  <c r="A787" i="10"/>
  <c r="B787" i="10"/>
  <c r="C787" i="10"/>
  <c r="D787" i="10"/>
  <c r="E787" i="10"/>
  <c r="F787" i="10"/>
  <c r="G787" i="10"/>
  <c r="H787" i="10"/>
  <c r="A788" i="10"/>
  <c r="B788" i="10"/>
  <c r="C788" i="10"/>
  <c r="D788" i="10"/>
  <c r="E788" i="10"/>
  <c r="F788" i="10"/>
  <c r="G788" i="10"/>
  <c r="H788" i="10"/>
  <c r="A789" i="10"/>
  <c r="B789" i="10"/>
  <c r="C789" i="10"/>
  <c r="D789" i="10"/>
  <c r="E789" i="10"/>
  <c r="F789" i="10"/>
  <c r="G789" i="10"/>
  <c r="H789" i="10"/>
  <c r="A790" i="10"/>
  <c r="B790" i="10"/>
  <c r="C790" i="10"/>
  <c r="D790" i="10"/>
  <c r="E790" i="10"/>
  <c r="F790" i="10"/>
  <c r="G790" i="10"/>
  <c r="H790" i="10"/>
  <c r="A791" i="10"/>
  <c r="B791" i="10"/>
  <c r="C791" i="10"/>
  <c r="D791" i="10"/>
  <c r="E791" i="10"/>
  <c r="F791" i="10"/>
  <c r="G791" i="10"/>
  <c r="H791" i="10"/>
  <c r="A792" i="10"/>
  <c r="B792" i="10"/>
  <c r="C792" i="10"/>
  <c r="D792" i="10"/>
  <c r="E792" i="10"/>
  <c r="F792" i="10"/>
  <c r="G792" i="10"/>
  <c r="H792" i="10"/>
  <c r="A793" i="10"/>
  <c r="B793" i="10"/>
  <c r="C793" i="10"/>
  <c r="D793" i="10"/>
  <c r="E793" i="10"/>
  <c r="F793" i="10"/>
  <c r="G793" i="10"/>
  <c r="H793" i="10"/>
  <c r="A794" i="10"/>
  <c r="B794" i="10"/>
  <c r="C794" i="10"/>
  <c r="D794" i="10"/>
  <c r="E794" i="10"/>
  <c r="F794" i="10"/>
  <c r="G794" i="10"/>
  <c r="H794" i="10"/>
  <c r="A795" i="10"/>
  <c r="B795" i="10"/>
  <c r="C795" i="10"/>
  <c r="D795" i="10"/>
  <c r="E795" i="10"/>
  <c r="F795" i="10"/>
  <c r="G795" i="10"/>
  <c r="H795" i="10"/>
  <c r="A796" i="10"/>
  <c r="B796" i="10"/>
  <c r="C796" i="10"/>
  <c r="D796" i="10"/>
  <c r="E796" i="10"/>
  <c r="F796" i="10"/>
  <c r="G796" i="10"/>
  <c r="H796" i="10"/>
  <c r="A797" i="10"/>
  <c r="B797" i="10"/>
  <c r="C797" i="10"/>
  <c r="D797" i="10"/>
  <c r="E797" i="10"/>
  <c r="F797" i="10"/>
  <c r="G797" i="10"/>
  <c r="H797" i="10"/>
  <c r="A798" i="10"/>
  <c r="B798" i="10"/>
  <c r="C798" i="10"/>
  <c r="D798" i="10"/>
  <c r="E798" i="10"/>
  <c r="F798" i="10"/>
  <c r="G798" i="10"/>
  <c r="H798" i="10"/>
  <c r="A799" i="10"/>
  <c r="B799" i="10"/>
  <c r="C799" i="10"/>
  <c r="D799" i="10"/>
  <c r="E799" i="10"/>
  <c r="F799" i="10"/>
  <c r="G799" i="10"/>
  <c r="H799" i="10"/>
  <c r="A800" i="10"/>
  <c r="B800" i="10"/>
  <c r="C800" i="10"/>
  <c r="D800" i="10"/>
  <c r="E800" i="10"/>
  <c r="F800" i="10"/>
  <c r="G800" i="10"/>
  <c r="H800" i="10"/>
  <c r="A801" i="10"/>
  <c r="B801" i="10"/>
  <c r="C801" i="10"/>
  <c r="D801" i="10"/>
  <c r="E801" i="10"/>
  <c r="F801" i="10"/>
  <c r="G801" i="10"/>
  <c r="H801" i="10"/>
  <c r="A802" i="10"/>
  <c r="B802" i="10"/>
  <c r="C802" i="10"/>
  <c r="D802" i="10"/>
  <c r="E802" i="10"/>
  <c r="F802" i="10"/>
  <c r="G802" i="10"/>
  <c r="H802" i="10"/>
  <c r="A803" i="10"/>
  <c r="B803" i="10"/>
  <c r="C803" i="10"/>
  <c r="D803" i="10"/>
  <c r="E803" i="10"/>
  <c r="F803" i="10"/>
  <c r="G803" i="10"/>
  <c r="H803" i="10"/>
  <c r="A804" i="10"/>
  <c r="B804" i="10"/>
  <c r="C804" i="10"/>
  <c r="D804" i="10"/>
  <c r="E804" i="10"/>
  <c r="F804" i="10"/>
  <c r="G804" i="10"/>
  <c r="H804" i="10"/>
  <c r="A805" i="10"/>
  <c r="B805" i="10"/>
  <c r="C805" i="10"/>
  <c r="D805" i="10"/>
  <c r="E805" i="10"/>
  <c r="F805" i="10"/>
  <c r="G805" i="10"/>
  <c r="H805" i="10"/>
  <c r="A806" i="10"/>
  <c r="B806" i="10"/>
  <c r="C806" i="10"/>
  <c r="D806" i="10"/>
  <c r="E806" i="10"/>
  <c r="F806" i="10"/>
  <c r="G806" i="10"/>
  <c r="H806" i="10"/>
  <c r="A807" i="10"/>
  <c r="B807" i="10"/>
  <c r="C807" i="10"/>
  <c r="D807" i="10"/>
  <c r="E807" i="10"/>
  <c r="F807" i="10"/>
  <c r="G807" i="10"/>
  <c r="H807" i="10"/>
  <c r="A808" i="10"/>
  <c r="B808" i="10"/>
  <c r="C808" i="10"/>
  <c r="D808" i="10"/>
  <c r="E808" i="10"/>
  <c r="F808" i="10"/>
  <c r="G808" i="10"/>
  <c r="H808" i="10"/>
  <c r="A809" i="10"/>
  <c r="B809" i="10"/>
  <c r="C809" i="10"/>
  <c r="D809" i="10"/>
  <c r="E809" i="10"/>
  <c r="F809" i="10"/>
  <c r="G809" i="10"/>
  <c r="H809" i="10"/>
  <c r="A810" i="10"/>
  <c r="B810" i="10"/>
  <c r="C810" i="10"/>
  <c r="D810" i="10"/>
  <c r="E810" i="10"/>
  <c r="F810" i="10"/>
  <c r="G810" i="10"/>
  <c r="H810" i="10"/>
  <c r="A811" i="10"/>
  <c r="B811" i="10"/>
  <c r="C811" i="10"/>
  <c r="D811" i="10"/>
  <c r="E811" i="10"/>
  <c r="F811" i="10"/>
  <c r="G811" i="10"/>
  <c r="H811" i="10"/>
  <c r="A812" i="10"/>
  <c r="B812" i="10"/>
  <c r="C812" i="10"/>
  <c r="D812" i="10"/>
  <c r="E812" i="10"/>
  <c r="F812" i="10"/>
  <c r="G812" i="10"/>
  <c r="H812" i="10"/>
  <c r="A813" i="10"/>
  <c r="B813" i="10"/>
  <c r="C813" i="10"/>
  <c r="D813" i="10"/>
  <c r="E813" i="10"/>
  <c r="F813" i="10"/>
  <c r="G813" i="10"/>
  <c r="H813" i="10"/>
  <c r="A814" i="10"/>
  <c r="B814" i="10"/>
  <c r="C814" i="10"/>
  <c r="D814" i="10"/>
  <c r="E814" i="10"/>
  <c r="F814" i="10"/>
  <c r="G814" i="10"/>
  <c r="H814" i="10"/>
  <c r="A815" i="10"/>
  <c r="B815" i="10"/>
  <c r="C815" i="10"/>
  <c r="D815" i="10"/>
  <c r="E815" i="10"/>
  <c r="F815" i="10"/>
  <c r="G815" i="10"/>
  <c r="H815" i="10"/>
  <c r="A816" i="10"/>
  <c r="B816" i="10"/>
  <c r="C816" i="10"/>
  <c r="D816" i="10"/>
  <c r="E816" i="10"/>
  <c r="F816" i="10"/>
  <c r="G816" i="10"/>
  <c r="H816" i="10"/>
  <c r="A817" i="10"/>
  <c r="B817" i="10"/>
  <c r="C817" i="10"/>
  <c r="D817" i="10"/>
  <c r="E817" i="10"/>
  <c r="F817" i="10"/>
  <c r="G817" i="10"/>
  <c r="H817" i="10"/>
  <c r="A818" i="10"/>
  <c r="B818" i="10"/>
  <c r="C818" i="10"/>
  <c r="D818" i="10"/>
  <c r="E818" i="10"/>
  <c r="F818" i="10"/>
  <c r="G818" i="10"/>
  <c r="H818" i="10"/>
  <c r="A819" i="10"/>
  <c r="B819" i="10"/>
  <c r="C819" i="10"/>
  <c r="D819" i="10"/>
  <c r="E819" i="10"/>
  <c r="F819" i="10"/>
  <c r="G819" i="10"/>
  <c r="H819" i="10"/>
  <c r="A820" i="10"/>
  <c r="B820" i="10"/>
  <c r="C820" i="10"/>
  <c r="D820" i="10"/>
  <c r="E820" i="10"/>
  <c r="F820" i="10"/>
  <c r="G820" i="10"/>
  <c r="H820" i="10"/>
  <c r="A821" i="10"/>
  <c r="B821" i="10"/>
  <c r="C821" i="10"/>
  <c r="D821" i="10"/>
  <c r="E821" i="10"/>
  <c r="F821" i="10"/>
  <c r="G821" i="10"/>
  <c r="H821" i="10"/>
  <c r="A822" i="10"/>
  <c r="B822" i="10"/>
  <c r="C822" i="10"/>
  <c r="D822" i="10"/>
  <c r="E822" i="10"/>
  <c r="F822" i="10"/>
  <c r="G822" i="10"/>
  <c r="H822" i="10"/>
  <c r="A823" i="10"/>
  <c r="B823" i="10"/>
  <c r="C823" i="10"/>
  <c r="D823" i="10"/>
  <c r="E823" i="10"/>
  <c r="F823" i="10"/>
  <c r="G823" i="10"/>
  <c r="H823" i="10"/>
  <c r="A824" i="10"/>
  <c r="B824" i="10"/>
  <c r="C824" i="10"/>
  <c r="D824" i="10"/>
  <c r="E824" i="10"/>
  <c r="F824" i="10"/>
  <c r="G824" i="10"/>
  <c r="H824" i="10"/>
  <c r="A825" i="10"/>
  <c r="B825" i="10"/>
  <c r="C825" i="10"/>
  <c r="D825" i="10"/>
  <c r="E825" i="10"/>
  <c r="F825" i="10"/>
  <c r="G825" i="10"/>
  <c r="H825" i="10"/>
  <c r="A826" i="10"/>
  <c r="B826" i="10"/>
  <c r="C826" i="10"/>
  <c r="D826" i="10"/>
  <c r="E826" i="10"/>
  <c r="F826" i="10"/>
  <c r="G826" i="10"/>
  <c r="H826" i="10"/>
  <c r="A827" i="10"/>
  <c r="B827" i="10"/>
  <c r="C827" i="10"/>
  <c r="D827" i="10"/>
  <c r="E827" i="10"/>
  <c r="F827" i="10"/>
  <c r="G827" i="10"/>
  <c r="H827" i="10"/>
  <c r="A828" i="10"/>
  <c r="B828" i="10"/>
  <c r="C828" i="10"/>
  <c r="D828" i="10"/>
  <c r="E828" i="10"/>
  <c r="F828" i="10"/>
  <c r="G828" i="10"/>
  <c r="H828" i="10"/>
  <c r="A829" i="10"/>
  <c r="B829" i="10"/>
  <c r="C829" i="10"/>
  <c r="D829" i="10"/>
  <c r="E829" i="10"/>
  <c r="F829" i="10"/>
  <c r="G829" i="10"/>
  <c r="H829" i="10"/>
  <c r="A830" i="10"/>
  <c r="B830" i="10"/>
  <c r="C830" i="10"/>
  <c r="D830" i="10"/>
  <c r="E830" i="10"/>
  <c r="F830" i="10"/>
  <c r="G830" i="10"/>
  <c r="H830" i="10"/>
  <c r="A831" i="10"/>
  <c r="B831" i="10"/>
  <c r="C831" i="10"/>
  <c r="D831" i="10"/>
  <c r="E831" i="10"/>
  <c r="F831" i="10"/>
  <c r="G831" i="10"/>
  <c r="H831" i="10"/>
  <c r="A832" i="10"/>
  <c r="B832" i="10"/>
  <c r="C832" i="10"/>
  <c r="D832" i="10"/>
  <c r="E832" i="10"/>
  <c r="F832" i="10"/>
  <c r="G832" i="10"/>
  <c r="H832" i="10"/>
  <c r="A833" i="10"/>
  <c r="B833" i="10"/>
  <c r="C833" i="10"/>
  <c r="D833" i="10"/>
  <c r="E833" i="10"/>
  <c r="F833" i="10"/>
  <c r="G833" i="10"/>
  <c r="H833" i="10"/>
  <c r="A834" i="10"/>
  <c r="B834" i="10"/>
  <c r="C834" i="10"/>
  <c r="D834" i="10"/>
  <c r="E834" i="10"/>
  <c r="F834" i="10"/>
  <c r="G834" i="10"/>
  <c r="H834" i="10"/>
  <c r="A835" i="10"/>
  <c r="B835" i="10"/>
  <c r="C835" i="10"/>
  <c r="D835" i="10"/>
  <c r="E835" i="10"/>
  <c r="F835" i="10"/>
  <c r="G835" i="10"/>
  <c r="H835" i="10"/>
  <c r="A836" i="10"/>
  <c r="B836" i="10"/>
  <c r="C836" i="10"/>
  <c r="D836" i="10"/>
  <c r="E836" i="10"/>
  <c r="F836" i="10"/>
  <c r="G836" i="10"/>
  <c r="H836" i="10"/>
  <c r="A837" i="10"/>
  <c r="B837" i="10"/>
  <c r="C837" i="10"/>
  <c r="D837" i="10"/>
  <c r="E837" i="10"/>
  <c r="F837" i="10"/>
  <c r="G837" i="10"/>
  <c r="H837" i="10"/>
  <c r="A838" i="10"/>
  <c r="B838" i="10"/>
  <c r="C838" i="10"/>
  <c r="D838" i="10"/>
  <c r="E838" i="10"/>
  <c r="F838" i="10"/>
  <c r="G838" i="10"/>
  <c r="H838" i="10"/>
  <c r="A839" i="10"/>
  <c r="B839" i="10"/>
  <c r="C839" i="10"/>
  <c r="D839" i="10"/>
  <c r="E839" i="10"/>
  <c r="F839" i="10"/>
  <c r="G839" i="10"/>
  <c r="H839" i="10"/>
  <c r="A840" i="10"/>
  <c r="B840" i="10"/>
  <c r="C840" i="10"/>
  <c r="D840" i="10"/>
  <c r="E840" i="10"/>
  <c r="F840" i="10"/>
  <c r="G840" i="10"/>
  <c r="H840" i="10"/>
  <c r="A841" i="10"/>
  <c r="B841" i="10"/>
  <c r="C841" i="10"/>
  <c r="D841" i="10"/>
  <c r="E841" i="10"/>
  <c r="F841" i="10"/>
  <c r="G841" i="10"/>
  <c r="H841" i="10"/>
  <c r="A842" i="10"/>
  <c r="B842" i="10"/>
  <c r="C842" i="10"/>
  <c r="D842" i="10"/>
  <c r="E842" i="10"/>
  <c r="F842" i="10"/>
  <c r="G842" i="10"/>
  <c r="H842" i="10"/>
  <c r="A843" i="10"/>
  <c r="B843" i="10"/>
  <c r="C843" i="10"/>
  <c r="D843" i="10"/>
  <c r="E843" i="10"/>
  <c r="F843" i="10"/>
  <c r="G843" i="10"/>
  <c r="H843" i="10"/>
  <c r="A844" i="10"/>
  <c r="B844" i="10"/>
  <c r="C844" i="10"/>
  <c r="D844" i="10"/>
  <c r="E844" i="10"/>
  <c r="F844" i="10"/>
  <c r="G844" i="10"/>
  <c r="H844" i="10"/>
  <c r="A845" i="10"/>
  <c r="B845" i="10"/>
  <c r="C845" i="10"/>
  <c r="D845" i="10"/>
  <c r="E845" i="10"/>
  <c r="F845" i="10"/>
  <c r="G845" i="10"/>
  <c r="H845" i="10"/>
  <c r="A846" i="10"/>
  <c r="B846" i="10"/>
  <c r="C846" i="10"/>
  <c r="D846" i="10"/>
  <c r="E846" i="10"/>
  <c r="F846" i="10"/>
  <c r="G846" i="10"/>
  <c r="H846" i="10"/>
  <c r="A847" i="10"/>
  <c r="B847" i="10"/>
  <c r="C847" i="10"/>
  <c r="D847" i="10"/>
  <c r="E847" i="10"/>
  <c r="F847" i="10"/>
  <c r="G847" i="10"/>
  <c r="H847" i="10"/>
  <c r="A848" i="10"/>
  <c r="B848" i="10"/>
  <c r="C848" i="10"/>
  <c r="D848" i="10"/>
  <c r="E848" i="10"/>
  <c r="F848" i="10"/>
  <c r="G848" i="10"/>
  <c r="H848" i="10"/>
  <c r="A849" i="10"/>
  <c r="B849" i="10"/>
  <c r="C849" i="10"/>
  <c r="D849" i="10"/>
  <c r="E849" i="10"/>
  <c r="F849" i="10"/>
  <c r="G849" i="10"/>
  <c r="H849" i="10"/>
  <c r="A850" i="10"/>
  <c r="B850" i="10"/>
  <c r="C850" i="10"/>
  <c r="D850" i="10"/>
  <c r="E850" i="10"/>
  <c r="F850" i="10"/>
  <c r="G850" i="10"/>
  <c r="H850" i="10"/>
  <c r="A851" i="10"/>
  <c r="B851" i="10"/>
  <c r="C851" i="10"/>
  <c r="D851" i="10"/>
  <c r="E851" i="10"/>
  <c r="F851" i="10"/>
  <c r="G851" i="10"/>
  <c r="H851" i="10"/>
  <c r="A852" i="10"/>
  <c r="B852" i="10"/>
  <c r="C852" i="10"/>
  <c r="D852" i="10"/>
  <c r="E852" i="10"/>
  <c r="F852" i="10"/>
  <c r="G852" i="10"/>
  <c r="H852" i="10"/>
  <c r="A853" i="10"/>
  <c r="B853" i="10"/>
  <c r="C853" i="10"/>
  <c r="D853" i="10"/>
  <c r="E853" i="10"/>
  <c r="F853" i="10"/>
  <c r="G853" i="10"/>
  <c r="H853" i="10"/>
  <c r="A854" i="10"/>
  <c r="B854" i="10"/>
  <c r="C854" i="10"/>
  <c r="D854" i="10"/>
  <c r="E854" i="10"/>
  <c r="F854" i="10"/>
  <c r="G854" i="10"/>
  <c r="H854" i="10"/>
  <c r="A855" i="10"/>
  <c r="B855" i="10"/>
  <c r="C855" i="10"/>
  <c r="D855" i="10"/>
  <c r="E855" i="10"/>
  <c r="F855" i="10"/>
  <c r="G855" i="10"/>
  <c r="H855" i="10"/>
  <c r="A856" i="10"/>
  <c r="B856" i="10"/>
  <c r="C856" i="10"/>
  <c r="D856" i="10"/>
  <c r="E856" i="10"/>
  <c r="F856" i="10"/>
  <c r="G856" i="10"/>
  <c r="H856" i="10"/>
  <c r="A857" i="10"/>
  <c r="B857" i="10"/>
  <c r="C857" i="10"/>
  <c r="D857" i="10"/>
  <c r="E857" i="10"/>
  <c r="F857" i="10"/>
  <c r="G857" i="10"/>
  <c r="H857" i="10"/>
  <c r="A858" i="10"/>
  <c r="B858" i="10"/>
  <c r="C858" i="10"/>
  <c r="D858" i="10"/>
  <c r="E858" i="10"/>
  <c r="F858" i="10"/>
  <c r="G858" i="10"/>
  <c r="H858" i="10"/>
  <c r="A859" i="10"/>
  <c r="B859" i="10"/>
  <c r="C859" i="10"/>
  <c r="D859" i="10"/>
  <c r="E859" i="10"/>
  <c r="F859" i="10"/>
  <c r="G859" i="10"/>
  <c r="H859" i="10"/>
  <c r="A860" i="10"/>
  <c r="B860" i="10"/>
  <c r="C860" i="10"/>
  <c r="D860" i="10"/>
  <c r="E860" i="10"/>
  <c r="F860" i="10"/>
  <c r="G860" i="10"/>
  <c r="H860" i="10"/>
  <c r="A861" i="10"/>
  <c r="B861" i="10"/>
  <c r="C861" i="10"/>
  <c r="D861" i="10"/>
  <c r="E861" i="10"/>
  <c r="F861" i="10"/>
  <c r="G861" i="10"/>
  <c r="H861" i="10"/>
  <c r="A862" i="10"/>
  <c r="B862" i="10"/>
  <c r="C862" i="10"/>
  <c r="D862" i="10"/>
  <c r="E862" i="10"/>
  <c r="F862" i="10"/>
  <c r="G862" i="10"/>
  <c r="H862" i="10"/>
  <c r="A863" i="10"/>
  <c r="B863" i="10"/>
  <c r="C863" i="10"/>
  <c r="D863" i="10"/>
  <c r="E863" i="10"/>
  <c r="F863" i="10"/>
  <c r="G863" i="10"/>
  <c r="H863" i="10"/>
  <c r="A864" i="10"/>
  <c r="B864" i="10"/>
  <c r="C864" i="10"/>
  <c r="D864" i="10"/>
  <c r="E864" i="10"/>
  <c r="F864" i="10"/>
  <c r="G864" i="10"/>
  <c r="H864" i="10"/>
  <c r="A865" i="10"/>
  <c r="B865" i="10"/>
  <c r="C865" i="10"/>
  <c r="D865" i="10"/>
  <c r="E865" i="10"/>
  <c r="F865" i="10"/>
  <c r="G865" i="10"/>
  <c r="H865" i="10"/>
  <c r="A866" i="10"/>
  <c r="B866" i="10"/>
  <c r="C866" i="10"/>
  <c r="D866" i="10"/>
  <c r="E866" i="10"/>
  <c r="F866" i="10"/>
  <c r="G866" i="10"/>
  <c r="H866" i="10"/>
  <c r="A867" i="10"/>
  <c r="B867" i="10"/>
  <c r="C867" i="10"/>
  <c r="D867" i="10"/>
  <c r="E867" i="10"/>
  <c r="F867" i="10"/>
  <c r="G867" i="10"/>
  <c r="H867" i="10"/>
  <c r="A868" i="10"/>
  <c r="B868" i="10"/>
  <c r="C868" i="10"/>
  <c r="D868" i="10"/>
  <c r="E868" i="10"/>
  <c r="F868" i="10"/>
  <c r="G868" i="10"/>
  <c r="H868" i="10"/>
  <c r="A869" i="10"/>
  <c r="B869" i="10"/>
  <c r="C869" i="10"/>
  <c r="D869" i="10"/>
  <c r="E869" i="10"/>
  <c r="F869" i="10"/>
  <c r="G869" i="10"/>
  <c r="H869" i="10"/>
  <c r="A870" i="10"/>
  <c r="B870" i="10"/>
  <c r="C870" i="10"/>
  <c r="D870" i="10"/>
  <c r="E870" i="10"/>
  <c r="F870" i="10"/>
  <c r="G870" i="10"/>
  <c r="H870" i="10"/>
  <c r="A871" i="10"/>
  <c r="B871" i="10"/>
  <c r="C871" i="10"/>
  <c r="D871" i="10"/>
  <c r="E871" i="10"/>
  <c r="F871" i="10"/>
  <c r="G871" i="10"/>
  <c r="H871" i="10"/>
  <c r="A872" i="10"/>
  <c r="B872" i="10"/>
  <c r="C872" i="10"/>
  <c r="D872" i="10"/>
  <c r="E872" i="10"/>
  <c r="F872" i="10"/>
  <c r="G872" i="10"/>
  <c r="H872" i="10"/>
  <c r="A873" i="10"/>
  <c r="B873" i="10"/>
  <c r="C873" i="10"/>
  <c r="D873" i="10"/>
  <c r="E873" i="10"/>
  <c r="F873" i="10"/>
  <c r="G873" i="10"/>
  <c r="H873" i="10"/>
  <c r="A874" i="10"/>
  <c r="B874" i="10"/>
  <c r="C874" i="10"/>
  <c r="D874" i="10"/>
  <c r="E874" i="10"/>
  <c r="F874" i="10"/>
  <c r="G874" i="10"/>
  <c r="H874" i="10"/>
  <c r="A875" i="10"/>
  <c r="B875" i="10"/>
  <c r="C875" i="10"/>
  <c r="D875" i="10"/>
  <c r="E875" i="10"/>
  <c r="F875" i="10"/>
  <c r="G875" i="10"/>
  <c r="H875" i="10"/>
  <c r="A876" i="10"/>
  <c r="B876" i="10"/>
  <c r="C876" i="10"/>
  <c r="D876" i="10"/>
  <c r="E876" i="10"/>
  <c r="F876" i="10"/>
  <c r="G876" i="10"/>
  <c r="H876" i="10"/>
  <c r="A877" i="10"/>
  <c r="B877" i="10"/>
  <c r="C877" i="10"/>
  <c r="D877" i="10"/>
  <c r="E877" i="10"/>
  <c r="F877" i="10"/>
  <c r="G877" i="10"/>
  <c r="H877" i="10"/>
  <c r="A878" i="10"/>
  <c r="B878" i="10"/>
  <c r="C878" i="10"/>
  <c r="D878" i="10"/>
  <c r="E878" i="10"/>
  <c r="F878" i="10"/>
  <c r="G878" i="10"/>
  <c r="H878" i="10"/>
  <c r="A879" i="10"/>
  <c r="B879" i="10"/>
  <c r="C879" i="10"/>
  <c r="D879" i="10"/>
  <c r="E879" i="10"/>
  <c r="F879" i="10"/>
  <c r="G879" i="10"/>
  <c r="H879" i="10"/>
  <c r="A880" i="10"/>
  <c r="B880" i="10"/>
  <c r="C880" i="10"/>
  <c r="D880" i="10"/>
  <c r="E880" i="10"/>
  <c r="F880" i="10"/>
  <c r="G880" i="10"/>
  <c r="H880" i="10"/>
  <c r="A881" i="10"/>
  <c r="B881" i="10"/>
  <c r="C881" i="10"/>
  <c r="D881" i="10"/>
  <c r="E881" i="10"/>
  <c r="F881" i="10"/>
  <c r="G881" i="10"/>
  <c r="H881" i="10"/>
  <c r="A882" i="10"/>
  <c r="B882" i="10"/>
  <c r="C882" i="10"/>
  <c r="D882" i="10"/>
  <c r="E882" i="10"/>
  <c r="F882" i="10"/>
  <c r="G882" i="10"/>
  <c r="H882" i="10"/>
  <c r="A883" i="10"/>
  <c r="B883" i="10"/>
  <c r="C883" i="10"/>
  <c r="D883" i="10"/>
  <c r="E883" i="10"/>
  <c r="F883" i="10"/>
  <c r="G883" i="10"/>
  <c r="H883" i="10"/>
  <c r="A884" i="10"/>
  <c r="B884" i="10"/>
  <c r="C884" i="10"/>
  <c r="D884" i="10"/>
  <c r="E884" i="10"/>
  <c r="F884" i="10"/>
  <c r="G884" i="10"/>
  <c r="H884" i="10"/>
  <c r="A885" i="10"/>
  <c r="B885" i="10"/>
  <c r="C885" i="10"/>
  <c r="D885" i="10"/>
  <c r="E885" i="10"/>
  <c r="F885" i="10"/>
  <c r="G885" i="10"/>
  <c r="H885" i="10"/>
  <c r="A886" i="10"/>
  <c r="B886" i="10"/>
  <c r="C886" i="10"/>
  <c r="D886" i="10"/>
  <c r="E886" i="10"/>
  <c r="F886" i="10"/>
  <c r="G886" i="10"/>
  <c r="H886" i="10"/>
  <c r="A887" i="10"/>
  <c r="B887" i="10"/>
  <c r="C887" i="10"/>
  <c r="D887" i="10"/>
  <c r="E887" i="10"/>
  <c r="F887" i="10"/>
  <c r="G887" i="10"/>
  <c r="H887" i="10"/>
  <c r="A888" i="10"/>
  <c r="B888" i="10"/>
  <c r="C888" i="10"/>
  <c r="D888" i="10"/>
  <c r="E888" i="10"/>
  <c r="F888" i="10"/>
  <c r="G888" i="10"/>
  <c r="H888" i="10"/>
  <c r="A889" i="10"/>
  <c r="B889" i="10"/>
  <c r="C889" i="10"/>
  <c r="D889" i="10"/>
  <c r="E889" i="10"/>
  <c r="F889" i="10"/>
  <c r="G889" i="10"/>
  <c r="H889" i="10"/>
  <c r="A890" i="10"/>
  <c r="B890" i="10"/>
  <c r="C890" i="10"/>
  <c r="D890" i="10"/>
  <c r="E890" i="10"/>
  <c r="F890" i="10"/>
  <c r="G890" i="10"/>
  <c r="H890" i="10"/>
  <c r="A891" i="10"/>
  <c r="B891" i="10"/>
  <c r="C891" i="10"/>
  <c r="D891" i="10"/>
  <c r="E891" i="10"/>
  <c r="F891" i="10"/>
  <c r="G891" i="10"/>
  <c r="H891" i="10"/>
  <c r="A892" i="10"/>
  <c r="B892" i="10"/>
  <c r="C892" i="10"/>
  <c r="D892" i="10"/>
  <c r="E892" i="10"/>
  <c r="F892" i="10"/>
  <c r="G892" i="10"/>
  <c r="H892" i="10"/>
  <c r="A893" i="10"/>
  <c r="B893" i="10"/>
  <c r="C893" i="10"/>
  <c r="D893" i="10"/>
  <c r="E893" i="10"/>
  <c r="F893" i="10"/>
  <c r="G893" i="10"/>
  <c r="H893" i="10"/>
  <c r="A894" i="10"/>
  <c r="B894" i="10"/>
  <c r="C894" i="10"/>
  <c r="D894" i="10"/>
  <c r="E894" i="10"/>
  <c r="F894" i="10"/>
  <c r="G894" i="10"/>
  <c r="H894" i="10"/>
  <c r="A895" i="10"/>
  <c r="B895" i="10"/>
  <c r="C895" i="10"/>
  <c r="D895" i="10"/>
  <c r="E895" i="10"/>
  <c r="F895" i="10"/>
  <c r="G895" i="10"/>
  <c r="H895" i="10"/>
  <c r="A896" i="10"/>
  <c r="B896" i="10"/>
  <c r="C896" i="10"/>
  <c r="D896" i="10"/>
  <c r="E896" i="10"/>
  <c r="F896" i="10"/>
  <c r="G896" i="10"/>
  <c r="H896" i="10"/>
  <c r="A897" i="10"/>
  <c r="B897" i="10"/>
  <c r="C897" i="10"/>
  <c r="D897" i="10"/>
  <c r="E897" i="10"/>
  <c r="F897" i="10"/>
  <c r="G897" i="10"/>
  <c r="H897" i="10"/>
  <c r="A898" i="10"/>
  <c r="B898" i="10"/>
  <c r="C898" i="10"/>
  <c r="D898" i="10"/>
  <c r="E898" i="10"/>
  <c r="F898" i="10"/>
  <c r="G898" i="10"/>
  <c r="H898" i="10"/>
  <c r="A899" i="10"/>
  <c r="B899" i="10"/>
  <c r="C899" i="10"/>
  <c r="D899" i="10"/>
  <c r="E899" i="10"/>
  <c r="F899" i="10"/>
  <c r="G899" i="10"/>
  <c r="H899" i="10"/>
  <c r="A900" i="10"/>
  <c r="B900" i="10"/>
  <c r="C900" i="10"/>
  <c r="D900" i="10"/>
  <c r="E900" i="10"/>
  <c r="F900" i="10"/>
  <c r="G900" i="10"/>
  <c r="H900" i="10"/>
  <c r="A901" i="10"/>
  <c r="B901" i="10"/>
  <c r="C901" i="10"/>
  <c r="D901" i="10"/>
  <c r="E901" i="10"/>
  <c r="F901" i="10"/>
  <c r="G901" i="10"/>
  <c r="H901" i="10"/>
  <c r="A902" i="10"/>
  <c r="B902" i="10"/>
  <c r="C902" i="10"/>
  <c r="D902" i="10"/>
  <c r="E902" i="10"/>
  <c r="F902" i="10"/>
  <c r="G902" i="10"/>
  <c r="H902" i="10"/>
  <c r="A903" i="10"/>
  <c r="B903" i="10"/>
  <c r="C903" i="10"/>
  <c r="D903" i="10"/>
  <c r="E903" i="10"/>
  <c r="F903" i="10"/>
  <c r="G903" i="10"/>
  <c r="H903" i="10"/>
  <c r="A904" i="10"/>
  <c r="B904" i="10"/>
  <c r="C904" i="10"/>
  <c r="D904" i="10"/>
  <c r="E904" i="10"/>
  <c r="F904" i="10"/>
  <c r="G904" i="10"/>
  <c r="H904" i="10"/>
  <c r="A905" i="10"/>
  <c r="B905" i="10"/>
  <c r="C905" i="10"/>
  <c r="D905" i="10"/>
  <c r="E905" i="10"/>
  <c r="F905" i="10"/>
  <c r="G905" i="10"/>
  <c r="H905" i="10"/>
  <c r="A906" i="10"/>
  <c r="B906" i="10"/>
  <c r="C906" i="10"/>
  <c r="D906" i="10"/>
  <c r="E906" i="10"/>
  <c r="F906" i="10"/>
  <c r="G906" i="10"/>
  <c r="H906" i="10"/>
  <c r="A907" i="10"/>
  <c r="B907" i="10"/>
  <c r="C907" i="10"/>
  <c r="D907" i="10"/>
  <c r="E907" i="10"/>
  <c r="F907" i="10"/>
  <c r="G907" i="10"/>
  <c r="H907" i="10"/>
  <c r="A908" i="10"/>
  <c r="B908" i="10"/>
  <c r="C908" i="10"/>
  <c r="D908" i="10"/>
  <c r="E908" i="10"/>
  <c r="F908" i="10"/>
  <c r="G908" i="10"/>
  <c r="H908" i="10"/>
  <c r="A909" i="10"/>
  <c r="B909" i="10"/>
  <c r="C909" i="10"/>
  <c r="D909" i="10"/>
  <c r="E909" i="10"/>
  <c r="F909" i="10"/>
  <c r="G909" i="10"/>
  <c r="H909" i="10"/>
  <c r="A910" i="10"/>
  <c r="B910" i="10"/>
  <c r="C910" i="10"/>
  <c r="D910" i="10"/>
  <c r="E910" i="10"/>
  <c r="F910" i="10"/>
  <c r="G910" i="10"/>
  <c r="H910" i="10"/>
  <c r="A911" i="10"/>
  <c r="B911" i="10"/>
  <c r="C911" i="10"/>
  <c r="D911" i="10"/>
  <c r="E911" i="10"/>
  <c r="F911" i="10"/>
  <c r="G911" i="10"/>
  <c r="H911" i="10"/>
  <c r="A912" i="10"/>
  <c r="B912" i="10"/>
  <c r="C912" i="10"/>
  <c r="D912" i="10"/>
  <c r="E912" i="10"/>
  <c r="F912" i="10"/>
  <c r="G912" i="10"/>
  <c r="H912" i="10"/>
  <c r="A913" i="10"/>
  <c r="B913" i="10"/>
  <c r="C913" i="10"/>
  <c r="D913" i="10"/>
  <c r="E913" i="10"/>
  <c r="F913" i="10"/>
  <c r="G913" i="10"/>
  <c r="H913" i="10"/>
  <c r="A914" i="10"/>
  <c r="B914" i="10"/>
  <c r="C914" i="10"/>
  <c r="D914" i="10"/>
  <c r="E914" i="10"/>
  <c r="F914" i="10"/>
  <c r="G914" i="10"/>
  <c r="H914" i="10"/>
  <c r="A915" i="10"/>
  <c r="B915" i="10"/>
  <c r="C915" i="10"/>
  <c r="D915" i="10"/>
  <c r="E915" i="10"/>
  <c r="F915" i="10"/>
  <c r="G915" i="10"/>
  <c r="H915" i="10"/>
  <c r="A916" i="10"/>
  <c r="B916" i="10"/>
  <c r="C916" i="10"/>
  <c r="D916" i="10"/>
  <c r="E916" i="10"/>
  <c r="F916" i="10"/>
  <c r="G916" i="10"/>
  <c r="H916" i="10"/>
  <c r="A917" i="10"/>
  <c r="B917" i="10"/>
  <c r="C917" i="10"/>
  <c r="D917" i="10"/>
  <c r="E917" i="10"/>
  <c r="F917" i="10"/>
  <c r="G917" i="10"/>
  <c r="H917" i="10"/>
  <c r="A918" i="10"/>
  <c r="B918" i="10"/>
  <c r="C918" i="10"/>
  <c r="D918" i="10"/>
  <c r="E918" i="10"/>
  <c r="F918" i="10"/>
  <c r="G918" i="10"/>
  <c r="H918" i="10"/>
  <c r="A919" i="10"/>
  <c r="B919" i="10"/>
  <c r="C919" i="10"/>
  <c r="D919" i="10"/>
  <c r="E919" i="10"/>
  <c r="F919" i="10"/>
  <c r="G919" i="10"/>
  <c r="H919" i="10"/>
  <c r="A920" i="10"/>
  <c r="B920" i="10"/>
  <c r="C920" i="10"/>
  <c r="D920" i="10"/>
  <c r="E920" i="10"/>
  <c r="F920" i="10"/>
  <c r="G920" i="10"/>
  <c r="H920" i="10"/>
  <c r="A921" i="10"/>
  <c r="B921" i="10"/>
  <c r="C921" i="10"/>
  <c r="D921" i="10"/>
  <c r="E921" i="10"/>
  <c r="F921" i="10"/>
  <c r="G921" i="10"/>
  <c r="H921" i="10"/>
  <c r="A922" i="10"/>
  <c r="B922" i="10"/>
  <c r="C922" i="10"/>
  <c r="D922" i="10"/>
  <c r="E922" i="10"/>
  <c r="F922" i="10"/>
  <c r="G922" i="10"/>
  <c r="H922" i="10"/>
  <c r="A923" i="10"/>
  <c r="B923" i="10"/>
  <c r="C923" i="10"/>
  <c r="D923" i="10"/>
  <c r="E923" i="10"/>
  <c r="F923" i="10"/>
  <c r="G923" i="10"/>
  <c r="H923" i="10"/>
  <c r="A924" i="10"/>
  <c r="B924" i="10"/>
  <c r="C924" i="10"/>
  <c r="D924" i="10"/>
  <c r="E924" i="10"/>
  <c r="F924" i="10"/>
  <c r="G924" i="10"/>
  <c r="H924" i="10"/>
  <c r="A925" i="10"/>
  <c r="B925" i="10"/>
  <c r="C925" i="10"/>
  <c r="D925" i="10"/>
  <c r="E925" i="10"/>
  <c r="F925" i="10"/>
  <c r="G925" i="10"/>
  <c r="H925" i="10"/>
  <c r="A926" i="10"/>
  <c r="B926" i="10"/>
  <c r="C926" i="10"/>
  <c r="D926" i="10"/>
  <c r="E926" i="10"/>
  <c r="F926" i="10"/>
  <c r="G926" i="10"/>
  <c r="H926" i="10"/>
  <c r="A927" i="10"/>
  <c r="B927" i="10"/>
  <c r="C927" i="10"/>
  <c r="D927" i="10"/>
  <c r="E927" i="10"/>
  <c r="F927" i="10"/>
  <c r="G927" i="10"/>
  <c r="H927" i="10"/>
  <c r="A928" i="10"/>
  <c r="B928" i="10"/>
  <c r="C928" i="10"/>
  <c r="D928" i="10"/>
  <c r="E928" i="10"/>
  <c r="F928" i="10"/>
  <c r="G928" i="10"/>
  <c r="H928" i="10"/>
  <c r="A929" i="10"/>
  <c r="B929" i="10"/>
  <c r="C929" i="10"/>
  <c r="D929" i="10"/>
  <c r="E929" i="10"/>
  <c r="F929" i="10"/>
  <c r="G929" i="10"/>
  <c r="H929" i="10"/>
  <c r="A930" i="10"/>
  <c r="B930" i="10"/>
  <c r="C930" i="10"/>
  <c r="D930" i="10"/>
  <c r="E930" i="10"/>
  <c r="F930" i="10"/>
  <c r="G930" i="10"/>
  <c r="H930" i="10"/>
  <c r="A931" i="10"/>
  <c r="B931" i="10"/>
  <c r="C931" i="10"/>
  <c r="D931" i="10"/>
  <c r="E931" i="10"/>
  <c r="F931" i="10"/>
  <c r="G931" i="10"/>
  <c r="H931" i="10"/>
  <c r="A932" i="10"/>
  <c r="B932" i="10"/>
  <c r="C932" i="10"/>
  <c r="D932" i="10"/>
  <c r="E932" i="10"/>
  <c r="F932" i="10"/>
  <c r="G932" i="10"/>
  <c r="H932" i="10"/>
  <c r="A933" i="10"/>
  <c r="B933" i="10"/>
  <c r="C933" i="10"/>
  <c r="D933" i="10"/>
  <c r="E933" i="10"/>
  <c r="F933" i="10"/>
  <c r="G933" i="10"/>
  <c r="H933" i="10"/>
  <c r="A934" i="10"/>
  <c r="B934" i="10"/>
  <c r="C934" i="10"/>
  <c r="D934" i="10"/>
  <c r="E934" i="10"/>
  <c r="F934" i="10"/>
  <c r="G934" i="10"/>
  <c r="H934" i="10"/>
  <c r="A935" i="10"/>
  <c r="B935" i="10"/>
  <c r="C935" i="10"/>
  <c r="D935" i="10"/>
  <c r="E935" i="10"/>
  <c r="F935" i="10"/>
  <c r="G935" i="10"/>
  <c r="H935" i="10"/>
  <c r="A936" i="10"/>
  <c r="B936" i="10"/>
  <c r="C936" i="10"/>
  <c r="D936" i="10"/>
  <c r="E936" i="10"/>
  <c r="F936" i="10"/>
  <c r="G936" i="10"/>
  <c r="H936" i="10"/>
  <c r="A937" i="10"/>
  <c r="B937" i="10"/>
  <c r="C937" i="10"/>
  <c r="D937" i="10"/>
  <c r="E937" i="10"/>
  <c r="F937" i="10"/>
  <c r="G937" i="10"/>
  <c r="H937" i="10"/>
  <c r="A938" i="10"/>
  <c r="B938" i="10"/>
  <c r="C938" i="10"/>
  <c r="D938" i="10"/>
  <c r="E938" i="10"/>
  <c r="F938" i="10"/>
  <c r="G938" i="10"/>
  <c r="H938" i="10"/>
  <c r="A939" i="10"/>
  <c r="B939" i="10"/>
  <c r="C939" i="10"/>
  <c r="D939" i="10"/>
  <c r="E939" i="10"/>
  <c r="F939" i="10"/>
  <c r="G939" i="10"/>
  <c r="H939" i="10"/>
  <c r="A940" i="10"/>
  <c r="B940" i="10"/>
  <c r="C940" i="10"/>
  <c r="D940" i="10"/>
  <c r="E940" i="10"/>
  <c r="F940" i="10"/>
  <c r="G940" i="10"/>
  <c r="H940" i="10"/>
  <c r="A941" i="10"/>
  <c r="B941" i="10"/>
  <c r="C941" i="10"/>
  <c r="D941" i="10"/>
  <c r="E941" i="10"/>
  <c r="F941" i="10"/>
  <c r="G941" i="10"/>
  <c r="H941" i="10"/>
  <c r="A942" i="10"/>
  <c r="B942" i="10"/>
  <c r="C942" i="10"/>
  <c r="D942" i="10"/>
  <c r="E942" i="10"/>
  <c r="F942" i="10"/>
  <c r="G942" i="10"/>
  <c r="H942" i="10"/>
  <c r="A943" i="10"/>
  <c r="B943" i="10"/>
  <c r="C943" i="10"/>
  <c r="D943" i="10"/>
  <c r="E943" i="10"/>
  <c r="F943" i="10"/>
  <c r="G943" i="10"/>
  <c r="H943" i="10"/>
  <c r="A944" i="10"/>
  <c r="B944" i="10"/>
  <c r="C944" i="10"/>
  <c r="D944" i="10"/>
  <c r="E944" i="10"/>
  <c r="F944" i="10"/>
  <c r="G944" i="10"/>
  <c r="H944" i="10"/>
  <c r="A945" i="10"/>
  <c r="B945" i="10"/>
  <c r="C945" i="10"/>
  <c r="D945" i="10"/>
  <c r="E945" i="10"/>
  <c r="F945" i="10"/>
  <c r="G945" i="10"/>
  <c r="H945" i="10"/>
  <c r="A947" i="10"/>
  <c r="B947" i="10"/>
  <c r="C947" i="10"/>
  <c r="D947" i="10"/>
  <c r="E947" i="10"/>
  <c r="F947" i="10"/>
  <c r="G947" i="10"/>
  <c r="H947" i="10"/>
  <c r="A948" i="10"/>
  <c r="B948" i="10"/>
  <c r="C948" i="10"/>
  <c r="D948" i="10"/>
  <c r="E948" i="10"/>
  <c r="F948" i="10"/>
  <c r="G948" i="10"/>
  <c r="H948" i="10"/>
  <c r="A949" i="10"/>
  <c r="B949" i="10"/>
  <c r="C949" i="10"/>
  <c r="D949" i="10"/>
  <c r="E949" i="10"/>
  <c r="F949" i="10"/>
  <c r="G949" i="10"/>
  <c r="H949" i="10"/>
  <c r="A950" i="10"/>
  <c r="B950" i="10"/>
  <c r="C950" i="10"/>
  <c r="D950" i="10"/>
  <c r="E950" i="10"/>
  <c r="F950" i="10"/>
  <c r="G950" i="10"/>
  <c r="H950" i="10"/>
  <c r="A951" i="10"/>
  <c r="B951" i="10"/>
  <c r="C951" i="10"/>
  <c r="D951" i="10"/>
  <c r="E951" i="10"/>
  <c r="F951" i="10"/>
  <c r="G951" i="10"/>
  <c r="H951" i="10"/>
  <c r="A952" i="10"/>
  <c r="B952" i="10"/>
  <c r="C952" i="10"/>
  <c r="D952" i="10"/>
  <c r="E952" i="10"/>
  <c r="F952" i="10"/>
  <c r="G952" i="10"/>
  <c r="H952" i="10"/>
  <c r="A953" i="10"/>
  <c r="B953" i="10"/>
  <c r="C953" i="10"/>
  <c r="D953" i="10"/>
  <c r="E953" i="10"/>
  <c r="F953" i="10"/>
  <c r="G953" i="10"/>
  <c r="H953" i="10"/>
  <c r="A954" i="10"/>
  <c r="B954" i="10"/>
  <c r="C954" i="10"/>
  <c r="D954" i="10"/>
  <c r="E954" i="10"/>
  <c r="F954" i="10"/>
  <c r="G954" i="10"/>
  <c r="H954" i="10"/>
  <c r="A955" i="10"/>
  <c r="B955" i="10"/>
  <c r="C955" i="10"/>
  <c r="D955" i="10"/>
  <c r="E955" i="10"/>
  <c r="F955" i="10"/>
  <c r="G955" i="10"/>
  <c r="H955" i="10"/>
  <c r="A956" i="10"/>
  <c r="B956" i="10"/>
  <c r="C956" i="10"/>
  <c r="D956" i="10"/>
  <c r="E956" i="10"/>
  <c r="F956" i="10"/>
  <c r="G956" i="10"/>
  <c r="H956" i="10"/>
  <c r="A957" i="10"/>
  <c r="B957" i="10"/>
  <c r="C957" i="10"/>
  <c r="D957" i="10"/>
  <c r="E957" i="10"/>
  <c r="F957" i="10"/>
  <c r="G957" i="10"/>
  <c r="H957" i="10"/>
  <c r="A958" i="10"/>
  <c r="B958" i="10"/>
  <c r="C958" i="10"/>
  <c r="D958" i="10"/>
  <c r="E958" i="10"/>
  <c r="F958" i="10"/>
  <c r="G958" i="10"/>
  <c r="H958" i="10"/>
  <c r="A959" i="10"/>
  <c r="B959" i="10"/>
  <c r="C959" i="10"/>
  <c r="D959" i="10"/>
  <c r="E959" i="10"/>
  <c r="F959" i="10"/>
  <c r="G959" i="10"/>
  <c r="H959" i="10"/>
  <c r="A960" i="10"/>
  <c r="B960" i="10"/>
  <c r="C960" i="10"/>
  <c r="D960" i="10"/>
  <c r="E960" i="10"/>
  <c r="F960" i="10"/>
  <c r="G960" i="10"/>
  <c r="H960" i="10"/>
  <c r="A961" i="10"/>
  <c r="B961" i="10"/>
  <c r="C961" i="10"/>
  <c r="D961" i="10"/>
  <c r="E961" i="10"/>
  <c r="F961" i="10"/>
  <c r="G961" i="10"/>
  <c r="H961" i="10"/>
  <c r="A962" i="10"/>
  <c r="B962" i="10"/>
  <c r="C962" i="10"/>
  <c r="D962" i="10"/>
  <c r="E962" i="10"/>
  <c r="F962" i="10"/>
  <c r="G962" i="10"/>
  <c r="H962" i="10"/>
  <c r="A963" i="10"/>
  <c r="B963" i="10"/>
  <c r="C963" i="10"/>
  <c r="D963" i="10"/>
  <c r="E963" i="10"/>
  <c r="F963" i="10"/>
  <c r="G963" i="10"/>
  <c r="H963" i="10"/>
  <c r="A964" i="10"/>
  <c r="B964" i="10"/>
  <c r="C964" i="10"/>
  <c r="D964" i="10"/>
  <c r="E964" i="10"/>
  <c r="F964" i="10"/>
  <c r="G964" i="10"/>
  <c r="H964" i="10"/>
  <c r="A965" i="10"/>
  <c r="B965" i="10"/>
  <c r="C965" i="10"/>
  <c r="D965" i="10"/>
  <c r="E965" i="10"/>
  <c r="F965" i="10"/>
  <c r="G965" i="10"/>
  <c r="H965" i="10"/>
  <c r="A966" i="10"/>
  <c r="B966" i="10"/>
  <c r="C966" i="10"/>
  <c r="D966" i="10"/>
  <c r="E966" i="10"/>
  <c r="F966" i="10"/>
  <c r="G966" i="10"/>
  <c r="H966" i="10"/>
  <c r="A967" i="10"/>
  <c r="B967" i="10"/>
  <c r="C967" i="10"/>
  <c r="D967" i="10"/>
  <c r="E967" i="10"/>
  <c r="F967" i="10"/>
  <c r="G967" i="10"/>
  <c r="H967" i="10"/>
  <c r="A968" i="10"/>
  <c r="B968" i="10"/>
  <c r="C968" i="10"/>
  <c r="D968" i="10"/>
  <c r="E968" i="10"/>
  <c r="F968" i="10"/>
  <c r="G968" i="10"/>
  <c r="H968" i="10"/>
  <c r="A969" i="10"/>
  <c r="B969" i="10"/>
  <c r="C969" i="10"/>
  <c r="D969" i="10"/>
  <c r="E969" i="10"/>
  <c r="F969" i="10"/>
  <c r="G969" i="10"/>
  <c r="H969" i="10"/>
  <c r="A970" i="10"/>
  <c r="B970" i="10"/>
  <c r="C970" i="10"/>
  <c r="D970" i="10"/>
  <c r="E970" i="10"/>
  <c r="F970" i="10"/>
  <c r="G970" i="10"/>
  <c r="H970" i="10"/>
  <c r="A971" i="10"/>
  <c r="B971" i="10"/>
  <c r="C971" i="10"/>
  <c r="D971" i="10"/>
  <c r="E971" i="10"/>
  <c r="F971" i="10"/>
  <c r="G971" i="10"/>
  <c r="H971" i="10"/>
  <c r="A972" i="10"/>
  <c r="B972" i="10"/>
  <c r="C972" i="10"/>
  <c r="D972" i="10"/>
  <c r="E972" i="10"/>
  <c r="F972" i="10"/>
  <c r="G972" i="10"/>
  <c r="H972" i="10"/>
  <c r="A973" i="10"/>
  <c r="B973" i="10"/>
  <c r="C973" i="10"/>
  <c r="D973" i="10"/>
  <c r="E973" i="10"/>
  <c r="F973" i="10"/>
  <c r="G973" i="10"/>
  <c r="H973" i="10"/>
  <c r="A974" i="10"/>
  <c r="B974" i="10"/>
  <c r="C974" i="10"/>
  <c r="D974" i="10"/>
  <c r="E974" i="10"/>
  <c r="F974" i="10"/>
  <c r="G974" i="10"/>
  <c r="H974" i="10"/>
  <c r="A975" i="10"/>
  <c r="B975" i="10"/>
  <c r="C975" i="10"/>
  <c r="D975" i="10"/>
  <c r="E975" i="10"/>
  <c r="F975" i="10"/>
  <c r="G975" i="10"/>
  <c r="H975" i="10"/>
  <c r="A976" i="10"/>
  <c r="B976" i="10"/>
  <c r="C976" i="10"/>
  <c r="D976" i="10"/>
  <c r="E976" i="10"/>
  <c r="F976" i="10"/>
  <c r="G976" i="10"/>
  <c r="H976" i="10"/>
  <c r="A977" i="10"/>
  <c r="B977" i="10"/>
  <c r="C977" i="10"/>
  <c r="D977" i="10"/>
  <c r="E977" i="10"/>
  <c r="F977" i="10"/>
  <c r="G977" i="10"/>
  <c r="H977" i="10"/>
  <c r="A978" i="10"/>
  <c r="B978" i="10"/>
  <c r="C978" i="10"/>
  <c r="D978" i="10"/>
  <c r="E978" i="10"/>
  <c r="F978" i="10"/>
  <c r="G978" i="10"/>
  <c r="H978" i="10"/>
  <c r="A979" i="10"/>
  <c r="B979" i="10"/>
  <c r="C979" i="10"/>
  <c r="D979" i="10"/>
  <c r="E979" i="10"/>
  <c r="F979" i="10"/>
  <c r="G979" i="10"/>
  <c r="H979" i="10"/>
  <c r="A980" i="10"/>
  <c r="B980" i="10"/>
  <c r="C980" i="10"/>
  <c r="D980" i="10"/>
  <c r="E980" i="10"/>
  <c r="F980" i="10"/>
  <c r="G980" i="10"/>
  <c r="H980" i="10"/>
  <c r="A981" i="10"/>
  <c r="B981" i="10"/>
  <c r="C981" i="10"/>
  <c r="D981" i="10"/>
  <c r="E981" i="10"/>
  <c r="F981" i="10"/>
  <c r="G981" i="10"/>
  <c r="H981" i="10"/>
  <c r="A982" i="10"/>
  <c r="B982" i="10"/>
  <c r="C982" i="10"/>
  <c r="D982" i="10"/>
  <c r="E982" i="10"/>
  <c r="F982" i="10"/>
  <c r="G982" i="10"/>
  <c r="H982" i="10"/>
  <c r="A983" i="10"/>
  <c r="B983" i="10"/>
  <c r="C983" i="10"/>
  <c r="D983" i="10"/>
  <c r="E983" i="10"/>
  <c r="F983" i="10"/>
  <c r="G983" i="10"/>
  <c r="H983" i="10"/>
  <c r="A984" i="10"/>
  <c r="B984" i="10"/>
  <c r="C984" i="10"/>
  <c r="D984" i="10"/>
  <c r="E984" i="10"/>
  <c r="F984" i="10"/>
  <c r="G984" i="10"/>
  <c r="H984" i="10"/>
  <c r="A985" i="10"/>
  <c r="B985" i="10"/>
  <c r="C985" i="10"/>
  <c r="D985" i="10"/>
  <c r="E985" i="10"/>
  <c r="F985" i="10"/>
  <c r="G985" i="10"/>
  <c r="H985" i="10"/>
  <c r="A986" i="10"/>
  <c r="B986" i="10"/>
  <c r="C986" i="10"/>
  <c r="D986" i="10"/>
  <c r="E986" i="10"/>
  <c r="F986" i="10"/>
  <c r="G986" i="10"/>
  <c r="H986" i="10"/>
  <c r="A987" i="10"/>
  <c r="B987" i="10"/>
  <c r="C987" i="10"/>
  <c r="D987" i="10"/>
  <c r="E987" i="10"/>
  <c r="F987" i="10"/>
  <c r="G987" i="10"/>
  <c r="H987" i="10"/>
  <c r="A988" i="10"/>
  <c r="B988" i="10"/>
  <c r="C988" i="10"/>
  <c r="D988" i="10"/>
  <c r="E988" i="10"/>
  <c r="F988" i="10"/>
  <c r="G988" i="10"/>
  <c r="H988" i="10"/>
  <c r="A989" i="10"/>
  <c r="B989" i="10"/>
  <c r="C989" i="10"/>
  <c r="D989" i="10"/>
  <c r="E989" i="10"/>
  <c r="F989" i="10"/>
  <c r="G989" i="10"/>
  <c r="H989" i="10"/>
  <c r="A990" i="10"/>
  <c r="B990" i="10"/>
  <c r="C990" i="10"/>
  <c r="D990" i="10"/>
  <c r="E990" i="10"/>
  <c r="F990" i="10"/>
  <c r="G990" i="10"/>
  <c r="H990" i="10"/>
  <c r="A991" i="10"/>
  <c r="B991" i="10"/>
  <c r="C991" i="10"/>
  <c r="D991" i="10"/>
  <c r="E991" i="10"/>
  <c r="F991" i="10"/>
  <c r="G991" i="10"/>
  <c r="H991" i="10"/>
  <c r="A992" i="10"/>
  <c r="B992" i="10"/>
  <c r="C992" i="10"/>
  <c r="D992" i="10"/>
  <c r="E992" i="10"/>
  <c r="F992" i="10"/>
  <c r="G992" i="10"/>
  <c r="H992" i="10"/>
  <c r="A993" i="10"/>
  <c r="B993" i="10"/>
  <c r="C993" i="10"/>
  <c r="D993" i="10"/>
  <c r="E993" i="10"/>
  <c r="F993" i="10"/>
  <c r="G993" i="10"/>
  <c r="H993" i="10"/>
  <c r="A994" i="10"/>
  <c r="B994" i="10"/>
  <c r="C994" i="10"/>
  <c r="D994" i="10"/>
  <c r="E994" i="10"/>
  <c r="F994" i="10"/>
  <c r="G994" i="10"/>
  <c r="H994" i="10"/>
  <c r="A995" i="10"/>
  <c r="B995" i="10"/>
  <c r="C995" i="10"/>
  <c r="D995" i="10"/>
  <c r="E995" i="10"/>
  <c r="F995" i="10"/>
  <c r="G995" i="10"/>
  <c r="H995" i="10"/>
  <c r="A996" i="10"/>
  <c r="B996" i="10"/>
  <c r="C996" i="10"/>
  <c r="D996" i="10"/>
  <c r="E996" i="10"/>
  <c r="F996" i="10"/>
  <c r="G996" i="10"/>
  <c r="H996" i="10"/>
  <c r="A997" i="10"/>
  <c r="B997" i="10"/>
  <c r="C997" i="10"/>
  <c r="D997" i="10"/>
  <c r="E997" i="10"/>
  <c r="F997" i="10"/>
  <c r="G997" i="10"/>
  <c r="H997" i="10"/>
  <c r="A998" i="10"/>
  <c r="B998" i="10"/>
  <c r="C998" i="10"/>
  <c r="D998" i="10"/>
  <c r="E998" i="10"/>
  <c r="F998" i="10"/>
  <c r="G998" i="10"/>
  <c r="H998" i="10"/>
  <c r="A999" i="10"/>
  <c r="B999" i="10"/>
  <c r="C999" i="10"/>
  <c r="D999" i="10"/>
  <c r="E999" i="10"/>
  <c r="F999" i="10"/>
  <c r="G999" i="10"/>
  <c r="H999" i="10"/>
  <c r="A1000" i="10"/>
  <c r="B1000" i="10"/>
  <c r="C1000" i="10"/>
  <c r="D1000" i="10"/>
  <c r="E1000" i="10"/>
  <c r="F1000" i="10"/>
  <c r="G1000" i="10"/>
  <c r="H1000" i="10"/>
  <c r="A1001" i="10"/>
  <c r="B1001" i="10"/>
  <c r="C1001" i="10"/>
  <c r="D1001" i="10"/>
  <c r="E1001" i="10"/>
  <c r="F1001" i="10"/>
  <c r="G1001" i="10"/>
  <c r="H1001" i="10"/>
  <c r="A1002" i="10"/>
  <c r="B1002" i="10"/>
  <c r="C1002" i="10"/>
  <c r="D1002" i="10"/>
  <c r="E1002" i="10"/>
  <c r="F1002" i="10"/>
  <c r="G1002" i="10"/>
  <c r="H1002" i="10"/>
  <c r="A1003" i="10"/>
  <c r="B1003" i="10"/>
  <c r="C1003" i="10"/>
  <c r="D1003" i="10"/>
  <c r="E1003" i="10"/>
  <c r="F1003" i="10"/>
  <c r="G1003" i="10"/>
  <c r="H1003" i="10"/>
  <c r="A1004" i="10"/>
  <c r="B1004" i="10"/>
  <c r="C1004" i="10"/>
  <c r="D1004" i="10"/>
  <c r="E1004" i="10"/>
  <c r="F1004" i="10"/>
  <c r="G1004" i="10"/>
  <c r="H1004" i="10"/>
  <c r="A1005" i="10"/>
  <c r="B1005" i="10"/>
  <c r="C1005" i="10"/>
  <c r="D1005" i="10"/>
  <c r="E1005" i="10"/>
  <c r="F1005" i="10"/>
  <c r="G1005" i="10"/>
  <c r="H1005" i="10"/>
  <c r="A1006" i="10"/>
  <c r="B1006" i="10"/>
  <c r="C1006" i="10"/>
  <c r="D1006" i="10"/>
  <c r="E1006" i="10"/>
  <c r="F1006" i="10"/>
  <c r="G1006" i="10"/>
  <c r="H1006" i="10"/>
  <c r="A1007" i="10"/>
  <c r="B1007" i="10"/>
  <c r="C1007" i="10"/>
  <c r="D1007" i="10"/>
  <c r="E1007" i="10"/>
  <c r="F1007" i="10"/>
  <c r="G1007" i="10"/>
  <c r="H1007" i="10"/>
  <c r="A1008" i="10"/>
  <c r="B1008" i="10"/>
  <c r="C1008" i="10"/>
  <c r="D1008" i="10"/>
  <c r="E1008" i="10"/>
  <c r="F1008" i="10"/>
  <c r="G1008" i="10"/>
  <c r="H1008" i="10"/>
  <c r="A1009" i="10"/>
  <c r="B1009" i="10"/>
  <c r="C1009" i="10"/>
  <c r="D1009" i="10"/>
  <c r="E1009" i="10"/>
  <c r="F1009" i="10"/>
  <c r="G1009" i="10"/>
  <c r="H1009" i="10"/>
  <c r="A1010" i="10"/>
  <c r="B1010" i="10"/>
  <c r="C1010" i="10"/>
  <c r="D1010" i="10"/>
  <c r="E1010" i="10"/>
  <c r="F1010" i="10"/>
  <c r="G1010" i="10"/>
  <c r="H1010" i="10"/>
  <c r="A1011" i="10"/>
  <c r="B1011" i="10"/>
  <c r="C1011" i="10"/>
  <c r="D1011" i="10"/>
  <c r="E1011" i="10"/>
  <c r="F1011" i="10"/>
  <c r="G1011" i="10"/>
  <c r="H1011" i="10"/>
  <c r="A1012" i="10"/>
  <c r="B1012" i="10"/>
  <c r="C1012" i="10"/>
  <c r="D1012" i="10"/>
  <c r="E1012" i="10"/>
  <c r="F1012" i="10"/>
  <c r="G1012" i="10"/>
  <c r="H1012" i="10"/>
  <c r="A1013" i="10"/>
  <c r="B1013" i="10"/>
  <c r="C1013" i="10"/>
  <c r="D1013" i="10"/>
  <c r="E1013" i="10"/>
  <c r="F1013" i="10"/>
  <c r="G1013" i="10"/>
  <c r="H1013" i="10"/>
  <c r="A1014" i="10"/>
  <c r="B1014" i="10"/>
  <c r="C1014" i="10"/>
  <c r="D1014" i="10"/>
  <c r="E1014" i="10"/>
  <c r="F1014" i="10"/>
  <c r="G1014" i="10"/>
  <c r="H1014" i="10"/>
  <c r="A1015" i="10"/>
  <c r="B1015" i="10"/>
  <c r="C1015" i="10"/>
  <c r="D1015" i="10"/>
  <c r="E1015" i="10"/>
  <c r="F1015" i="10"/>
  <c r="G1015" i="10"/>
  <c r="H1015" i="10"/>
  <c r="A1016" i="10"/>
  <c r="B1016" i="10"/>
  <c r="C1016" i="10"/>
  <c r="D1016" i="10"/>
  <c r="E1016" i="10"/>
  <c r="F1016" i="10"/>
  <c r="G1016" i="10"/>
  <c r="H1016" i="10"/>
  <c r="A1017" i="10"/>
  <c r="B1017" i="10"/>
  <c r="C1017" i="10"/>
  <c r="D1017" i="10"/>
  <c r="E1017" i="10"/>
  <c r="F1017" i="10"/>
  <c r="G1017" i="10"/>
  <c r="H1017" i="10"/>
  <c r="A1018" i="10"/>
  <c r="B1018" i="10"/>
  <c r="C1018" i="10"/>
  <c r="D1018" i="10"/>
  <c r="E1018" i="10"/>
  <c r="F1018" i="10"/>
  <c r="G1018" i="10"/>
  <c r="H1018" i="10"/>
  <c r="A1019" i="10"/>
  <c r="B1019" i="10"/>
  <c r="C1019" i="10"/>
  <c r="D1019" i="10"/>
  <c r="E1019" i="10"/>
  <c r="F1019" i="10"/>
  <c r="G1019" i="10"/>
  <c r="H1019" i="10"/>
  <c r="A1020" i="10"/>
  <c r="B1020" i="10"/>
  <c r="C1020" i="10"/>
  <c r="D1020" i="10"/>
  <c r="E1020" i="10"/>
  <c r="F1020" i="10"/>
  <c r="G1020" i="10"/>
  <c r="H1020" i="10"/>
  <c r="A1021" i="10"/>
  <c r="B1021" i="10"/>
  <c r="C1021" i="10"/>
  <c r="D1021" i="10"/>
  <c r="E1021" i="10"/>
  <c r="F1021" i="10"/>
  <c r="G1021" i="10"/>
  <c r="H1021" i="10"/>
  <c r="A1022" i="10"/>
  <c r="B1022" i="10"/>
  <c r="C1022" i="10"/>
  <c r="D1022" i="10"/>
  <c r="E1022" i="10"/>
  <c r="F1022" i="10"/>
  <c r="G1022" i="10"/>
  <c r="H1022" i="10"/>
  <c r="A1023" i="10"/>
  <c r="B1023" i="10"/>
  <c r="C1023" i="10"/>
  <c r="D1023" i="10"/>
  <c r="E1023" i="10"/>
  <c r="F1023" i="10"/>
  <c r="G1023" i="10"/>
  <c r="H1023" i="10"/>
  <c r="A1024" i="10"/>
  <c r="B1024" i="10"/>
  <c r="C1024" i="10"/>
  <c r="D1024" i="10"/>
  <c r="E1024" i="10"/>
  <c r="F1024" i="10"/>
  <c r="G1024" i="10"/>
  <c r="H1024" i="10"/>
  <c r="A1025" i="10"/>
  <c r="B1025" i="10"/>
  <c r="C1025" i="10"/>
  <c r="D1025" i="10"/>
  <c r="E1025" i="10"/>
  <c r="F1025" i="10"/>
  <c r="G1025" i="10"/>
  <c r="H1025" i="10"/>
  <c r="A1026" i="10"/>
  <c r="B1026" i="10"/>
  <c r="C1026" i="10"/>
  <c r="D1026" i="10"/>
  <c r="E1026" i="10"/>
  <c r="F1026" i="10"/>
  <c r="G1026" i="10"/>
  <c r="H1026" i="10"/>
  <c r="A1027" i="10"/>
  <c r="B1027" i="10"/>
  <c r="C1027" i="10"/>
  <c r="D1027" i="10"/>
  <c r="E1027" i="10"/>
  <c r="F1027" i="10"/>
  <c r="G1027" i="10"/>
  <c r="H1027" i="10"/>
  <c r="A1028" i="10"/>
  <c r="B1028" i="10"/>
  <c r="C1028" i="10"/>
  <c r="D1028" i="10"/>
  <c r="E1028" i="10"/>
  <c r="F1028" i="10"/>
  <c r="G1028" i="10"/>
  <c r="H1028" i="10"/>
  <c r="A1029" i="10"/>
  <c r="B1029" i="10"/>
  <c r="C1029" i="10"/>
  <c r="D1029" i="10"/>
  <c r="E1029" i="10"/>
  <c r="F1029" i="10"/>
  <c r="G1029" i="10"/>
  <c r="H1029" i="10"/>
  <c r="A1030" i="10"/>
  <c r="B1030" i="10"/>
  <c r="C1030" i="10"/>
  <c r="D1030" i="10"/>
  <c r="E1030" i="10"/>
  <c r="F1030" i="10"/>
  <c r="G1030" i="10"/>
  <c r="H1030" i="10"/>
  <c r="A1031" i="10"/>
  <c r="B1031" i="10"/>
  <c r="C1031" i="10"/>
  <c r="D1031" i="10"/>
  <c r="E1031" i="10"/>
  <c r="F1031" i="10"/>
  <c r="G1031" i="10"/>
  <c r="H1031" i="10"/>
  <c r="A1032" i="10"/>
  <c r="B1032" i="10"/>
  <c r="C1032" i="10"/>
  <c r="D1032" i="10"/>
  <c r="E1032" i="10"/>
  <c r="F1032" i="10"/>
  <c r="G1032" i="10"/>
  <c r="H1032" i="10"/>
  <c r="A1033" i="10"/>
  <c r="B1033" i="10"/>
  <c r="C1033" i="10"/>
  <c r="D1033" i="10"/>
  <c r="E1033" i="10"/>
  <c r="F1033" i="10"/>
  <c r="G1033" i="10"/>
  <c r="H1033" i="10"/>
  <c r="A1034" i="10"/>
  <c r="B1034" i="10"/>
  <c r="C1034" i="10"/>
  <c r="D1034" i="10"/>
  <c r="E1034" i="10"/>
  <c r="F1034" i="10"/>
  <c r="G1034" i="10"/>
  <c r="H1034" i="10"/>
  <c r="A1035" i="10"/>
  <c r="B1035" i="10"/>
  <c r="C1035" i="10"/>
  <c r="D1035" i="10"/>
  <c r="E1035" i="10"/>
  <c r="F1035" i="10"/>
  <c r="G1035" i="10"/>
  <c r="H1035" i="10"/>
  <c r="A1036" i="10"/>
  <c r="B1036" i="10"/>
  <c r="C1036" i="10"/>
  <c r="D1036" i="10"/>
  <c r="E1036" i="10"/>
  <c r="F1036" i="10"/>
  <c r="G1036" i="10"/>
  <c r="H1036" i="10"/>
  <c r="A1037" i="10"/>
  <c r="B1037" i="10"/>
  <c r="C1037" i="10"/>
  <c r="D1037" i="10"/>
  <c r="E1037" i="10"/>
  <c r="F1037" i="10"/>
  <c r="G1037" i="10"/>
  <c r="H1037" i="10"/>
  <c r="A1038" i="10"/>
  <c r="B1038" i="10"/>
  <c r="C1038" i="10"/>
  <c r="D1038" i="10"/>
  <c r="E1038" i="10"/>
  <c r="F1038" i="10"/>
  <c r="G1038" i="10"/>
  <c r="H1038" i="10"/>
  <c r="A1039" i="10"/>
  <c r="B1039" i="10"/>
  <c r="C1039" i="10"/>
  <c r="D1039" i="10"/>
  <c r="E1039" i="10"/>
  <c r="F1039" i="10"/>
  <c r="G1039" i="10"/>
  <c r="H1039" i="10"/>
  <c r="A1040" i="10"/>
  <c r="B1040" i="10"/>
  <c r="C1040" i="10"/>
  <c r="D1040" i="10"/>
  <c r="E1040" i="10"/>
  <c r="F1040" i="10"/>
  <c r="G1040" i="10"/>
  <c r="H1040" i="10"/>
  <c r="A1041" i="10"/>
  <c r="B1041" i="10"/>
  <c r="C1041" i="10"/>
  <c r="D1041" i="10"/>
  <c r="E1041" i="10"/>
  <c r="F1041" i="10"/>
  <c r="G1041" i="10"/>
  <c r="H1041" i="10"/>
  <c r="A1042" i="10"/>
  <c r="B1042" i="10"/>
  <c r="C1042" i="10"/>
  <c r="D1042" i="10"/>
  <c r="E1042" i="10"/>
  <c r="F1042" i="10"/>
  <c r="G1042" i="10"/>
  <c r="H1042" i="10"/>
  <c r="A1043" i="10"/>
  <c r="B1043" i="10"/>
  <c r="C1043" i="10"/>
  <c r="D1043" i="10"/>
  <c r="E1043" i="10"/>
  <c r="F1043" i="10"/>
  <c r="G1043" i="10"/>
  <c r="H1043" i="10"/>
  <c r="A1044" i="10"/>
  <c r="B1044" i="10"/>
  <c r="C1044" i="10"/>
  <c r="D1044" i="10"/>
  <c r="E1044" i="10"/>
  <c r="F1044" i="10"/>
  <c r="G1044" i="10"/>
  <c r="H1044" i="10"/>
  <c r="A1045" i="10"/>
  <c r="B1045" i="10"/>
  <c r="C1045" i="10"/>
  <c r="D1045" i="10"/>
  <c r="E1045" i="10"/>
  <c r="F1045" i="10"/>
  <c r="G1045" i="10"/>
  <c r="H1045" i="10"/>
  <c r="A1046" i="10"/>
  <c r="B1046" i="10"/>
  <c r="C1046" i="10"/>
  <c r="D1046" i="10"/>
  <c r="E1046" i="10"/>
  <c r="F1046" i="10"/>
  <c r="G1046" i="10"/>
  <c r="H1046" i="10"/>
  <c r="A1047" i="10"/>
  <c r="B1047" i="10"/>
  <c r="C1047" i="10"/>
  <c r="D1047" i="10"/>
  <c r="E1047" i="10"/>
  <c r="F1047" i="10"/>
  <c r="G1047" i="10"/>
  <c r="H1047" i="10"/>
  <c r="A1048" i="10"/>
  <c r="B1048" i="10"/>
  <c r="C1048" i="10"/>
  <c r="D1048" i="10"/>
  <c r="E1048" i="10"/>
  <c r="F1048" i="10"/>
  <c r="G1048" i="10"/>
  <c r="H1048" i="10"/>
  <c r="A1049" i="10"/>
  <c r="B1049" i="10"/>
  <c r="C1049" i="10"/>
  <c r="D1049" i="10"/>
  <c r="E1049" i="10"/>
  <c r="F1049" i="10"/>
  <c r="G1049" i="10"/>
  <c r="H1049" i="10"/>
  <c r="A1050" i="10"/>
  <c r="B1050" i="10"/>
  <c r="C1050" i="10"/>
  <c r="D1050" i="10"/>
  <c r="E1050" i="10"/>
  <c r="F1050" i="10"/>
  <c r="G1050" i="10"/>
  <c r="H1050" i="10"/>
  <c r="A1051" i="10"/>
  <c r="B1051" i="10"/>
  <c r="C1051" i="10"/>
  <c r="D1051" i="10"/>
  <c r="E1051" i="10"/>
  <c r="F1051" i="10"/>
  <c r="G1051" i="10"/>
  <c r="H1051" i="10"/>
  <c r="A1052" i="10"/>
  <c r="B1052" i="10"/>
  <c r="C1052" i="10"/>
  <c r="D1052" i="10"/>
  <c r="E1052" i="10"/>
  <c r="F1052" i="10"/>
  <c r="G1052" i="10"/>
  <c r="H1052" i="10"/>
  <c r="A1053" i="10"/>
  <c r="B1053" i="10"/>
  <c r="C1053" i="10"/>
  <c r="D1053" i="10"/>
  <c r="E1053" i="10"/>
  <c r="F1053" i="10"/>
  <c r="G1053" i="10"/>
  <c r="H1053" i="10"/>
  <c r="A1054" i="10"/>
  <c r="B1054" i="10"/>
  <c r="C1054" i="10"/>
  <c r="D1054" i="10"/>
  <c r="E1054" i="10"/>
  <c r="F1054" i="10"/>
  <c r="G1054" i="10"/>
  <c r="H1054" i="10"/>
  <c r="A1055" i="10"/>
  <c r="B1055" i="10"/>
  <c r="C1055" i="10"/>
  <c r="D1055" i="10"/>
  <c r="E1055" i="10"/>
  <c r="F1055" i="10"/>
  <c r="G1055" i="10"/>
  <c r="H1055" i="10"/>
  <c r="A1056" i="10"/>
  <c r="B1056" i="10"/>
  <c r="C1056" i="10"/>
  <c r="D1056" i="10"/>
  <c r="E1056" i="10"/>
  <c r="F1056" i="10"/>
  <c r="G1056" i="10"/>
  <c r="H1056" i="10"/>
  <c r="A1057" i="10"/>
  <c r="B1057" i="10"/>
  <c r="C1057" i="10"/>
  <c r="D1057" i="10"/>
  <c r="E1057" i="10"/>
  <c r="F1057" i="10"/>
  <c r="G1057" i="10"/>
  <c r="H1057" i="10"/>
  <c r="A1058" i="10"/>
  <c r="B1058" i="10"/>
  <c r="C1058" i="10"/>
  <c r="D1058" i="10"/>
  <c r="E1058" i="10"/>
  <c r="F1058" i="10"/>
  <c r="G1058" i="10"/>
  <c r="H1058" i="10"/>
  <c r="A1059" i="10"/>
  <c r="B1059" i="10"/>
  <c r="C1059" i="10"/>
  <c r="D1059" i="10"/>
  <c r="E1059" i="10"/>
  <c r="F1059" i="10"/>
  <c r="G1059" i="10"/>
  <c r="H1059" i="10"/>
  <c r="A1060" i="10"/>
  <c r="B1060" i="10"/>
  <c r="C1060" i="10"/>
  <c r="D1060" i="10"/>
  <c r="E1060" i="10"/>
  <c r="F1060" i="10"/>
  <c r="G1060" i="10"/>
  <c r="H1060" i="10"/>
  <c r="A1061" i="10"/>
  <c r="B1061" i="10"/>
  <c r="C1061" i="10"/>
  <c r="D1061" i="10"/>
  <c r="E1061" i="10"/>
  <c r="F1061" i="10"/>
  <c r="G1061" i="10"/>
  <c r="H1061" i="10"/>
  <c r="A1062" i="10"/>
  <c r="B1062" i="10"/>
  <c r="C1062" i="10"/>
  <c r="D1062" i="10"/>
  <c r="E1062" i="10"/>
  <c r="F1062" i="10"/>
  <c r="G1062" i="10"/>
  <c r="H1062" i="10"/>
  <c r="A1063" i="10"/>
  <c r="B1063" i="10"/>
  <c r="C1063" i="10"/>
  <c r="D1063" i="10"/>
  <c r="E1063" i="10"/>
  <c r="F1063" i="10"/>
  <c r="G1063" i="10"/>
  <c r="H1063" i="10"/>
  <c r="A1064" i="10"/>
  <c r="B1064" i="10"/>
  <c r="C1064" i="10"/>
  <c r="D1064" i="10"/>
  <c r="E1064" i="10"/>
  <c r="F1064" i="10"/>
  <c r="G1064" i="10"/>
  <c r="H1064" i="10"/>
  <c r="A1065" i="10"/>
  <c r="B1065" i="10"/>
  <c r="C1065" i="10"/>
  <c r="D1065" i="10"/>
  <c r="E1065" i="10"/>
  <c r="F1065" i="10"/>
  <c r="G1065" i="10"/>
  <c r="H1065" i="10"/>
  <c r="A1066" i="10"/>
  <c r="B1066" i="10"/>
  <c r="C1066" i="10"/>
  <c r="D1066" i="10"/>
  <c r="E1066" i="10"/>
  <c r="F1066" i="10"/>
  <c r="G1066" i="10"/>
  <c r="H1066" i="10"/>
  <c r="A1067" i="10"/>
  <c r="B1067" i="10"/>
  <c r="C1067" i="10"/>
  <c r="D1067" i="10"/>
  <c r="E1067" i="10"/>
  <c r="F1067" i="10"/>
  <c r="G1067" i="10"/>
  <c r="H1067" i="10"/>
  <c r="A1068" i="10"/>
  <c r="B1068" i="10"/>
  <c r="C1068" i="10"/>
  <c r="D1068" i="10"/>
  <c r="E1068" i="10"/>
  <c r="F1068" i="10"/>
  <c r="G1068" i="10"/>
  <c r="H1068" i="10"/>
  <c r="A1069" i="10"/>
  <c r="B1069" i="10"/>
  <c r="C1069" i="10"/>
  <c r="D1069" i="10"/>
  <c r="E1069" i="10"/>
  <c r="F1069" i="10"/>
  <c r="G1069" i="10"/>
  <c r="H1069" i="10"/>
  <c r="A1070" i="10"/>
  <c r="B1070" i="10"/>
  <c r="C1070" i="10"/>
  <c r="D1070" i="10"/>
  <c r="E1070" i="10"/>
  <c r="F1070" i="10"/>
  <c r="G1070" i="10"/>
  <c r="H1070" i="10"/>
  <c r="A1071" i="10"/>
  <c r="B1071" i="10"/>
  <c r="C1071" i="10"/>
  <c r="D1071" i="10"/>
  <c r="E1071" i="10"/>
  <c r="F1071" i="10"/>
  <c r="G1071" i="10"/>
  <c r="H1071" i="10"/>
  <c r="A1072" i="10"/>
  <c r="B1072" i="10"/>
  <c r="C1072" i="10"/>
  <c r="D1072" i="10"/>
  <c r="E1072" i="10"/>
  <c r="F1072" i="10"/>
  <c r="G1072" i="10"/>
  <c r="H1072" i="10"/>
  <c r="A1073" i="10"/>
  <c r="B1073" i="10"/>
  <c r="C1073" i="10"/>
  <c r="D1073" i="10"/>
  <c r="E1073" i="10"/>
  <c r="F1073" i="10"/>
  <c r="G1073" i="10"/>
  <c r="H1073" i="10"/>
  <c r="A1074" i="10"/>
  <c r="B1074" i="10"/>
  <c r="C1074" i="10"/>
  <c r="D1074" i="10"/>
  <c r="E1074" i="10"/>
  <c r="F1074" i="10"/>
  <c r="G1074" i="10"/>
  <c r="H1074" i="10"/>
  <c r="A1075" i="10"/>
  <c r="B1075" i="10"/>
  <c r="C1075" i="10"/>
  <c r="D1075" i="10"/>
  <c r="E1075" i="10"/>
  <c r="F1075" i="10"/>
  <c r="G1075" i="10"/>
  <c r="H1075" i="10"/>
  <c r="A1076" i="10"/>
  <c r="B1076" i="10"/>
  <c r="C1076" i="10"/>
  <c r="D1076" i="10"/>
  <c r="E1076" i="10"/>
  <c r="F1076" i="10"/>
  <c r="G1076" i="10"/>
  <c r="H1076" i="10"/>
  <c r="A1077" i="10"/>
  <c r="B1077" i="10"/>
  <c r="C1077" i="10"/>
  <c r="D1077" i="10"/>
  <c r="E1077" i="10"/>
  <c r="F1077" i="10"/>
  <c r="G1077" i="10"/>
  <c r="H1077" i="10"/>
  <c r="A1078" i="10"/>
  <c r="B1078" i="10"/>
  <c r="C1078" i="10"/>
  <c r="D1078" i="10"/>
  <c r="E1078" i="10"/>
  <c r="F1078" i="10"/>
  <c r="G1078" i="10"/>
  <c r="H1078" i="10"/>
  <c r="A1079" i="10"/>
  <c r="B1079" i="10"/>
  <c r="C1079" i="10"/>
  <c r="D1079" i="10"/>
  <c r="E1079" i="10"/>
  <c r="F1079" i="10"/>
  <c r="G1079" i="10"/>
  <c r="H1079" i="10"/>
  <c r="A1080" i="10"/>
  <c r="B1080" i="10"/>
  <c r="C1080" i="10"/>
  <c r="D1080" i="10"/>
  <c r="E1080" i="10"/>
  <c r="F1080" i="10"/>
  <c r="G1080" i="10"/>
  <c r="H1080" i="10"/>
  <c r="A1081" i="10"/>
  <c r="B1081" i="10"/>
  <c r="C1081" i="10"/>
  <c r="D1081" i="10"/>
  <c r="E1081" i="10"/>
  <c r="F1081" i="10"/>
  <c r="G1081" i="10"/>
  <c r="H1081" i="10"/>
  <c r="A1082" i="10"/>
  <c r="B1082" i="10"/>
  <c r="C1082" i="10"/>
  <c r="D1082" i="10"/>
  <c r="E1082" i="10"/>
  <c r="F1082" i="10"/>
  <c r="G1082" i="10"/>
  <c r="H1082" i="10"/>
  <c r="A1083" i="10"/>
  <c r="B1083" i="10"/>
  <c r="C1083" i="10"/>
  <c r="D1083" i="10"/>
  <c r="E1083" i="10"/>
  <c r="F1083" i="10"/>
  <c r="G1083" i="10"/>
  <c r="H1083" i="10"/>
  <c r="A1084" i="10"/>
  <c r="B1084" i="10"/>
  <c r="C1084" i="10"/>
  <c r="D1084" i="10"/>
  <c r="E1084" i="10"/>
  <c r="F1084" i="10"/>
  <c r="G1084" i="10"/>
  <c r="H1084" i="10"/>
  <c r="A1085" i="10"/>
  <c r="B1085" i="10"/>
  <c r="C1085" i="10"/>
  <c r="D1085" i="10"/>
  <c r="E1085" i="10"/>
  <c r="F1085" i="10"/>
  <c r="G1085" i="10"/>
  <c r="H1085" i="10"/>
  <c r="A1086" i="10"/>
  <c r="B1086" i="10"/>
  <c r="C1086" i="10"/>
  <c r="D1086" i="10"/>
  <c r="E1086" i="10"/>
  <c r="F1086" i="10"/>
  <c r="G1086" i="10"/>
  <c r="H1086" i="10"/>
  <c r="A1087" i="10"/>
  <c r="B1087" i="10"/>
  <c r="C1087" i="10"/>
  <c r="D1087" i="10"/>
  <c r="E1087" i="10"/>
  <c r="F1087" i="10"/>
  <c r="G1087" i="10"/>
  <c r="H1087" i="10"/>
  <c r="A1088" i="10"/>
  <c r="B1088" i="10"/>
  <c r="C1088" i="10"/>
  <c r="D1088" i="10"/>
  <c r="E1088" i="10"/>
  <c r="F1088" i="10"/>
  <c r="G1088" i="10"/>
  <c r="H1088" i="10"/>
  <c r="A1089" i="10"/>
  <c r="B1089" i="10"/>
  <c r="C1089" i="10"/>
  <c r="D1089" i="10"/>
  <c r="E1089" i="10"/>
  <c r="F1089" i="10"/>
  <c r="G1089" i="10"/>
  <c r="H1089" i="10"/>
  <c r="A1090" i="10"/>
  <c r="B1090" i="10"/>
  <c r="C1090" i="10"/>
  <c r="D1090" i="10"/>
  <c r="E1090" i="10"/>
  <c r="F1090" i="10"/>
  <c r="G1090" i="10"/>
  <c r="H1090" i="10"/>
  <c r="A1091" i="10"/>
  <c r="B1091" i="10"/>
  <c r="C1091" i="10"/>
  <c r="D1091" i="10"/>
  <c r="E1091" i="10"/>
  <c r="F1091" i="10"/>
  <c r="G1091" i="10"/>
  <c r="H1091" i="10"/>
  <c r="A1092" i="10"/>
  <c r="B1092" i="10"/>
  <c r="C1092" i="10"/>
  <c r="D1092" i="10"/>
  <c r="E1092" i="10"/>
  <c r="F1092" i="10"/>
  <c r="G1092" i="10"/>
  <c r="H1092" i="10"/>
  <c r="A1093" i="10"/>
  <c r="B1093" i="10"/>
  <c r="C1093" i="10"/>
  <c r="D1093" i="10"/>
  <c r="E1093" i="10"/>
  <c r="F1093" i="10"/>
  <c r="G1093" i="10"/>
  <c r="H1093" i="10"/>
  <c r="A1094" i="10"/>
  <c r="B1094" i="10"/>
  <c r="C1094" i="10"/>
  <c r="D1094" i="10"/>
  <c r="E1094" i="10"/>
  <c r="F1094" i="10"/>
  <c r="G1094" i="10"/>
  <c r="H1094" i="10"/>
  <c r="A1095" i="10"/>
  <c r="B1095" i="10"/>
  <c r="C1095" i="10"/>
  <c r="D1095" i="10"/>
  <c r="E1095" i="10"/>
  <c r="F1095" i="10"/>
  <c r="G1095" i="10"/>
  <c r="H1095" i="10"/>
  <c r="A1096" i="10"/>
  <c r="B1096" i="10"/>
  <c r="C1096" i="10"/>
  <c r="D1096" i="10"/>
  <c r="E1096" i="10"/>
  <c r="F1096" i="10"/>
  <c r="G1096" i="10"/>
  <c r="H1096" i="10"/>
  <c r="A1097" i="10"/>
  <c r="B1097" i="10"/>
  <c r="C1097" i="10"/>
  <c r="D1097" i="10"/>
  <c r="E1097" i="10"/>
  <c r="F1097" i="10"/>
  <c r="G1097" i="10"/>
  <c r="H1097" i="10"/>
  <c r="A1098" i="10"/>
  <c r="B1098" i="10"/>
  <c r="C1098" i="10"/>
  <c r="D1098" i="10"/>
  <c r="E1098" i="10"/>
  <c r="F1098" i="10"/>
  <c r="G1098" i="10"/>
  <c r="H1098" i="10"/>
  <c r="A1099" i="10"/>
  <c r="B1099" i="10"/>
  <c r="C1099" i="10"/>
  <c r="D1099" i="10"/>
  <c r="E1099" i="10"/>
  <c r="F1099" i="10"/>
  <c r="G1099" i="10"/>
  <c r="H1099" i="10"/>
  <c r="A1100" i="10"/>
  <c r="B1100" i="10"/>
  <c r="C1100" i="10"/>
  <c r="D1100" i="10"/>
  <c r="E1100" i="10"/>
  <c r="F1100" i="10"/>
  <c r="G1100" i="10"/>
  <c r="H1100" i="10"/>
  <c r="A1101" i="10"/>
  <c r="B1101" i="10"/>
  <c r="C1101" i="10"/>
  <c r="D1101" i="10"/>
  <c r="E1101" i="10"/>
  <c r="F1101" i="10"/>
  <c r="G1101" i="10"/>
  <c r="H1101" i="10"/>
  <c r="A1102" i="10"/>
  <c r="B1102" i="10"/>
  <c r="C1102" i="10"/>
  <c r="D1102" i="10"/>
  <c r="E1102" i="10"/>
  <c r="F1102" i="10"/>
  <c r="G1102" i="10"/>
  <c r="H1102" i="10"/>
  <c r="A1103" i="10"/>
  <c r="B1103" i="10"/>
  <c r="C1103" i="10"/>
  <c r="D1103" i="10"/>
  <c r="E1103" i="10"/>
  <c r="F1103" i="10"/>
  <c r="G1103" i="10"/>
  <c r="H1103" i="10"/>
  <c r="A1104" i="10"/>
  <c r="B1104" i="10"/>
  <c r="C1104" i="10"/>
  <c r="D1104" i="10"/>
  <c r="E1104" i="10"/>
  <c r="F1104" i="10"/>
  <c r="G1104" i="10"/>
  <c r="H1104" i="10"/>
  <c r="A1105" i="10"/>
  <c r="B1105" i="10"/>
  <c r="C1105" i="10"/>
  <c r="D1105" i="10"/>
  <c r="E1105" i="10"/>
  <c r="F1105" i="10"/>
  <c r="G1105" i="10"/>
  <c r="H1105" i="10"/>
  <c r="A1106" i="10"/>
  <c r="B1106" i="10"/>
  <c r="C1106" i="10"/>
  <c r="D1106" i="10"/>
  <c r="E1106" i="10"/>
  <c r="F1106" i="10"/>
  <c r="G1106" i="10"/>
  <c r="H1106" i="10"/>
  <c r="A1107" i="10"/>
  <c r="B1107" i="10"/>
  <c r="C1107" i="10"/>
  <c r="D1107" i="10"/>
  <c r="E1107" i="10"/>
  <c r="F1107" i="10"/>
  <c r="G1107" i="10"/>
  <c r="H1107" i="10"/>
  <c r="A1108" i="10"/>
  <c r="B1108" i="10"/>
  <c r="C1108" i="10"/>
  <c r="D1108" i="10"/>
  <c r="E1108" i="10"/>
  <c r="F1108" i="10"/>
  <c r="G1108" i="10"/>
  <c r="H1108" i="10"/>
  <c r="A1109" i="10"/>
  <c r="B1109" i="10"/>
  <c r="C1109" i="10"/>
  <c r="D1109" i="10"/>
  <c r="E1109" i="10"/>
  <c r="F1109" i="10"/>
  <c r="G1109" i="10"/>
  <c r="H1109" i="10"/>
  <c r="A1110" i="10"/>
  <c r="B1110" i="10"/>
  <c r="C1110" i="10"/>
  <c r="D1110" i="10"/>
  <c r="E1110" i="10"/>
  <c r="F1110" i="10"/>
  <c r="G1110" i="10"/>
  <c r="H1110" i="10"/>
  <c r="A1111" i="10"/>
  <c r="B1111" i="10"/>
  <c r="C1111" i="10"/>
  <c r="D1111" i="10"/>
  <c r="E1111" i="10"/>
  <c r="F1111" i="10"/>
  <c r="G1111" i="10"/>
  <c r="H1111" i="10"/>
  <c r="A1112" i="10"/>
  <c r="B1112" i="10"/>
  <c r="C1112" i="10"/>
  <c r="D1112" i="10"/>
  <c r="E1112" i="10"/>
  <c r="F1112" i="10"/>
  <c r="G1112" i="10"/>
  <c r="H1112" i="10"/>
  <c r="A1113" i="10"/>
  <c r="B1113" i="10"/>
  <c r="C1113" i="10"/>
  <c r="D1113" i="10"/>
  <c r="E1113" i="10"/>
  <c r="F1113" i="10"/>
  <c r="G1113" i="10"/>
  <c r="H1113" i="10"/>
  <c r="A1114" i="10"/>
  <c r="B1114" i="10"/>
  <c r="C1114" i="10"/>
  <c r="D1114" i="10"/>
  <c r="E1114" i="10"/>
  <c r="F1114" i="10"/>
  <c r="G1114" i="10"/>
  <c r="H1114" i="10"/>
  <c r="A1115" i="10"/>
  <c r="B1115" i="10"/>
  <c r="C1115" i="10"/>
  <c r="D1115" i="10"/>
  <c r="E1115" i="10"/>
  <c r="F1115" i="10"/>
  <c r="G1115" i="10"/>
  <c r="H1115" i="10"/>
  <c r="A1116" i="10"/>
  <c r="B1116" i="10"/>
  <c r="C1116" i="10"/>
  <c r="D1116" i="10"/>
  <c r="E1116" i="10"/>
  <c r="F1116" i="10"/>
  <c r="G1116" i="10"/>
  <c r="H1116" i="10"/>
  <c r="A1118" i="10"/>
  <c r="B1118" i="10"/>
  <c r="C1118" i="10"/>
  <c r="D1118" i="10"/>
  <c r="E1118" i="10"/>
  <c r="F1118" i="10"/>
  <c r="G1118" i="10"/>
  <c r="H1118" i="10"/>
  <c r="A1119" i="10"/>
  <c r="B1119" i="10"/>
  <c r="C1119" i="10"/>
  <c r="D1119" i="10"/>
  <c r="E1119" i="10"/>
  <c r="F1119" i="10"/>
  <c r="G1119" i="10"/>
  <c r="H1119" i="10"/>
  <c r="A1120" i="10"/>
  <c r="B1120" i="10"/>
  <c r="C1120" i="10"/>
  <c r="D1120" i="10"/>
  <c r="E1120" i="10"/>
  <c r="F1120" i="10"/>
  <c r="G1120" i="10"/>
  <c r="H1120" i="10"/>
  <c r="A1121" i="10"/>
  <c r="B1121" i="10"/>
  <c r="C1121" i="10"/>
  <c r="D1121" i="10"/>
  <c r="E1121" i="10"/>
  <c r="F1121" i="10"/>
  <c r="G1121" i="10"/>
  <c r="H1121" i="10"/>
  <c r="A1122" i="10"/>
  <c r="B1122" i="10"/>
  <c r="C1122" i="10"/>
  <c r="D1122" i="10"/>
  <c r="E1122" i="10"/>
  <c r="F1122" i="10"/>
  <c r="G1122" i="10"/>
  <c r="H1122" i="10"/>
  <c r="A1123" i="10"/>
  <c r="B1123" i="10"/>
  <c r="C1123" i="10"/>
  <c r="D1123" i="10"/>
  <c r="E1123" i="10"/>
  <c r="F1123" i="10"/>
  <c r="G1123" i="10"/>
  <c r="H1123" i="10"/>
  <c r="A1124" i="10"/>
  <c r="B1124" i="10"/>
  <c r="C1124" i="10"/>
  <c r="D1124" i="10"/>
  <c r="E1124" i="10"/>
  <c r="F1124" i="10"/>
  <c r="G1124" i="10"/>
  <c r="H1124" i="10"/>
  <c r="A1125" i="10"/>
  <c r="B1125" i="10"/>
  <c r="C1125" i="10"/>
  <c r="D1125" i="10"/>
  <c r="E1125" i="10"/>
  <c r="F1125" i="10"/>
  <c r="G1125" i="10"/>
  <c r="H1125" i="10"/>
  <c r="A1126" i="10"/>
  <c r="B1126" i="10"/>
  <c r="C1126" i="10"/>
  <c r="D1126" i="10"/>
  <c r="E1126" i="10"/>
  <c r="F1126" i="10"/>
  <c r="G1126" i="10"/>
  <c r="H1126" i="10"/>
  <c r="A1127" i="10"/>
  <c r="B1127" i="10"/>
  <c r="C1127" i="10"/>
  <c r="D1127" i="10"/>
  <c r="E1127" i="10"/>
  <c r="F1127" i="10"/>
  <c r="G1127" i="10"/>
  <c r="H1127" i="10"/>
  <c r="A1128" i="10"/>
  <c r="B1128" i="10"/>
  <c r="C1128" i="10"/>
  <c r="D1128" i="10"/>
  <c r="E1128" i="10"/>
  <c r="F1128" i="10"/>
  <c r="G1128" i="10"/>
  <c r="H1128" i="10"/>
  <c r="A1129" i="10"/>
  <c r="B1129" i="10"/>
  <c r="C1129" i="10"/>
  <c r="D1129" i="10"/>
  <c r="E1129" i="10"/>
  <c r="F1129" i="10"/>
  <c r="G1129" i="10"/>
  <c r="H1129" i="10"/>
  <c r="A1130" i="10"/>
  <c r="B1130" i="10"/>
  <c r="C1130" i="10"/>
  <c r="D1130" i="10"/>
  <c r="E1130" i="10"/>
  <c r="F1130" i="10"/>
  <c r="G1130" i="10"/>
  <c r="H1130" i="10"/>
  <c r="A1131" i="10"/>
  <c r="B1131" i="10"/>
  <c r="C1131" i="10"/>
  <c r="D1131" i="10"/>
  <c r="E1131" i="10"/>
  <c r="F1131" i="10"/>
  <c r="G1131" i="10"/>
  <c r="H1131" i="10"/>
  <c r="A1132" i="10"/>
  <c r="B1132" i="10"/>
  <c r="C1132" i="10"/>
  <c r="D1132" i="10"/>
  <c r="E1132" i="10"/>
  <c r="F1132" i="10"/>
  <c r="G1132" i="10"/>
  <c r="H1132" i="10"/>
  <c r="A1133" i="10"/>
  <c r="B1133" i="10"/>
  <c r="C1133" i="10"/>
  <c r="D1133" i="10"/>
  <c r="E1133" i="10"/>
  <c r="F1133" i="10"/>
  <c r="G1133" i="10"/>
  <c r="H1133" i="10"/>
  <c r="A1134" i="10"/>
  <c r="B1134" i="10"/>
  <c r="C1134" i="10"/>
  <c r="D1134" i="10"/>
  <c r="E1134" i="10"/>
  <c r="F1134" i="10"/>
  <c r="G1134" i="10"/>
  <c r="H1134" i="10"/>
  <c r="A1135" i="10"/>
  <c r="B1135" i="10"/>
  <c r="C1135" i="10"/>
  <c r="D1135" i="10"/>
  <c r="E1135" i="10"/>
  <c r="F1135" i="10"/>
  <c r="G1135" i="10"/>
  <c r="H1135" i="10"/>
  <c r="A1136" i="10"/>
  <c r="B1136" i="10"/>
  <c r="C1136" i="10"/>
  <c r="D1136" i="10"/>
  <c r="E1136" i="10"/>
  <c r="F1136" i="10"/>
  <c r="G1136" i="10"/>
  <c r="H1136" i="10"/>
  <c r="A1137" i="10"/>
  <c r="B1137" i="10"/>
  <c r="C1137" i="10"/>
  <c r="D1137" i="10"/>
  <c r="E1137" i="10"/>
  <c r="F1137" i="10"/>
  <c r="G1137" i="10"/>
  <c r="H1137" i="10"/>
  <c r="A1138" i="10"/>
  <c r="B1138" i="10"/>
  <c r="C1138" i="10"/>
  <c r="D1138" i="10"/>
  <c r="E1138" i="10"/>
  <c r="F1138" i="10"/>
  <c r="G1138" i="10"/>
  <c r="H1138" i="10"/>
  <c r="A1139" i="10"/>
  <c r="B1139" i="10"/>
  <c r="C1139" i="10"/>
  <c r="D1139" i="10"/>
  <c r="E1139" i="10"/>
  <c r="F1139" i="10"/>
  <c r="G1139" i="10"/>
  <c r="H1139" i="10"/>
  <c r="A1140" i="10"/>
  <c r="B1140" i="10"/>
  <c r="C1140" i="10"/>
  <c r="D1140" i="10"/>
  <c r="E1140" i="10"/>
  <c r="F1140" i="10"/>
  <c r="G1140" i="10"/>
  <c r="H1140" i="10"/>
  <c r="A1141" i="10"/>
  <c r="B1141" i="10"/>
  <c r="C1141" i="10"/>
  <c r="D1141" i="10"/>
  <c r="E1141" i="10"/>
  <c r="F1141" i="10"/>
  <c r="G1141" i="10"/>
  <c r="H1141" i="10"/>
  <c r="A1142" i="10"/>
  <c r="B1142" i="10"/>
  <c r="C1142" i="10"/>
  <c r="D1142" i="10"/>
  <c r="E1142" i="10"/>
  <c r="F1142" i="10"/>
  <c r="G1142" i="10"/>
  <c r="H1142" i="10"/>
  <c r="A1143" i="10"/>
  <c r="B1143" i="10"/>
  <c r="C1143" i="10"/>
  <c r="D1143" i="10"/>
  <c r="E1143" i="10"/>
  <c r="F1143" i="10"/>
  <c r="G1143" i="10"/>
  <c r="H1143" i="10"/>
  <c r="A1144" i="10"/>
  <c r="B1144" i="10"/>
  <c r="C1144" i="10"/>
  <c r="D1144" i="10"/>
  <c r="E1144" i="10"/>
  <c r="F1144" i="10"/>
  <c r="G1144" i="10"/>
  <c r="H1144" i="10"/>
  <c r="A1145" i="10"/>
  <c r="B1145" i="10"/>
  <c r="C1145" i="10"/>
  <c r="D1145" i="10"/>
  <c r="E1145" i="10"/>
  <c r="F1145" i="10"/>
  <c r="G1145" i="10"/>
  <c r="H1145" i="10"/>
  <c r="A1146" i="10"/>
  <c r="B1146" i="10"/>
  <c r="C1146" i="10"/>
  <c r="D1146" i="10"/>
  <c r="E1146" i="10"/>
  <c r="F1146" i="10"/>
  <c r="G1146" i="10"/>
  <c r="H1146" i="10"/>
  <c r="A1147" i="10"/>
  <c r="B1147" i="10"/>
  <c r="C1147" i="10"/>
  <c r="D1147" i="10"/>
  <c r="E1147" i="10"/>
  <c r="F1147" i="10"/>
  <c r="G1147" i="10"/>
  <c r="H1147" i="10"/>
  <c r="A1148" i="10"/>
  <c r="B1148" i="10"/>
  <c r="C1148" i="10"/>
  <c r="D1148" i="10"/>
  <c r="E1148" i="10"/>
  <c r="F1148" i="10"/>
  <c r="G1148" i="10"/>
  <c r="H1148" i="10"/>
  <c r="A1149" i="10"/>
  <c r="B1149" i="10"/>
  <c r="C1149" i="10"/>
  <c r="D1149" i="10"/>
  <c r="E1149" i="10"/>
  <c r="F1149" i="10"/>
  <c r="G1149" i="10"/>
  <c r="H1149" i="10"/>
  <c r="A1150" i="10"/>
  <c r="B1150" i="10"/>
  <c r="C1150" i="10"/>
  <c r="D1150" i="10"/>
  <c r="E1150" i="10"/>
  <c r="F1150" i="10"/>
  <c r="G1150" i="10"/>
  <c r="H1150" i="10"/>
  <c r="A1151" i="10"/>
  <c r="B1151" i="10"/>
  <c r="C1151" i="10"/>
  <c r="D1151" i="10"/>
  <c r="E1151" i="10"/>
  <c r="F1151" i="10"/>
  <c r="G1151" i="10"/>
  <c r="H1151" i="10"/>
  <c r="A1152" i="10"/>
  <c r="B1152" i="10"/>
  <c r="C1152" i="10"/>
  <c r="D1152" i="10"/>
  <c r="E1152" i="10"/>
  <c r="F1152" i="10"/>
  <c r="G1152" i="10"/>
  <c r="H1152" i="10"/>
  <c r="A1153" i="10"/>
  <c r="B1153" i="10"/>
  <c r="C1153" i="10"/>
  <c r="D1153" i="10"/>
  <c r="E1153" i="10"/>
  <c r="F1153" i="10"/>
  <c r="G1153" i="10"/>
  <c r="H1153" i="10"/>
  <c r="A1154" i="10"/>
  <c r="B1154" i="10"/>
  <c r="C1154" i="10"/>
  <c r="D1154" i="10"/>
  <c r="E1154" i="10"/>
  <c r="F1154" i="10"/>
  <c r="G1154" i="10"/>
  <c r="H1154" i="10"/>
  <c r="A1155" i="10"/>
  <c r="B1155" i="10"/>
  <c r="C1155" i="10"/>
  <c r="D1155" i="10"/>
  <c r="E1155" i="10"/>
  <c r="F1155" i="10"/>
  <c r="G1155" i="10"/>
  <c r="H1155" i="10"/>
  <c r="A1156" i="10"/>
  <c r="B1156" i="10"/>
  <c r="C1156" i="10"/>
  <c r="D1156" i="10"/>
  <c r="E1156" i="10"/>
  <c r="F1156" i="10"/>
  <c r="G1156" i="10"/>
  <c r="H1156" i="10"/>
  <c r="A1157" i="10"/>
  <c r="B1157" i="10"/>
  <c r="C1157" i="10"/>
  <c r="D1157" i="10"/>
  <c r="E1157" i="10"/>
  <c r="F1157" i="10"/>
  <c r="G1157" i="10"/>
  <c r="H1157" i="10"/>
  <c r="A1158" i="10"/>
  <c r="B1158" i="10"/>
  <c r="C1158" i="10"/>
  <c r="D1158" i="10"/>
  <c r="E1158" i="10"/>
  <c r="F1158" i="10"/>
  <c r="G1158" i="10"/>
  <c r="H1158" i="10"/>
  <c r="A1159" i="10"/>
  <c r="B1159" i="10"/>
  <c r="C1159" i="10"/>
  <c r="D1159" i="10"/>
  <c r="E1159" i="10"/>
  <c r="F1159" i="10"/>
  <c r="G1159" i="10"/>
  <c r="H1159" i="10"/>
  <c r="A1160" i="10"/>
  <c r="B1160" i="10"/>
  <c r="C1160" i="10"/>
  <c r="D1160" i="10"/>
  <c r="E1160" i="10"/>
  <c r="F1160" i="10"/>
  <c r="G1160" i="10"/>
  <c r="H1160" i="10"/>
  <c r="A1161" i="10"/>
  <c r="B1161" i="10"/>
  <c r="C1161" i="10"/>
  <c r="D1161" i="10"/>
  <c r="E1161" i="10"/>
  <c r="F1161" i="10"/>
  <c r="G1161" i="10"/>
  <c r="H1161" i="10"/>
  <c r="A1162" i="10"/>
  <c r="B1162" i="10"/>
  <c r="C1162" i="10"/>
  <c r="D1162" i="10"/>
  <c r="E1162" i="10"/>
  <c r="F1162" i="10"/>
  <c r="G1162" i="10"/>
  <c r="H1162" i="10"/>
  <c r="A1163" i="10"/>
  <c r="B1163" i="10"/>
  <c r="C1163" i="10"/>
  <c r="D1163" i="10"/>
  <c r="E1163" i="10"/>
  <c r="F1163" i="10"/>
  <c r="G1163" i="10"/>
  <c r="H1163" i="10"/>
  <c r="A1164" i="10"/>
  <c r="B1164" i="10"/>
  <c r="C1164" i="10"/>
  <c r="D1164" i="10"/>
  <c r="E1164" i="10"/>
  <c r="F1164" i="10"/>
  <c r="G1164" i="10"/>
  <c r="H1164" i="10"/>
  <c r="A1165" i="10"/>
  <c r="B1165" i="10"/>
  <c r="C1165" i="10"/>
  <c r="D1165" i="10"/>
  <c r="E1165" i="10"/>
  <c r="F1165" i="10"/>
  <c r="G1165" i="10"/>
  <c r="H1165" i="10"/>
  <c r="A1166" i="10"/>
  <c r="B1166" i="10"/>
  <c r="C1166" i="10"/>
  <c r="D1166" i="10"/>
  <c r="E1166" i="10"/>
  <c r="F1166" i="10"/>
  <c r="G1166" i="10"/>
  <c r="H1166" i="10"/>
  <c r="A1167" i="10"/>
  <c r="B1167" i="10"/>
  <c r="C1167" i="10"/>
  <c r="D1167" i="10"/>
  <c r="E1167" i="10"/>
  <c r="F1167" i="10"/>
  <c r="G1167" i="10"/>
  <c r="H1167" i="10"/>
  <c r="A1168" i="10"/>
  <c r="B1168" i="10"/>
  <c r="C1168" i="10"/>
  <c r="D1168" i="10"/>
  <c r="E1168" i="10"/>
  <c r="F1168" i="10"/>
  <c r="G1168" i="10"/>
  <c r="H1168" i="10"/>
  <c r="A1169" i="10"/>
  <c r="B1169" i="10"/>
  <c r="C1169" i="10"/>
  <c r="D1169" i="10"/>
  <c r="E1169" i="10"/>
  <c r="F1169" i="10"/>
  <c r="G1169" i="10"/>
  <c r="H1169" i="10"/>
  <c r="A1170" i="10"/>
  <c r="B1170" i="10"/>
  <c r="C1170" i="10"/>
  <c r="D1170" i="10"/>
  <c r="E1170" i="10"/>
  <c r="F1170" i="10"/>
  <c r="G1170" i="10"/>
  <c r="H1170" i="10"/>
  <c r="A1171" i="10"/>
  <c r="B1171" i="10"/>
  <c r="C1171" i="10"/>
  <c r="D1171" i="10"/>
  <c r="E1171" i="10"/>
  <c r="F1171" i="10"/>
  <c r="G1171" i="10"/>
  <c r="H1171" i="10"/>
  <c r="A1172" i="10"/>
  <c r="B1172" i="10"/>
  <c r="C1172" i="10"/>
  <c r="D1172" i="10"/>
  <c r="E1172" i="10"/>
  <c r="F1172" i="10"/>
  <c r="G1172" i="10"/>
  <c r="H1172" i="10"/>
  <c r="A1173" i="10"/>
  <c r="B1173" i="10"/>
  <c r="C1173" i="10"/>
  <c r="D1173" i="10"/>
  <c r="E1173" i="10"/>
  <c r="F1173" i="10"/>
  <c r="G1173" i="10"/>
  <c r="H1173" i="10"/>
  <c r="A1174" i="10"/>
  <c r="B1174" i="10"/>
  <c r="C1174" i="10"/>
  <c r="D1174" i="10"/>
  <c r="E1174" i="10"/>
  <c r="F1174" i="10"/>
  <c r="G1174" i="10"/>
  <c r="H1174" i="10"/>
  <c r="A1175" i="10"/>
  <c r="B1175" i="10"/>
  <c r="C1175" i="10"/>
  <c r="D1175" i="10"/>
  <c r="E1175" i="10"/>
  <c r="F1175" i="10"/>
  <c r="G1175" i="10"/>
  <c r="H1175" i="10"/>
  <c r="A1176" i="10"/>
  <c r="B1176" i="10"/>
  <c r="C1176" i="10"/>
  <c r="D1176" i="10"/>
  <c r="E1176" i="10"/>
  <c r="F1176" i="10"/>
  <c r="G1176" i="10"/>
  <c r="H1176" i="10"/>
  <c r="A1177" i="10"/>
  <c r="B1177" i="10"/>
  <c r="C1177" i="10"/>
  <c r="D1177" i="10"/>
  <c r="E1177" i="10"/>
  <c r="F1177" i="10"/>
  <c r="G1177" i="10"/>
  <c r="H1177" i="10"/>
  <c r="A1178" i="10"/>
  <c r="B1178" i="10"/>
  <c r="C1178" i="10"/>
  <c r="D1178" i="10"/>
  <c r="E1178" i="10"/>
  <c r="F1178" i="10"/>
  <c r="G1178" i="10"/>
  <c r="H1178" i="10"/>
  <c r="A1179" i="10"/>
  <c r="B1179" i="10"/>
  <c r="C1179" i="10"/>
  <c r="D1179" i="10"/>
  <c r="E1179" i="10"/>
  <c r="F1179" i="10"/>
  <c r="G1179" i="10"/>
  <c r="H1179" i="10"/>
  <c r="A1180" i="10"/>
  <c r="B1180" i="10"/>
  <c r="C1180" i="10"/>
  <c r="D1180" i="10"/>
  <c r="E1180" i="10"/>
  <c r="F1180" i="10"/>
  <c r="G1180" i="10"/>
  <c r="H1180" i="10"/>
  <c r="A1181" i="10"/>
  <c r="B1181" i="10"/>
  <c r="C1181" i="10"/>
  <c r="D1181" i="10"/>
  <c r="E1181" i="10"/>
  <c r="F1181" i="10"/>
  <c r="G1181" i="10"/>
  <c r="H1181" i="10"/>
  <c r="A1182" i="10"/>
  <c r="B1182" i="10"/>
  <c r="C1182" i="10"/>
  <c r="D1182" i="10"/>
  <c r="E1182" i="10"/>
  <c r="F1182" i="10"/>
  <c r="G1182" i="10"/>
  <c r="H1182" i="10"/>
  <c r="A1183" i="10"/>
  <c r="B1183" i="10"/>
  <c r="C1183" i="10"/>
  <c r="D1183" i="10"/>
  <c r="E1183" i="10"/>
  <c r="F1183" i="10"/>
  <c r="G1183" i="10"/>
  <c r="H1183" i="10"/>
  <c r="A1184" i="10"/>
  <c r="B1184" i="10"/>
  <c r="C1184" i="10"/>
  <c r="D1184" i="10"/>
  <c r="E1184" i="10"/>
  <c r="F1184" i="10"/>
  <c r="G1184" i="10"/>
  <c r="H1184" i="10"/>
  <c r="A1185" i="10"/>
  <c r="B1185" i="10"/>
  <c r="C1185" i="10"/>
  <c r="D1185" i="10"/>
  <c r="E1185" i="10"/>
  <c r="F1185" i="10"/>
  <c r="G1185" i="10"/>
  <c r="H1185" i="10"/>
  <c r="A1186" i="10"/>
  <c r="B1186" i="10"/>
  <c r="C1186" i="10"/>
  <c r="D1186" i="10"/>
  <c r="E1186" i="10"/>
  <c r="F1186" i="10"/>
  <c r="G1186" i="10"/>
  <c r="H1186" i="10"/>
  <c r="A1187" i="10"/>
  <c r="B1187" i="10"/>
  <c r="C1187" i="10"/>
  <c r="D1187" i="10"/>
  <c r="E1187" i="10"/>
  <c r="F1187" i="10"/>
  <c r="G1187" i="10"/>
  <c r="H1187" i="10"/>
  <c r="A1188" i="10"/>
  <c r="B1188" i="10"/>
  <c r="C1188" i="10"/>
  <c r="D1188" i="10"/>
  <c r="E1188" i="10"/>
  <c r="F1188" i="10"/>
  <c r="G1188" i="10"/>
  <c r="H1188" i="10"/>
  <c r="A1189" i="10"/>
  <c r="B1189" i="10"/>
  <c r="C1189" i="10"/>
  <c r="D1189" i="10"/>
  <c r="E1189" i="10"/>
  <c r="F1189" i="10"/>
  <c r="G1189" i="10"/>
  <c r="H1189" i="10"/>
  <c r="A1190" i="10"/>
  <c r="B1190" i="10"/>
  <c r="C1190" i="10"/>
  <c r="D1190" i="10"/>
  <c r="E1190" i="10"/>
  <c r="F1190" i="10"/>
  <c r="G1190" i="10"/>
  <c r="H1190" i="10"/>
  <c r="A1191" i="10"/>
  <c r="B1191" i="10"/>
  <c r="C1191" i="10"/>
  <c r="D1191" i="10"/>
  <c r="E1191" i="10"/>
  <c r="F1191" i="10"/>
  <c r="G1191" i="10"/>
  <c r="H1191" i="10"/>
  <c r="A1192" i="10"/>
  <c r="B1192" i="10"/>
  <c r="C1192" i="10"/>
  <c r="D1192" i="10"/>
  <c r="E1192" i="10"/>
  <c r="F1192" i="10"/>
  <c r="G1192" i="10"/>
  <c r="H1192" i="10"/>
  <c r="A1193" i="10"/>
  <c r="B1193" i="10"/>
  <c r="C1193" i="10"/>
  <c r="D1193" i="10"/>
  <c r="E1193" i="10"/>
  <c r="F1193" i="10"/>
  <c r="G1193" i="10"/>
  <c r="H1193" i="10"/>
  <c r="A1194" i="10"/>
  <c r="B1194" i="10"/>
  <c r="C1194" i="10"/>
  <c r="D1194" i="10"/>
  <c r="E1194" i="10"/>
  <c r="F1194" i="10"/>
  <c r="G1194" i="10"/>
  <c r="H1194" i="10"/>
  <c r="A1195" i="10"/>
  <c r="B1195" i="10"/>
  <c r="C1195" i="10"/>
  <c r="D1195" i="10"/>
  <c r="E1195" i="10"/>
  <c r="F1195" i="10"/>
  <c r="G1195" i="10"/>
  <c r="H1195" i="10"/>
  <c r="A1196" i="10"/>
  <c r="B1196" i="10"/>
  <c r="C1196" i="10"/>
  <c r="D1196" i="10"/>
  <c r="E1196" i="10"/>
  <c r="F1196" i="10"/>
  <c r="G1196" i="10"/>
  <c r="H1196" i="10"/>
  <c r="A1197" i="10"/>
  <c r="B1197" i="10"/>
  <c r="C1197" i="10"/>
  <c r="D1197" i="10"/>
  <c r="E1197" i="10"/>
  <c r="F1197" i="10"/>
  <c r="G1197" i="10"/>
  <c r="H1197" i="10"/>
  <c r="A1198" i="10"/>
  <c r="B1198" i="10"/>
  <c r="C1198" i="10"/>
  <c r="D1198" i="10"/>
  <c r="E1198" i="10"/>
  <c r="F1198" i="10"/>
  <c r="G1198" i="10"/>
  <c r="H1198" i="10"/>
  <c r="A1199" i="10"/>
  <c r="B1199" i="10"/>
  <c r="C1199" i="10"/>
  <c r="D1199" i="10"/>
  <c r="E1199" i="10"/>
  <c r="F1199" i="10"/>
  <c r="G1199" i="10"/>
  <c r="H1199" i="10"/>
  <c r="A1200" i="10"/>
  <c r="B1200" i="10"/>
  <c r="C1200" i="10"/>
  <c r="D1200" i="10"/>
  <c r="E1200" i="10"/>
  <c r="F1200" i="10"/>
  <c r="G1200" i="10"/>
  <c r="H1200" i="10"/>
  <c r="A1201" i="10"/>
  <c r="B1201" i="10"/>
  <c r="C1201" i="10"/>
  <c r="D1201" i="10"/>
  <c r="E1201" i="10"/>
  <c r="F1201" i="10"/>
  <c r="G1201" i="10"/>
  <c r="H1201" i="10"/>
  <c r="A1202" i="10"/>
  <c r="B1202" i="10"/>
  <c r="C1202" i="10"/>
  <c r="D1202" i="10"/>
  <c r="E1202" i="10"/>
  <c r="F1202" i="10"/>
  <c r="G1202" i="10"/>
  <c r="H1202" i="10"/>
  <c r="A1203" i="10"/>
  <c r="B1203" i="10"/>
  <c r="C1203" i="10"/>
  <c r="D1203" i="10"/>
  <c r="E1203" i="10"/>
  <c r="F1203" i="10"/>
  <c r="G1203" i="10"/>
  <c r="H1203" i="10"/>
  <c r="A1204" i="10"/>
  <c r="B1204" i="10"/>
  <c r="C1204" i="10"/>
  <c r="D1204" i="10"/>
  <c r="E1204" i="10"/>
  <c r="F1204" i="10"/>
  <c r="G1204" i="10"/>
  <c r="H1204" i="10"/>
  <c r="A1205" i="10"/>
  <c r="B1205" i="10"/>
  <c r="C1205" i="10"/>
  <c r="D1205" i="10"/>
  <c r="E1205" i="10"/>
  <c r="F1205" i="10"/>
  <c r="G1205" i="10"/>
  <c r="H1205" i="10"/>
  <c r="A1206" i="10"/>
  <c r="B1206" i="10"/>
  <c r="C1206" i="10"/>
  <c r="D1206" i="10"/>
  <c r="E1206" i="10"/>
  <c r="F1206" i="10"/>
  <c r="G1206" i="10"/>
  <c r="H1206" i="10"/>
  <c r="A1207" i="10"/>
  <c r="B1207" i="10"/>
  <c r="C1207" i="10"/>
  <c r="D1207" i="10"/>
  <c r="E1207" i="10"/>
  <c r="F1207" i="10"/>
  <c r="G1207" i="10"/>
  <c r="H1207" i="10"/>
  <c r="A1208" i="10"/>
  <c r="B1208" i="10"/>
  <c r="C1208" i="10"/>
  <c r="D1208" i="10"/>
  <c r="E1208" i="10"/>
  <c r="F1208" i="10"/>
  <c r="G1208" i="10"/>
  <c r="H1208" i="10"/>
  <c r="A1209" i="10"/>
  <c r="B1209" i="10"/>
  <c r="C1209" i="10"/>
  <c r="D1209" i="10"/>
  <c r="E1209" i="10"/>
  <c r="F1209" i="10"/>
  <c r="G1209" i="10"/>
  <c r="H1209" i="10"/>
  <c r="A1210" i="10"/>
  <c r="B1210" i="10"/>
  <c r="C1210" i="10"/>
  <c r="D1210" i="10"/>
  <c r="E1210" i="10"/>
  <c r="F1210" i="10"/>
  <c r="G1210" i="10"/>
  <c r="H1210" i="10"/>
  <c r="A1211" i="10"/>
  <c r="B1211" i="10"/>
  <c r="C1211" i="10"/>
  <c r="D1211" i="10"/>
  <c r="E1211" i="10"/>
  <c r="F1211" i="10"/>
  <c r="G1211" i="10"/>
  <c r="H1211" i="10"/>
  <c r="A1212" i="10"/>
  <c r="B1212" i="10"/>
  <c r="C1212" i="10"/>
  <c r="D1212" i="10"/>
  <c r="E1212" i="10"/>
  <c r="F1212" i="10"/>
  <c r="G1212" i="10"/>
  <c r="H1212" i="10"/>
  <c r="A1213" i="10"/>
  <c r="B1213" i="10"/>
  <c r="C1213" i="10"/>
  <c r="D1213" i="10"/>
  <c r="E1213" i="10"/>
  <c r="F1213" i="10"/>
  <c r="G1213" i="10"/>
  <c r="H1213" i="10"/>
  <c r="A1214" i="10"/>
  <c r="B1214" i="10"/>
  <c r="C1214" i="10"/>
  <c r="D1214" i="10"/>
  <c r="E1214" i="10"/>
  <c r="F1214" i="10"/>
  <c r="G1214" i="10"/>
  <c r="H1214" i="10"/>
  <c r="A1215" i="10"/>
  <c r="B1215" i="10"/>
  <c r="C1215" i="10"/>
  <c r="D1215" i="10"/>
  <c r="E1215" i="10"/>
  <c r="F1215" i="10"/>
  <c r="G1215" i="10"/>
  <c r="H1215" i="10"/>
  <c r="A1216" i="10"/>
  <c r="B1216" i="10"/>
  <c r="C1216" i="10"/>
  <c r="D1216" i="10"/>
  <c r="E1216" i="10"/>
  <c r="F1216" i="10"/>
  <c r="G1216" i="10"/>
  <c r="H1216" i="10"/>
  <c r="A1217" i="10"/>
  <c r="B1217" i="10"/>
  <c r="C1217" i="10"/>
  <c r="D1217" i="10"/>
  <c r="E1217" i="10"/>
  <c r="F1217" i="10"/>
  <c r="G1217" i="10"/>
  <c r="H1217" i="10"/>
  <c r="A1218" i="10"/>
  <c r="B1218" i="10"/>
  <c r="C1218" i="10"/>
  <c r="D1218" i="10"/>
  <c r="E1218" i="10"/>
  <c r="F1218" i="10"/>
  <c r="G1218" i="10"/>
  <c r="H1218" i="10"/>
  <c r="A1219" i="10"/>
  <c r="B1219" i="10"/>
  <c r="C1219" i="10"/>
  <c r="D1219" i="10"/>
  <c r="E1219" i="10"/>
  <c r="F1219" i="10"/>
  <c r="G1219" i="10"/>
  <c r="H1219" i="10"/>
  <c r="A1220" i="10"/>
  <c r="B1220" i="10"/>
  <c r="C1220" i="10"/>
  <c r="D1220" i="10"/>
  <c r="E1220" i="10"/>
  <c r="F1220" i="10"/>
  <c r="G1220" i="10"/>
  <c r="H1220" i="10"/>
  <c r="A1221" i="10"/>
  <c r="B1221" i="10"/>
  <c r="C1221" i="10"/>
  <c r="D1221" i="10"/>
  <c r="E1221" i="10"/>
  <c r="F1221" i="10"/>
  <c r="G1221" i="10"/>
  <c r="H1221" i="10"/>
  <c r="A1222" i="10"/>
  <c r="B1222" i="10"/>
  <c r="C1222" i="10"/>
  <c r="D1222" i="10"/>
  <c r="E1222" i="10"/>
  <c r="F1222" i="10"/>
  <c r="G1222" i="10"/>
  <c r="H1222" i="10"/>
  <c r="A1223" i="10"/>
  <c r="B1223" i="10"/>
  <c r="C1223" i="10"/>
  <c r="D1223" i="10"/>
  <c r="E1223" i="10"/>
  <c r="F1223" i="10"/>
  <c r="G1223" i="10"/>
  <c r="H1223" i="10"/>
  <c r="A1224" i="10"/>
  <c r="B1224" i="10"/>
  <c r="C1224" i="10"/>
  <c r="D1224" i="10"/>
  <c r="E1224" i="10"/>
  <c r="F1224" i="10"/>
  <c r="G1224" i="10"/>
  <c r="H1224" i="10"/>
  <c r="A1225" i="10"/>
  <c r="B1225" i="10"/>
  <c r="C1225" i="10"/>
  <c r="D1225" i="10"/>
  <c r="E1225" i="10"/>
  <c r="F1225" i="10"/>
  <c r="G1225" i="10"/>
  <c r="H1225" i="10"/>
  <c r="A1226" i="10"/>
  <c r="B1226" i="10"/>
  <c r="C1226" i="10"/>
  <c r="D1226" i="10"/>
  <c r="E1226" i="10"/>
  <c r="F1226" i="10"/>
  <c r="G1226" i="10"/>
  <c r="H1226" i="10"/>
  <c r="A1227" i="10"/>
  <c r="B1227" i="10"/>
  <c r="C1227" i="10"/>
  <c r="D1227" i="10"/>
  <c r="E1227" i="10"/>
  <c r="F1227" i="10"/>
  <c r="G1227" i="10"/>
  <c r="H1227" i="10"/>
  <c r="A1228" i="10"/>
  <c r="B1228" i="10"/>
  <c r="C1228" i="10"/>
  <c r="D1228" i="10"/>
  <c r="E1228" i="10"/>
  <c r="F1228" i="10"/>
  <c r="G1228" i="10"/>
  <c r="H1228" i="10"/>
  <c r="A1229" i="10"/>
  <c r="B1229" i="10"/>
  <c r="C1229" i="10"/>
  <c r="D1229" i="10"/>
  <c r="E1229" i="10"/>
  <c r="F1229" i="10"/>
  <c r="G1229" i="10"/>
  <c r="H1229" i="10"/>
  <c r="A1230" i="10"/>
  <c r="B1230" i="10"/>
  <c r="C1230" i="10"/>
  <c r="D1230" i="10"/>
  <c r="E1230" i="10"/>
  <c r="F1230" i="10"/>
  <c r="G1230" i="10"/>
  <c r="H1230" i="10"/>
  <c r="A1231" i="10"/>
  <c r="B1231" i="10"/>
  <c r="C1231" i="10"/>
  <c r="D1231" i="10"/>
  <c r="E1231" i="10"/>
  <c r="F1231" i="10"/>
  <c r="G1231" i="10"/>
  <c r="H1231" i="10"/>
  <c r="A1232" i="10"/>
  <c r="B1232" i="10"/>
  <c r="C1232" i="10"/>
  <c r="D1232" i="10"/>
  <c r="E1232" i="10"/>
  <c r="F1232" i="10"/>
  <c r="G1232" i="10"/>
  <c r="H1232" i="10"/>
  <c r="A1233" i="10"/>
  <c r="B1233" i="10"/>
  <c r="C1233" i="10"/>
  <c r="D1233" i="10"/>
  <c r="E1233" i="10"/>
  <c r="F1233" i="10"/>
  <c r="G1233" i="10"/>
  <c r="H1233" i="10"/>
  <c r="A1234" i="10"/>
  <c r="B1234" i="10"/>
  <c r="C1234" i="10"/>
  <c r="D1234" i="10"/>
  <c r="E1234" i="10"/>
  <c r="F1234" i="10"/>
  <c r="G1234" i="10"/>
  <c r="H1234" i="10"/>
  <c r="A1235" i="10"/>
  <c r="B1235" i="10"/>
  <c r="C1235" i="10"/>
  <c r="D1235" i="10"/>
  <c r="E1235" i="10"/>
  <c r="F1235" i="10"/>
  <c r="G1235" i="10"/>
  <c r="H1235" i="10"/>
  <c r="A1236" i="10"/>
  <c r="B1236" i="10"/>
  <c r="C1236" i="10"/>
  <c r="D1236" i="10"/>
  <c r="E1236" i="10"/>
  <c r="F1236" i="10"/>
  <c r="G1236" i="10"/>
  <c r="H1236" i="10"/>
  <c r="A1237" i="10"/>
  <c r="B1237" i="10"/>
  <c r="C1237" i="10"/>
  <c r="D1237" i="10"/>
  <c r="E1237" i="10"/>
  <c r="F1237" i="10"/>
  <c r="G1237" i="10"/>
  <c r="H1237" i="10"/>
  <c r="A1238" i="10"/>
  <c r="B1238" i="10"/>
  <c r="C1238" i="10"/>
  <c r="D1238" i="10"/>
  <c r="E1238" i="10"/>
  <c r="F1238" i="10"/>
  <c r="G1238" i="10"/>
  <c r="H1238" i="10"/>
  <c r="A1239" i="10"/>
  <c r="B1239" i="10"/>
  <c r="C1239" i="10"/>
  <c r="D1239" i="10"/>
  <c r="E1239" i="10"/>
  <c r="F1239" i="10"/>
  <c r="G1239" i="10"/>
  <c r="H1239" i="10"/>
  <c r="A1240" i="10"/>
  <c r="B1240" i="10"/>
  <c r="C1240" i="10"/>
  <c r="D1240" i="10"/>
  <c r="E1240" i="10"/>
  <c r="F1240" i="10"/>
  <c r="G1240" i="10"/>
  <c r="H1240" i="10"/>
  <c r="A1241" i="10"/>
  <c r="B1241" i="10"/>
  <c r="C1241" i="10"/>
  <c r="D1241" i="10"/>
  <c r="E1241" i="10"/>
  <c r="F1241" i="10"/>
  <c r="G1241" i="10"/>
  <c r="H1241" i="10"/>
  <c r="A1242" i="10"/>
  <c r="B1242" i="10"/>
  <c r="C1242" i="10"/>
  <c r="D1242" i="10"/>
  <c r="E1242" i="10"/>
  <c r="F1242" i="10"/>
  <c r="G1242" i="10"/>
  <c r="H1242" i="10"/>
  <c r="A1243" i="10"/>
  <c r="B1243" i="10"/>
  <c r="C1243" i="10"/>
  <c r="D1243" i="10"/>
  <c r="E1243" i="10"/>
  <c r="F1243" i="10"/>
  <c r="G1243" i="10"/>
  <c r="H1243" i="10"/>
  <c r="A1244" i="10"/>
  <c r="B1244" i="10"/>
  <c r="C1244" i="10"/>
  <c r="D1244" i="10"/>
  <c r="E1244" i="10"/>
  <c r="F1244" i="10"/>
  <c r="G1244" i="10"/>
  <c r="H1244" i="10"/>
  <c r="A1245" i="10"/>
  <c r="B1245" i="10"/>
  <c r="C1245" i="10"/>
  <c r="D1245" i="10"/>
  <c r="E1245" i="10"/>
  <c r="F1245" i="10"/>
  <c r="G1245" i="10"/>
  <c r="H1245" i="10"/>
  <c r="A1246" i="10"/>
  <c r="B1246" i="10"/>
  <c r="C1246" i="10"/>
  <c r="D1246" i="10"/>
  <c r="E1246" i="10"/>
  <c r="F1246" i="10"/>
  <c r="G1246" i="10"/>
  <c r="H1246" i="10"/>
  <c r="A1247" i="10"/>
  <c r="B1247" i="10"/>
  <c r="C1247" i="10"/>
  <c r="D1247" i="10"/>
  <c r="E1247" i="10"/>
  <c r="F1247" i="10"/>
  <c r="G1247" i="10"/>
  <c r="H1247" i="10"/>
  <c r="A1248" i="10"/>
  <c r="B1248" i="10"/>
  <c r="C1248" i="10"/>
  <c r="D1248" i="10"/>
  <c r="E1248" i="10"/>
  <c r="F1248" i="10"/>
  <c r="G1248" i="10"/>
  <c r="H1248" i="10"/>
  <c r="A1249" i="10"/>
  <c r="B1249" i="10"/>
  <c r="C1249" i="10"/>
  <c r="D1249" i="10"/>
  <c r="E1249" i="10"/>
  <c r="F1249" i="10"/>
  <c r="G1249" i="10"/>
  <c r="H1249" i="10"/>
  <c r="A1250" i="10"/>
  <c r="B1250" i="10"/>
  <c r="C1250" i="10"/>
  <c r="D1250" i="10"/>
  <c r="E1250" i="10"/>
  <c r="F1250" i="10"/>
  <c r="G1250" i="10"/>
  <c r="H1250" i="10"/>
  <c r="A1251" i="10"/>
  <c r="B1251" i="10"/>
  <c r="C1251" i="10"/>
  <c r="D1251" i="10"/>
  <c r="E1251" i="10"/>
  <c r="F1251" i="10"/>
  <c r="G1251" i="10"/>
  <c r="H1251" i="10"/>
  <c r="A1252" i="10"/>
  <c r="B1252" i="10"/>
  <c r="C1252" i="10"/>
  <c r="D1252" i="10"/>
  <c r="E1252" i="10"/>
  <c r="F1252" i="10"/>
  <c r="G1252" i="10"/>
  <c r="H1252" i="10"/>
  <c r="A1253" i="10"/>
  <c r="B1253" i="10"/>
  <c r="C1253" i="10"/>
  <c r="D1253" i="10"/>
  <c r="E1253" i="10"/>
  <c r="F1253" i="10"/>
  <c r="G1253" i="10"/>
  <c r="H1253" i="10"/>
  <c r="A1254" i="10"/>
  <c r="B1254" i="10"/>
  <c r="C1254" i="10"/>
  <c r="D1254" i="10"/>
  <c r="E1254" i="10"/>
  <c r="F1254" i="10"/>
  <c r="G1254" i="10"/>
  <c r="H1254" i="10"/>
  <c r="A1255" i="10"/>
  <c r="B1255" i="10"/>
  <c r="C1255" i="10"/>
  <c r="D1255" i="10"/>
  <c r="E1255" i="10"/>
  <c r="F1255" i="10"/>
  <c r="G1255" i="10"/>
  <c r="H1255" i="10"/>
  <c r="A1256" i="10"/>
  <c r="B1256" i="10"/>
  <c r="C1256" i="10"/>
  <c r="D1256" i="10"/>
  <c r="E1256" i="10"/>
  <c r="F1256" i="10"/>
  <c r="G1256" i="10"/>
  <c r="H1256" i="10"/>
  <c r="A1257" i="10"/>
  <c r="B1257" i="10"/>
  <c r="C1257" i="10"/>
  <c r="D1257" i="10"/>
  <c r="E1257" i="10"/>
  <c r="F1257" i="10"/>
  <c r="G1257" i="10"/>
  <c r="H1257" i="10"/>
  <c r="A1258" i="10"/>
  <c r="B1258" i="10"/>
  <c r="C1258" i="10"/>
  <c r="D1258" i="10"/>
  <c r="E1258" i="10"/>
  <c r="F1258" i="10"/>
  <c r="G1258" i="10"/>
  <c r="H1258" i="10"/>
  <c r="A1259" i="10"/>
  <c r="B1259" i="10"/>
  <c r="C1259" i="10"/>
  <c r="D1259" i="10"/>
  <c r="E1259" i="10"/>
  <c r="F1259" i="10"/>
  <c r="G1259" i="10"/>
  <c r="H1259" i="10"/>
  <c r="A1260" i="10"/>
  <c r="B1260" i="10"/>
  <c r="C1260" i="10"/>
  <c r="D1260" i="10"/>
  <c r="E1260" i="10"/>
  <c r="F1260" i="10"/>
  <c r="G1260" i="10"/>
  <c r="H1260" i="10"/>
  <c r="A1261" i="10"/>
  <c r="B1261" i="10"/>
  <c r="C1261" i="10"/>
  <c r="D1261" i="10"/>
  <c r="E1261" i="10"/>
  <c r="F1261" i="10"/>
  <c r="G1261" i="10"/>
  <c r="H1261" i="10"/>
  <c r="A1262" i="10"/>
  <c r="B1262" i="10"/>
  <c r="C1262" i="10"/>
  <c r="D1262" i="10"/>
  <c r="E1262" i="10"/>
  <c r="F1262" i="10"/>
  <c r="G1262" i="10"/>
  <c r="H1262" i="10"/>
  <c r="A1263" i="10"/>
  <c r="B1263" i="10"/>
  <c r="C1263" i="10"/>
  <c r="D1263" i="10"/>
  <c r="E1263" i="10"/>
  <c r="F1263" i="10"/>
  <c r="G1263" i="10"/>
  <c r="H1263" i="10"/>
  <c r="A1264" i="10"/>
  <c r="B1264" i="10"/>
  <c r="C1264" i="10"/>
  <c r="D1264" i="10"/>
  <c r="E1264" i="10"/>
  <c r="F1264" i="10"/>
  <c r="G1264" i="10"/>
  <c r="H1264" i="10"/>
  <c r="A1265" i="10"/>
  <c r="B1265" i="10"/>
  <c r="C1265" i="10"/>
  <c r="D1265" i="10"/>
  <c r="E1265" i="10"/>
  <c r="F1265" i="10"/>
  <c r="G1265" i="10"/>
  <c r="H1265" i="10"/>
  <c r="A1266" i="10"/>
  <c r="B1266" i="10"/>
  <c r="C1266" i="10"/>
  <c r="D1266" i="10"/>
  <c r="E1266" i="10"/>
  <c r="F1266" i="10"/>
  <c r="G1266" i="10"/>
  <c r="H1266" i="10"/>
  <c r="A1267" i="10"/>
  <c r="B1267" i="10"/>
  <c r="C1267" i="10"/>
  <c r="D1267" i="10"/>
  <c r="E1267" i="10"/>
  <c r="F1267" i="10"/>
  <c r="G1267" i="10"/>
  <c r="H1267" i="10"/>
  <c r="A1268" i="10"/>
  <c r="B1268" i="10"/>
  <c r="C1268" i="10"/>
  <c r="D1268" i="10"/>
  <c r="E1268" i="10"/>
  <c r="F1268" i="10"/>
  <c r="G1268" i="10"/>
  <c r="H1268" i="10"/>
  <c r="A1269" i="10"/>
  <c r="B1269" i="10"/>
  <c r="C1269" i="10"/>
  <c r="D1269" i="10"/>
  <c r="E1269" i="10"/>
  <c r="F1269" i="10"/>
  <c r="G1269" i="10"/>
  <c r="H1269" i="10"/>
  <c r="A1270" i="10"/>
  <c r="B1270" i="10"/>
  <c r="C1270" i="10"/>
  <c r="D1270" i="10"/>
  <c r="E1270" i="10"/>
  <c r="F1270" i="10"/>
  <c r="G1270" i="10"/>
  <c r="H1270" i="10"/>
  <c r="A1271" i="10"/>
  <c r="B1271" i="10"/>
  <c r="C1271" i="10"/>
  <c r="D1271" i="10"/>
  <c r="E1271" i="10"/>
  <c r="F1271" i="10"/>
  <c r="G1271" i="10"/>
  <c r="H1271" i="10"/>
  <c r="A1272" i="10"/>
  <c r="B1272" i="10"/>
  <c r="C1272" i="10"/>
  <c r="D1272" i="10"/>
  <c r="E1272" i="10"/>
  <c r="F1272" i="10"/>
  <c r="G1272" i="10"/>
  <c r="H1272" i="10"/>
  <c r="A1273" i="10"/>
  <c r="B1273" i="10"/>
  <c r="C1273" i="10"/>
  <c r="D1273" i="10"/>
  <c r="E1273" i="10"/>
  <c r="F1273" i="10"/>
  <c r="G1273" i="10"/>
  <c r="H1273" i="10"/>
  <c r="A1274" i="10"/>
  <c r="B1274" i="10"/>
  <c r="C1274" i="10"/>
  <c r="D1274" i="10"/>
  <c r="E1274" i="10"/>
  <c r="F1274" i="10"/>
  <c r="G1274" i="10"/>
  <c r="H1274" i="10"/>
  <c r="A1275" i="10"/>
  <c r="B1275" i="10"/>
  <c r="C1275" i="10"/>
  <c r="D1275" i="10"/>
  <c r="E1275" i="10"/>
  <c r="F1275" i="10"/>
  <c r="G1275" i="10"/>
  <c r="H1275" i="10"/>
  <c r="A1276" i="10"/>
  <c r="B1276" i="10"/>
  <c r="C1276" i="10"/>
  <c r="D1276" i="10"/>
  <c r="E1276" i="10"/>
  <c r="F1276" i="10"/>
  <c r="G1276" i="10"/>
  <c r="H1276" i="10"/>
  <c r="A1277" i="10"/>
  <c r="B1277" i="10"/>
  <c r="C1277" i="10"/>
  <c r="D1277" i="10"/>
  <c r="E1277" i="10"/>
  <c r="F1277" i="10"/>
  <c r="G1277" i="10"/>
  <c r="H1277" i="10"/>
  <c r="A1278" i="10"/>
  <c r="B1278" i="10"/>
  <c r="C1278" i="10"/>
  <c r="D1278" i="10"/>
  <c r="E1278" i="10"/>
  <c r="F1278" i="10"/>
  <c r="G1278" i="10"/>
  <c r="H1278" i="10"/>
  <c r="A1279" i="10"/>
  <c r="B1279" i="10"/>
  <c r="C1279" i="10"/>
  <c r="D1279" i="10"/>
  <c r="E1279" i="10"/>
  <c r="F1279" i="10"/>
  <c r="G1279" i="10"/>
  <c r="H1279" i="10"/>
  <c r="A1280" i="10"/>
  <c r="B1280" i="10"/>
  <c r="C1280" i="10"/>
  <c r="D1280" i="10"/>
  <c r="E1280" i="10"/>
  <c r="F1280" i="10"/>
  <c r="G1280" i="10"/>
  <c r="H1280" i="10"/>
  <c r="A1281" i="10"/>
  <c r="B1281" i="10"/>
  <c r="C1281" i="10"/>
  <c r="D1281" i="10"/>
  <c r="E1281" i="10"/>
  <c r="F1281" i="10"/>
  <c r="G1281" i="10"/>
  <c r="H1281" i="10"/>
  <c r="A1282" i="10"/>
  <c r="B1282" i="10"/>
  <c r="C1282" i="10"/>
  <c r="D1282" i="10"/>
  <c r="E1282" i="10"/>
  <c r="F1282" i="10"/>
  <c r="G1282" i="10"/>
  <c r="H1282" i="10"/>
  <c r="A1283" i="10"/>
  <c r="B1283" i="10"/>
  <c r="C1283" i="10"/>
  <c r="D1283" i="10"/>
  <c r="E1283" i="10"/>
  <c r="F1283" i="10"/>
  <c r="G1283" i="10"/>
  <c r="H1283" i="10"/>
  <c r="A1284" i="10"/>
  <c r="B1284" i="10"/>
  <c r="C1284" i="10"/>
  <c r="D1284" i="10"/>
  <c r="E1284" i="10"/>
  <c r="F1284" i="10"/>
  <c r="G1284" i="10"/>
  <c r="H1284" i="10"/>
  <c r="A1285" i="10"/>
  <c r="B1285" i="10"/>
  <c r="C1285" i="10"/>
  <c r="D1285" i="10"/>
  <c r="E1285" i="10"/>
  <c r="F1285" i="10"/>
  <c r="G1285" i="10"/>
  <c r="H1285" i="10"/>
  <c r="A1286" i="10"/>
  <c r="B1286" i="10"/>
  <c r="C1286" i="10"/>
  <c r="D1286" i="10"/>
  <c r="E1286" i="10"/>
  <c r="F1286" i="10"/>
  <c r="G1286" i="10"/>
  <c r="H1286" i="10"/>
  <c r="A1287" i="10"/>
  <c r="B1287" i="10"/>
  <c r="C1287" i="10"/>
  <c r="D1287" i="10"/>
  <c r="E1287" i="10"/>
  <c r="F1287" i="10"/>
  <c r="G1287" i="10"/>
  <c r="H1287" i="10"/>
  <c r="A1288" i="10"/>
  <c r="B1288" i="10"/>
  <c r="C1288" i="10"/>
  <c r="D1288" i="10"/>
  <c r="E1288" i="10"/>
  <c r="F1288" i="10"/>
  <c r="G1288" i="10"/>
  <c r="H1288" i="10"/>
  <c r="A1289" i="10"/>
  <c r="B1289" i="10"/>
  <c r="C1289" i="10"/>
  <c r="D1289" i="10"/>
  <c r="E1289" i="10"/>
  <c r="F1289" i="10"/>
  <c r="G1289" i="10"/>
  <c r="H1289" i="10"/>
  <c r="A1290" i="10"/>
  <c r="B1290" i="10"/>
  <c r="C1290" i="10"/>
  <c r="D1290" i="10"/>
  <c r="E1290" i="10"/>
  <c r="F1290" i="10"/>
  <c r="G1290" i="10"/>
  <c r="H1290" i="10"/>
  <c r="A1291" i="10"/>
  <c r="B1291" i="10"/>
  <c r="C1291" i="10"/>
  <c r="D1291" i="10"/>
  <c r="E1291" i="10"/>
  <c r="F1291" i="10"/>
  <c r="G1291" i="10"/>
  <c r="H1291" i="10"/>
  <c r="A1292" i="10"/>
  <c r="B1292" i="10"/>
  <c r="C1292" i="10"/>
  <c r="D1292" i="10"/>
  <c r="E1292" i="10"/>
  <c r="F1292" i="10"/>
  <c r="G1292" i="10"/>
  <c r="H1292" i="10"/>
  <c r="A1293" i="10"/>
  <c r="B1293" i="10"/>
  <c r="C1293" i="10"/>
  <c r="D1293" i="10"/>
  <c r="E1293" i="10"/>
  <c r="F1293" i="10"/>
  <c r="G1293" i="10"/>
  <c r="H1293" i="10"/>
  <c r="A1294" i="10"/>
  <c r="B1294" i="10"/>
  <c r="C1294" i="10"/>
  <c r="D1294" i="10"/>
  <c r="E1294" i="10"/>
  <c r="F1294" i="10"/>
  <c r="G1294" i="10"/>
  <c r="H1294" i="10"/>
  <c r="A1295" i="10"/>
  <c r="B1295" i="10"/>
  <c r="C1295" i="10"/>
  <c r="D1295" i="10"/>
  <c r="E1295" i="10"/>
  <c r="F1295" i="10"/>
  <c r="G1295" i="10"/>
  <c r="H1295" i="10"/>
  <c r="A1296" i="10"/>
  <c r="B1296" i="10"/>
  <c r="C1296" i="10"/>
  <c r="D1296" i="10"/>
  <c r="E1296" i="10"/>
  <c r="F1296" i="10"/>
  <c r="G1296" i="10"/>
  <c r="H1296" i="10"/>
  <c r="A1297" i="10"/>
  <c r="B1297" i="10"/>
  <c r="C1297" i="10"/>
  <c r="D1297" i="10"/>
  <c r="E1297" i="10"/>
  <c r="F1297" i="10"/>
  <c r="G1297" i="10"/>
  <c r="H1297" i="10"/>
  <c r="A1298" i="10"/>
  <c r="B1298" i="10"/>
  <c r="C1298" i="10"/>
  <c r="D1298" i="10"/>
  <c r="E1298" i="10"/>
  <c r="F1298" i="10"/>
  <c r="G1298" i="10"/>
  <c r="H1298" i="10"/>
  <c r="A1299" i="10"/>
  <c r="B1299" i="10"/>
  <c r="C1299" i="10"/>
  <c r="D1299" i="10"/>
  <c r="E1299" i="10"/>
  <c r="F1299" i="10"/>
  <c r="G1299" i="10"/>
  <c r="H1299" i="10"/>
  <c r="A1300" i="10"/>
  <c r="B1300" i="10"/>
  <c r="C1300" i="10"/>
  <c r="D1300" i="10"/>
  <c r="E1300" i="10"/>
  <c r="F1300" i="10"/>
  <c r="G1300" i="10"/>
  <c r="H1300" i="10"/>
  <c r="A1301" i="10"/>
  <c r="B1301" i="10"/>
  <c r="C1301" i="10"/>
  <c r="D1301" i="10"/>
  <c r="E1301" i="10"/>
  <c r="F1301" i="10"/>
  <c r="G1301" i="10"/>
  <c r="H1301" i="10"/>
  <c r="A1302" i="10"/>
  <c r="B1302" i="10"/>
  <c r="C1302" i="10"/>
  <c r="D1302" i="10"/>
  <c r="E1302" i="10"/>
  <c r="F1302" i="10"/>
  <c r="G1302" i="10"/>
  <c r="H1302" i="10"/>
  <c r="A1303" i="10"/>
  <c r="B1303" i="10"/>
  <c r="C1303" i="10"/>
  <c r="D1303" i="10"/>
  <c r="E1303" i="10"/>
  <c r="F1303" i="10"/>
  <c r="G1303" i="10"/>
  <c r="H1303" i="10"/>
  <c r="A1304" i="10"/>
  <c r="B1304" i="10"/>
  <c r="C1304" i="10"/>
  <c r="D1304" i="10"/>
  <c r="E1304" i="10"/>
  <c r="F1304" i="10"/>
  <c r="G1304" i="10"/>
  <c r="H1304" i="10"/>
  <c r="A1305" i="10"/>
  <c r="B1305" i="10"/>
  <c r="C1305" i="10"/>
  <c r="D1305" i="10"/>
  <c r="E1305" i="10"/>
  <c r="F1305" i="10"/>
  <c r="G1305" i="10"/>
  <c r="H1305" i="10"/>
  <c r="A1306" i="10"/>
  <c r="B1306" i="10"/>
  <c r="C1306" i="10"/>
  <c r="D1306" i="10"/>
  <c r="E1306" i="10"/>
  <c r="F1306" i="10"/>
  <c r="G1306" i="10"/>
  <c r="H1306" i="10"/>
  <c r="A1307" i="10"/>
  <c r="B1307" i="10"/>
  <c r="C1307" i="10"/>
  <c r="D1307" i="10"/>
  <c r="E1307" i="10"/>
  <c r="F1307" i="10"/>
  <c r="G1307" i="10"/>
  <c r="H1307" i="10"/>
  <c r="A1308" i="10"/>
  <c r="B1308" i="10"/>
  <c r="C1308" i="10"/>
  <c r="D1308" i="10"/>
  <c r="E1308" i="10"/>
  <c r="F1308" i="10"/>
  <c r="G1308" i="10"/>
  <c r="H1308" i="10"/>
  <c r="A1309" i="10"/>
  <c r="B1309" i="10"/>
  <c r="C1309" i="10"/>
  <c r="D1309" i="10"/>
  <c r="E1309" i="10"/>
  <c r="F1309" i="10"/>
  <c r="G1309" i="10"/>
  <c r="H1309" i="10"/>
  <c r="A1310" i="10"/>
  <c r="B1310" i="10"/>
  <c r="C1310" i="10"/>
  <c r="D1310" i="10"/>
  <c r="E1310" i="10"/>
  <c r="F1310" i="10"/>
  <c r="G1310" i="10"/>
  <c r="H1310" i="10"/>
  <c r="A1311" i="10"/>
  <c r="B1311" i="10"/>
  <c r="C1311" i="10"/>
  <c r="D1311" i="10"/>
  <c r="E1311" i="10"/>
  <c r="F1311" i="10"/>
  <c r="G1311" i="10"/>
  <c r="H1311" i="10"/>
  <c r="A1312" i="10"/>
  <c r="B1312" i="10"/>
  <c r="C1312" i="10"/>
  <c r="D1312" i="10"/>
  <c r="E1312" i="10"/>
  <c r="F1312" i="10"/>
  <c r="G1312" i="10"/>
  <c r="H1312" i="10"/>
  <c r="A1313" i="10"/>
  <c r="B1313" i="10"/>
  <c r="C1313" i="10"/>
  <c r="D1313" i="10"/>
  <c r="E1313" i="10"/>
  <c r="F1313" i="10"/>
  <c r="G1313" i="10"/>
  <c r="H1313" i="10"/>
  <c r="A1314" i="10"/>
  <c r="B1314" i="10"/>
  <c r="C1314" i="10"/>
  <c r="D1314" i="10"/>
  <c r="E1314" i="10"/>
  <c r="F1314" i="10"/>
  <c r="G1314" i="10"/>
  <c r="H1314" i="10"/>
  <c r="A1315" i="10"/>
  <c r="B1315" i="10"/>
  <c r="C1315" i="10"/>
  <c r="D1315" i="10"/>
  <c r="E1315" i="10"/>
  <c r="F1315" i="10"/>
  <c r="G1315" i="10"/>
  <c r="H1315" i="10"/>
  <c r="A1316" i="10"/>
  <c r="B1316" i="10"/>
  <c r="C1316" i="10"/>
  <c r="D1316" i="10"/>
  <c r="E1316" i="10"/>
  <c r="F1316" i="10"/>
  <c r="G1316" i="10"/>
  <c r="H1316" i="10"/>
  <c r="A1317" i="10"/>
  <c r="B1317" i="10"/>
  <c r="C1317" i="10"/>
  <c r="D1317" i="10"/>
  <c r="E1317" i="10"/>
  <c r="F1317" i="10"/>
  <c r="G1317" i="10"/>
  <c r="H1317" i="10"/>
  <c r="A1318" i="10"/>
  <c r="B1318" i="10"/>
  <c r="C1318" i="10"/>
  <c r="D1318" i="10"/>
  <c r="E1318" i="10"/>
  <c r="F1318" i="10"/>
  <c r="G1318" i="10"/>
  <c r="H1318" i="10"/>
  <c r="A1319" i="10"/>
  <c r="B1319" i="10"/>
  <c r="C1319" i="10"/>
  <c r="D1319" i="10"/>
  <c r="E1319" i="10"/>
  <c r="F1319" i="10"/>
  <c r="G1319" i="10"/>
  <c r="H1319" i="10"/>
  <c r="A1320" i="10"/>
  <c r="B1320" i="10"/>
  <c r="C1320" i="10"/>
  <c r="D1320" i="10"/>
  <c r="E1320" i="10"/>
  <c r="F1320" i="10"/>
  <c r="G1320" i="10"/>
  <c r="H1320" i="10"/>
  <c r="A1321" i="10"/>
  <c r="B1321" i="10"/>
  <c r="C1321" i="10"/>
  <c r="D1321" i="10"/>
  <c r="E1321" i="10"/>
  <c r="F1321" i="10"/>
  <c r="G1321" i="10"/>
  <c r="H1321" i="10"/>
  <c r="A1322" i="10"/>
  <c r="B1322" i="10"/>
  <c r="C1322" i="10"/>
  <c r="D1322" i="10"/>
  <c r="E1322" i="10"/>
  <c r="F1322" i="10"/>
  <c r="G1322" i="10"/>
  <c r="H1322" i="10"/>
  <c r="A1323" i="10"/>
  <c r="B1323" i="10"/>
  <c r="C1323" i="10"/>
  <c r="D1323" i="10"/>
  <c r="E1323" i="10"/>
  <c r="F1323" i="10"/>
  <c r="G1323" i="10"/>
  <c r="H1323" i="10"/>
  <c r="A1324" i="10"/>
  <c r="B1324" i="10"/>
  <c r="C1324" i="10"/>
  <c r="D1324" i="10"/>
  <c r="E1324" i="10"/>
  <c r="F1324" i="10"/>
  <c r="G1324" i="10"/>
  <c r="H1324" i="10"/>
  <c r="A1325" i="10"/>
  <c r="B1325" i="10"/>
  <c r="C1325" i="10"/>
  <c r="D1325" i="10"/>
  <c r="E1325" i="10"/>
  <c r="F1325" i="10"/>
  <c r="G1325" i="10"/>
  <c r="H1325" i="10"/>
  <c r="A1326" i="10"/>
  <c r="B1326" i="10"/>
  <c r="C1326" i="10"/>
  <c r="D1326" i="10"/>
  <c r="E1326" i="10"/>
  <c r="F1326" i="10"/>
  <c r="G1326" i="10"/>
  <c r="H1326" i="10"/>
  <c r="A1327" i="10"/>
  <c r="B1327" i="10"/>
  <c r="C1327" i="10"/>
  <c r="D1327" i="10"/>
  <c r="E1327" i="10"/>
  <c r="F1327" i="10"/>
  <c r="G1327" i="10"/>
  <c r="H1327" i="10"/>
  <c r="A1328" i="10"/>
  <c r="B1328" i="10"/>
  <c r="C1328" i="10"/>
  <c r="D1328" i="10"/>
  <c r="E1328" i="10"/>
  <c r="F1328" i="10"/>
  <c r="G1328" i="10"/>
  <c r="H1328" i="10"/>
  <c r="A1329" i="10"/>
  <c r="B1329" i="10"/>
  <c r="C1329" i="10"/>
  <c r="D1329" i="10"/>
  <c r="E1329" i="10"/>
  <c r="F1329" i="10"/>
  <c r="G1329" i="10"/>
  <c r="H1329" i="10"/>
  <c r="A1330" i="10"/>
  <c r="B1330" i="10"/>
  <c r="C1330" i="10"/>
  <c r="D1330" i="10"/>
  <c r="E1330" i="10"/>
  <c r="F1330" i="10"/>
  <c r="G1330" i="10"/>
  <c r="H1330" i="10"/>
  <c r="A1331" i="10"/>
  <c r="B1331" i="10"/>
  <c r="C1331" i="10"/>
  <c r="D1331" i="10"/>
  <c r="E1331" i="10"/>
  <c r="F1331" i="10"/>
  <c r="G1331" i="10"/>
  <c r="H1331" i="10"/>
  <c r="A1332" i="10"/>
  <c r="B1332" i="10"/>
  <c r="C1332" i="10"/>
  <c r="D1332" i="10"/>
  <c r="E1332" i="10"/>
  <c r="F1332" i="10"/>
  <c r="G1332" i="10"/>
  <c r="H1332" i="10"/>
  <c r="A1333" i="10"/>
  <c r="B1333" i="10"/>
  <c r="C1333" i="10"/>
  <c r="D1333" i="10"/>
  <c r="E1333" i="10"/>
  <c r="F1333" i="10"/>
  <c r="G1333" i="10"/>
  <c r="H1333" i="10"/>
  <c r="A1334" i="10"/>
  <c r="B1334" i="10"/>
  <c r="C1334" i="10"/>
  <c r="D1334" i="10"/>
  <c r="E1334" i="10"/>
  <c r="F1334" i="10"/>
  <c r="G1334" i="10"/>
  <c r="H1334" i="10"/>
  <c r="A1335" i="10"/>
  <c r="B1335" i="10"/>
  <c r="C1335" i="10"/>
  <c r="D1335" i="10"/>
  <c r="E1335" i="10"/>
  <c r="F1335" i="10"/>
  <c r="G1335" i="10"/>
  <c r="H1335" i="10"/>
  <c r="A1336" i="10"/>
  <c r="B1336" i="10"/>
  <c r="C1336" i="10"/>
  <c r="D1336" i="10"/>
  <c r="E1336" i="10"/>
  <c r="F1336" i="10"/>
  <c r="G1336" i="10"/>
  <c r="H1336" i="10"/>
  <c r="A1337" i="10"/>
  <c r="B1337" i="10"/>
  <c r="C1337" i="10"/>
  <c r="D1337" i="10"/>
  <c r="E1337" i="10"/>
  <c r="F1337" i="10"/>
  <c r="G1337" i="10"/>
  <c r="H1337" i="10"/>
  <c r="A1338" i="10"/>
  <c r="B1338" i="10"/>
  <c r="C1338" i="10"/>
  <c r="D1338" i="10"/>
  <c r="E1338" i="10"/>
  <c r="F1338" i="10"/>
  <c r="G1338" i="10"/>
  <c r="H1338" i="10"/>
  <c r="A1339" i="10"/>
  <c r="B1339" i="10"/>
  <c r="C1339" i="10"/>
  <c r="D1339" i="10"/>
  <c r="E1339" i="10"/>
  <c r="F1339" i="10"/>
  <c r="G1339" i="10"/>
  <c r="H1339" i="10"/>
  <c r="A1340" i="10"/>
  <c r="B1340" i="10"/>
  <c r="C1340" i="10"/>
  <c r="D1340" i="10"/>
  <c r="E1340" i="10"/>
  <c r="F1340" i="10"/>
  <c r="G1340" i="10"/>
  <c r="H1340" i="10"/>
  <c r="A1341" i="10"/>
  <c r="B1341" i="10"/>
  <c r="C1341" i="10"/>
  <c r="D1341" i="10"/>
  <c r="E1341" i="10"/>
  <c r="F1341" i="10"/>
  <c r="G1341" i="10"/>
  <c r="H1341" i="10"/>
  <c r="A1342" i="10"/>
  <c r="B1342" i="10"/>
  <c r="C1342" i="10"/>
  <c r="D1342" i="10"/>
  <c r="E1342" i="10"/>
  <c r="F1342" i="10"/>
  <c r="G1342" i="10"/>
  <c r="H1342" i="10"/>
  <c r="A1343" i="10"/>
  <c r="B1343" i="10"/>
  <c r="C1343" i="10"/>
  <c r="D1343" i="10"/>
  <c r="E1343" i="10"/>
  <c r="F1343" i="10"/>
  <c r="G1343" i="10"/>
  <c r="H1343" i="10"/>
  <c r="A1344" i="10"/>
  <c r="B1344" i="10"/>
  <c r="C1344" i="10"/>
  <c r="D1344" i="10"/>
  <c r="E1344" i="10"/>
  <c r="F1344" i="10"/>
  <c r="G1344" i="10"/>
  <c r="H1344" i="10"/>
  <c r="A1345" i="10"/>
  <c r="B1345" i="10"/>
  <c r="C1345" i="10"/>
  <c r="D1345" i="10"/>
  <c r="E1345" i="10"/>
  <c r="F1345" i="10"/>
  <c r="G1345" i="10"/>
  <c r="H1345" i="10"/>
  <c r="A1346" i="10"/>
  <c r="B1346" i="10"/>
  <c r="C1346" i="10"/>
  <c r="D1346" i="10"/>
  <c r="E1346" i="10"/>
  <c r="F1346" i="10"/>
  <c r="G1346" i="10"/>
  <c r="H1346" i="10"/>
  <c r="A1347" i="10"/>
  <c r="B1347" i="10"/>
  <c r="C1347" i="10"/>
  <c r="D1347" i="10"/>
  <c r="E1347" i="10"/>
  <c r="F1347" i="10"/>
  <c r="G1347" i="10"/>
  <c r="H1347" i="10"/>
  <c r="B2" i="10"/>
  <c r="C2" i="10"/>
  <c r="D2" i="10"/>
  <c r="E2" i="10"/>
  <c r="F2" i="10"/>
  <c r="G2" i="10"/>
  <c r="H2" i="10"/>
  <c r="A2" i="10"/>
  <c r="T1652" i="3" l="1"/>
  <c r="V1652" i="3" s="1"/>
  <c r="T1651" i="3"/>
  <c r="V1651" i="3" s="1"/>
  <c r="J1652" i="3"/>
  <c r="J1651" i="3"/>
  <c r="J1646" i="3"/>
  <c r="T1646" i="3"/>
  <c r="X1646" i="3" s="1"/>
  <c r="R809" i="4"/>
  <c r="P809" i="4"/>
  <c r="O809" i="4"/>
  <c r="K811" i="2"/>
  <c r="K784" i="2"/>
  <c r="J784" i="2"/>
  <c r="I784" i="2"/>
  <c r="K808" i="2"/>
  <c r="K807" i="2"/>
  <c r="K806" i="2"/>
  <c r="K805" i="2"/>
  <c r="K804" i="2"/>
  <c r="K803" i="2"/>
  <c r="K802" i="2"/>
  <c r="K801" i="2"/>
  <c r="K800" i="2"/>
  <c r="K798" i="2"/>
  <c r="K797" i="2"/>
  <c r="K796" i="2"/>
  <c r="K795" i="2"/>
  <c r="K794" i="2"/>
  <c r="K793" i="2"/>
  <c r="K792" i="2"/>
  <c r="K791" i="2"/>
  <c r="K790" i="2"/>
  <c r="K789" i="2"/>
  <c r="K788" i="2"/>
  <c r="K787" i="2"/>
  <c r="K786" i="2"/>
  <c r="K785" i="2"/>
  <c r="K783" i="2"/>
  <c r="A1609" i="10"/>
  <c r="B1609" i="10"/>
  <c r="C1609" i="10"/>
  <c r="D1609" i="10"/>
  <c r="E1609" i="10"/>
  <c r="F1609" i="10"/>
  <c r="G1609" i="10"/>
  <c r="H1609" i="10"/>
  <c r="A1610" i="10"/>
  <c r="B1610" i="10"/>
  <c r="C1610" i="10"/>
  <c r="D1610" i="10"/>
  <c r="E1610" i="10"/>
  <c r="F1610" i="10"/>
  <c r="G1610" i="10"/>
  <c r="H1610" i="10"/>
  <c r="A1611" i="10"/>
  <c r="B1611" i="10"/>
  <c r="C1611" i="10"/>
  <c r="D1611" i="10"/>
  <c r="E1611" i="10"/>
  <c r="F1611" i="10"/>
  <c r="G1611" i="10"/>
  <c r="H1611" i="10"/>
  <c r="A1612" i="10"/>
  <c r="B1612" i="10"/>
  <c r="C1612" i="10"/>
  <c r="D1612" i="10"/>
  <c r="E1612" i="10"/>
  <c r="F1612" i="10"/>
  <c r="G1612" i="10"/>
  <c r="H1612" i="10"/>
  <c r="R777" i="4"/>
  <c r="N779" i="2"/>
  <c r="A1596" i="10"/>
  <c r="B1596" i="10"/>
  <c r="C1596" i="10"/>
  <c r="D1596" i="10"/>
  <c r="E1596" i="10"/>
  <c r="F1596" i="10"/>
  <c r="G1596" i="10"/>
  <c r="H1596" i="10"/>
  <c r="A1597" i="10"/>
  <c r="B1597" i="10"/>
  <c r="C1597" i="10"/>
  <c r="D1597" i="10"/>
  <c r="E1597" i="10"/>
  <c r="F1597" i="10"/>
  <c r="G1597" i="10"/>
  <c r="H1597" i="10"/>
  <c r="A1598" i="10"/>
  <c r="B1598" i="10"/>
  <c r="C1598" i="10"/>
  <c r="D1598" i="10"/>
  <c r="E1598" i="10"/>
  <c r="F1598" i="10"/>
  <c r="G1598" i="10"/>
  <c r="H1598" i="10"/>
  <c r="A1599" i="10"/>
  <c r="B1599" i="10"/>
  <c r="C1599" i="10"/>
  <c r="D1599" i="10"/>
  <c r="E1599" i="10"/>
  <c r="F1599" i="10"/>
  <c r="G1599" i="10"/>
  <c r="H1599" i="10"/>
  <c r="P1646" i="3" l="1"/>
  <c r="H772" i="4"/>
  <c r="P769" i="4"/>
  <c r="P770" i="4"/>
  <c r="H763" i="4"/>
  <c r="H762" i="4"/>
  <c r="H761" i="4"/>
  <c r="K765" i="2"/>
  <c r="K764" i="2"/>
  <c r="K763" i="2"/>
  <c r="J758" i="2"/>
  <c r="I758" i="2"/>
  <c r="H755" i="4"/>
  <c r="H754" i="4"/>
  <c r="J757" i="2"/>
  <c r="J756" i="2"/>
  <c r="I757" i="2"/>
  <c r="I756" i="2"/>
  <c r="K752" i="2"/>
  <c r="A1515" i="10"/>
  <c r="B1515" i="10"/>
  <c r="C1515" i="10"/>
  <c r="D1515" i="10"/>
  <c r="E1515" i="10"/>
  <c r="F1515" i="10"/>
  <c r="G1515" i="10"/>
  <c r="H1515" i="10"/>
  <c r="C1516" i="10"/>
  <c r="D1516" i="10"/>
  <c r="E1516" i="10"/>
  <c r="F1516" i="10"/>
  <c r="G1516" i="10"/>
  <c r="H1516" i="10"/>
  <c r="C1517" i="10"/>
  <c r="D1517" i="10"/>
  <c r="E1517" i="10"/>
  <c r="F1517" i="10"/>
  <c r="G1517" i="10"/>
  <c r="H1517" i="10"/>
  <c r="C1518" i="10"/>
  <c r="D1518" i="10"/>
  <c r="E1518" i="10"/>
  <c r="F1518" i="10"/>
  <c r="G1518" i="10"/>
  <c r="H1518" i="10"/>
  <c r="C1519" i="10"/>
  <c r="D1519" i="10"/>
  <c r="E1519" i="10"/>
  <c r="F1519" i="10"/>
  <c r="G1519" i="10"/>
  <c r="H1519" i="10"/>
  <c r="C1520" i="10"/>
  <c r="D1520" i="10"/>
  <c r="E1520" i="10"/>
  <c r="F1520" i="10"/>
  <c r="G1520" i="10"/>
  <c r="H1520" i="10"/>
  <c r="C1521" i="10"/>
  <c r="D1521" i="10"/>
  <c r="E1521" i="10"/>
  <c r="F1521" i="10"/>
  <c r="G1521" i="10"/>
  <c r="H1521" i="10"/>
  <c r="C1522" i="10"/>
  <c r="D1522" i="10"/>
  <c r="E1522" i="10"/>
  <c r="F1522" i="10"/>
  <c r="G1522" i="10"/>
  <c r="H1522" i="10"/>
  <c r="C1523" i="10"/>
  <c r="D1523" i="10"/>
  <c r="E1523" i="10"/>
  <c r="F1523" i="10"/>
  <c r="G1523" i="10"/>
  <c r="H1523" i="10"/>
  <c r="C1524" i="10"/>
  <c r="D1524" i="10"/>
  <c r="E1524" i="10"/>
  <c r="F1524" i="10"/>
  <c r="G1524" i="10"/>
  <c r="H1524" i="10"/>
  <c r="C1525" i="10"/>
  <c r="D1525" i="10"/>
  <c r="E1525" i="10"/>
  <c r="F1525" i="10"/>
  <c r="G1525" i="10"/>
  <c r="H1525" i="10"/>
  <c r="C1526" i="10"/>
  <c r="D1526" i="10"/>
  <c r="E1526" i="10"/>
  <c r="F1526" i="10"/>
  <c r="G1526" i="10"/>
  <c r="H1526" i="10"/>
  <c r="C1527" i="10"/>
  <c r="D1527" i="10"/>
  <c r="E1527" i="10"/>
  <c r="F1527" i="10"/>
  <c r="G1527" i="10"/>
  <c r="H1527" i="10"/>
  <c r="C1528" i="10"/>
  <c r="D1528" i="10"/>
  <c r="E1528" i="10"/>
  <c r="F1528" i="10"/>
  <c r="G1528" i="10"/>
  <c r="H1528" i="10"/>
  <c r="C1529" i="10"/>
  <c r="D1529" i="10"/>
  <c r="E1529" i="10"/>
  <c r="F1529" i="10"/>
  <c r="G1529" i="10"/>
  <c r="H1529" i="10"/>
  <c r="C1530" i="10"/>
  <c r="D1530" i="10"/>
  <c r="E1530" i="10"/>
  <c r="F1530" i="10"/>
  <c r="G1530" i="10"/>
  <c r="H1530" i="10"/>
  <c r="C1531" i="10"/>
  <c r="D1531" i="10"/>
  <c r="E1531" i="10"/>
  <c r="F1531" i="10"/>
  <c r="G1531" i="10"/>
  <c r="H1531" i="10"/>
  <c r="C1532" i="10"/>
  <c r="D1532" i="10"/>
  <c r="E1532" i="10"/>
  <c r="F1532" i="10"/>
  <c r="G1532" i="10"/>
  <c r="H1532" i="10"/>
  <c r="C1533" i="10"/>
  <c r="D1533" i="10"/>
  <c r="E1533" i="10"/>
  <c r="F1533" i="10"/>
  <c r="G1533" i="10"/>
  <c r="H1533" i="10"/>
  <c r="C1534" i="10"/>
  <c r="D1534" i="10"/>
  <c r="E1534" i="10"/>
  <c r="F1534" i="10"/>
  <c r="G1534" i="10"/>
  <c r="H1534" i="10"/>
  <c r="C1535" i="10"/>
  <c r="D1535" i="10"/>
  <c r="E1535" i="10"/>
  <c r="F1535" i="10"/>
  <c r="G1535" i="10"/>
  <c r="H1535" i="10"/>
  <c r="C1536" i="10"/>
  <c r="D1536" i="10"/>
  <c r="E1536" i="10"/>
  <c r="F1536" i="10"/>
  <c r="G1536" i="10"/>
  <c r="H1536" i="10"/>
  <c r="C1537" i="10"/>
  <c r="D1537" i="10"/>
  <c r="E1537" i="10"/>
  <c r="F1537" i="10"/>
  <c r="G1537" i="10"/>
  <c r="H1537" i="10"/>
  <c r="C1538" i="10"/>
  <c r="D1538" i="10"/>
  <c r="E1538" i="10"/>
  <c r="F1538" i="10"/>
  <c r="G1538" i="10"/>
  <c r="H1538" i="10"/>
  <c r="C1539" i="10"/>
  <c r="D1539" i="10"/>
  <c r="E1539" i="10"/>
  <c r="F1539" i="10"/>
  <c r="G1539" i="10"/>
  <c r="H1539" i="10"/>
  <c r="C1540" i="10"/>
  <c r="D1540" i="10"/>
  <c r="E1540" i="10"/>
  <c r="F1540" i="10"/>
  <c r="G1540" i="10"/>
  <c r="H1540" i="10"/>
  <c r="C1541" i="10"/>
  <c r="D1541" i="10"/>
  <c r="E1541" i="10"/>
  <c r="F1541" i="10"/>
  <c r="G1541" i="10"/>
  <c r="H1541" i="10"/>
  <c r="C1542" i="10"/>
  <c r="D1542" i="10"/>
  <c r="E1542" i="10"/>
  <c r="F1542" i="10"/>
  <c r="G1542" i="10"/>
  <c r="H1542" i="10"/>
  <c r="C1543" i="10"/>
  <c r="D1543" i="10"/>
  <c r="E1543" i="10"/>
  <c r="F1543" i="10"/>
  <c r="G1543" i="10"/>
  <c r="H1543" i="10"/>
  <c r="C1544" i="10"/>
  <c r="D1544" i="10"/>
  <c r="E1544" i="10"/>
  <c r="F1544" i="10"/>
  <c r="G1544" i="10"/>
  <c r="H1544" i="10"/>
  <c r="C1545" i="10"/>
  <c r="D1545" i="10"/>
  <c r="E1545" i="10"/>
  <c r="F1545" i="10"/>
  <c r="G1545" i="10"/>
  <c r="H1545" i="10"/>
  <c r="C1546" i="10"/>
  <c r="D1546" i="10"/>
  <c r="E1546" i="10"/>
  <c r="F1546" i="10"/>
  <c r="G1546" i="10"/>
  <c r="H1546" i="10"/>
  <c r="C1547" i="10"/>
  <c r="D1547" i="10"/>
  <c r="E1547" i="10"/>
  <c r="F1547" i="10"/>
  <c r="G1547" i="10"/>
  <c r="H1547" i="10"/>
  <c r="C1548" i="10"/>
  <c r="D1548" i="10"/>
  <c r="E1548" i="10"/>
  <c r="F1548" i="10"/>
  <c r="G1548" i="10"/>
  <c r="H1548" i="10"/>
  <c r="C1549" i="10"/>
  <c r="D1549" i="10"/>
  <c r="E1549" i="10"/>
  <c r="F1549" i="10"/>
  <c r="G1549" i="10"/>
  <c r="H1549" i="10"/>
  <c r="C1550" i="10"/>
  <c r="D1550" i="10"/>
  <c r="E1550" i="10"/>
  <c r="F1550" i="10"/>
  <c r="G1550" i="10"/>
  <c r="H1550" i="10"/>
  <c r="C1551" i="10"/>
  <c r="D1551" i="10"/>
  <c r="E1551" i="10"/>
  <c r="F1551" i="10"/>
  <c r="G1551" i="10"/>
  <c r="H1551" i="10"/>
  <c r="C1552" i="10"/>
  <c r="D1552" i="10"/>
  <c r="E1552" i="10"/>
  <c r="F1552" i="10"/>
  <c r="G1552" i="10"/>
  <c r="H1552" i="10"/>
  <c r="C1553" i="10"/>
  <c r="D1553" i="10"/>
  <c r="E1553" i="10"/>
  <c r="F1553" i="10"/>
  <c r="G1553" i="10"/>
  <c r="H1553" i="10"/>
  <c r="C1554" i="10"/>
  <c r="D1554" i="10"/>
  <c r="E1554" i="10"/>
  <c r="F1554" i="10"/>
  <c r="G1554" i="10"/>
  <c r="H1554" i="10"/>
  <c r="C1555" i="10"/>
  <c r="D1555" i="10"/>
  <c r="E1555" i="10"/>
  <c r="F1555" i="10"/>
  <c r="G1555" i="10"/>
  <c r="H1555" i="10"/>
  <c r="C1556" i="10"/>
  <c r="D1556" i="10"/>
  <c r="E1556" i="10"/>
  <c r="F1556" i="10"/>
  <c r="G1556" i="10"/>
  <c r="H1556" i="10"/>
  <c r="C1557" i="10"/>
  <c r="D1557" i="10"/>
  <c r="E1557" i="10"/>
  <c r="F1557" i="10"/>
  <c r="G1557" i="10"/>
  <c r="H1557" i="10"/>
  <c r="C1558" i="10"/>
  <c r="D1558" i="10"/>
  <c r="E1558" i="10"/>
  <c r="F1558" i="10"/>
  <c r="G1558" i="10"/>
  <c r="H1558" i="10"/>
  <c r="C1559" i="10"/>
  <c r="D1559" i="10"/>
  <c r="E1559" i="10"/>
  <c r="F1559" i="10"/>
  <c r="G1559" i="10"/>
  <c r="H1559" i="10"/>
  <c r="C1560" i="10"/>
  <c r="D1560" i="10"/>
  <c r="E1560" i="10"/>
  <c r="F1560" i="10"/>
  <c r="G1560" i="10"/>
  <c r="H1560" i="10"/>
  <c r="C1561" i="10"/>
  <c r="D1561" i="10"/>
  <c r="E1561" i="10"/>
  <c r="F1561" i="10"/>
  <c r="G1561" i="10"/>
  <c r="H1561" i="10"/>
  <c r="C1562" i="10"/>
  <c r="D1562" i="10"/>
  <c r="E1562" i="10"/>
  <c r="F1562" i="10"/>
  <c r="G1562" i="10"/>
  <c r="H1562" i="10"/>
  <c r="C1563" i="10"/>
  <c r="D1563" i="10"/>
  <c r="E1563" i="10"/>
  <c r="F1563" i="10"/>
  <c r="G1563" i="10"/>
  <c r="H1563" i="10"/>
  <c r="C1564" i="10"/>
  <c r="D1564" i="10"/>
  <c r="E1564" i="10"/>
  <c r="F1564" i="10"/>
  <c r="G1564" i="10"/>
  <c r="H1564" i="10"/>
  <c r="C1565" i="10"/>
  <c r="D1565" i="10"/>
  <c r="E1565" i="10"/>
  <c r="F1565" i="10"/>
  <c r="G1565" i="10"/>
  <c r="H1565" i="10"/>
  <c r="C1566" i="10"/>
  <c r="D1566" i="10"/>
  <c r="E1566" i="10"/>
  <c r="F1566" i="10"/>
  <c r="G1566" i="10"/>
  <c r="H1566" i="10"/>
  <c r="C1567" i="10"/>
  <c r="D1567" i="10"/>
  <c r="E1567" i="10"/>
  <c r="F1567" i="10"/>
  <c r="G1567" i="10"/>
  <c r="H1567" i="10"/>
  <c r="C1568" i="10"/>
  <c r="D1568" i="10"/>
  <c r="E1568" i="10"/>
  <c r="F1568" i="10"/>
  <c r="G1568" i="10"/>
  <c r="H1568" i="10"/>
  <c r="C1569" i="10"/>
  <c r="D1569" i="10"/>
  <c r="E1569" i="10"/>
  <c r="F1569" i="10"/>
  <c r="G1569" i="10"/>
  <c r="H1569" i="10"/>
  <c r="C1570" i="10"/>
  <c r="D1570" i="10"/>
  <c r="E1570" i="10"/>
  <c r="F1570" i="10"/>
  <c r="G1570" i="10"/>
  <c r="H1570" i="10"/>
  <c r="C1571" i="10"/>
  <c r="D1571" i="10"/>
  <c r="E1571" i="10"/>
  <c r="F1571" i="10"/>
  <c r="G1571" i="10"/>
  <c r="H1571" i="10"/>
  <c r="C1572" i="10"/>
  <c r="D1572" i="10"/>
  <c r="E1572" i="10"/>
  <c r="F1572" i="10"/>
  <c r="G1572" i="10"/>
  <c r="H1572" i="10"/>
  <c r="C1573" i="10"/>
  <c r="D1573" i="10"/>
  <c r="E1573" i="10"/>
  <c r="F1573" i="10"/>
  <c r="G1573" i="10"/>
  <c r="H1573" i="10"/>
  <c r="C1574" i="10"/>
  <c r="D1574" i="10"/>
  <c r="E1574" i="10"/>
  <c r="F1574" i="10"/>
  <c r="G1574" i="10"/>
  <c r="H1574" i="10"/>
  <c r="C1575" i="10"/>
  <c r="D1575" i="10"/>
  <c r="E1575" i="10"/>
  <c r="F1575" i="10"/>
  <c r="G1575" i="10"/>
  <c r="H1575" i="10"/>
  <c r="C1576" i="10"/>
  <c r="D1576" i="10"/>
  <c r="E1576" i="10"/>
  <c r="F1576" i="10"/>
  <c r="G1576" i="10"/>
  <c r="H1576" i="10"/>
  <c r="C1577" i="10"/>
  <c r="D1577" i="10"/>
  <c r="E1577" i="10"/>
  <c r="F1577" i="10"/>
  <c r="G1577" i="10"/>
  <c r="H1577" i="10"/>
  <c r="C1578" i="10"/>
  <c r="D1578" i="10"/>
  <c r="E1578" i="10"/>
  <c r="F1578" i="10"/>
  <c r="G1578" i="10"/>
  <c r="H1578" i="10"/>
  <c r="C1579" i="10"/>
  <c r="D1579" i="10"/>
  <c r="E1579" i="10"/>
  <c r="F1579" i="10"/>
  <c r="G1579" i="10"/>
  <c r="H1579" i="10"/>
  <c r="C1580" i="10"/>
  <c r="D1580" i="10"/>
  <c r="E1580" i="10"/>
  <c r="F1580" i="10"/>
  <c r="G1580" i="10"/>
  <c r="H1580" i="10"/>
  <c r="C1581" i="10"/>
  <c r="D1581" i="10"/>
  <c r="E1581" i="10"/>
  <c r="F1581" i="10"/>
  <c r="G1581" i="10"/>
  <c r="H1581" i="10"/>
  <c r="C1582" i="10"/>
  <c r="D1582" i="10"/>
  <c r="E1582" i="10"/>
  <c r="F1582" i="10"/>
  <c r="G1582" i="10"/>
  <c r="H1582" i="10"/>
  <c r="C1583" i="10"/>
  <c r="D1583" i="10"/>
  <c r="E1583" i="10"/>
  <c r="F1583" i="10"/>
  <c r="G1583" i="10"/>
  <c r="H1583" i="10"/>
  <c r="C1584" i="10"/>
  <c r="D1584" i="10"/>
  <c r="E1584" i="10"/>
  <c r="F1584" i="10"/>
  <c r="G1584" i="10"/>
  <c r="H1584" i="10"/>
  <c r="C1585" i="10"/>
  <c r="D1585" i="10"/>
  <c r="E1585" i="10"/>
  <c r="F1585" i="10"/>
  <c r="G1585" i="10"/>
  <c r="H1585" i="10"/>
  <c r="C1586" i="10"/>
  <c r="D1586" i="10"/>
  <c r="E1586" i="10"/>
  <c r="F1586" i="10"/>
  <c r="G1586" i="10"/>
  <c r="H1586" i="10"/>
  <c r="C1587" i="10"/>
  <c r="D1587" i="10"/>
  <c r="E1587" i="10"/>
  <c r="F1587" i="10"/>
  <c r="G1587" i="10"/>
  <c r="H1587" i="10"/>
  <c r="C1588" i="10"/>
  <c r="D1588" i="10"/>
  <c r="E1588" i="10"/>
  <c r="F1588" i="10"/>
  <c r="G1588" i="10"/>
  <c r="H1588" i="10"/>
  <c r="C1589" i="10"/>
  <c r="D1589" i="10"/>
  <c r="E1589" i="10"/>
  <c r="F1589" i="10"/>
  <c r="G1589" i="10"/>
  <c r="H1589" i="10"/>
  <c r="C1590" i="10"/>
  <c r="D1590" i="10"/>
  <c r="E1590" i="10"/>
  <c r="F1590" i="10"/>
  <c r="G1590" i="10"/>
  <c r="H1590" i="10"/>
  <c r="C1591" i="10"/>
  <c r="D1591" i="10"/>
  <c r="E1591" i="10"/>
  <c r="F1591" i="10"/>
  <c r="G1591" i="10"/>
  <c r="H1591" i="10"/>
  <c r="C1592" i="10"/>
  <c r="D1592" i="10"/>
  <c r="E1592" i="10"/>
  <c r="F1592" i="10"/>
  <c r="G1592" i="10"/>
  <c r="H1592" i="10"/>
  <c r="C1593" i="10"/>
  <c r="D1593" i="10"/>
  <c r="E1593" i="10"/>
  <c r="F1593" i="10"/>
  <c r="G1593" i="10"/>
  <c r="H1593" i="10"/>
  <c r="C1594" i="10"/>
  <c r="D1594" i="10"/>
  <c r="E1594" i="10"/>
  <c r="F1594" i="10"/>
  <c r="G1594" i="10"/>
  <c r="H1594" i="10"/>
  <c r="C1595" i="10"/>
  <c r="D1595" i="10"/>
  <c r="E1595" i="10"/>
  <c r="F1595" i="10"/>
  <c r="G1595" i="10"/>
  <c r="H1595" i="10"/>
  <c r="C1600" i="10"/>
  <c r="D1600" i="10"/>
  <c r="E1600" i="10"/>
  <c r="F1600" i="10"/>
  <c r="G1600" i="10"/>
  <c r="H1600" i="10"/>
  <c r="C1601" i="10"/>
  <c r="D1601" i="10"/>
  <c r="E1601" i="10"/>
  <c r="F1601" i="10"/>
  <c r="G1601" i="10"/>
  <c r="H1601" i="10"/>
  <c r="C1602" i="10"/>
  <c r="D1602" i="10"/>
  <c r="E1602" i="10"/>
  <c r="F1602" i="10"/>
  <c r="G1602" i="10"/>
  <c r="H1602" i="10"/>
  <c r="C1603" i="10"/>
  <c r="D1603" i="10"/>
  <c r="E1603" i="10"/>
  <c r="F1603" i="10"/>
  <c r="G1603" i="10"/>
  <c r="H1603" i="10"/>
  <c r="C1604" i="10"/>
  <c r="D1604" i="10"/>
  <c r="E1604" i="10"/>
  <c r="F1604" i="10"/>
  <c r="G1604" i="10"/>
  <c r="H1604" i="10"/>
  <c r="C1605" i="10"/>
  <c r="D1605" i="10"/>
  <c r="E1605" i="10"/>
  <c r="F1605" i="10"/>
  <c r="G1605" i="10"/>
  <c r="H1605" i="10"/>
  <c r="C1606" i="10"/>
  <c r="D1606" i="10"/>
  <c r="E1606" i="10"/>
  <c r="F1606" i="10"/>
  <c r="G1606" i="10"/>
  <c r="H1606" i="10"/>
  <c r="C1607" i="10"/>
  <c r="D1607" i="10"/>
  <c r="E1607" i="10"/>
  <c r="F1607" i="10"/>
  <c r="G1607" i="10"/>
  <c r="H1607" i="10"/>
  <c r="C1608" i="10"/>
  <c r="D1608" i="10"/>
  <c r="E1608" i="10"/>
  <c r="F1608" i="10"/>
  <c r="G1608" i="10"/>
  <c r="H1608" i="10"/>
  <c r="C1613" i="10"/>
  <c r="D1613" i="10"/>
  <c r="E1613" i="10"/>
  <c r="F1613" i="10"/>
  <c r="G1613" i="10"/>
  <c r="H1613" i="10"/>
  <c r="C1614" i="10"/>
  <c r="D1614" i="10"/>
  <c r="E1614" i="10"/>
  <c r="F1614" i="10"/>
  <c r="G1614" i="10"/>
  <c r="H1614" i="10"/>
  <c r="C1615" i="10"/>
  <c r="D1615" i="10"/>
  <c r="E1615" i="10"/>
  <c r="F1615" i="10"/>
  <c r="G1615" i="10"/>
  <c r="H1615" i="10"/>
  <c r="C1616" i="10"/>
  <c r="D1616" i="10"/>
  <c r="E1616" i="10"/>
  <c r="F1616" i="10"/>
  <c r="G1616" i="10"/>
  <c r="H1616" i="10"/>
  <c r="C1617" i="10"/>
  <c r="D1617" i="10"/>
  <c r="E1617" i="10"/>
  <c r="F1617" i="10"/>
  <c r="G1617" i="10"/>
  <c r="H1617" i="10"/>
  <c r="C1618" i="10"/>
  <c r="D1618" i="10"/>
  <c r="E1618" i="10"/>
  <c r="F1618" i="10"/>
  <c r="G1618" i="10"/>
  <c r="H1618" i="10"/>
  <c r="C1619" i="10"/>
  <c r="D1619" i="10"/>
  <c r="E1619" i="10"/>
  <c r="F1619" i="10"/>
  <c r="G1619" i="10"/>
  <c r="H1619" i="10"/>
  <c r="C1620" i="10"/>
  <c r="D1620" i="10"/>
  <c r="E1620" i="10"/>
  <c r="F1620" i="10"/>
  <c r="G1620" i="10"/>
  <c r="H1620" i="10"/>
  <c r="C1621" i="10"/>
  <c r="D1621" i="10"/>
  <c r="E1621" i="10"/>
  <c r="F1621" i="10"/>
  <c r="G1621" i="10"/>
  <c r="H1621" i="10"/>
  <c r="C1622" i="10"/>
  <c r="D1622" i="10"/>
  <c r="E1622" i="10"/>
  <c r="F1622" i="10"/>
  <c r="G1622" i="10"/>
  <c r="H1622" i="10"/>
  <c r="C1623" i="10"/>
  <c r="D1623" i="10"/>
  <c r="E1623" i="10"/>
  <c r="F1623" i="10"/>
  <c r="G1623" i="10"/>
  <c r="H1623" i="10"/>
  <c r="C1624" i="10"/>
  <c r="D1624" i="10"/>
  <c r="E1624" i="10"/>
  <c r="F1624" i="10"/>
  <c r="G1624" i="10"/>
  <c r="H1624" i="10"/>
  <c r="C1625" i="10"/>
  <c r="D1625" i="10"/>
  <c r="E1625" i="10"/>
  <c r="F1625" i="10"/>
  <c r="G1625" i="10"/>
  <c r="H1625" i="10"/>
  <c r="C1626" i="10"/>
  <c r="D1626" i="10"/>
  <c r="E1626" i="10"/>
  <c r="F1626" i="10"/>
  <c r="G1626" i="10"/>
  <c r="H1626" i="10"/>
  <c r="C1627" i="10"/>
  <c r="D1627" i="10"/>
  <c r="E1627" i="10"/>
  <c r="F1627" i="10"/>
  <c r="G1627" i="10"/>
  <c r="H1627" i="10"/>
  <c r="C1628" i="10"/>
  <c r="D1628" i="10"/>
  <c r="E1628" i="10"/>
  <c r="F1628" i="10"/>
  <c r="G1628" i="10"/>
  <c r="H1628" i="10"/>
  <c r="C1629" i="10"/>
  <c r="D1629" i="10"/>
  <c r="E1629" i="10"/>
  <c r="F1629" i="10"/>
  <c r="G1629" i="10"/>
  <c r="H1629" i="10"/>
  <c r="C1630" i="10"/>
  <c r="D1630" i="10"/>
  <c r="E1630" i="10"/>
  <c r="F1630" i="10"/>
  <c r="G1630" i="10"/>
  <c r="H1630" i="10"/>
  <c r="C1631" i="10"/>
  <c r="D1631" i="10"/>
  <c r="E1631" i="10"/>
  <c r="F1631" i="10"/>
  <c r="G1631" i="10"/>
  <c r="H1631" i="10"/>
  <c r="C1632" i="10"/>
  <c r="D1632" i="10"/>
  <c r="E1632" i="10"/>
  <c r="F1632" i="10"/>
  <c r="G1632" i="10"/>
  <c r="H1632" i="10"/>
  <c r="C1633" i="10"/>
  <c r="D1633" i="10"/>
  <c r="E1633" i="10"/>
  <c r="F1633" i="10"/>
  <c r="G1633" i="10"/>
  <c r="H1633" i="10"/>
  <c r="C1634" i="10"/>
  <c r="D1634" i="10"/>
  <c r="E1634" i="10"/>
  <c r="F1634" i="10"/>
  <c r="G1634" i="10"/>
  <c r="H1634" i="10"/>
  <c r="C1635" i="10"/>
  <c r="D1635" i="10"/>
  <c r="E1635" i="10"/>
  <c r="F1635" i="10"/>
  <c r="G1635" i="10"/>
  <c r="H1635" i="10"/>
  <c r="C1636" i="10"/>
  <c r="D1636" i="10"/>
  <c r="E1636" i="10"/>
  <c r="F1636" i="10"/>
  <c r="G1636" i="10"/>
  <c r="H1636" i="10"/>
  <c r="C1637" i="10"/>
  <c r="D1637" i="10"/>
  <c r="E1637" i="10"/>
  <c r="F1637" i="10"/>
  <c r="G1637" i="10"/>
  <c r="H1637" i="10"/>
  <c r="C1638" i="10"/>
  <c r="D1638" i="10"/>
  <c r="E1638" i="10"/>
  <c r="F1638" i="10"/>
  <c r="G1638" i="10"/>
  <c r="H1638" i="10"/>
  <c r="C1639" i="10"/>
  <c r="D1639" i="10"/>
  <c r="E1639" i="10"/>
  <c r="F1639" i="10"/>
  <c r="G1639" i="10"/>
  <c r="H1639" i="10"/>
  <c r="C1640" i="10"/>
  <c r="D1640" i="10"/>
  <c r="E1640" i="10"/>
  <c r="F1640" i="10"/>
  <c r="G1640" i="10"/>
  <c r="H1640" i="10"/>
  <c r="C1641" i="10"/>
  <c r="D1641" i="10"/>
  <c r="E1641" i="10"/>
  <c r="F1641" i="10"/>
  <c r="G1641" i="10"/>
  <c r="H1641" i="10"/>
  <c r="C1642" i="10"/>
  <c r="D1642" i="10"/>
  <c r="E1642" i="10"/>
  <c r="F1642" i="10"/>
  <c r="G1642" i="10"/>
  <c r="H1642" i="10"/>
  <c r="C1643" i="10"/>
  <c r="D1643" i="10"/>
  <c r="E1643" i="10"/>
  <c r="F1643" i="10"/>
  <c r="G1643" i="10"/>
  <c r="H1643" i="10"/>
  <c r="C1644" i="10"/>
  <c r="D1644" i="10"/>
  <c r="E1644" i="10"/>
  <c r="F1644" i="10"/>
  <c r="G1644" i="10"/>
  <c r="H1644" i="10"/>
  <c r="C1645" i="10"/>
  <c r="D1645" i="10"/>
  <c r="E1645" i="10"/>
  <c r="F1645" i="10"/>
  <c r="G1645" i="10"/>
  <c r="H1645" i="10"/>
  <c r="C1646" i="10"/>
  <c r="D1646" i="10"/>
  <c r="E1646" i="10"/>
  <c r="F1646" i="10"/>
  <c r="G1646" i="10"/>
  <c r="H1646" i="10"/>
  <c r="C1647" i="10"/>
  <c r="D1647" i="10"/>
  <c r="E1647" i="10"/>
  <c r="F1647" i="10"/>
  <c r="G1647" i="10"/>
  <c r="H1647" i="10"/>
  <c r="C1648" i="10"/>
  <c r="D1648" i="10"/>
  <c r="E1648" i="10"/>
  <c r="F1648" i="10"/>
  <c r="G1648" i="10"/>
  <c r="H1648" i="10"/>
  <c r="C1649" i="10"/>
  <c r="D1649" i="10"/>
  <c r="E1649" i="10"/>
  <c r="F1649" i="10"/>
  <c r="G1649" i="10"/>
  <c r="H1649" i="10"/>
  <c r="C1650" i="10"/>
  <c r="D1650" i="10"/>
  <c r="E1650" i="10"/>
  <c r="F1650" i="10"/>
  <c r="G1650" i="10"/>
  <c r="H1650" i="10"/>
  <c r="C1651" i="10"/>
  <c r="D1651" i="10"/>
  <c r="E1651" i="10"/>
  <c r="F1651" i="10"/>
  <c r="G1651" i="10"/>
  <c r="H1651" i="10"/>
  <c r="C1652" i="10"/>
  <c r="D1652" i="10"/>
  <c r="E1652" i="10"/>
  <c r="F1652" i="10"/>
  <c r="G1652" i="10"/>
  <c r="H1652" i="10"/>
  <c r="C1653" i="10"/>
  <c r="D1653" i="10"/>
  <c r="E1653" i="10"/>
  <c r="F1653" i="10"/>
  <c r="G1653" i="10"/>
  <c r="H1653" i="10"/>
  <c r="C1654" i="10"/>
  <c r="D1654" i="10"/>
  <c r="E1654" i="10"/>
  <c r="F1654" i="10"/>
  <c r="G1654" i="10"/>
  <c r="H1654" i="10"/>
  <c r="C1655" i="10"/>
  <c r="D1655" i="10"/>
  <c r="E1655" i="10"/>
  <c r="F1655" i="10"/>
  <c r="G1655" i="10"/>
  <c r="H1655" i="10"/>
  <c r="C1656" i="10"/>
  <c r="D1656" i="10"/>
  <c r="E1656" i="10"/>
  <c r="F1656" i="10"/>
  <c r="G1656" i="10"/>
  <c r="H1656" i="10"/>
  <c r="C1657" i="10"/>
  <c r="D1657" i="10"/>
  <c r="E1657" i="10"/>
  <c r="F1657" i="10"/>
  <c r="G1657" i="10"/>
  <c r="H1657" i="10"/>
  <c r="C1658" i="10"/>
  <c r="D1658" i="10"/>
  <c r="E1658" i="10"/>
  <c r="F1658" i="10"/>
  <c r="G1658" i="10"/>
  <c r="H1658" i="10"/>
  <c r="C1659" i="10"/>
  <c r="D1659" i="10"/>
  <c r="E1659" i="10"/>
  <c r="F1659" i="10"/>
  <c r="G1659" i="10"/>
  <c r="H1659" i="10"/>
  <c r="C1660" i="10"/>
  <c r="D1660" i="10"/>
  <c r="E1660" i="10"/>
  <c r="F1660" i="10"/>
  <c r="G1660" i="10"/>
  <c r="H1660" i="10"/>
  <c r="C1661" i="10"/>
  <c r="D1661" i="10"/>
  <c r="E1661" i="10"/>
  <c r="F1661" i="10"/>
  <c r="G1661" i="10"/>
  <c r="H1661" i="10"/>
  <c r="C1662" i="10"/>
  <c r="D1662" i="10"/>
  <c r="E1662" i="10"/>
  <c r="F1662" i="10"/>
  <c r="G1662" i="10"/>
  <c r="H1662" i="10"/>
  <c r="C1663" i="10"/>
  <c r="D1663" i="10"/>
  <c r="E1663" i="10"/>
  <c r="F1663" i="10"/>
  <c r="G1663" i="10"/>
  <c r="H1663" i="10"/>
  <c r="C1664" i="10"/>
  <c r="D1664" i="10"/>
  <c r="E1664" i="10"/>
  <c r="F1664" i="10"/>
  <c r="G1664" i="10"/>
  <c r="H1664" i="10"/>
  <c r="C1665" i="10"/>
  <c r="D1665" i="10"/>
  <c r="E1665" i="10"/>
  <c r="F1665" i="10"/>
  <c r="G1665" i="10"/>
  <c r="H1665" i="10"/>
  <c r="C1666" i="10"/>
  <c r="D1666" i="10"/>
  <c r="E1666" i="10"/>
  <c r="F1666" i="10"/>
  <c r="G1666" i="10"/>
  <c r="H1666" i="10"/>
  <c r="C1667" i="10"/>
  <c r="D1667" i="10"/>
  <c r="E1667" i="10"/>
  <c r="F1667" i="10"/>
  <c r="G1667" i="10"/>
  <c r="H1667" i="10"/>
  <c r="C1668" i="10"/>
  <c r="D1668" i="10"/>
  <c r="E1668" i="10"/>
  <c r="F1668" i="10"/>
  <c r="G1668" i="10"/>
  <c r="H1668" i="10"/>
  <c r="C1669" i="10"/>
  <c r="D1669" i="10"/>
  <c r="E1669" i="10"/>
  <c r="F1669" i="10"/>
  <c r="G1669" i="10"/>
  <c r="H1669" i="10"/>
  <c r="C1670" i="10"/>
  <c r="D1670" i="10"/>
  <c r="E1670" i="10"/>
  <c r="F1670" i="10"/>
  <c r="G1670" i="10"/>
  <c r="H1670" i="10"/>
  <c r="C1671" i="10"/>
  <c r="D1671" i="10"/>
  <c r="E1671" i="10"/>
  <c r="F1671" i="10"/>
  <c r="G1671" i="10"/>
  <c r="H1671" i="10"/>
  <c r="C1672" i="10"/>
  <c r="D1672" i="10"/>
  <c r="E1672" i="10"/>
  <c r="F1672" i="10"/>
  <c r="G1672" i="10"/>
  <c r="H1672" i="10"/>
  <c r="C1673" i="10"/>
  <c r="D1673" i="10"/>
  <c r="E1673" i="10"/>
  <c r="F1673" i="10"/>
  <c r="G1673" i="10"/>
  <c r="H1673" i="10"/>
  <c r="C1674" i="10"/>
  <c r="D1674" i="10"/>
  <c r="E1674" i="10"/>
  <c r="F1674" i="10"/>
  <c r="G1674" i="10"/>
  <c r="H1674" i="10"/>
  <c r="C1675" i="10"/>
  <c r="D1675" i="10"/>
  <c r="E1675" i="10"/>
  <c r="F1675" i="10"/>
  <c r="G1675" i="10"/>
  <c r="H1675" i="10"/>
  <c r="C1676" i="10"/>
  <c r="D1676" i="10"/>
  <c r="E1676" i="10"/>
  <c r="F1676" i="10"/>
  <c r="G1676" i="10"/>
  <c r="H1676" i="10"/>
  <c r="C1677" i="10"/>
  <c r="D1677" i="10"/>
  <c r="E1677" i="10"/>
  <c r="F1677" i="10"/>
  <c r="G1677" i="10"/>
  <c r="H1677" i="10"/>
  <c r="C1678" i="10"/>
  <c r="D1678" i="10"/>
  <c r="E1678" i="10"/>
  <c r="F1678" i="10"/>
  <c r="G1678" i="10"/>
  <c r="H1678" i="10"/>
  <c r="C1679" i="10"/>
  <c r="D1679" i="10"/>
  <c r="E1679" i="10"/>
  <c r="F1679" i="10"/>
  <c r="G1679" i="10"/>
  <c r="H1679" i="10"/>
  <c r="C1680" i="10"/>
  <c r="D1680" i="10"/>
  <c r="E1680" i="10"/>
  <c r="F1680" i="10"/>
  <c r="G1680" i="10"/>
  <c r="H1680" i="10"/>
  <c r="C1681" i="10"/>
  <c r="D1681" i="10"/>
  <c r="E1681" i="10"/>
  <c r="F1681" i="10"/>
  <c r="G1681" i="10"/>
  <c r="H1681" i="10"/>
  <c r="C1682" i="10"/>
  <c r="D1682" i="10"/>
  <c r="E1682" i="10"/>
  <c r="F1682" i="10"/>
  <c r="G1682" i="10"/>
  <c r="H1682" i="10"/>
  <c r="C1683" i="10"/>
  <c r="D1683" i="10"/>
  <c r="E1683" i="10"/>
  <c r="F1683" i="10"/>
  <c r="G1683" i="10"/>
  <c r="H1683" i="10"/>
  <c r="C1684" i="10"/>
  <c r="D1684" i="10"/>
  <c r="E1684" i="10"/>
  <c r="F1684" i="10"/>
  <c r="G1684" i="10"/>
  <c r="H1684" i="10"/>
  <c r="C1685" i="10"/>
  <c r="D1685" i="10"/>
  <c r="E1685" i="10"/>
  <c r="F1685" i="10"/>
  <c r="G1685" i="10"/>
  <c r="H1685" i="10"/>
  <c r="C1686" i="10"/>
  <c r="D1686" i="10"/>
  <c r="E1686" i="10"/>
  <c r="F1686" i="10"/>
  <c r="G1686" i="10"/>
  <c r="H1686" i="10"/>
  <c r="C1687" i="10"/>
  <c r="D1687" i="10"/>
  <c r="E1687" i="10"/>
  <c r="F1687" i="10"/>
  <c r="G1687" i="10"/>
  <c r="H1687" i="10"/>
  <c r="C1688" i="10"/>
  <c r="D1688" i="10"/>
  <c r="E1688" i="10"/>
  <c r="F1688" i="10"/>
  <c r="G1688" i="10"/>
  <c r="H1688" i="10"/>
  <c r="C1689" i="10"/>
  <c r="D1689" i="10"/>
  <c r="E1689" i="10"/>
  <c r="F1689" i="10"/>
  <c r="G1689" i="10"/>
  <c r="H1689" i="10"/>
  <c r="C1690" i="10"/>
  <c r="D1690" i="10"/>
  <c r="E1690" i="10"/>
  <c r="F1690" i="10"/>
  <c r="G1690" i="10"/>
  <c r="H1690" i="10"/>
  <c r="C1691" i="10"/>
  <c r="D1691" i="10"/>
  <c r="E1691" i="10"/>
  <c r="F1691" i="10"/>
  <c r="G1691" i="10"/>
  <c r="H1691" i="10"/>
  <c r="C1692" i="10"/>
  <c r="D1692" i="10"/>
  <c r="E1692" i="10"/>
  <c r="F1692" i="10"/>
  <c r="G1692" i="10"/>
  <c r="H1692" i="10"/>
  <c r="C1693" i="10"/>
  <c r="D1693" i="10"/>
  <c r="E1693" i="10"/>
  <c r="F1693" i="10"/>
  <c r="G1693" i="10"/>
  <c r="H1693" i="10"/>
  <c r="C1694" i="10"/>
  <c r="D1694" i="10"/>
  <c r="E1694" i="10"/>
  <c r="F1694" i="10"/>
  <c r="G1694" i="10"/>
  <c r="H1694" i="10"/>
  <c r="C1695" i="10"/>
  <c r="D1695" i="10"/>
  <c r="E1695" i="10"/>
  <c r="F1695" i="10"/>
  <c r="G1695" i="10"/>
  <c r="H1695" i="10"/>
  <c r="C1696" i="10"/>
  <c r="D1696" i="10"/>
  <c r="E1696" i="10"/>
  <c r="F1696" i="10"/>
  <c r="G1696" i="10"/>
  <c r="H1696" i="10"/>
  <c r="C1697" i="10"/>
  <c r="D1697" i="10"/>
  <c r="E1697" i="10"/>
  <c r="F1697" i="10"/>
  <c r="G1697" i="10"/>
  <c r="H1697" i="10"/>
  <c r="C1698" i="10"/>
  <c r="D1698" i="10"/>
  <c r="E1698" i="10"/>
  <c r="F1698" i="10"/>
  <c r="G1698" i="10"/>
  <c r="H1698" i="10"/>
  <c r="C1699" i="10"/>
  <c r="D1699" i="10"/>
  <c r="E1699" i="10"/>
  <c r="F1699" i="10"/>
  <c r="G1699" i="10"/>
  <c r="H1699" i="10"/>
  <c r="C1700" i="10"/>
  <c r="D1700" i="10"/>
  <c r="E1700" i="10"/>
  <c r="F1700" i="10"/>
  <c r="G1700" i="10"/>
  <c r="H1700" i="10"/>
  <c r="C1701" i="10"/>
  <c r="D1701" i="10"/>
  <c r="E1701" i="10"/>
  <c r="F1701" i="10"/>
  <c r="G1701" i="10"/>
  <c r="H1701" i="10"/>
  <c r="C1702" i="10"/>
  <c r="D1702" i="10"/>
  <c r="E1702" i="10"/>
  <c r="F1702" i="10"/>
  <c r="G1702" i="10"/>
  <c r="H1702" i="10"/>
  <c r="C1703" i="10"/>
  <c r="D1703" i="10"/>
  <c r="E1703" i="10"/>
  <c r="F1703" i="10"/>
  <c r="G1703" i="10"/>
  <c r="H1703" i="10"/>
  <c r="C1704" i="10"/>
  <c r="D1704" i="10"/>
  <c r="E1704" i="10"/>
  <c r="F1704" i="10"/>
  <c r="G1704" i="10"/>
  <c r="H1704" i="10"/>
  <c r="C1705" i="10"/>
  <c r="D1705" i="10"/>
  <c r="E1705" i="10"/>
  <c r="F1705" i="10"/>
  <c r="G1705" i="10"/>
  <c r="H1705" i="10"/>
  <c r="C1706" i="10"/>
  <c r="D1706" i="10"/>
  <c r="E1706" i="10"/>
  <c r="F1706" i="10"/>
  <c r="G1706" i="10"/>
  <c r="H1706" i="10"/>
  <c r="C1707" i="10"/>
  <c r="D1707" i="10"/>
  <c r="E1707" i="10"/>
  <c r="F1707" i="10"/>
  <c r="G1707" i="10"/>
  <c r="H1707" i="10"/>
  <c r="C1708" i="10"/>
  <c r="D1708" i="10"/>
  <c r="E1708" i="10"/>
  <c r="F1708" i="10"/>
  <c r="G1708" i="10"/>
  <c r="H1708" i="10"/>
  <c r="C1709" i="10"/>
  <c r="D1709" i="10"/>
  <c r="E1709" i="10"/>
  <c r="F1709" i="10"/>
  <c r="G1709" i="10"/>
  <c r="H1709" i="10"/>
  <c r="C1710" i="10"/>
  <c r="D1710" i="10"/>
  <c r="E1710" i="10"/>
  <c r="F1710" i="10"/>
  <c r="G1710" i="10"/>
  <c r="H1710" i="10"/>
  <c r="C1711" i="10"/>
  <c r="D1711" i="10"/>
  <c r="E1711" i="10"/>
  <c r="F1711" i="10"/>
  <c r="G1711" i="10"/>
  <c r="H1711" i="10"/>
  <c r="C1712" i="10"/>
  <c r="D1712" i="10"/>
  <c r="E1712" i="10"/>
  <c r="F1712" i="10"/>
  <c r="G1712" i="10"/>
  <c r="H1712" i="10"/>
  <c r="C1713" i="10"/>
  <c r="D1713" i="10"/>
  <c r="E1713" i="10"/>
  <c r="F1713" i="10"/>
  <c r="G1713" i="10"/>
  <c r="H1713" i="10"/>
  <c r="C1714" i="10"/>
  <c r="D1714" i="10"/>
  <c r="E1714" i="10"/>
  <c r="F1714" i="10"/>
  <c r="G1714" i="10"/>
  <c r="H1714" i="10"/>
  <c r="C1715" i="10"/>
  <c r="D1715" i="10"/>
  <c r="E1715" i="10"/>
  <c r="F1715" i="10"/>
  <c r="G1715" i="10"/>
  <c r="H1715" i="10"/>
  <c r="C1716" i="10"/>
  <c r="D1716" i="10"/>
  <c r="E1716" i="10"/>
  <c r="F1716" i="10"/>
  <c r="G1716" i="10"/>
  <c r="H1716" i="10"/>
  <c r="C1717" i="10"/>
  <c r="D1717" i="10"/>
  <c r="E1717" i="10"/>
  <c r="F1717" i="10"/>
  <c r="G1717" i="10"/>
  <c r="H1717" i="10"/>
  <c r="C1718" i="10"/>
  <c r="D1718" i="10"/>
  <c r="E1718" i="10"/>
  <c r="F1718" i="10"/>
  <c r="G1718" i="10"/>
  <c r="H1718" i="10"/>
  <c r="C1719" i="10"/>
  <c r="D1719" i="10"/>
  <c r="E1719" i="10"/>
  <c r="F1719" i="10"/>
  <c r="G1719" i="10"/>
  <c r="H1719" i="10"/>
  <c r="C1720" i="10"/>
  <c r="D1720" i="10"/>
  <c r="E1720" i="10"/>
  <c r="F1720" i="10"/>
  <c r="G1720" i="10"/>
  <c r="H1720" i="10"/>
  <c r="C1721" i="10"/>
  <c r="D1721" i="10"/>
  <c r="E1721" i="10"/>
  <c r="F1721" i="10"/>
  <c r="G1721" i="10"/>
  <c r="H1721" i="10"/>
  <c r="C1722" i="10"/>
  <c r="D1722" i="10"/>
  <c r="E1722" i="10"/>
  <c r="F1722" i="10"/>
  <c r="G1722" i="10"/>
  <c r="H1722" i="10"/>
  <c r="C1723" i="10"/>
  <c r="D1723" i="10"/>
  <c r="E1723" i="10"/>
  <c r="F1723" i="10"/>
  <c r="G1723" i="10"/>
  <c r="H1723" i="10"/>
  <c r="C1724" i="10"/>
  <c r="D1724" i="10"/>
  <c r="E1724" i="10"/>
  <c r="F1724" i="10"/>
  <c r="G1724" i="10"/>
  <c r="H1724" i="10"/>
  <c r="C1725" i="10"/>
  <c r="D1725" i="10"/>
  <c r="E1725" i="10"/>
  <c r="F1725" i="10"/>
  <c r="G1725" i="10"/>
  <c r="H1725" i="10"/>
  <c r="C1726" i="10"/>
  <c r="D1726" i="10"/>
  <c r="E1726" i="10"/>
  <c r="F1726" i="10"/>
  <c r="G1726" i="10"/>
  <c r="H1726" i="10"/>
  <c r="C1727" i="10"/>
  <c r="D1727" i="10"/>
  <c r="E1727" i="10"/>
  <c r="F1727" i="10"/>
  <c r="G1727" i="10"/>
  <c r="H1727" i="10"/>
  <c r="C1728" i="10"/>
  <c r="D1728" i="10"/>
  <c r="E1728" i="10"/>
  <c r="F1728" i="10"/>
  <c r="G1728" i="10"/>
  <c r="H1728" i="10"/>
  <c r="C1729" i="10"/>
  <c r="D1729" i="10"/>
  <c r="E1729" i="10"/>
  <c r="F1729" i="10"/>
  <c r="G1729" i="10"/>
  <c r="H1729" i="10"/>
  <c r="C1730" i="10"/>
  <c r="D1730" i="10"/>
  <c r="E1730" i="10"/>
  <c r="F1730" i="10"/>
  <c r="G1730" i="10"/>
  <c r="H1730" i="10"/>
  <c r="C1731" i="10"/>
  <c r="D1731" i="10"/>
  <c r="E1731" i="10"/>
  <c r="F1731" i="10"/>
  <c r="G1731" i="10"/>
  <c r="H1731" i="10"/>
  <c r="C1732" i="10"/>
  <c r="D1732" i="10"/>
  <c r="E1732" i="10"/>
  <c r="F1732" i="10"/>
  <c r="G1732" i="10"/>
  <c r="H1732" i="10"/>
  <c r="C1733" i="10"/>
  <c r="D1733" i="10"/>
  <c r="E1733" i="10"/>
  <c r="F1733" i="10"/>
  <c r="G1733" i="10"/>
  <c r="H1733" i="10"/>
  <c r="C1734" i="10"/>
  <c r="D1734" i="10"/>
  <c r="E1734" i="10"/>
  <c r="F1734" i="10"/>
  <c r="G1734" i="10"/>
  <c r="H1734" i="10"/>
  <c r="C1735" i="10"/>
  <c r="D1735" i="10"/>
  <c r="E1735" i="10"/>
  <c r="F1735" i="10"/>
  <c r="G1735" i="10"/>
  <c r="H1735" i="10"/>
  <c r="C1736" i="10"/>
  <c r="D1736" i="10"/>
  <c r="E1736" i="10"/>
  <c r="F1736" i="10"/>
  <c r="G1736" i="10"/>
  <c r="H1736" i="10"/>
  <c r="C1737" i="10"/>
  <c r="D1737" i="10"/>
  <c r="E1737" i="10"/>
  <c r="F1737" i="10"/>
  <c r="G1737" i="10"/>
  <c r="H1737" i="10"/>
  <c r="C1738" i="10"/>
  <c r="D1738" i="10"/>
  <c r="E1738" i="10"/>
  <c r="F1738" i="10"/>
  <c r="G1738" i="10"/>
  <c r="H1738" i="10"/>
  <c r="C1739" i="10"/>
  <c r="D1739" i="10"/>
  <c r="E1739" i="10"/>
  <c r="F1739" i="10"/>
  <c r="G1739" i="10"/>
  <c r="H1739" i="10"/>
  <c r="C1740" i="10"/>
  <c r="D1740" i="10"/>
  <c r="E1740" i="10"/>
  <c r="F1740" i="10"/>
  <c r="G1740" i="10"/>
  <c r="H1740" i="10"/>
  <c r="C1741" i="10"/>
  <c r="D1741" i="10"/>
  <c r="E1741" i="10"/>
  <c r="F1741" i="10"/>
  <c r="G1741" i="10"/>
  <c r="H1741" i="10"/>
  <c r="C1742" i="10"/>
  <c r="D1742" i="10"/>
  <c r="E1742" i="10"/>
  <c r="F1742" i="10"/>
  <c r="G1742" i="10"/>
  <c r="H1742" i="10"/>
  <c r="C1743" i="10"/>
  <c r="D1743" i="10"/>
  <c r="E1743" i="10"/>
  <c r="F1743" i="10"/>
  <c r="G1743" i="10"/>
  <c r="H1743" i="10"/>
  <c r="C1744" i="10"/>
  <c r="D1744" i="10"/>
  <c r="E1744" i="10"/>
  <c r="F1744" i="10"/>
  <c r="G1744" i="10"/>
  <c r="H1744" i="10"/>
  <c r="C1745" i="10"/>
  <c r="D1745" i="10"/>
  <c r="E1745" i="10"/>
  <c r="F1745" i="10"/>
  <c r="G1745" i="10"/>
  <c r="H1745" i="10"/>
  <c r="C1746" i="10"/>
  <c r="D1746" i="10"/>
  <c r="E1746" i="10"/>
  <c r="F1746" i="10"/>
  <c r="G1746" i="10"/>
  <c r="H1746" i="10"/>
  <c r="C1747" i="10"/>
  <c r="D1747" i="10"/>
  <c r="E1747" i="10"/>
  <c r="F1747" i="10"/>
  <c r="G1747" i="10"/>
  <c r="H1747" i="10"/>
  <c r="C1748" i="10"/>
  <c r="D1748" i="10"/>
  <c r="E1748" i="10"/>
  <c r="F1748" i="10"/>
  <c r="G1748" i="10"/>
  <c r="H1748" i="10"/>
  <c r="C1749" i="10"/>
  <c r="D1749" i="10"/>
  <c r="E1749" i="10"/>
  <c r="F1749" i="10"/>
  <c r="G1749" i="10"/>
  <c r="H1749" i="10"/>
  <c r="C1750" i="10"/>
  <c r="D1750" i="10"/>
  <c r="E1750" i="10"/>
  <c r="F1750" i="10"/>
  <c r="G1750" i="10"/>
  <c r="H1750" i="10"/>
  <c r="C1751" i="10"/>
  <c r="D1751" i="10"/>
  <c r="E1751" i="10"/>
  <c r="F1751" i="10"/>
  <c r="G1751" i="10"/>
  <c r="H1751" i="10"/>
  <c r="C1752" i="10"/>
  <c r="D1752" i="10"/>
  <c r="E1752" i="10"/>
  <c r="F1752" i="10"/>
  <c r="G1752" i="10"/>
  <c r="H1752" i="10"/>
  <c r="C1753" i="10"/>
  <c r="D1753" i="10"/>
  <c r="E1753" i="10"/>
  <c r="F1753" i="10"/>
  <c r="G1753" i="10"/>
  <c r="H1753" i="10"/>
  <c r="C1754" i="10"/>
  <c r="D1754" i="10"/>
  <c r="E1754" i="10"/>
  <c r="F1754" i="10"/>
  <c r="G1754" i="10"/>
  <c r="H1754" i="10"/>
  <c r="C1755" i="10"/>
  <c r="D1755" i="10"/>
  <c r="E1755" i="10"/>
  <c r="F1755" i="10"/>
  <c r="G1755" i="10"/>
  <c r="H1755" i="10"/>
  <c r="C1756" i="10"/>
  <c r="D1756" i="10"/>
  <c r="E1756" i="10"/>
  <c r="F1756" i="10"/>
  <c r="G1756" i="10"/>
  <c r="H1756" i="10"/>
  <c r="C1757" i="10"/>
  <c r="D1757" i="10"/>
  <c r="E1757" i="10"/>
  <c r="F1757" i="10"/>
  <c r="G1757" i="10"/>
  <c r="H1757" i="10"/>
  <c r="C1758" i="10"/>
  <c r="D1758" i="10"/>
  <c r="E1758" i="10"/>
  <c r="F1758" i="10"/>
  <c r="G1758" i="10"/>
  <c r="H1758" i="10"/>
  <c r="C1759" i="10"/>
  <c r="D1759" i="10"/>
  <c r="E1759" i="10"/>
  <c r="F1759" i="10"/>
  <c r="G1759" i="10"/>
  <c r="H1759" i="10"/>
  <c r="C1760" i="10"/>
  <c r="D1760" i="10"/>
  <c r="E1760" i="10"/>
  <c r="F1760" i="10"/>
  <c r="G1760" i="10"/>
  <c r="H1760" i="10"/>
  <c r="C1761" i="10"/>
  <c r="D1761" i="10"/>
  <c r="E1761" i="10"/>
  <c r="F1761" i="10"/>
  <c r="G1761" i="10"/>
  <c r="H1761" i="10"/>
  <c r="C1762" i="10"/>
  <c r="D1762" i="10"/>
  <c r="E1762" i="10"/>
  <c r="F1762" i="10"/>
  <c r="G1762" i="10"/>
  <c r="H1762" i="10"/>
  <c r="C1763" i="10"/>
  <c r="D1763" i="10"/>
  <c r="E1763" i="10"/>
  <c r="F1763" i="10"/>
  <c r="G1763" i="10"/>
  <c r="H1763" i="10"/>
  <c r="C1764" i="10"/>
  <c r="D1764" i="10"/>
  <c r="E1764" i="10"/>
  <c r="F1764" i="10"/>
  <c r="G1764" i="10"/>
  <c r="H1764" i="10"/>
  <c r="C1765" i="10"/>
  <c r="D1765" i="10"/>
  <c r="E1765" i="10"/>
  <c r="F1765" i="10"/>
  <c r="G1765" i="10"/>
  <c r="H1765" i="10"/>
  <c r="C1766" i="10"/>
  <c r="D1766" i="10"/>
  <c r="E1766" i="10"/>
  <c r="F1766" i="10"/>
  <c r="G1766" i="10"/>
  <c r="H1766" i="10"/>
  <c r="C1767" i="10"/>
  <c r="D1767" i="10"/>
  <c r="E1767" i="10"/>
  <c r="F1767" i="10"/>
  <c r="G1767" i="10"/>
  <c r="H1767" i="10"/>
  <c r="C1768" i="10"/>
  <c r="D1768" i="10"/>
  <c r="E1768" i="10"/>
  <c r="F1768" i="10"/>
  <c r="G1768" i="10"/>
  <c r="H1768" i="10"/>
  <c r="C1769" i="10"/>
  <c r="D1769" i="10"/>
  <c r="E1769" i="10"/>
  <c r="F1769" i="10"/>
  <c r="G1769" i="10"/>
  <c r="H1769" i="10"/>
  <c r="C1770" i="10"/>
  <c r="D1770" i="10"/>
  <c r="E1770" i="10"/>
  <c r="F1770" i="10"/>
  <c r="G1770" i="10"/>
  <c r="H1770" i="10"/>
  <c r="C1771" i="10"/>
  <c r="D1771" i="10"/>
  <c r="E1771" i="10"/>
  <c r="F1771" i="10"/>
  <c r="G1771" i="10"/>
  <c r="H1771" i="10"/>
  <c r="C1772" i="10"/>
  <c r="D1772" i="10"/>
  <c r="E1772" i="10"/>
  <c r="F1772" i="10"/>
  <c r="G1772" i="10"/>
  <c r="H1772" i="10"/>
  <c r="C1773" i="10"/>
  <c r="D1773" i="10"/>
  <c r="E1773" i="10"/>
  <c r="F1773" i="10"/>
  <c r="G1773" i="10"/>
  <c r="H1773" i="10"/>
  <c r="C1774" i="10"/>
  <c r="D1774" i="10"/>
  <c r="E1774" i="10"/>
  <c r="F1774" i="10"/>
  <c r="G1774" i="10"/>
  <c r="H1774" i="10"/>
  <c r="C1775" i="10"/>
  <c r="D1775" i="10"/>
  <c r="E1775" i="10"/>
  <c r="F1775" i="10"/>
  <c r="G1775" i="10"/>
  <c r="H1775" i="10"/>
  <c r="C1776" i="10"/>
  <c r="D1776" i="10"/>
  <c r="E1776" i="10"/>
  <c r="F1776" i="10"/>
  <c r="G1776" i="10"/>
  <c r="H1776" i="10"/>
  <c r="C1777" i="10"/>
  <c r="D1777" i="10"/>
  <c r="E1777" i="10"/>
  <c r="F1777" i="10"/>
  <c r="G1777" i="10"/>
  <c r="H1777" i="10"/>
  <c r="C1778" i="10"/>
  <c r="D1778" i="10"/>
  <c r="E1778" i="10"/>
  <c r="F1778" i="10"/>
  <c r="G1778" i="10"/>
  <c r="H1778" i="10"/>
  <c r="C1779" i="10"/>
  <c r="D1779" i="10"/>
  <c r="E1779" i="10"/>
  <c r="F1779" i="10"/>
  <c r="G1779" i="10"/>
  <c r="H1779" i="10"/>
  <c r="C1780" i="10"/>
  <c r="D1780" i="10"/>
  <c r="E1780" i="10"/>
  <c r="F1780" i="10"/>
  <c r="G1780" i="10"/>
  <c r="H1780" i="10"/>
  <c r="C1781" i="10"/>
  <c r="D1781" i="10"/>
  <c r="E1781" i="10"/>
  <c r="F1781" i="10"/>
  <c r="G1781" i="10"/>
  <c r="H1781" i="10"/>
  <c r="C1782" i="10"/>
  <c r="D1782" i="10"/>
  <c r="E1782" i="10"/>
  <c r="F1782" i="10"/>
  <c r="G1782" i="10"/>
  <c r="H1782" i="10"/>
  <c r="C1783" i="10"/>
  <c r="D1783" i="10"/>
  <c r="E1783" i="10"/>
  <c r="F1783" i="10"/>
  <c r="G1783" i="10"/>
  <c r="H1783" i="10"/>
  <c r="C1784" i="10"/>
  <c r="D1784" i="10"/>
  <c r="E1784" i="10"/>
  <c r="F1784" i="10"/>
  <c r="G1784" i="10"/>
  <c r="H1784" i="10"/>
  <c r="C1785" i="10"/>
  <c r="D1785" i="10"/>
  <c r="E1785" i="10"/>
  <c r="F1785" i="10"/>
  <c r="G1785" i="10"/>
  <c r="H1785" i="10"/>
  <c r="C1786" i="10"/>
  <c r="D1786" i="10"/>
  <c r="E1786" i="10"/>
  <c r="F1786" i="10"/>
  <c r="G1786" i="10"/>
  <c r="H1786" i="10"/>
  <c r="C1787" i="10"/>
  <c r="D1787" i="10"/>
  <c r="E1787" i="10"/>
  <c r="F1787" i="10"/>
  <c r="G1787" i="10"/>
  <c r="H1787" i="10"/>
  <c r="C1788" i="10"/>
  <c r="D1788" i="10"/>
  <c r="E1788" i="10"/>
  <c r="F1788" i="10"/>
  <c r="G1788" i="10"/>
  <c r="H1788" i="10"/>
  <c r="C1789" i="10"/>
  <c r="D1789" i="10"/>
  <c r="E1789" i="10"/>
  <c r="F1789" i="10"/>
  <c r="G1789" i="10"/>
  <c r="H1789" i="10"/>
  <c r="C1790" i="10"/>
  <c r="D1790" i="10"/>
  <c r="E1790" i="10"/>
  <c r="F1790" i="10"/>
  <c r="G1790" i="10"/>
  <c r="H1790" i="10"/>
  <c r="C1791" i="10"/>
  <c r="D1791" i="10"/>
  <c r="E1791" i="10"/>
  <c r="F1791" i="10"/>
  <c r="G1791" i="10"/>
  <c r="H1791" i="10"/>
  <c r="C1792" i="10"/>
  <c r="D1792" i="10"/>
  <c r="E1792" i="10"/>
  <c r="F1792" i="10"/>
  <c r="G1792" i="10"/>
  <c r="H1792" i="10"/>
  <c r="C1793" i="10"/>
  <c r="D1793" i="10"/>
  <c r="E1793" i="10"/>
  <c r="F1793" i="10"/>
  <c r="G1793" i="10"/>
  <c r="H1793" i="10"/>
  <c r="C1794" i="10"/>
  <c r="D1794" i="10"/>
  <c r="E1794" i="10"/>
  <c r="F1794" i="10"/>
  <c r="G1794" i="10"/>
  <c r="H1794" i="10"/>
  <c r="C1795" i="10"/>
  <c r="D1795" i="10"/>
  <c r="E1795" i="10"/>
  <c r="F1795" i="10"/>
  <c r="G1795" i="10"/>
  <c r="H1795" i="10"/>
  <c r="C1796" i="10"/>
  <c r="D1796" i="10"/>
  <c r="E1796" i="10"/>
  <c r="F1796" i="10"/>
  <c r="G1796" i="10"/>
  <c r="H1796" i="10"/>
  <c r="C1797" i="10"/>
  <c r="D1797" i="10"/>
  <c r="E1797" i="10"/>
  <c r="F1797" i="10"/>
  <c r="G1797" i="10"/>
  <c r="H1797" i="10"/>
  <c r="C1798" i="10"/>
  <c r="D1798" i="10"/>
  <c r="E1798" i="10"/>
  <c r="F1798" i="10"/>
  <c r="G1798" i="10"/>
  <c r="H1798" i="10"/>
  <c r="C1799" i="10"/>
  <c r="D1799" i="10"/>
  <c r="E1799" i="10"/>
  <c r="F1799" i="10"/>
  <c r="G1799" i="10"/>
  <c r="H1799" i="10"/>
  <c r="C1800" i="10"/>
  <c r="D1800" i="10"/>
  <c r="E1800" i="10"/>
  <c r="F1800" i="10"/>
  <c r="G1800" i="10"/>
  <c r="H1800" i="10"/>
  <c r="C1801" i="10"/>
  <c r="D1801" i="10"/>
  <c r="E1801" i="10"/>
  <c r="F1801" i="10"/>
  <c r="G1801" i="10"/>
  <c r="H1801" i="10"/>
  <c r="C1802" i="10"/>
  <c r="D1802" i="10"/>
  <c r="E1802" i="10"/>
  <c r="F1802" i="10"/>
  <c r="G1802" i="10"/>
  <c r="H1802" i="10"/>
  <c r="C1803" i="10"/>
  <c r="D1803" i="10"/>
  <c r="E1803" i="10"/>
  <c r="F1803" i="10"/>
  <c r="G1803" i="10"/>
  <c r="H1803" i="10"/>
  <c r="C1804" i="10"/>
  <c r="D1804" i="10"/>
  <c r="E1804" i="10"/>
  <c r="F1804" i="10"/>
  <c r="G1804" i="10"/>
  <c r="H1804" i="10"/>
  <c r="C1805" i="10"/>
  <c r="D1805" i="10"/>
  <c r="E1805" i="10"/>
  <c r="F1805" i="10"/>
  <c r="G1805" i="10"/>
  <c r="H1805" i="10"/>
  <c r="C1511" i="10"/>
  <c r="D1511" i="10"/>
  <c r="E1511" i="10"/>
  <c r="F1511" i="10"/>
  <c r="G1511" i="10"/>
  <c r="H1511" i="10"/>
  <c r="C1512" i="10"/>
  <c r="D1512" i="10"/>
  <c r="E1512" i="10"/>
  <c r="F1512" i="10"/>
  <c r="G1512" i="10"/>
  <c r="H1512" i="10"/>
  <c r="C1513" i="10"/>
  <c r="D1513" i="10"/>
  <c r="E1513" i="10"/>
  <c r="F1513" i="10"/>
  <c r="G1513" i="10"/>
  <c r="H1513" i="10"/>
  <c r="C1514" i="10"/>
  <c r="D1514" i="10"/>
  <c r="E1514" i="10"/>
  <c r="F1514" i="10"/>
  <c r="G1514" i="10"/>
  <c r="H1514" i="10"/>
  <c r="J742" i="2"/>
  <c r="I742" i="2"/>
  <c r="J741" i="2"/>
  <c r="I741" i="2"/>
  <c r="J740" i="2"/>
  <c r="I740" i="2"/>
  <c r="J739" i="2"/>
  <c r="I739" i="2"/>
  <c r="I738" i="2"/>
  <c r="J738" i="2"/>
  <c r="J737" i="2"/>
  <c r="I737" i="2"/>
  <c r="H732" i="4"/>
  <c r="H733" i="4"/>
  <c r="I736" i="2"/>
  <c r="J736" i="2"/>
  <c r="N735" i="2"/>
  <c r="N734" i="2"/>
  <c r="N733" i="2"/>
  <c r="N732" i="2"/>
  <c r="J731" i="2"/>
  <c r="I731" i="2"/>
  <c r="H718" i="4"/>
  <c r="P718" i="4"/>
  <c r="R718" i="4"/>
  <c r="S722" i="4"/>
  <c r="R722" i="4"/>
  <c r="P721" i="4"/>
  <c r="P722" i="4"/>
  <c r="T1460" i="3"/>
  <c r="H715" i="4"/>
  <c r="N718" i="2"/>
  <c r="K716" i="2"/>
  <c r="K715" i="2"/>
  <c r="K714" i="2"/>
  <c r="K713" i="2"/>
  <c r="K712" i="2"/>
  <c r="K711" i="2"/>
  <c r="K710" i="2"/>
  <c r="K709" i="2"/>
  <c r="K708" i="2"/>
  <c r="K707" i="2"/>
  <c r="J711" i="2"/>
  <c r="I711" i="2"/>
  <c r="J710" i="2"/>
  <c r="I710" i="2"/>
  <c r="V1451" i="3"/>
  <c r="V1450" i="3"/>
  <c r="V1449" i="3"/>
  <c r="V1448" i="3"/>
  <c r="V1447" i="3"/>
  <c r="V1446" i="3"/>
  <c r="V1445" i="3"/>
  <c r="V1444" i="3"/>
  <c r="T1451" i="3"/>
  <c r="T1450" i="3"/>
  <c r="T1449" i="3"/>
  <c r="T1448" i="3"/>
  <c r="T1447" i="3"/>
  <c r="T1446" i="3"/>
  <c r="T1445" i="3"/>
  <c r="T1444" i="3"/>
  <c r="V1443" i="3"/>
  <c r="V1442" i="3"/>
  <c r="V1441" i="3"/>
  <c r="V1440" i="3"/>
  <c r="T1443" i="3"/>
  <c r="T1442" i="3"/>
  <c r="T1441" i="3"/>
  <c r="T1440" i="3"/>
  <c r="H703" i="4"/>
  <c r="H702" i="4"/>
  <c r="H701" i="4"/>
  <c r="K705" i="2"/>
  <c r="O703" i="4" s="1"/>
  <c r="K704" i="2"/>
  <c r="J1446" i="3" s="1"/>
  <c r="K703" i="2"/>
  <c r="N701" i="4" s="1"/>
  <c r="J705" i="2"/>
  <c r="J704" i="2"/>
  <c r="J703" i="2"/>
  <c r="I705" i="2"/>
  <c r="I704" i="2"/>
  <c r="I703" i="2"/>
  <c r="K702" i="2"/>
  <c r="J700" i="2"/>
  <c r="I700" i="2"/>
  <c r="V1399" i="3"/>
  <c r="V1398" i="3"/>
  <c r="X1399" i="3"/>
  <c r="X1398" i="3"/>
  <c r="P697" i="4"/>
  <c r="R697" i="4" s="1"/>
  <c r="N703" i="2" l="1"/>
  <c r="N703" i="4"/>
  <c r="J1441" i="3"/>
  <c r="J1442" i="3"/>
  <c r="J1443" i="3"/>
  <c r="O701" i="4"/>
  <c r="P701" i="4"/>
  <c r="J1447" i="3"/>
  <c r="J1448" i="3"/>
  <c r="J1449" i="3"/>
  <c r="J1450" i="3"/>
  <c r="J1451" i="3"/>
  <c r="N705" i="2"/>
  <c r="P702" i="4"/>
  <c r="P703" i="4"/>
  <c r="R703" i="4" s="1"/>
  <c r="J1445" i="3"/>
  <c r="O702" i="4"/>
  <c r="N704" i="2"/>
  <c r="J1444" i="3"/>
  <c r="N702" i="4"/>
  <c r="R701" i="4" l="1"/>
  <c r="R702" i="4"/>
  <c r="K699" i="2" l="1"/>
  <c r="E1379" i="10"/>
  <c r="E1380" i="10"/>
  <c r="H696" i="4"/>
  <c r="N698" i="2"/>
  <c r="M694" i="4"/>
  <c r="I696" i="2" l="1"/>
  <c r="J696" i="2"/>
  <c r="K692" i="2"/>
  <c r="J680" i="2" l="1"/>
  <c r="I680" i="2"/>
  <c r="J655" i="2"/>
  <c r="J654" i="2"/>
  <c r="I655" i="2"/>
  <c r="I654" i="2"/>
  <c r="J652" i="2" l="1"/>
  <c r="I652" i="2"/>
  <c r="K648" i="2" l="1"/>
  <c r="J646" i="2"/>
  <c r="I646" i="2"/>
  <c r="A1348" i="10"/>
  <c r="B1348" i="10"/>
  <c r="C1348" i="10"/>
  <c r="D1348" i="10"/>
  <c r="E1348" i="10"/>
  <c r="F1348" i="10"/>
  <c r="G1348" i="10"/>
  <c r="H1348" i="10"/>
  <c r="A1349" i="10"/>
  <c r="B1349" i="10"/>
  <c r="C1349" i="10"/>
  <c r="D1349" i="10"/>
  <c r="E1349" i="10"/>
  <c r="F1349" i="10"/>
  <c r="G1349" i="10"/>
  <c r="H1349" i="10"/>
  <c r="A1350" i="10"/>
  <c r="B1350" i="10"/>
  <c r="C1350" i="10"/>
  <c r="D1350" i="10"/>
  <c r="E1350" i="10"/>
  <c r="F1350" i="10"/>
  <c r="G1350" i="10"/>
  <c r="H1350" i="10"/>
  <c r="A1351" i="10"/>
  <c r="B1351" i="10"/>
  <c r="C1351" i="10"/>
  <c r="D1351" i="10"/>
  <c r="E1351" i="10"/>
  <c r="F1351" i="10"/>
  <c r="G1351" i="10"/>
  <c r="H1351" i="10"/>
  <c r="A1352" i="10"/>
  <c r="B1352" i="10"/>
  <c r="C1352" i="10"/>
  <c r="D1352" i="10"/>
  <c r="E1352" i="10"/>
  <c r="F1352" i="10"/>
  <c r="G1352" i="10"/>
  <c r="H1352" i="10"/>
  <c r="A1353" i="10"/>
  <c r="B1353" i="10"/>
  <c r="C1353" i="10"/>
  <c r="D1353" i="10"/>
  <c r="E1353" i="10"/>
  <c r="F1353" i="10"/>
  <c r="G1353" i="10"/>
  <c r="H1353" i="10"/>
  <c r="A1354" i="10"/>
  <c r="B1354" i="10"/>
  <c r="C1354" i="10"/>
  <c r="D1354" i="10"/>
  <c r="E1354" i="10"/>
  <c r="F1354" i="10"/>
  <c r="G1354" i="10"/>
  <c r="H1354" i="10"/>
  <c r="A1355" i="10"/>
  <c r="B1355" i="10"/>
  <c r="C1355" i="10"/>
  <c r="D1355" i="10"/>
  <c r="E1355" i="10"/>
  <c r="F1355" i="10"/>
  <c r="G1355" i="10"/>
  <c r="H1355" i="10"/>
  <c r="A1356" i="10"/>
  <c r="B1356" i="10"/>
  <c r="C1356" i="10"/>
  <c r="D1356" i="10"/>
  <c r="E1356" i="10"/>
  <c r="F1356" i="10"/>
  <c r="G1356" i="10"/>
  <c r="H1356" i="10"/>
  <c r="A1357" i="10"/>
  <c r="B1357" i="10"/>
  <c r="C1357" i="10"/>
  <c r="D1357" i="10"/>
  <c r="E1357" i="10"/>
  <c r="F1357" i="10"/>
  <c r="G1357" i="10"/>
  <c r="H1357" i="10"/>
  <c r="A1358" i="10"/>
  <c r="B1358" i="10"/>
  <c r="C1358" i="10"/>
  <c r="D1358" i="10"/>
  <c r="E1358" i="10"/>
  <c r="F1358" i="10"/>
  <c r="G1358" i="10"/>
  <c r="H1358" i="10"/>
  <c r="A1359" i="10"/>
  <c r="B1359" i="10"/>
  <c r="C1359" i="10"/>
  <c r="D1359" i="10"/>
  <c r="E1359" i="10"/>
  <c r="F1359" i="10"/>
  <c r="G1359" i="10"/>
  <c r="H1359" i="10"/>
  <c r="A1360" i="10"/>
  <c r="B1360" i="10"/>
  <c r="C1360" i="10"/>
  <c r="D1360" i="10"/>
  <c r="E1360" i="10"/>
  <c r="F1360" i="10"/>
  <c r="G1360" i="10"/>
  <c r="H1360" i="10"/>
  <c r="A1361" i="10"/>
  <c r="B1361" i="10"/>
  <c r="C1361" i="10"/>
  <c r="D1361" i="10"/>
  <c r="E1361" i="10"/>
  <c r="F1361" i="10"/>
  <c r="G1361" i="10"/>
  <c r="H1361" i="10"/>
  <c r="A1362" i="10"/>
  <c r="B1362" i="10"/>
  <c r="C1362" i="10"/>
  <c r="D1362" i="10"/>
  <c r="E1362" i="10"/>
  <c r="F1362" i="10"/>
  <c r="G1362" i="10"/>
  <c r="H1362" i="10"/>
  <c r="A1363" i="10"/>
  <c r="B1363" i="10"/>
  <c r="C1363" i="10"/>
  <c r="D1363" i="10"/>
  <c r="E1363" i="10"/>
  <c r="F1363" i="10"/>
  <c r="G1363" i="10"/>
  <c r="H1363" i="10"/>
  <c r="A1364" i="10"/>
  <c r="B1364" i="10"/>
  <c r="C1364" i="10"/>
  <c r="D1364" i="10"/>
  <c r="E1364" i="10"/>
  <c r="F1364" i="10"/>
  <c r="G1364" i="10"/>
  <c r="H1364" i="10"/>
  <c r="A1365" i="10"/>
  <c r="B1365" i="10"/>
  <c r="C1365" i="10"/>
  <c r="D1365" i="10"/>
  <c r="E1365" i="10"/>
  <c r="F1365" i="10"/>
  <c r="G1365" i="10"/>
  <c r="H1365" i="10"/>
  <c r="A1366" i="10"/>
  <c r="B1366" i="10"/>
  <c r="C1366" i="10"/>
  <c r="D1366" i="10"/>
  <c r="E1366" i="10"/>
  <c r="F1366" i="10"/>
  <c r="G1366" i="10"/>
  <c r="H1366" i="10"/>
  <c r="A1367" i="10"/>
  <c r="B1367" i="10"/>
  <c r="C1367" i="10"/>
  <c r="D1367" i="10"/>
  <c r="E1367" i="10"/>
  <c r="F1367" i="10"/>
  <c r="G1367" i="10"/>
  <c r="H1367" i="10"/>
  <c r="A1368" i="10"/>
  <c r="B1368" i="10"/>
  <c r="C1368" i="10"/>
  <c r="D1368" i="10"/>
  <c r="E1368" i="10"/>
  <c r="F1368" i="10"/>
  <c r="G1368" i="10"/>
  <c r="H1368" i="10"/>
  <c r="A1369" i="10"/>
  <c r="B1369" i="10"/>
  <c r="C1369" i="10"/>
  <c r="D1369" i="10"/>
  <c r="E1369" i="10"/>
  <c r="F1369" i="10"/>
  <c r="G1369" i="10"/>
  <c r="H1369" i="10"/>
  <c r="A1370" i="10"/>
  <c r="B1370" i="10"/>
  <c r="C1370" i="10"/>
  <c r="D1370" i="10"/>
  <c r="E1370" i="10"/>
  <c r="F1370" i="10"/>
  <c r="G1370" i="10"/>
  <c r="H1370" i="10"/>
  <c r="A1371" i="10"/>
  <c r="B1371" i="10"/>
  <c r="C1371" i="10"/>
  <c r="D1371" i="10"/>
  <c r="E1371" i="10"/>
  <c r="F1371" i="10"/>
  <c r="G1371" i="10"/>
  <c r="H1371" i="10"/>
  <c r="A1372" i="10"/>
  <c r="B1372" i="10"/>
  <c r="C1372" i="10"/>
  <c r="D1372" i="10"/>
  <c r="E1372" i="10"/>
  <c r="F1372" i="10"/>
  <c r="G1372" i="10"/>
  <c r="H1372" i="10"/>
  <c r="A1373" i="10"/>
  <c r="B1373" i="10"/>
  <c r="C1373" i="10"/>
  <c r="D1373" i="10"/>
  <c r="E1373" i="10"/>
  <c r="F1373" i="10"/>
  <c r="G1373" i="10"/>
  <c r="H1373" i="10"/>
  <c r="A1374" i="10"/>
  <c r="B1374" i="10"/>
  <c r="C1374" i="10"/>
  <c r="D1374" i="10"/>
  <c r="E1374" i="10"/>
  <c r="F1374" i="10"/>
  <c r="G1374" i="10"/>
  <c r="H1374" i="10"/>
  <c r="A1375" i="10"/>
  <c r="B1375" i="10"/>
  <c r="C1375" i="10"/>
  <c r="D1375" i="10"/>
  <c r="E1375" i="10"/>
  <c r="F1375" i="10"/>
  <c r="G1375" i="10"/>
  <c r="H1375" i="10"/>
  <c r="A1376" i="10"/>
  <c r="B1376" i="10"/>
  <c r="C1376" i="10"/>
  <c r="D1376" i="10"/>
  <c r="E1376" i="10"/>
  <c r="F1376" i="10"/>
  <c r="G1376" i="10"/>
  <c r="H1376" i="10"/>
  <c r="A1377" i="10"/>
  <c r="B1377" i="10"/>
  <c r="C1377" i="10"/>
  <c r="D1377" i="10"/>
  <c r="E1377" i="10"/>
  <c r="F1377" i="10"/>
  <c r="G1377" i="10"/>
  <c r="H1377" i="10"/>
  <c r="A1378" i="10"/>
  <c r="B1378" i="10"/>
  <c r="C1378" i="10"/>
  <c r="D1378" i="10"/>
  <c r="E1378" i="10"/>
  <c r="F1378" i="10"/>
  <c r="G1378" i="10"/>
  <c r="H1378" i="10"/>
  <c r="A1379" i="10"/>
  <c r="B1379" i="10"/>
  <c r="C1379" i="10"/>
  <c r="D1379" i="10"/>
  <c r="F1379" i="10"/>
  <c r="G1379" i="10"/>
  <c r="H1379" i="10"/>
  <c r="A1380" i="10"/>
  <c r="B1380" i="10"/>
  <c r="C1380" i="10"/>
  <c r="D1380" i="10"/>
  <c r="F1380" i="10"/>
  <c r="G1380" i="10"/>
  <c r="H1380" i="10"/>
  <c r="A1381" i="10"/>
  <c r="B1381" i="10"/>
  <c r="C1381" i="10"/>
  <c r="D1381" i="10"/>
  <c r="E1381" i="10"/>
  <c r="F1381" i="10"/>
  <c r="G1381" i="10"/>
  <c r="H1381" i="10"/>
  <c r="A1382" i="10"/>
  <c r="B1382" i="10"/>
  <c r="C1382" i="10"/>
  <c r="D1382" i="10"/>
  <c r="E1382" i="10"/>
  <c r="F1382" i="10"/>
  <c r="G1382" i="10"/>
  <c r="H1382" i="10"/>
  <c r="A1383" i="10"/>
  <c r="B1383" i="10"/>
  <c r="C1383" i="10"/>
  <c r="D1383" i="10"/>
  <c r="E1383" i="10"/>
  <c r="F1383" i="10"/>
  <c r="G1383" i="10"/>
  <c r="H1383" i="10"/>
  <c r="A1384" i="10"/>
  <c r="B1384" i="10"/>
  <c r="C1384" i="10"/>
  <c r="D1384" i="10"/>
  <c r="E1384" i="10"/>
  <c r="F1384" i="10"/>
  <c r="G1384" i="10"/>
  <c r="H1384" i="10"/>
  <c r="A1385" i="10"/>
  <c r="B1385" i="10"/>
  <c r="C1385" i="10"/>
  <c r="D1385" i="10"/>
  <c r="E1385" i="10"/>
  <c r="F1385" i="10"/>
  <c r="G1385" i="10"/>
  <c r="H1385" i="10"/>
  <c r="A1386" i="10"/>
  <c r="B1386" i="10"/>
  <c r="C1386" i="10"/>
  <c r="D1386" i="10"/>
  <c r="E1386" i="10"/>
  <c r="F1386" i="10"/>
  <c r="G1386" i="10"/>
  <c r="H1386" i="10"/>
  <c r="A1387" i="10"/>
  <c r="B1387" i="10"/>
  <c r="C1387" i="10"/>
  <c r="D1387" i="10"/>
  <c r="E1387" i="10"/>
  <c r="F1387" i="10"/>
  <c r="G1387" i="10"/>
  <c r="H1387" i="10"/>
  <c r="A1388" i="10"/>
  <c r="B1388" i="10"/>
  <c r="C1388" i="10"/>
  <c r="D1388" i="10"/>
  <c r="E1388" i="10"/>
  <c r="F1388" i="10"/>
  <c r="G1388" i="10"/>
  <c r="H1388" i="10"/>
  <c r="A1389" i="10"/>
  <c r="B1389" i="10"/>
  <c r="C1389" i="10"/>
  <c r="D1389" i="10"/>
  <c r="E1389" i="10"/>
  <c r="F1389" i="10"/>
  <c r="G1389" i="10"/>
  <c r="H1389" i="10"/>
  <c r="A1390" i="10"/>
  <c r="B1390" i="10"/>
  <c r="C1390" i="10"/>
  <c r="D1390" i="10"/>
  <c r="E1390" i="10"/>
  <c r="F1390" i="10"/>
  <c r="G1390" i="10"/>
  <c r="H1390" i="10"/>
  <c r="A1391" i="10"/>
  <c r="B1391" i="10"/>
  <c r="C1391" i="10"/>
  <c r="D1391" i="10"/>
  <c r="E1391" i="10"/>
  <c r="F1391" i="10"/>
  <c r="G1391" i="10"/>
  <c r="H1391" i="10"/>
  <c r="A1392" i="10"/>
  <c r="B1392" i="10"/>
  <c r="C1392" i="10"/>
  <c r="D1392" i="10"/>
  <c r="E1392" i="10"/>
  <c r="F1392" i="10"/>
  <c r="G1392" i="10"/>
  <c r="H1392" i="10"/>
  <c r="A1393" i="10"/>
  <c r="B1393" i="10"/>
  <c r="C1393" i="10"/>
  <c r="D1393" i="10"/>
  <c r="E1393" i="10"/>
  <c r="F1393" i="10"/>
  <c r="G1393" i="10"/>
  <c r="H1393" i="10"/>
  <c r="A1394" i="10"/>
  <c r="B1394" i="10"/>
  <c r="C1394" i="10"/>
  <c r="D1394" i="10"/>
  <c r="E1394" i="10"/>
  <c r="F1394" i="10"/>
  <c r="G1394" i="10"/>
  <c r="H1394" i="10"/>
  <c r="A1395" i="10"/>
  <c r="B1395" i="10"/>
  <c r="C1395" i="10"/>
  <c r="D1395" i="10"/>
  <c r="E1395" i="10"/>
  <c r="F1395" i="10"/>
  <c r="G1395" i="10"/>
  <c r="H1395" i="10"/>
  <c r="A1396" i="10"/>
  <c r="B1396" i="10"/>
  <c r="C1396" i="10"/>
  <c r="D1396" i="10"/>
  <c r="E1396" i="10"/>
  <c r="F1396" i="10"/>
  <c r="G1396" i="10"/>
  <c r="H1396" i="10"/>
  <c r="A1397" i="10"/>
  <c r="B1397" i="10"/>
  <c r="C1397" i="10"/>
  <c r="D1397" i="10"/>
  <c r="E1397" i="10"/>
  <c r="F1397" i="10"/>
  <c r="G1397" i="10"/>
  <c r="H1397" i="10"/>
  <c r="A1398" i="10"/>
  <c r="B1398" i="10"/>
  <c r="C1398" i="10"/>
  <c r="D1398" i="10"/>
  <c r="E1398" i="10"/>
  <c r="F1398" i="10"/>
  <c r="G1398" i="10"/>
  <c r="H1398" i="10"/>
  <c r="A1399" i="10"/>
  <c r="B1399" i="10"/>
  <c r="C1399" i="10"/>
  <c r="D1399" i="10"/>
  <c r="E1399" i="10"/>
  <c r="F1399" i="10"/>
  <c r="G1399" i="10"/>
  <c r="H1399" i="10"/>
  <c r="A1400" i="10"/>
  <c r="B1400" i="10"/>
  <c r="C1400" i="10"/>
  <c r="D1400" i="10"/>
  <c r="E1400" i="10"/>
  <c r="F1400" i="10"/>
  <c r="G1400" i="10"/>
  <c r="H1400" i="10"/>
  <c r="A1401" i="10"/>
  <c r="B1401" i="10"/>
  <c r="C1401" i="10"/>
  <c r="D1401" i="10"/>
  <c r="E1401" i="10"/>
  <c r="F1401" i="10"/>
  <c r="G1401" i="10"/>
  <c r="H1401" i="10"/>
  <c r="A1402" i="10"/>
  <c r="B1402" i="10"/>
  <c r="C1402" i="10"/>
  <c r="D1402" i="10"/>
  <c r="E1402" i="10"/>
  <c r="F1402" i="10"/>
  <c r="G1402" i="10"/>
  <c r="H1402" i="10"/>
  <c r="A1403" i="10"/>
  <c r="B1403" i="10"/>
  <c r="C1403" i="10"/>
  <c r="D1403" i="10"/>
  <c r="E1403" i="10"/>
  <c r="F1403" i="10"/>
  <c r="G1403" i="10"/>
  <c r="H1403" i="10"/>
  <c r="A1404" i="10"/>
  <c r="B1404" i="10"/>
  <c r="C1404" i="10"/>
  <c r="D1404" i="10"/>
  <c r="E1404" i="10"/>
  <c r="F1404" i="10"/>
  <c r="G1404" i="10"/>
  <c r="H1404" i="10"/>
  <c r="A1405" i="10"/>
  <c r="B1405" i="10"/>
  <c r="C1405" i="10"/>
  <c r="D1405" i="10"/>
  <c r="E1405" i="10"/>
  <c r="F1405" i="10"/>
  <c r="G1405" i="10"/>
  <c r="H1405" i="10"/>
  <c r="A1406" i="10"/>
  <c r="B1406" i="10"/>
  <c r="C1406" i="10"/>
  <c r="D1406" i="10"/>
  <c r="E1406" i="10"/>
  <c r="F1406" i="10"/>
  <c r="G1406" i="10"/>
  <c r="H1406" i="10"/>
  <c r="A1407" i="10"/>
  <c r="B1407" i="10"/>
  <c r="C1407" i="10"/>
  <c r="D1407" i="10"/>
  <c r="E1407" i="10"/>
  <c r="F1407" i="10"/>
  <c r="G1407" i="10"/>
  <c r="H1407" i="10"/>
  <c r="A1408" i="10"/>
  <c r="B1408" i="10"/>
  <c r="C1408" i="10"/>
  <c r="D1408" i="10"/>
  <c r="E1408" i="10"/>
  <c r="F1408" i="10"/>
  <c r="G1408" i="10"/>
  <c r="H1408" i="10"/>
  <c r="A1409" i="10"/>
  <c r="B1409" i="10"/>
  <c r="C1409" i="10"/>
  <c r="D1409" i="10"/>
  <c r="E1409" i="10"/>
  <c r="F1409" i="10"/>
  <c r="G1409" i="10"/>
  <c r="H1409" i="10"/>
  <c r="A1410" i="10"/>
  <c r="B1410" i="10"/>
  <c r="C1410" i="10"/>
  <c r="D1410" i="10"/>
  <c r="E1410" i="10"/>
  <c r="F1410" i="10"/>
  <c r="G1410" i="10"/>
  <c r="H1410" i="10"/>
  <c r="A1411" i="10"/>
  <c r="B1411" i="10"/>
  <c r="C1411" i="10"/>
  <c r="D1411" i="10"/>
  <c r="E1411" i="10"/>
  <c r="F1411" i="10"/>
  <c r="G1411" i="10"/>
  <c r="H1411" i="10"/>
  <c r="A1412" i="10"/>
  <c r="B1412" i="10"/>
  <c r="C1412" i="10"/>
  <c r="D1412" i="10"/>
  <c r="E1412" i="10"/>
  <c r="F1412" i="10"/>
  <c r="G1412" i="10"/>
  <c r="H1412" i="10"/>
  <c r="A1413" i="10"/>
  <c r="B1413" i="10"/>
  <c r="C1413" i="10"/>
  <c r="D1413" i="10"/>
  <c r="E1413" i="10"/>
  <c r="F1413" i="10"/>
  <c r="G1413" i="10"/>
  <c r="H1413" i="10"/>
  <c r="A1414" i="10"/>
  <c r="B1414" i="10"/>
  <c r="C1414" i="10"/>
  <c r="D1414" i="10"/>
  <c r="E1414" i="10"/>
  <c r="F1414" i="10"/>
  <c r="G1414" i="10"/>
  <c r="H1414" i="10"/>
  <c r="A1415" i="10"/>
  <c r="B1415" i="10"/>
  <c r="C1415" i="10"/>
  <c r="D1415" i="10"/>
  <c r="E1415" i="10"/>
  <c r="F1415" i="10"/>
  <c r="G1415" i="10"/>
  <c r="H1415" i="10"/>
  <c r="A1416" i="10"/>
  <c r="B1416" i="10"/>
  <c r="C1416" i="10"/>
  <c r="D1416" i="10"/>
  <c r="E1416" i="10"/>
  <c r="F1416" i="10"/>
  <c r="G1416" i="10"/>
  <c r="H1416" i="10"/>
  <c r="A1417" i="10"/>
  <c r="B1417" i="10"/>
  <c r="C1417" i="10"/>
  <c r="D1417" i="10"/>
  <c r="E1417" i="10"/>
  <c r="F1417" i="10"/>
  <c r="G1417" i="10"/>
  <c r="H1417" i="10"/>
  <c r="A1418" i="10"/>
  <c r="B1418" i="10"/>
  <c r="C1418" i="10"/>
  <c r="D1418" i="10"/>
  <c r="E1418" i="10"/>
  <c r="F1418" i="10"/>
  <c r="G1418" i="10"/>
  <c r="H1418" i="10"/>
  <c r="A1419" i="10"/>
  <c r="B1419" i="10"/>
  <c r="C1419" i="10"/>
  <c r="D1419" i="10"/>
  <c r="E1419" i="10"/>
  <c r="F1419" i="10"/>
  <c r="G1419" i="10"/>
  <c r="H1419" i="10"/>
  <c r="A1420" i="10"/>
  <c r="B1420" i="10"/>
  <c r="C1420" i="10"/>
  <c r="D1420" i="10"/>
  <c r="E1420" i="10"/>
  <c r="F1420" i="10"/>
  <c r="G1420" i="10"/>
  <c r="H1420" i="10"/>
  <c r="A1421" i="10"/>
  <c r="B1421" i="10"/>
  <c r="C1421" i="10"/>
  <c r="D1421" i="10"/>
  <c r="E1421" i="10"/>
  <c r="F1421" i="10"/>
  <c r="G1421" i="10"/>
  <c r="H1421" i="10"/>
  <c r="A1422" i="10"/>
  <c r="B1422" i="10"/>
  <c r="C1422" i="10"/>
  <c r="D1422" i="10"/>
  <c r="E1422" i="10"/>
  <c r="F1422" i="10"/>
  <c r="G1422" i="10"/>
  <c r="H1422" i="10"/>
  <c r="A1423" i="10"/>
  <c r="B1423" i="10"/>
  <c r="C1423" i="10"/>
  <c r="D1423" i="10"/>
  <c r="E1423" i="10"/>
  <c r="F1423" i="10"/>
  <c r="G1423" i="10"/>
  <c r="H1423" i="10"/>
  <c r="A1424" i="10"/>
  <c r="B1424" i="10"/>
  <c r="C1424" i="10"/>
  <c r="D1424" i="10"/>
  <c r="E1424" i="10"/>
  <c r="F1424" i="10"/>
  <c r="G1424" i="10"/>
  <c r="H1424" i="10"/>
  <c r="A1425" i="10"/>
  <c r="B1425" i="10"/>
  <c r="C1425" i="10"/>
  <c r="D1425" i="10"/>
  <c r="E1425" i="10"/>
  <c r="F1425" i="10"/>
  <c r="G1425" i="10"/>
  <c r="H1425" i="10"/>
  <c r="A1426" i="10"/>
  <c r="B1426" i="10"/>
  <c r="C1426" i="10"/>
  <c r="D1426" i="10"/>
  <c r="E1426" i="10"/>
  <c r="F1426" i="10"/>
  <c r="G1426" i="10"/>
  <c r="H1426" i="10"/>
  <c r="A1427" i="10"/>
  <c r="B1427" i="10"/>
  <c r="C1427" i="10"/>
  <c r="D1427" i="10"/>
  <c r="E1427" i="10"/>
  <c r="F1427" i="10"/>
  <c r="G1427" i="10"/>
  <c r="H1427" i="10"/>
  <c r="A1428" i="10"/>
  <c r="B1428" i="10"/>
  <c r="C1428" i="10"/>
  <c r="D1428" i="10"/>
  <c r="E1428" i="10"/>
  <c r="F1428" i="10"/>
  <c r="G1428" i="10"/>
  <c r="H1428" i="10"/>
  <c r="A1429" i="10"/>
  <c r="B1429" i="10"/>
  <c r="C1429" i="10"/>
  <c r="D1429" i="10"/>
  <c r="E1429" i="10"/>
  <c r="F1429" i="10"/>
  <c r="G1429" i="10"/>
  <c r="H1429" i="10"/>
  <c r="A1430" i="10"/>
  <c r="B1430" i="10"/>
  <c r="C1430" i="10"/>
  <c r="D1430" i="10"/>
  <c r="E1430" i="10"/>
  <c r="F1430" i="10"/>
  <c r="G1430" i="10"/>
  <c r="H1430" i="10"/>
  <c r="A1431" i="10"/>
  <c r="B1431" i="10"/>
  <c r="C1431" i="10"/>
  <c r="D1431" i="10"/>
  <c r="E1431" i="10"/>
  <c r="F1431" i="10"/>
  <c r="G1431" i="10"/>
  <c r="H1431" i="10"/>
  <c r="A1432" i="10"/>
  <c r="B1432" i="10"/>
  <c r="C1432" i="10"/>
  <c r="D1432" i="10"/>
  <c r="E1432" i="10"/>
  <c r="F1432" i="10"/>
  <c r="G1432" i="10"/>
  <c r="H1432" i="10"/>
  <c r="A1433" i="10"/>
  <c r="B1433" i="10"/>
  <c r="C1433" i="10"/>
  <c r="D1433" i="10"/>
  <c r="E1433" i="10"/>
  <c r="F1433" i="10"/>
  <c r="G1433" i="10"/>
  <c r="H1433" i="10"/>
  <c r="A1434" i="10"/>
  <c r="B1434" i="10"/>
  <c r="C1434" i="10"/>
  <c r="D1434" i="10"/>
  <c r="E1434" i="10"/>
  <c r="F1434" i="10"/>
  <c r="G1434" i="10"/>
  <c r="H1434" i="10"/>
  <c r="A1435" i="10"/>
  <c r="B1435" i="10"/>
  <c r="C1435" i="10"/>
  <c r="D1435" i="10"/>
  <c r="E1435" i="10"/>
  <c r="F1435" i="10"/>
  <c r="G1435" i="10"/>
  <c r="H1435" i="10"/>
  <c r="A1436" i="10"/>
  <c r="B1436" i="10"/>
  <c r="C1436" i="10"/>
  <c r="D1436" i="10"/>
  <c r="E1436" i="10"/>
  <c r="F1436" i="10"/>
  <c r="G1436" i="10"/>
  <c r="H1436" i="10"/>
  <c r="A1437" i="10"/>
  <c r="B1437" i="10"/>
  <c r="C1437" i="10"/>
  <c r="D1437" i="10"/>
  <c r="E1437" i="10"/>
  <c r="F1437" i="10"/>
  <c r="G1437" i="10"/>
  <c r="H1437" i="10"/>
  <c r="A1438" i="10"/>
  <c r="B1438" i="10"/>
  <c r="C1438" i="10"/>
  <c r="D1438" i="10"/>
  <c r="E1438" i="10"/>
  <c r="F1438" i="10"/>
  <c r="G1438" i="10"/>
  <c r="H1438" i="10"/>
  <c r="A1439" i="10"/>
  <c r="B1439" i="10"/>
  <c r="C1439" i="10"/>
  <c r="D1439" i="10"/>
  <c r="E1439" i="10"/>
  <c r="F1439" i="10"/>
  <c r="G1439" i="10"/>
  <c r="H1439" i="10"/>
  <c r="A1440" i="10"/>
  <c r="B1440" i="10"/>
  <c r="C1440" i="10"/>
  <c r="D1440" i="10"/>
  <c r="E1440" i="10"/>
  <c r="F1440" i="10"/>
  <c r="G1440" i="10"/>
  <c r="H1440" i="10"/>
  <c r="A1441" i="10"/>
  <c r="B1441" i="10"/>
  <c r="C1441" i="10"/>
  <c r="D1441" i="10"/>
  <c r="E1441" i="10"/>
  <c r="F1441" i="10"/>
  <c r="G1441" i="10"/>
  <c r="H1441" i="10"/>
  <c r="A1442" i="10"/>
  <c r="B1442" i="10"/>
  <c r="C1442" i="10"/>
  <c r="D1442" i="10"/>
  <c r="E1442" i="10"/>
  <c r="F1442" i="10"/>
  <c r="G1442" i="10"/>
  <c r="H1442" i="10"/>
  <c r="A1443" i="10"/>
  <c r="B1443" i="10"/>
  <c r="C1443" i="10"/>
  <c r="D1443" i="10"/>
  <c r="E1443" i="10"/>
  <c r="F1443" i="10"/>
  <c r="G1443" i="10"/>
  <c r="H1443" i="10"/>
  <c r="A1444" i="10"/>
  <c r="B1444" i="10"/>
  <c r="C1444" i="10"/>
  <c r="D1444" i="10"/>
  <c r="E1444" i="10"/>
  <c r="F1444" i="10"/>
  <c r="G1444" i="10"/>
  <c r="H1444" i="10"/>
  <c r="A1445" i="10"/>
  <c r="B1445" i="10"/>
  <c r="C1445" i="10"/>
  <c r="D1445" i="10"/>
  <c r="E1445" i="10"/>
  <c r="F1445" i="10"/>
  <c r="G1445" i="10"/>
  <c r="H1445" i="10"/>
  <c r="A1446" i="10"/>
  <c r="B1446" i="10"/>
  <c r="C1446" i="10"/>
  <c r="D1446" i="10"/>
  <c r="E1446" i="10"/>
  <c r="F1446" i="10"/>
  <c r="G1446" i="10"/>
  <c r="H1446" i="10"/>
  <c r="A1447" i="10"/>
  <c r="B1447" i="10"/>
  <c r="C1447" i="10"/>
  <c r="D1447" i="10"/>
  <c r="E1447" i="10"/>
  <c r="F1447" i="10"/>
  <c r="G1447" i="10"/>
  <c r="H1447" i="10"/>
  <c r="A1448" i="10"/>
  <c r="B1448" i="10"/>
  <c r="C1448" i="10"/>
  <c r="D1448" i="10"/>
  <c r="E1448" i="10"/>
  <c r="F1448" i="10"/>
  <c r="G1448" i="10"/>
  <c r="H1448" i="10"/>
  <c r="A1449" i="10"/>
  <c r="B1449" i="10"/>
  <c r="C1449" i="10"/>
  <c r="D1449" i="10"/>
  <c r="E1449" i="10"/>
  <c r="F1449" i="10"/>
  <c r="G1449" i="10"/>
  <c r="H1449" i="10"/>
  <c r="A1450" i="10"/>
  <c r="B1450" i="10"/>
  <c r="C1450" i="10"/>
  <c r="D1450" i="10"/>
  <c r="E1450" i="10"/>
  <c r="F1450" i="10"/>
  <c r="G1450" i="10"/>
  <c r="H1450" i="10"/>
  <c r="A1451" i="10"/>
  <c r="B1451" i="10"/>
  <c r="C1451" i="10"/>
  <c r="D1451" i="10"/>
  <c r="E1451" i="10"/>
  <c r="F1451" i="10"/>
  <c r="G1451" i="10"/>
  <c r="H1451" i="10"/>
  <c r="A1452" i="10"/>
  <c r="B1452" i="10"/>
  <c r="C1452" i="10"/>
  <c r="D1452" i="10"/>
  <c r="E1452" i="10"/>
  <c r="F1452" i="10"/>
  <c r="G1452" i="10"/>
  <c r="H1452" i="10"/>
  <c r="A1453" i="10"/>
  <c r="B1453" i="10"/>
  <c r="C1453" i="10"/>
  <c r="D1453" i="10"/>
  <c r="E1453" i="10"/>
  <c r="F1453" i="10"/>
  <c r="G1453" i="10"/>
  <c r="H1453" i="10"/>
  <c r="A1454" i="10"/>
  <c r="B1454" i="10"/>
  <c r="C1454" i="10"/>
  <c r="D1454" i="10"/>
  <c r="E1454" i="10"/>
  <c r="F1454" i="10"/>
  <c r="G1454" i="10"/>
  <c r="H1454" i="10"/>
  <c r="A1455" i="10"/>
  <c r="B1455" i="10"/>
  <c r="C1455" i="10"/>
  <c r="D1455" i="10"/>
  <c r="E1455" i="10"/>
  <c r="F1455" i="10"/>
  <c r="G1455" i="10"/>
  <c r="H1455" i="10"/>
  <c r="A1456" i="10"/>
  <c r="B1456" i="10"/>
  <c r="C1456" i="10"/>
  <c r="D1456" i="10"/>
  <c r="E1456" i="10"/>
  <c r="F1456" i="10"/>
  <c r="G1456" i="10"/>
  <c r="H1456" i="10"/>
  <c r="A1457" i="10"/>
  <c r="B1457" i="10"/>
  <c r="C1457" i="10"/>
  <c r="D1457" i="10"/>
  <c r="E1457" i="10"/>
  <c r="F1457" i="10"/>
  <c r="G1457" i="10"/>
  <c r="H1457" i="10"/>
  <c r="A1458" i="10"/>
  <c r="B1458" i="10"/>
  <c r="C1458" i="10"/>
  <c r="D1458" i="10"/>
  <c r="E1458" i="10"/>
  <c r="F1458" i="10"/>
  <c r="G1458" i="10"/>
  <c r="H1458" i="10"/>
  <c r="A1459" i="10"/>
  <c r="B1459" i="10"/>
  <c r="C1459" i="10"/>
  <c r="D1459" i="10"/>
  <c r="E1459" i="10"/>
  <c r="F1459" i="10"/>
  <c r="G1459" i="10"/>
  <c r="H1459" i="10"/>
  <c r="A1460" i="10"/>
  <c r="B1460" i="10"/>
  <c r="C1460" i="10"/>
  <c r="D1460" i="10"/>
  <c r="E1460" i="10"/>
  <c r="F1460" i="10"/>
  <c r="G1460" i="10"/>
  <c r="H1460" i="10"/>
  <c r="A1461" i="10"/>
  <c r="B1461" i="10"/>
  <c r="C1461" i="10"/>
  <c r="D1461" i="10"/>
  <c r="E1461" i="10"/>
  <c r="F1461" i="10"/>
  <c r="G1461" i="10"/>
  <c r="H1461" i="10"/>
  <c r="A1462" i="10"/>
  <c r="B1462" i="10"/>
  <c r="C1462" i="10"/>
  <c r="D1462" i="10"/>
  <c r="E1462" i="10"/>
  <c r="F1462" i="10"/>
  <c r="G1462" i="10"/>
  <c r="H1462" i="10"/>
  <c r="A1463" i="10"/>
  <c r="B1463" i="10"/>
  <c r="C1463" i="10"/>
  <c r="D1463" i="10"/>
  <c r="E1463" i="10"/>
  <c r="F1463" i="10"/>
  <c r="G1463" i="10"/>
  <c r="H1463" i="10"/>
  <c r="A1464" i="10"/>
  <c r="B1464" i="10"/>
  <c r="C1464" i="10"/>
  <c r="D1464" i="10"/>
  <c r="E1464" i="10"/>
  <c r="F1464" i="10"/>
  <c r="G1464" i="10"/>
  <c r="H1464" i="10"/>
  <c r="A1465" i="10"/>
  <c r="B1465" i="10"/>
  <c r="C1465" i="10"/>
  <c r="D1465" i="10"/>
  <c r="E1465" i="10"/>
  <c r="F1465" i="10"/>
  <c r="G1465" i="10"/>
  <c r="H1465" i="10"/>
  <c r="A1466" i="10"/>
  <c r="B1466" i="10"/>
  <c r="C1466" i="10"/>
  <c r="D1466" i="10"/>
  <c r="E1466" i="10"/>
  <c r="F1466" i="10"/>
  <c r="G1466" i="10"/>
  <c r="H1466" i="10"/>
  <c r="A1467" i="10"/>
  <c r="B1467" i="10"/>
  <c r="C1467" i="10"/>
  <c r="D1467" i="10"/>
  <c r="E1467" i="10"/>
  <c r="F1467" i="10"/>
  <c r="G1467" i="10"/>
  <c r="H1467" i="10"/>
  <c r="A1468" i="10"/>
  <c r="B1468" i="10"/>
  <c r="C1468" i="10"/>
  <c r="D1468" i="10"/>
  <c r="E1468" i="10"/>
  <c r="F1468" i="10"/>
  <c r="G1468" i="10"/>
  <c r="H1468" i="10"/>
  <c r="A1469" i="10"/>
  <c r="B1469" i="10"/>
  <c r="C1469" i="10"/>
  <c r="D1469" i="10"/>
  <c r="E1469" i="10"/>
  <c r="F1469" i="10"/>
  <c r="G1469" i="10"/>
  <c r="H1469" i="10"/>
  <c r="A1470" i="10"/>
  <c r="B1470" i="10"/>
  <c r="C1470" i="10"/>
  <c r="D1470" i="10"/>
  <c r="E1470" i="10"/>
  <c r="F1470" i="10"/>
  <c r="G1470" i="10"/>
  <c r="H1470" i="10"/>
  <c r="A1471" i="10"/>
  <c r="B1471" i="10"/>
  <c r="C1471" i="10"/>
  <c r="D1471" i="10"/>
  <c r="E1471" i="10"/>
  <c r="F1471" i="10"/>
  <c r="G1471" i="10"/>
  <c r="H1471" i="10"/>
  <c r="A1472" i="10"/>
  <c r="B1472" i="10"/>
  <c r="C1472" i="10"/>
  <c r="D1472" i="10"/>
  <c r="E1472" i="10"/>
  <c r="F1472" i="10"/>
  <c r="G1472" i="10"/>
  <c r="H1472" i="10"/>
  <c r="A1473" i="10"/>
  <c r="B1473" i="10"/>
  <c r="C1473" i="10"/>
  <c r="D1473" i="10"/>
  <c r="E1473" i="10"/>
  <c r="F1473" i="10"/>
  <c r="G1473" i="10"/>
  <c r="H1473" i="10"/>
  <c r="A1474" i="10"/>
  <c r="B1474" i="10"/>
  <c r="C1474" i="10"/>
  <c r="D1474" i="10"/>
  <c r="E1474" i="10"/>
  <c r="F1474" i="10"/>
  <c r="G1474" i="10"/>
  <c r="H1474" i="10"/>
  <c r="A1475" i="10"/>
  <c r="B1475" i="10"/>
  <c r="C1475" i="10"/>
  <c r="D1475" i="10"/>
  <c r="E1475" i="10"/>
  <c r="F1475" i="10"/>
  <c r="G1475" i="10"/>
  <c r="H1475" i="10"/>
  <c r="A1476" i="10"/>
  <c r="B1476" i="10"/>
  <c r="C1476" i="10"/>
  <c r="D1476" i="10"/>
  <c r="E1476" i="10"/>
  <c r="F1476" i="10"/>
  <c r="G1476" i="10"/>
  <c r="H1476" i="10"/>
  <c r="A1477" i="10"/>
  <c r="B1477" i="10"/>
  <c r="C1477" i="10"/>
  <c r="D1477" i="10"/>
  <c r="E1477" i="10"/>
  <c r="F1477" i="10"/>
  <c r="G1477" i="10"/>
  <c r="H1477" i="10"/>
  <c r="A1478" i="10"/>
  <c r="B1478" i="10"/>
  <c r="C1478" i="10"/>
  <c r="D1478" i="10"/>
  <c r="E1478" i="10"/>
  <c r="F1478" i="10"/>
  <c r="G1478" i="10"/>
  <c r="H1478" i="10"/>
  <c r="A1479" i="10"/>
  <c r="B1479" i="10"/>
  <c r="C1479" i="10"/>
  <c r="D1479" i="10"/>
  <c r="E1479" i="10"/>
  <c r="F1479" i="10"/>
  <c r="G1479" i="10"/>
  <c r="H1479" i="10"/>
  <c r="A1480" i="10"/>
  <c r="B1480" i="10"/>
  <c r="C1480" i="10"/>
  <c r="D1480" i="10"/>
  <c r="E1480" i="10"/>
  <c r="F1480" i="10"/>
  <c r="G1480" i="10"/>
  <c r="H1480" i="10"/>
  <c r="A1481" i="10"/>
  <c r="B1481" i="10"/>
  <c r="C1481" i="10"/>
  <c r="D1481" i="10"/>
  <c r="E1481" i="10"/>
  <c r="F1481" i="10"/>
  <c r="G1481" i="10"/>
  <c r="H1481" i="10"/>
  <c r="A1482" i="10"/>
  <c r="B1482" i="10"/>
  <c r="C1482" i="10"/>
  <c r="D1482" i="10"/>
  <c r="E1482" i="10"/>
  <c r="F1482" i="10"/>
  <c r="G1482" i="10"/>
  <c r="H1482" i="10"/>
  <c r="A1483" i="10"/>
  <c r="B1483" i="10"/>
  <c r="C1483" i="10"/>
  <c r="D1483" i="10"/>
  <c r="E1483" i="10"/>
  <c r="F1483" i="10"/>
  <c r="G1483" i="10"/>
  <c r="H1483" i="10"/>
  <c r="A1484" i="10"/>
  <c r="B1484" i="10"/>
  <c r="C1484" i="10"/>
  <c r="D1484" i="10"/>
  <c r="E1484" i="10"/>
  <c r="F1484" i="10"/>
  <c r="G1484" i="10"/>
  <c r="H1484" i="10"/>
  <c r="A1485" i="10"/>
  <c r="B1485" i="10"/>
  <c r="C1485" i="10"/>
  <c r="D1485" i="10"/>
  <c r="E1485" i="10"/>
  <c r="F1485" i="10"/>
  <c r="G1485" i="10"/>
  <c r="H1485" i="10"/>
  <c r="A1486" i="10"/>
  <c r="B1486" i="10"/>
  <c r="C1486" i="10"/>
  <c r="D1486" i="10"/>
  <c r="E1486" i="10"/>
  <c r="F1486" i="10"/>
  <c r="G1486" i="10"/>
  <c r="H1486" i="10"/>
  <c r="A1487" i="10"/>
  <c r="B1487" i="10"/>
  <c r="C1487" i="10"/>
  <c r="D1487" i="10"/>
  <c r="E1487" i="10"/>
  <c r="F1487" i="10"/>
  <c r="G1487" i="10"/>
  <c r="H1487" i="10"/>
  <c r="A1488" i="10"/>
  <c r="B1488" i="10"/>
  <c r="C1488" i="10"/>
  <c r="D1488" i="10"/>
  <c r="E1488" i="10"/>
  <c r="F1488" i="10"/>
  <c r="G1488" i="10"/>
  <c r="H1488" i="10"/>
  <c r="A1489" i="10"/>
  <c r="B1489" i="10"/>
  <c r="C1489" i="10"/>
  <c r="D1489" i="10"/>
  <c r="E1489" i="10"/>
  <c r="F1489" i="10"/>
  <c r="G1489" i="10"/>
  <c r="H1489" i="10"/>
  <c r="A1490" i="10"/>
  <c r="B1490" i="10"/>
  <c r="C1490" i="10"/>
  <c r="D1490" i="10"/>
  <c r="E1490" i="10"/>
  <c r="F1490" i="10"/>
  <c r="G1490" i="10"/>
  <c r="H1490" i="10"/>
  <c r="A1491" i="10"/>
  <c r="B1491" i="10"/>
  <c r="C1491" i="10"/>
  <c r="D1491" i="10"/>
  <c r="E1491" i="10"/>
  <c r="F1491" i="10"/>
  <c r="G1491" i="10"/>
  <c r="H1491" i="10"/>
  <c r="A1492" i="10"/>
  <c r="B1492" i="10"/>
  <c r="C1492" i="10"/>
  <c r="D1492" i="10"/>
  <c r="E1492" i="10"/>
  <c r="F1492" i="10"/>
  <c r="G1492" i="10"/>
  <c r="H1492" i="10"/>
  <c r="A1493" i="10"/>
  <c r="B1493" i="10"/>
  <c r="C1493" i="10"/>
  <c r="D1493" i="10"/>
  <c r="E1493" i="10"/>
  <c r="F1493" i="10"/>
  <c r="G1493" i="10"/>
  <c r="H1493" i="10"/>
  <c r="A1494" i="10"/>
  <c r="B1494" i="10"/>
  <c r="C1494" i="10"/>
  <c r="D1494" i="10"/>
  <c r="E1494" i="10"/>
  <c r="F1494" i="10"/>
  <c r="G1494" i="10"/>
  <c r="H1494" i="10"/>
  <c r="A1495" i="10"/>
  <c r="B1495" i="10"/>
  <c r="C1495" i="10"/>
  <c r="D1495" i="10"/>
  <c r="E1495" i="10"/>
  <c r="F1495" i="10"/>
  <c r="G1495" i="10"/>
  <c r="H1495" i="10"/>
  <c r="A1496" i="10"/>
  <c r="B1496" i="10"/>
  <c r="C1496" i="10"/>
  <c r="D1496" i="10"/>
  <c r="E1496" i="10"/>
  <c r="F1496" i="10"/>
  <c r="G1496" i="10"/>
  <c r="H1496" i="10"/>
  <c r="A1497" i="10"/>
  <c r="B1497" i="10"/>
  <c r="C1497" i="10"/>
  <c r="D1497" i="10"/>
  <c r="E1497" i="10"/>
  <c r="F1497" i="10"/>
  <c r="G1497" i="10"/>
  <c r="H1497" i="10"/>
  <c r="A1498" i="10"/>
  <c r="B1498" i="10"/>
  <c r="C1498" i="10"/>
  <c r="D1498" i="10"/>
  <c r="E1498" i="10"/>
  <c r="F1498" i="10"/>
  <c r="G1498" i="10"/>
  <c r="H1498" i="10"/>
  <c r="A1499" i="10"/>
  <c r="B1499" i="10"/>
  <c r="C1499" i="10"/>
  <c r="D1499" i="10"/>
  <c r="E1499" i="10"/>
  <c r="F1499" i="10"/>
  <c r="G1499" i="10"/>
  <c r="H1499" i="10"/>
  <c r="A1500" i="10"/>
  <c r="B1500" i="10"/>
  <c r="C1500" i="10"/>
  <c r="D1500" i="10"/>
  <c r="E1500" i="10"/>
  <c r="F1500" i="10"/>
  <c r="G1500" i="10"/>
  <c r="H1500" i="10"/>
  <c r="A1501" i="10"/>
  <c r="B1501" i="10"/>
  <c r="C1501" i="10"/>
  <c r="D1501" i="10"/>
  <c r="E1501" i="10"/>
  <c r="F1501" i="10"/>
  <c r="G1501" i="10"/>
  <c r="H1501" i="10"/>
  <c r="A1502" i="10"/>
  <c r="B1502" i="10"/>
  <c r="C1502" i="10"/>
  <c r="D1502" i="10"/>
  <c r="E1502" i="10"/>
  <c r="F1502" i="10"/>
  <c r="G1502" i="10"/>
  <c r="H1502" i="10"/>
  <c r="A1503" i="10"/>
  <c r="B1503" i="10"/>
  <c r="C1503" i="10"/>
  <c r="D1503" i="10"/>
  <c r="E1503" i="10"/>
  <c r="F1503" i="10"/>
  <c r="G1503" i="10"/>
  <c r="H1503" i="10"/>
  <c r="A1504" i="10"/>
  <c r="B1504" i="10"/>
  <c r="C1504" i="10"/>
  <c r="D1504" i="10"/>
  <c r="E1504" i="10"/>
  <c r="F1504" i="10"/>
  <c r="G1504" i="10"/>
  <c r="H1504" i="10"/>
  <c r="A1505" i="10"/>
  <c r="B1505" i="10"/>
  <c r="C1505" i="10"/>
  <c r="D1505" i="10"/>
  <c r="E1505" i="10"/>
  <c r="F1505" i="10"/>
  <c r="G1505" i="10"/>
  <c r="H1505" i="10"/>
  <c r="A1506" i="10"/>
  <c r="B1506" i="10"/>
  <c r="C1506" i="10"/>
  <c r="D1506" i="10"/>
  <c r="E1506" i="10"/>
  <c r="F1506" i="10"/>
  <c r="G1506" i="10"/>
  <c r="H1506" i="10"/>
  <c r="A1507" i="10"/>
  <c r="B1507" i="10"/>
  <c r="C1507" i="10"/>
  <c r="D1507" i="10"/>
  <c r="E1507" i="10"/>
  <c r="F1507" i="10"/>
  <c r="G1507" i="10"/>
  <c r="H1507" i="10"/>
  <c r="A1508" i="10"/>
  <c r="B1508" i="10"/>
  <c r="C1508" i="10"/>
  <c r="D1508" i="10"/>
  <c r="E1508" i="10"/>
  <c r="F1508" i="10"/>
  <c r="G1508" i="10"/>
  <c r="H1508" i="10"/>
  <c r="A1509" i="10"/>
  <c r="B1509" i="10"/>
  <c r="C1509" i="10"/>
  <c r="D1509" i="10"/>
  <c r="E1509" i="10"/>
  <c r="F1509" i="10"/>
  <c r="G1509" i="10"/>
  <c r="H1509" i="10"/>
  <c r="A1510" i="10"/>
  <c r="B1510" i="10"/>
  <c r="C1510" i="10"/>
  <c r="D1510" i="10"/>
  <c r="E1510" i="10"/>
  <c r="F1510" i="10"/>
  <c r="G1510" i="10"/>
  <c r="H1510" i="10"/>
  <c r="A1511" i="10"/>
  <c r="B1511" i="10"/>
  <c r="A1512" i="10"/>
  <c r="B1512" i="10"/>
  <c r="A1513" i="10"/>
  <c r="B1513" i="10"/>
  <c r="A1514" i="10"/>
  <c r="B1514" i="10"/>
  <c r="A1516" i="10"/>
  <c r="B1516" i="10"/>
  <c r="A1517" i="10"/>
  <c r="B1517" i="10"/>
  <c r="A1518" i="10"/>
  <c r="B1518" i="10"/>
  <c r="A1519" i="10"/>
  <c r="B1519" i="10"/>
  <c r="A1520" i="10"/>
  <c r="B1520" i="10"/>
  <c r="A1521" i="10"/>
  <c r="B1521" i="10"/>
  <c r="A1522" i="10"/>
  <c r="B1522" i="10"/>
  <c r="A1523" i="10"/>
  <c r="B1523" i="10"/>
  <c r="A1524" i="10"/>
  <c r="B1524" i="10"/>
  <c r="A1525" i="10"/>
  <c r="B1525" i="10"/>
  <c r="A1526" i="10"/>
  <c r="B1526" i="10"/>
  <c r="A1527" i="10"/>
  <c r="B1527" i="10"/>
  <c r="A1528" i="10"/>
  <c r="B1528" i="10"/>
  <c r="A1529" i="10"/>
  <c r="B1529" i="10"/>
  <c r="A1530" i="10"/>
  <c r="B1530" i="10"/>
  <c r="A1531" i="10"/>
  <c r="B1531" i="10"/>
  <c r="A1532" i="10"/>
  <c r="B1532" i="10"/>
  <c r="A1533" i="10"/>
  <c r="B1533" i="10"/>
  <c r="A1534" i="10"/>
  <c r="B1534" i="10"/>
  <c r="A1535" i="10"/>
  <c r="B1535" i="10"/>
  <c r="A1536" i="10"/>
  <c r="B1536" i="10"/>
  <c r="A1537" i="10"/>
  <c r="B1537" i="10"/>
  <c r="A1538" i="10"/>
  <c r="B1538" i="10"/>
  <c r="A1539" i="10"/>
  <c r="B1539" i="10"/>
  <c r="A1540" i="10"/>
  <c r="B1540" i="10"/>
  <c r="A1541" i="10"/>
  <c r="B1541" i="10"/>
  <c r="A1542" i="10"/>
  <c r="B1542" i="10"/>
  <c r="A1543" i="10"/>
  <c r="B1543" i="10"/>
  <c r="A1544" i="10"/>
  <c r="B1544" i="10"/>
  <c r="A1545" i="10"/>
  <c r="B1545" i="10"/>
  <c r="A1546" i="10"/>
  <c r="B1546" i="10"/>
  <c r="A1547" i="10"/>
  <c r="B1547" i="10"/>
  <c r="A1548" i="10"/>
  <c r="B1548" i="10"/>
  <c r="A1549" i="10"/>
  <c r="B1549" i="10"/>
  <c r="A1550" i="10"/>
  <c r="B1550" i="10"/>
  <c r="A1551" i="10"/>
  <c r="B1551" i="10"/>
  <c r="A1552" i="10"/>
  <c r="B1552" i="10"/>
  <c r="A1553" i="10"/>
  <c r="B1553" i="10"/>
  <c r="A1554" i="10"/>
  <c r="B1554" i="10"/>
  <c r="A1555" i="10"/>
  <c r="B1555" i="10"/>
  <c r="A1556" i="10"/>
  <c r="B1556" i="10"/>
  <c r="A1557" i="10"/>
  <c r="B1557" i="10"/>
  <c r="A1558" i="10"/>
  <c r="B1558" i="10"/>
  <c r="A1559" i="10"/>
  <c r="B1559" i="10"/>
  <c r="A1560" i="10"/>
  <c r="B1560" i="10"/>
  <c r="A1561" i="10"/>
  <c r="B1561" i="10"/>
  <c r="A1562" i="10"/>
  <c r="B1562" i="10"/>
  <c r="A1563" i="10"/>
  <c r="B1563" i="10"/>
  <c r="A1564" i="10"/>
  <c r="B1564" i="10"/>
  <c r="A1565" i="10"/>
  <c r="B1565" i="10"/>
  <c r="A1566" i="10"/>
  <c r="B1566" i="10"/>
  <c r="A1567" i="10"/>
  <c r="B1567" i="10"/>
  <c r="A1568" i="10"/>
  <c r="B1568" i="10"/>
  <c r="A1569" i="10"/>
  <c r="B1569" i="10"/>
  <c r="A1570" i="10"/>
  <c r="B1570" i="10"/>
  <c r="A1571" i="10"/>
  <c r="B1571" i="10"/>
  <c r="A1572" i="10"/>
  <c r="B1572" i="10"/>
  <c r="A1573" i="10"/>
  <c r="B1573" i="10"/>
  <c r="A1574" i="10"/>
  <c r="B1574" i="10"/>
  <c r="A1575" i="10"/>
  <c r="B1575" i="10"/>
  <c r="A1576" i="10"/>
  <c r="B1576" i="10"/>
  <c r="A1577" i="10"/>
  <c r="B1577" i="10"/>
  <c r="A1578" i="10"/>
  <c r="B1578" i="10"/>
  <c r="A1579" i="10"/>
  <c r="B1579" i="10"/>
  <c r="A1580" i="10"/>
  <c r="B1580" i="10"/>
  <c r="A1581" i="10"/>
  <c r="B1581" i="10"/>
  <c r="A1582" i="10"/>
  <c r="B1582" i="10"/>
  <c r="A1583" i="10"/>
  <c r="B1583" i="10"/>
  <c r="A1584" i="10"/>
  <c r="B1584" i="10"/>
  <c r="A1585" i="10"/>
  <c r="B1585" i="10"/>
  <c r="A1586" i="10"/>
  <c r="B1586" i="10"/>
  <c r="A1587" i="10"/>
  <c r="B1587" i="10"/>
  <c r="A1588" i="10"/>
  <c r="B1588" i="10"/>
  <c r="A1589" i="10"/>
  <c r="B1589" i="10"/>
  <c r="A1590" i="10"/>
  <c r="B1590" i="10"/>
  <c r="A1591" i="10"/>
  <c r="B1591" i="10"/>
  <c r="A1592" i="10"/>
  <c r="B1592" i="10"/>
  <c r="A1593" i="10"/>
  <c r="B1593" i="10"/>
  <c r="A1594" i="10"/>
  <c r="B1594" i="10"/>
  <c r="A1595" i="10"/>
  <c r="B1595" i="10"/>
  <c r="A1600" i="10"/>
  <c r="B1600" i="10"/>
  <c r="A1601" i="10"/>
  <c r="B1601" i="10"/>
  <c r="A1602" i="10"/>
  <c r="B1602" i="10"/>
  <c r="A1603" i="10"/>
  <c r="B1603" i="10"/>
  <c r="A1604" i="10"/>
  <c r="B1604" i="10"/>
  <c r="A1605" i="10"/>
  <c r="B1605" i="10"/>
  <c r="A1606" i="10"/>
  <c r="B1606" i="10"/>
  <c r="A1607" i="10"/>
  <c r="B1607" i="10"/>
  <c r="A1608" i="10"/>
  <c r="B1608" i="10"/>
  <c r="A1613" i="10"/>
  <c r="B1613" i="10"/>
  <c r="A1614" i="10"/>
  <c r="B1614" i="10"/>
  <c r="A1615" i="10"/>
  <c r="B1615" i="10"/>
  <c r="A1616" i="10"/>
  <c r="B1616" i="10"/>
  <c r="A1617" i="10"/>
  <c r="B1617" i="10"/>
  <c r="A1618" i="10"/>
  <c r="B1618" i="10"/>
  <c r="A1619" i="10"/>
  <c r="B1619" i="10"/>
  <c r="A1620" i="10"/>
  <c r="B1620" i="10"/>
  <c r="A1621" i="10"/>
  <c r="B1621" i="10"/>
  <c r="A1622" i="10"/>
  <c r="B1622" i="10"/>
  <c r="A1623" i="10"/>
  <c r="B1623" i="10"/>
  <c r="A1624" i="10"/>
  <c r="B1624" i="10"/>
  <c r="A1625" i="10"/>
  <c r="B1625" i="10"/>
  <c r="A1626" i="10"/>
  <c r="B1626" i="10"/>
  <c r="A1627" i="10"/>
  <c r="B1627" i="10"/>
  <c r="A1628" i="10"/>
  <c r="B1628" i="10"/>
  <c r="A1629" i="10"/>
  <c r="B1629" i="10"/>
  <c r="A1630" i="10"/>
  <c r="B1630" i="10"/>
  <c r="A1631" i="10"/>
  <c r="B1631" i="10"/>
  <c r="A1632" i="10"/>
  <c r="B1632" i="10"/>
  <c r="A1633" i="10"/>
  <c r="B1633" i="10"/>
  <c r="A1634" i="10"/>
  <c r="B1634" i="10"/>
  <c r="A1635" i="10"/>
  <c r="B1635" i="10"/>
  <c r="A1636" i="10"/>
  <c r="B1636" i="10"/>
  <c r="A1637" i="10"/>
  <c r="B1637" i="10"/>
  <c r="A1638" i="10"/>
  <c r="B1638" i="10"/>
  <c r="A1639" i="10"/>
  <c r="B1639" i="10"/>
  <c r="A1640" i="10"/>
  <c r="B1640" i="10"/>
  <c r="A1641" i="10"/>
  <c r="B1641" i="10"/>
  <c r="A1642" i="10"/>
  <c r="B1642" i="10"/>
  <c r="A1643" i="10"/>
  <c r="B1643" i="10"/>
  <c r="A1644" i="10"/>
  <c r="B1644" i="10"/>
  <c r="A1645" i="10"/>
  <c r="B1645" i="10"/>
  <c r="A1646" i="10"/>
  <c r="B1646" i="10"/>
  <c r="A1647" i="10"/>
  <c r="B1647" i="10"/>
  <c r="A1648" i="10"/>
  <c r="B1648" i="10"/>
  <c r="A1649" i="10"/>
  <c r="B1649" i="10"/>
  <c r="A1650" i="10"/>
  <c r="B1650" i="10"/>
  <c r="A1651" i="10"/>
  <c r="B1651" i="10"/>
  <c r="A1652" i="10"/>
  <c r="B1652" i="10"/>
  <c r="A1653" i="10"/>
  <c r="B1653" i="10"/>
  <c r="A1654" i="10"/>
  <c r="B1654" i="10"/>
  <c r="A1655" i="10"/>
  <c r="B1655" i="10"/>
  <c r="A1656" i="10"/>
  <c r="B1656" i="10"/>
  <c r="A1657" i="10"/>
  <c r="B1657" i="10"/>
  <c r="A1658" i="10"/>
  <c r="B1658" i="10"/>
  <c r="A1659" i="10"/>
  <c r="B1659" i="10"/>
  <c r="A1660" i="10"/>
  <c r="B1660" i="10"/>
  <c r="A1661" i="10"/>
  <c r="B1661" i="10"/>
  <c r="A1662" i="10"/>
  <c r="B1662" i="10"/>
  <c r="A1663" i="10"/>
  <c r="B1663" i="10"/>
  <c r="A1664" i="10"/>
  <c r="B1664" i="10"/>
  <c r="A1665" i="10"/>
  <c r="B1665" i="10"/>
  <c r="A1666" i="10"/>
  <c r="B1666" i="10"/>
  <c r="A1667" i="10"/>
  <c r="B1667" i="10"/>
  <c r="A1668" i="10"/>
  <c r="B1668" i="10"/>
  <c r="A1669" i="10"/>
  <c r="B1669" i="10"/>
  <c r="A1670" i="10"/>
  <c r="B1670" i="10"/>
  <c r="A1671" i="10"/>
  <c r="B1671" i="10"/>
  <c r="A1672" i="10"/>
  <c r="B1672" i="10"/>
  <c r="A1673" i="10"/>
  <c r="B1673" i="10"/>
  <c r="A1674" i="10"/>
  <c r="B1674" i="10"/>
  <c r="A1675" i="10"/>
  <c r="B1675" i="10"/>
  <c r="A1676" i="10"/>
  <c r="B1676" i="10"/>
  <c r="A1677" i="10"/>
  <c r="B1677" i="10"/>
  <c r="A1678" i="10"/>
  <c r="B1678" i="10"/>
  <c r="A1679" i="10"/>
  <c r="B1679" i="10"/>
  <c r="A1680" i="10"/>
  <c r="B1680" i="10"/>
  <c r="A1681" i="10"/>
  <c r="B1681" i="10"/>
  <c r="A1682" i="10"/>
  <c r="B1682" i="10"/>
  <c r="A1683" i="10"/>
  <c r="B1683" i="10"/>
  <c r="A1684" i="10"/>
  <c r="B1684" i="10"/>
  <c r="A1685" i="10"/>
  <c r="B1685" i="10"/>
  <c r="A1686" i="10"/>
  <c r="B1686" i="10"/>
  <c r="A1687" i="10"/>
  <c r="B1687" i="10"/>
  <c r="A1688" i="10"/>
  <c r="B1688" i="10"/>
  <c r="A1689" i="10"/>
  <c r="B1689" i="10"/>
  <c r="A1690" i="10"/>
  <c r="B1690" i="10"/>
  <c r="A1691" i="10"/>
  <c r="B1691" i="10"/>
  <c r="A1692" i="10"/>
  <c r="B1692" i="10"/>
  <c r="A1693" i="10"/>
  <c r="B1693" i="10"/>
  <c r="A1694" i="10"/>
  <c r="B1694" i="10"/>
  <c r="A1695" i="10"/>
  <c r="B1695" i="10"/>
  <c r="A1696" i="10"/>
  <c r="B1696" i="10"/>
  <c r="A1697" i="10"/>
  <c r="B1697" i="10"/>
  <c r="A1698" i="10"/>
  <c r="B1698" i="10"/>
  <c r="A1699" i="10"/>
  <c r="B1699" i="10"/>
  <c r="A1700" i="10"/>
  <c r="B1700" i="10"/>
  <c r="A1701" i="10"/>
  <c r="B1701" i="10"/>
  <c r="A1702" i="10"/>
  <c r="B1702" i="10"/>
  <c r="A1703" i="10"/>
  <c r="B1703" i="10"/>
  <c r="A1704" i="10"/>
  <c r="B1704" i="10"/>
  <c r="A1705" i="10"/>
  <c r="B1705" i="10"/>
  <c r="A1706" i="10"/>
  <c r="B1706" i="10"/>
  <c r="A1707" i="10"/>
  <c r="B1707" i="10"/>
  <c r="A1708" i="10"/>
  <c r="B1708" i="10"/>
  <c r="A1709" i="10"/>
  <c r="B1709" i="10"/>
  <c r="A1710" i="10"/>
  <c r="B1710" i="10"/>
  <c r="A1711" i="10"/>
  <c r="B1711" i="10"/>
  <c r="A1712" i="10"/>
  <c r="B1712" i="10"/>
  <c r="A1713" i="10"/>
  <c r="B1713" i="10"/>
  <c r="A1714" i="10"/>
  <c r="B1714" i="10"/>
  <c r="A1715" i="10"/>
  <c r="B1715" i="10"/>
  <c r="A1716" i="10"/>
  <c r="B1716" i="10"/>
  <c r="A1717" i="10"/>
  <c r="B1717" i="10"/>
  <c r="A1718" i="10"/>
  <c r="B1718" i="10"/>
  <c r="A1719" i="10"/>
  <c r="B1719" i="10"/>
  <c r="A1720" i="10"/>
  <c r="B1720" i="10"/>
  <c r="A1721" i="10"/>
  <c r="B1721" i="10"/>
  <c r="A1722" i="10"/>
  <c r="B1722" i="10"/>
  <c r="A1723" i="10"/>
  <c r="B1723" i="10"/>
  <c r="A1724" i="10"/>
  <c r="B1724" i="10"/>
  <c r="A1725" i="10"/>
  <c r="B1725" i="10"/>
  <c r="A1726" i="10"/>
  <c r="B1726" i="10"/>
  <c r="A1727" i="10"/>
  <c r="B1727" i="10"/>
  <c r="A1728" i="10"/>
  <c r="B1728" i="10"/>
  <c r="A1729" i="10"/>
  <c r="B1729" i="10"/>
  <c r="A1730" i="10"/>
  <c r="B1730" i="10"/>
  <c r="A1731" i="10"/>
  <c r="B1731" i="10"/>
  <c r="A1732" i="10"/>
  <c r="B1732" i="10"/>
  <c r="A1733" i="10"/>
  <c r="B1733" i="10"/>
  <c r="A1734" i="10"/>
  <c r="B1734" i="10"/>
  <c r="A1735" i="10"/>
  <c r="B1735" i="10"/>
  <c r="A1736" i="10"/>
  <c r="B1736" i="10"/>
  <c r="A1737" i="10"/>
  <c r="B1737" i="10"/>
  <c r="A1738" i="10"/>
  <c r="B1738" i="10"/>
  <c r="A1739" i="10"/>
  <c r="B1739" i="10"/>
  <c r="A1740" i="10"/>
  <c r="B1740" i="10"/>
  <c r="A1741" i="10"/>
  <c r="B1741" i="10"/>
  <c r="A1742" i="10"/>
  <c r="B1742" i="10"/>
  <c r="A1743" i="10"/>
  <c r="B1743" i="10"/>
  <c r="A1744" i="10"/>
  <c r="B1744" i="10"/>
  <c r="A1745" i="10"/>
  <c r="B1745" i="10"/>
  <c r="A1746" i="10"/>
  <c r="B1746" i="10"/>
  <c r="A1747" i="10"/>
  <c r="B1747" i="10"/>
  <c r="A1748" i="10"/>
  <c r="B1748" i="10"/>
  <c r="A1749" i="10"/>
  <c r="B1749" i="10"/>
  <c r="A1750" i="10"/>
  <c r="B1750" i="10"/>
  <c r="A1751" i="10"/>
  <c r="B1751" i="10"/>
  <c r="A1752" i="10"/>
  <c r="B1752" i="10"/>
  <c r="A1753" i="10"/>
  <c r="B1753" i="10"/>
  <c r="A1754" i="10"/>
  <c r="B1754" i="10"/>
  <c r="A1755" i="10"/>
  <c r="B1755" i="10"/>
  <c r="A1756" i="10"/>
  <c r="B1756" i="10"/>
  <c r="A1757" i="10"/>
  <c r="B1757" i="10"/>
  <c r="A1758" i="10"/>
  <c r="B1758" i="10"/>
  <c r="A1759" i="10"/>
  <c r="B1759" i="10"/>
  <c r="A1760" i="10"/>
  <c r="B1760" i="10"/>
  <c r="A1761" i="10"/>
  <c r="B1761" i="10"/>
  <c r="A1762" i="10"/>
  <c r="B1762" i="10"/>
  <c r="A1763" i="10"/>
  <c r="B1763" i="10"/>
  <c r="A1764" i="10"/>
  <c r="B1764" i="10"/>
  <c r="A1765" i="10"/>
  <c r="B1765" i="10"/>
  <c r="A1766" i="10"/>
  <c r="B1766" i="10"/>
  <c r="A1767" i="10"/>
  <c r="B1767" i="10"/>
  <c r="A1768" i="10"/>
  <c r="B1768" i="10"/>
  <c r="A1769" i="10"/>
  <c r="B1769" i="10"/>
  <c r="A1770" i="10"/>
  <c r="B1770" i="10"/>
  <c r="A1771" i="10"/>
  <c r="B1771" i="10"/>
  <c r="A1772" i="10"/>
  <c r="B1772" i="10"/>
  <c r="A1773" i="10"/>
  <c r="B1773" i="10"/>
  <c r="A1774" i="10"/>
  <c r="B1774" i="10"/>
  <c r="A1775" i="10"/>
  <c r="B1775" i="10"/>
  <c r="A1776" i="10"/>
  <c r="B1776" i="10"/>
  <c r="A1777" i="10"/>
  <c r="B1777" i="10"/>
  <c r="A1778" i="10"/>
  <c r="B1778" i="10"/>
  <c r="A1779" i="10"/>
  <c r="B1779" i="10"/>
  <c r="A1780" i="10"/>
  <c r="B1780" i="10"/>
  <c r="A1781" i="10"/>
  <c r="B1781" i="10"/>
  <c r="A1782" i="10"/>
  <c r="B1782" i="10"/>
  <c r="A1783" i="10"/>
  <c r="B1783" i="10"/>
  <c r="A1784" i="10"/>
  <c r="B1784" i="10"/>
  <c r="A1785" i="10"/>
  <c r="B1785" i="10"/>
  <c r="A1786" i="10"/>
  <c r="B1786" i="10"/>
  <c r="A1787" i="10"/>
  <c r="B1787" i="10"/>
  <c r="A1788" i="10"/>
  <c r="B1788" i="10"/>
  <c r="A1789" i="10"/>
  <c r="B1789" i="10"/>
  <c r="A1790" i="10"/>
  <c r="B1790" i="10"/>
  <c r="A1791" i="10"/>
  <c r="B1791" i="10"/>
  <c r="A1792" i="10"/>
  <c r="B1792" i="10"/>
  <c r="A1793" i="10"/>
  <c r="B1793" i="10"/>
  <c r="A1794" i="10"/>
  <c r="B1794" i="10"/>
  <c r="A1795" i="10"/>
  <c r="B1795" i="10"/>
  <c r="A1796" i="10"/>
  <c r="B1796" i="10"/>
  <c r="A1797" i="10"/>
  <c r="B1797" i="10"/>
  <c r="A1798" i="10"/>
  <c r="B1798" i="10"/>
  <c r="A1799" i="10"/>
  <c r="B1799" i="10"/>
  <c r="A1800" i="10"/>
  <c r="B1800" i="10"/>
  <c r="A1801" i="10"/>
  <c r="B1801" i="10"/>
  <c r="A1802" i="10"/>
  <c r="B1802" i="10"/>
  <c r="A1803" i="10"/>
  <c r="B1803" i="10"/>
  <c r="A1804" i="10"/>
  <c r="B1804" i="10"/>
  <c r="A1805" i="10"/>
  <c r="B1805" i="10"/>
  <c r="K642" i="2"/>
  <c r="J642" i="2"/>
  <c r="I642" i="2"/>
  <c r="M638" i="4"/>
  <c r="J640" i="2"/>
  <c r="I640" i="2"/>
  <c r="J639" i="2"/>
  <c r="N640" i="2"/>
  <c r="N639" i="2"/>
  <c r="P637" i="4"/>
  <c r="K635" i="2" l="1"/>
  <c r="K634" i="2"/>
  <c r="K633" i="2"/>
  <c r="J1180" i="10"/>
  <c r="K1180" i="10"/>
  <c r="L1180" i="10"/>
  <c r="M1180" i="10"/>
  <c r="N1180" i="10"/>
  <c r="O1180" i="10"/>
  <c r="P1180" i="10"/>
  <c r="Q1180" i="10"/>
  <c r="R1180" i="10"/>
  <c r="S1180" i="10"/>
  <c r="T1180" i="10"/>
  <c r="U1180" i="10"/>
  <c r="V1180" i="10"/>
  <c r="W1180" i="10"/>
  <c r="K628" i="2"/>
  <c r="K629" i="2"/>
  <c r="K630" i="2"/>
  <c r="K631" i="2"/>
  <c r="K627" i="2"/>
  <c r="H624" i="4"/>
  <c r="N624" i="2"/>
  <c r="J625" i="2"/>
  <c r="N625" i="2"/>
  <c r="J624" i="2"/>
  <c r="J621" i="2"/>
  <c r="I621" i="2"/>
  <c r="J620" i="2"/>
  <c r="V1127" i="3"/>
  <c r="V1125" i="3"/>
  <c r="V1123" i="3"/>
  <c r="V1121" i="3"/>
  <c r="V1119" i="3"/>
  <c r="I1123" i="10"/>
  <c r="I1124" i="10"/>
  <c r="I1125" i="10"/>
  <c r="I1126" i="10"/>
  <c r="I1127" i="10"/>
  <c r="I1143" i="10"/>
  <c r="I1144" i="10"/>
  <c r="I1145" i="10"/>
  <c r="I1146" i="10"/>
  <c r="I1147" i="10"/>
  <c r="I1148" i="10"/>
  <c r="I1119" i="10"/>
  <c r="I1120" i="10"/>
  <c r="I1121" i="10"/>
  <c r="I1122" i="10"/>
  <c r="I1118" i="10"/>
  <c r="K619" i="2"/>
  <c r="J1123" i="3" s="1"/>
  <c r="I619" i="2"/>
  <c r="J619" i="2"/>
  <c r="J617" i="2"/>
  <c r="I617" i="2"/>
  <c r="H617" i="4"/>
  <c r="J616" i="2"/>
  <c r="I616" i="2"/>
  <c r="J615" i="2"/>
  <c r="I615" i="2"/>
  <c r="W1105" i="10"/>
  <c r="X1105" i="10"/>
  <c r="Y1105" i="10"/>
  <c r="Z1105" i="10"/>
  <c r="W1106" i="10"/>
  <c r="X1106" i="10"/>
  <c r="Y1106" i="10"/>
  <c r="Z1106" i="10"/>
  <c r="W1107" i="10"/>
  <c r="X1107" i="10"/>
  <c r="Y1107" i="10"/>
  <c r="Z1107" i="10"/>
  <c r="W1108" i="10"/>
  <c r="X1108" i="10"/>
  <c r="Y1108" i="10"/>
  <c r="Z1108" i="10"/>
  <c r="W1109" i="10"/>
  <c r="X1109" i="10"/>
  <c r="Y1109" i="10"/>
  <c r="Z1109" i="10"/>
  <c r="W1110" i="10"/>
  <c r="X1110" i="10"/>
  <c r="Y1110" i="10"/>
  <c r="Z1110" i="10"/>
  <c r="K1102" i="10"/>
  <c r="L1102" i="10"/>
  <c r="M1102" i="10"/>
  <c r="N1102" i="10"/>
  <c r="O1102" i="10"/>
  <c r="P1102" i="10"/>
  <c r="Q1102" i="10"/>
  <c r="R1102" i="10"/>
  <c r="S1102" i="10"/>
  <c r="T1102" i="10"/>
  <c r="V1102" i="10"/>
  <c r="K1103" i="10"/>
  <c r="L1103" i="10"/>
  <c r="M1103" i="10"/>
  <c r="N1103" i="10"/>
  <c r="O1103" i="10"/>
  <c r="P1103" i="10"/>
  <c r="Q1103" i="10"/>
  <c r="R1103" i="10"/>
  <c r="S1103" i="10"/>
  <c r="T1103" i="10"/>
  <c r="V1103" i="10"/>
  <c r="K1104" i="10"/>
  <c r="L1104" i="10"/>
  <c r="M1104" i="10"/>
  <c r="N1104" i="10"/>
  <c r="O1104" i="10"/>
  <c r="P1104" i="10"/>
  <c r="Q1104" i="10"/>
  <c r="R1104" i="10"/>
  <c r="S1104" i="10"/>
  <c r="T1104" i="10"/>
  <c r="V1104" i="10"/>
  <c r="K1105" i="10"/>
  <c r="L1105" i="10"/>
  <c r="M1105" i="10"/>
  <c r="N1105" i="10"/>
  <c r="O1105" i="10"/>
  <c r="P1105" i="10"/>
  <c r="Q1105" i="10"/>
  <c r="R1105" i="10"/>
  <c r="S1105" i="10"/>
  <c r="T1105" i="10"/>
  <c r="U1105" i="10"/>
  <c r="V1105" i="10"/>
  <c r="K1106" i="10"/>
  <c r="L1106" i="10"/>
  <c r="M1106" i="10"/>
  <c r="N1106" i="10"/>
  <c r="O1106" i="10"/>
  <c r="P1106" i="10"/>
  <c r="Q1106" i="10"/>
  <c r="R1106" i="10"/>
  <c r="S1106" i="10"/>
  <c r="T1106" i="10"/>
  <c r="U1106" i="10"/>
  <c r="V1106" i="10"/>
  <c r="K1107" i="10"/>
  <c r="L1107" i="10"/>
  <c r="M1107" i="10"/>
  <c r="N1107" i="10"/>
  <c r="O1107" i="10"/>
  <c r="P1107" i="10"/>
  <c r="Q1107" i="10"/>
  <c r="R1107" i="10"/>
  <c r="S1107" i="10"/>
  <c r="T1107" i="10"/>
  <c r="U1107" i="10"/>
  <c r="V1107" i="10"/>
  <c r="K1108" i="10"/>
  <c r="L1108" i="10"/>
  <c r="M1108" i="10"/>
  <c r="N1108" i="10"/>
  <c r="O1108" i="10"/>
  <c r="P1108" i="10"/>
  <c r="Q1108" i="10"/>
  <c r="R1108" i="10"/>
  <c r="S1108" i="10"/>
  <c r="T1108" i="10"/>
  <c r="U1108" i="10"/>
  <c r="V1108" i="10"/>
  <c r="K1109" i="10"/>
  <c r="L1109" i="10"/>
  <c r="M1109" i="10"/>
  <c r="N1109" i="10"/>
  <c r="O1109" i="10"/>
  <c r="P1109" i="10"/>
  <c r="Q1109" i="10"/>
  <c r="R1109" i="10"/>
  <c r="S1109" i="10"/>
  <c r="T1109" i="10"/>
  <c r="U1109" i="10"/>
  <c r="V1109" i="10"/>
  <c r="K1110" i="10"/>
  <c r="L1110" i="10"/>
  <c r="M1110" i="10"/>
  <c r="N1110" i="10"/>
  <c r="O1110" i="10"/>
  <c r="P1110" i="10"/>
  <c r="Q1110" i="10"/>
  <c r="R1110" i="10"/>
  <c r="S1110" i="10"/>
  <c r="T1110" i="10"/>
  <c r="U1110" i="10"/>
  <c r="V1110" i="10"/>
  <c r="J1103" i="10"/>
  <c r="J1104" i="10"/>
  <c r="J1105" i="10"/>
  <c r="J1106" i="10"/>
  <c r="J1107" i="10"/>
  <c r="J1108" i="10"/>
  <c r="J1109" i="10"/>
  <c r="J1110" i="10"/>
  <c r="J1102" i="10"/>
  <c r="I614" i="4"/>
  <c r="I612" i="4"/>
  <c r="I613" i="4"/>
  <c r="N610" i="2"/>
  <c r="N611" i="2"/>
  <c r="J1125" i="3" l="1"/>
  <c r="J1127" i="3"/>
  <c r="J1119" i="3"/>
  <c r="J1121" i="3"/>
  <c r="J608" i="4"/>
  <c r="K608" i="2"/>
  <c r="P608" i="4" s="1"/>
  <c r="K607" i="2"/>
  <c r="K606" i="2"/>
  <c r="N606" i="2" s="1"/>
  <c r="J606" i="2"/>
  <c r="I606" i="2"/>
  <c r="K605" i="2"/>
  <c r="N605" i="2" s="1"/>
  <c r="K604" i="2"/>
  <c r="H604" i="4" s="1"/>
  <c r="K602" i="2"/>
  <c r="H602" i="4" s="1"/>
  <c r="K603" i="2"/>
  <c r="N603" i="2" s="1"/>
  <c r="K601" i="2"/>
  <c r="H601" i="4" s="1"/>
  <c r="I603" i="2"/>
  <c r="J603" i="2"/>
  <c r="K600" i="2"/>
  <c r="K599" i="2"/>
  <c r="Q586" i="4"/>
  <c r="Q587" i="4"/>
  <c r="Q588" i="4"/>
  <c r="Q589" i="4"/>
  <c r="Q590" i="4"/>
  <c r="Q591" i="4"/>
  <c r="Q592" i="4"/>
  <c r="Q593" i="4"/>
  <c r="Q594" i="4"/>
  <c r="Q595" i="4"/>
  <c r="Q596" i="4"/>
  <c r="Q597" i="4"/>
  <c r="Q598" i="4"/>
  <c r="Q585" i="4"/>
  <c r="J598" i="4"/>
  <c r="J597" i="4"/>
  <c r="J596" i="4"/>
  <c r="J595" i="4"/>
  <c r="J594" i="4"/>
  <c r="J593" i="4"/>
  <c r="J592" i="4"/>
  <c r="J591" i="4"/>
  <c r="J590" i="4"/>
  <c r="J589" i="4"/>
  <c r="J588" i="4"/>
  <c r="J587" i="4"/>
  <c r="J586" i="4"/>
  <c r="J585" i="4"/>
  <c r="J589" i="2"/>
  <c r="I589" i="2"/>
  <c r="J583" i="4"/>
  <c r="N583" i="4"/>
  <c r="R583" i="4"/>
  <c r="Q583" i="4"/>
  <c r="P583" i="4"/>
  <c r="K584" i="2"/>
  <c r="J584" i="2"/>
  <c r="I584" i="2"/>
  <c r="K583" i="2"/>
  <c r="I583" i="2"/>
  <c r="J583" i="2"/>
  <c r="I574" i="4"/>
  <c r="I573" i="4"/>
  <c r="I578" i="4"/>
  <c r="I577" i="4"/>
  <c r="I576" i="4"/>
  <c r="I575" i="4"/>
  <c r="K571" i="2"/>
  <c r="K569" i="2" s="1"/>
  <c r="J568" i="2"/>
  <c r="I568" i="2"/>
  <c r="K568" i="2"/>
  <c r="K566" i="2"/>
  <c r="N565" i="2"/>
  <c r="K564" i="2"/>
  <c r="N563" i="4"/>
  <c r="Q563" i="4"/>
  <c r="N562" i="4"/>
  <c r="Q562" i="4"/>
  <c r="I563" i="4"/>
  <c r="I562" i="4"/>
  <c r="P563" i="4"/>
  <c r="R563" i="4"/>
  <c r="P562" i="4"/>
  <c r="R562" i="4"/>
  <c r="S562" i="4" s="1"/>
  <c r="K563" i="2"/>
  <c r="N563" i="2" s="1"/>
  <c r="K562" i="2"/>
  <c r="N562" i="2" s="1"/>
  <c r="N604" i="2" l="1"/>
  <c r="H603" i="4"/>
  <c r="S563" i="4"/>
  <c r="R608" i="4"/>
  <c r="N601" i="2"/>
  <c r="N602" i="2"/>
  <c r="J559" i="2"/>
  <c r="I559" i="2"/>
  <c r="J557" i="2"/>
  <c r="I557" i="2"/>
  <c r="N554" i="2"/>
  <c r="J554" i="2"/>
  <c r="J551" i="2" l="1"/>
  <c r="I551" i="2"/>
  <c r="N544" i="2"/>
  <c r="N545" i="2"/>
  <c r="N543" i="2"/>
  <c r="R545" i="4"/>
  <c r="R544" i="4"/>
  <c r="J545" i="2"/>
  <c r="J544" i="2"/>
  <c r="J543" i="2"/>
  <c r="S542" i="4" l="1"/>
  <c r="S541" i="4"/>
  <c r="S540" i="4"/>
  <c r="S539" i="4"/>
  <c r="S538" i="4"/>
  <c r="P853" i="3" l="1"/>
  <c r="M537" i="4"/>
  <c r="T853" i="3"/>
  <c r="U853" i="3"/>
  <c r="P537" i="4"/>
  <c r="Q537" i="4" s="1"/>
  <c r="J537" i="4" s="1"/>
  <c r="J537" i="2"/>
  <c r="I537" i="2"/>
  <c r="I535" i="4"/>
  <c r="P535" i="4"/>
  <c r="N536" i="2"/>
  <c r="N535" i="2"/>
  <c r="N530" i="2" l="1"/>
  <c r="T850" i="3"/>
  <c r="J534" i="2"/>
  <c r="I534" i="2"/>
  <c r="X849" i="3"/>
  <c r="N533" i="2"/>
  <c r="N532" i="2"/>
  <c r="I526" i="4"/>
  <c r="I527" i="4"/>
  <c r="I528" i="4"/>
  <c r="I529" i="4"/>
  <c r="K511" i="2" l="1"/>
  <c r="S509" i="4"/>
  <c r="R509" i="4"/>
  <c r="S508" i="4"/>
  <c r="P509" i="4"/>
  <c r="Q509" i="4"/>
  <c r="Q508" i="4"/>
  <c r="Y137" i="3" l="1"/>
  <c r="Y136" i="3"/>
  <c r="Y135" i="3"/>
  <c r="Y134" i="3"/>
  <c r="Y133" i="3"/>
  <c r="Y132" i="3"/>
  <c r="Y131" i="3"/>
  <c r="Y130" i="3"/>
  <c r="Y129" i="3"/>
  <c r="Y128" i="3"/>
  <c r="Y127" i="3"/>
  <c r="Y126" i="3"/>
  <c r="Y125" i="3"/>
  <c r="Y124" i="3"/>
  <c r="Y123" i="3"/>
  <c r="Y122" i="3"/>
  <c r="Y121" i="3"/>
  <c r="Y120" i="3"/>
  <c r="Y119" i="3"/>
  <c r="Y118" i="3"/>
  <c r="Y117" i="3"/>
  <c r="Y116" i="3"/>
  <c r="Y115" i="3"/>
  <c r="Y114" i="3"/>
  <c r="K396" i="2" l="1"/>
  <c r="Q131" i="4"/>
  <c r="Q130" i="4"/>
  <c r="Q129" i="4"/>
  <c r="R131" i="4"/>
  <c r="R130" i="4"/>
  <c r="R129" i="4"/>
  <c r="K131" i="2"/>
  <c r="K130" i="2"/>
  <c r="K129" i="2"/>
</calcChain>
</file>

<file path=xl/sharedStrings.xml><?xml version="1.0" encoding="utf-8"?>
<sst xmlns="http://schemas.openxmlformats.org/spreadsheetml/2006/main" count="107135" uniqueCount="5096">
  <si>
    <t>Notes</t>
  </si>
  <si>
    <t>Forestry</t>
  </si>
  <si>
    <t>NA</t>
  </si>
  <si>
    <t>Source</t>
  </si>
  <si>
    <t>Location</t>
  </si>
  <si>
    <t>Latitude</t>
  </si>
  <si>
    <t>Longitude</t>
  </si>
  <si>
    <t>Fire type</t>
  </si>
  <si>
    <t>Fire intention</t>
  </si>
  <si>
    <t>Fire season start</t>
  </si>
  <si>
    <t>Fire season end</t>
  </si>
  <si>
    <t>Kull 2004</t>
  </si>
  <si>
    <t>Transition</t>
  </si>
  <si>
    <t>Land tenure</t>
  </si>
  <si>
    <r>
      <t>Stocking rate (head ha</t>
    </r>
    <r>
      <rPr>
        <b/>
        <vertAlign val="superscript"/>
        <sz val="12"/>
        <color theme="1"/>
        <rFont val="Calibri"/>
        <family val="2"/>
        <scheme val="minor"/>
      </rPr>
      <t>-1</t>
    </r>
    <r>
      <rPr>
        <b/>
        <sz val="12"/>
        <color theme="1"/>
        <rFont val="Calibri"/>
        <family val="2"/>
        <scheme val="minor"/>
      </rPr>
      <t>)</t>
    </r>
  </si>
  <si>
    <t>1a</t>
  </si>
  <si>
    <t>1b</t>
  </si>
  <si>
    <t>1c</t>
  </si>
  <si>
    <t>1d</t>
  </si>
  <si>
    <t>1e</t>
  </si>
  <si>
    <t>Kilabe</t>
  </si>
  <si>
    <t>Tsimay</t>
  </si>
  <si>
    <t>Behazo</t>
  </si>
  <si>
    <t>Andringitra</t>
  </si>
  <si>
    <t>Human, deliberate</t>
  </si>
  <si>
    <t>Pasture renewal</t>
  </si>
  <si>
    <t>Pest management</t>
  </si>
  <si>
    <t>Crop field preparation</t>
  </si>
  <si>
    <t>Cropland</t>
  </si>
  <si>
    <t>Pasture</t>
  </si>
  <si>
    <t>Accidental</t>
  </si>
  <si>
    <t>Human, accidental</t>
  </si>
  <si>
    <t>Mixed</t>
  </si>
  <si>
    <t>Criminal</t>
  </si>
  <si>
    <t>June</t>
  </si>
  <si>
    <t>November</t>
  </si>
  <si>
    <t>Fire return period (years)</t>
  </si>
  <si>
    <t>Fire ignition pattern</t>
  </si>
  <si>
    <t>April</t>
  </si>
  <si>
    <t>"Locust arrival provides a convenient pretext for burning without fear of prosecution"</t>
  </si>
  <si>
    <t>1a.1</t>
  </si>
  <si>
    <t>1a.2</t>
  </si>
  <si>
    <t>1a.3</t>
  </si>
  <si>
    <t>1a.4</t>
  </si>
  <si>
    <t>1a.5</t>
  </si>
  <si>
    <t>Cattle, Extensive</t>
  </si>
  <si>
    <t>1b.1</t>
  </si>
  <si>
    <t>1c.1</t>
  </si>
  <si>
    <t>"Very high" fire use: Madagascar 1993 Census</t>
  </si>
  <si>
    <t xml:space="preserve">"Low" fire use: Madagascar 1993 Census </t>
  </si>
  <si>
    <t xml:space="preserve">"No" fire use: Madagascar 1993 Census </t>
  </si>
  <si>
    <t>1d.1</t>
  </si>
  <si>
    <t>Within Andringitra National Park</t>
  </si>
  <si>
    <t>1e.1</t>
  </si>
  <si>
    <t>1e.2</t>
  </si>
  <si>
    <t>Grassland</t>
  </si>
  <si>
    <t>Outside Andringitra National Park; "High" fire use: Madagascar 1993 Census</t>
  </si>
  <si>
    <t>Afotsara</t>
  </si>
  <si>
    <t xml:space="preserve"> Madagascar</t>
  </si>
  <si>
    <t>Country</t>
  </si>
  <si>
    <t>1a.6</t>
  </si>
  <si>
    <t>Forest management</t>
  </si>
  <si>
    <t>Woodland</t>
  </si>
  <si>
    <t>"The area of woodland burned that year was higher than normal due to repeated locust invasions."</t>
  </si>
  <si>
    <t>Seasonal, Consistent</t>
  </si>
  <si>
    <r>
      <t>Biomass harvesting (t ha</t>
    </r>
    <r>
      <rPr>
        <b/>
        <vertAlign val="superscript"/>
        <sz val="12"/>
        <color theme="1"/>
        <rFont val="Calibri"/>
        <family val="2"/>
        <scheme val="minor"/>
      </rPr>
      <t xml:space="preserve">-1 </t>
    </r>
    <r>
      <rPr>
        <b/>
        <sz val="12"/>
        <color theme="1"/>
        <rFont val="Calibri"/>
        <family val="2"/>
        <scheme val="minor"/>
      </rPr>
      <t xml:space="preserve">yr </t>
    </r>
    <r>
      <rPr>
        <b/>
        <vertAlign val="superscript"/>
        <sz val="12"/>
        <color theme="1"/>
        <rFont val="Calibri"/>
        <family val="2"/>
        <scheme val="minor"/>
      </rPr>
      <t>-1</t>
    </r>
    <r>
      <rPr>
        <b/>
        <sz val="12"/>
        <color theme="1"/>
        <rFont val="Calibri"/>
        <family val="2"/>
        <scheme val="minor"/>
      </rPr>
      <t>)</t>
    </r>
  </si>
  <si>
    <t>Fire Behaviour</t>
  </si>
  <si>
    <t>Reported</t>
  </si>
  <si>
    <t>October</t>
  </si>
  <si>
    <t>Traditional</t>
  </si>
  <si>
    <t>Private</t>
  </si>
  <si>
    <t>1f</t>
  </si>
  <si>
    <t xml:space="preserve">Madagascar </t>
  </si>
  <si>
    <t>1f.1</t>
  </si>
  <si>
    <t>Forest</t>
  </si>
  <si>
    <t xml:space="preserve">October </t>
  </si>
  <si>
    <t>Seasonal, Backloaded</t>
  </si>
  <si>
    <t>Fire return periods vary between 3 and 20 years depending on population density.</t>
  </si>
  <si>
    <r>
      <t>Yield (t ha</t>
    </r>
    <r>
      <rPr>
        <b/>
        <vertAlign val="superscript"/>
        <sz val="12"/>
        <color theme="1"/>
        <rFont val="Calibri"/>
        <family val="2"/>
        <scheme val="minor"/>
      </rPr>
      <t>-1</t>
    </r>
    <r>
      <rPr>
        <b/>
        <sz val="12"/>
        <color theme="1"/>
        <rFont val="Calibri"/>
        <family val="2"/>
        <scheme val="minor"/>
      </rPr>
      <t>)</t>
    </r>
  </si>
  <si>
    <t xml:space="preserve">Taty (Shifting Cultivation) Extent </t>
  </si>
  <si>
    <t>Liu et al 2019</t>
  </si>
  <si>
    <t>2a</t>
  </si>
  <si>
    <t>2a.1</t>
  </si>
  <si>
    <t>Crop residue removal</t>
  </si>
  <si>
    <t>Cropping, Intensive</t>
  </si>
  <si>
    <t>2a.2</t>
  </si>
  <si>
    <t>May</t>
  </si>
  <si>
    <t>Punjab</t>
  </si>
  <si>
    <t>India</t>
  </si>
  <si>
    <t>2b</t>
  </si>
  <si>
    <t>Haryana</t>
  </si>
  <si>
    <t>2b.1</t>
  </si>
  <si>
    <t>2b.2</t>
  </si>
  <si>
    <t>Kumar et al 2015</t>
  </si>
  <si>
    <t>3a</t>
  </si>
  <si>
    <t>3a.1</t>
  </si>
  <si>
    <t>3a.2</t>
  </si>
  <si>
    <t>Study Type</t>
  </si>
  <si>
    <t>4a</t>
  </si>
  <si>
    <t>Sidhu et al 1998</t>
  </si>
  <si>
    <t>4a.1</t>
  </si>
  <si>
    <t>4a.2</t>
  </si>
  <si>
    <t>Patiala District</t>
  </si>
  <si>
    <t>5a</t>
  </si>
  <si>
    <t>5a.1</t>
  </si>
  <si>
    <t>Data is for post-monsoon rice crop</t>
  </si>
  <si>
    <t>Singh and Kumar 2019</t>
  </si>
  <si>
    <t>6a</t>
  </si>
  <si>
    <t>Lopes et al 2020</t>
  </si>
  <si>
    <t>Karnal District</t>
  </si>
  <si>
    <t>6a.1</t>
  </si>
  <si>
    <t>6a.2</t>
  </si>
  <si>
    <t>7a</t>
  </si>
  <si>
    <t>Yang et al 2008</t>
  </si>
  <si>
    <t>China</t>
  </si>
  <si>
    <t>7a.1</t>
  </si>
  <si>
    <t>Forestry, Traditional</t>
  </si>
  <si>
    <t>Calculations</t>
  </si>
  <si>
    <t xml:space="preserve"> Window is for post-monsoon rice crop.</t>
  </si>
  <si>
    <t>% of farmers burning rice residues is reported. BA for all cropland calculated by weighted survey responses (972) by those excluded as they didn't grow rice (140). Intensive (536 farmers) defined as all crops harvested with a combine.</t>
  </si>
  <si>
    <t>Burned area % is reported</t>
  </si>
  <si>
    <t>% of farmers burning rice residues is reported. BA% for all cropland calculated by weighted survey responses (972) by those excluded as they didn't grow rice (140). Cash crop (65 farmers) defined as crops harvested by hand.</t>
  </si>
  <si>
    <t>% of farmers burning rice residues is reported. BA% for all cropland calculated by weighted survey responses (972) by those excluded as they didn't grow rice (140). Intensive (194 farmers) defined as all crops harvested with a combine.</t>
  </si>
  <si>
    <t>% of farmers burning rice residues is reported. BA% for all cropland calculated by weighted survey responses (972) by those excluded as they didn't grow rice (140). Cash crop (171 farmers) defined as crops harvested by hand.</t>
  </si>
  <si>
    <t>Land cover</t>
  </si>
  <si>
    <t>Farmers leave a 10m fire break around fields when lighting fires.</t>
  </si>
  <si>
    <t xml:space="preserve">8a </t>
  </si>
  <si>
    <t>Brazil</t>
  </si>
  <si>
    <t>Carmenta et al 2013</t>
  </si>
  <si>
    <t>8a</t>
  </si>
  <si>
    <t>8a.1</t>
  </si>
  <si>
    <t>8a.2</t>
  </si>
  <si>
    <t>Secondary forest</t>
  </si>
  <si>
    <t>December</t>
  </si>
  <si>
    <t>Seasonal, Frontloaded</t>
  </si>
  <si>
    <t xml:space="preserve">Farmers have one field ready for harvest, one ready for preparation, and will clear another ready for the following year. 1 hectare is given as an indicative field size by an interviewee. </t>
  </si>
  <si>
    <t>Cropping, Swidden</t>
  </si>
  <si>
    <t xml:space="preserve">Forest sites are burned as close to the start of the rainy season (November) as possible. Primary forest burning is discouraged by labour cost and need to gain a permit. Local rules state fires should only be lit in December, but the remoteness of the location and subsequent lack of enforcement means this is ignored. </t>
  </si>
  <si>
    <t xml:space="preserve">Secondary forest sites (capoeira) are burned as close to the beginning of the rainy season (November) as possible. The vast majority of burns take place in secondary forest. Local rules state fires should only be lit in December, but the remoteness of the location and subsequent lack of enforcement means this is ignored. </t>
  </si>
  <si>
    <t>9a</t>
  </si>
  <si>
    <t>Colombia</t>
  </si>
  <si>
    <t>Colombian Amazon Protected Areas &amp; Indigenous Reserves</t>
  </si>
  <si>
    <t>9b</t>
  </si>
  <si>
    <t>Biodiversity conservation</t>
  </si>
  <si>
    <t>9a.1</t>
  </si>
  <si>
    <t>No human ignitions</t>
  </si>
  <si>
    <t>9a.2</t>
  </si>
  <si>
    <t>Illegal coca plantations have been a major source of deforestation in the Colombian Amazon.</t>
  </si>
  <si>
    <t>9b.1</t>
  </si>
  <si>
    <t>Forest clearance</t>
  </si>
  <si>
    <t>Conservation</t>
  </si>
  <si>
    <t>10a</t>
  </si>
  <si>
    <t>Pasture area %</t>
  </si>
  <si>
    <t>Cropland area %</t>
  </si>
  <si>
    <t>Natural ecosystems %</t>
  </si>
  <si>
    <t>Inferred - deforestation</t>
  </si>
  <si>
    <t>11a</t>
  </si>
  <si>
    <t>Armenteras et al 2013b</t>
  </si>
  <si>
    <t>Calamar</t>
  </si>
  <si>
    <t>Study Date (start)</t>
  </si>
  <si>
    <t>Armenteras et al 2013a</t>
  </si>
  <si>
    <t>Secondary vegetation %</t>
  </si>
  <si>
    <t xml:space="preserve">Burned area total is reported along with a transition matrix of vegetation cover. Forest to burned area to pasture transitions are treated as deforestation fires. Forest to burned area to secondary vegetation is treated as swidden. 
The authors state permanent monoculture cropping is not a significant factor in the region. </t>
  </si>
  <si>
    <t>11a.1</t>
  </si>
  <si>
    <t>11a.2</t>
  </si>
  <si>
    <t>11a.3</t>
  </si>
  <si>
    <t>Secondary vegetation</t>
  </si>
  <si>
    <t>Secondary Vegetation</t>
  </si>
  <si>
    <t>12a</t>
  </si>
  <si>
    <t>12b</t>
  </si>
  <si>
    <t>Assuncao et al 2017</t>
  </si>
  <si>
    <t>Mato Grosso</t>
  </si>
  <si>
    <t>Para</t>
  </si>
  <si>
    <t>12a.1</t>
  </si>
  <si>
    <t>Study Year</t>
  </si>
  <si>
    <t>12a.2</t>
  </si>
  <si>
    <t>12a.3</t>
  </si>
  <si>
    <t>12b.1</t>
  </si>
  <si>
    <t>12b.2</t>
  </si>
  <si>
    <t>12b.3</t>
  </si>
  <si>
    <t>13a</t>
  </si>
  <si>
    <t>13b</t>
  </si>
  <si>
    <t>13c</t>
  </si>
  <si>
    <t>Brown 2006</t>
  </si>
  <si>
    <t>Nkometou</t>
  </si>
  <si>
    <t>Awae</t>
  </si>
  <si>
    <t>Akok</t>
  </si>
  <si>
    <t>Cameroon</t>
  </si>
  <si>
    <r>
      <t>Population density (people km</t>
    </r>
    <r>
      <rPr>
        <b/>
        <vertAlign val="superscript"/>
        <sz val="12"/>
        <color theme="1"/>
        <rFont val="Calibri"/>
        <family val="2"/>
        <scheme val="minor"/>
      </rPr>
      <t>2-1</t>
    </r>
    <r>
      <rPr>
        <b/>
        <sz val="12"/>
        <color theme="1"/>
        <rFont val="Calibri"/>
        <family val="2"/>
        <scheme val="minor"/>
      </rPr>
      <t>)</t>
    </r>
  </si>
  <si>
    <t>Inferred - fallow length</t>
  </si>
  <si>
    <t>Fallow period is explicitly linked to "slash and burn" system</t>
  </si>
  <si>
    <t>13a.1</t>
  </si>
  <si>
    <t>13a.2</t>
  </si>
  <si>
    <t>13a.3</t>
  </si>
  <si>
    <t>February</t>
  </si>
  <si>
    <t>March</t>
  </si>
  <si>
    <t>Fallow period is explicitly linked to "slash and burn" system; classified as 'semi-permanent agriculture' by author</t>
  </si>
  <si>
    <t>Khatrai Khurd</t>
  </si>
  <si>
    <t>Sehnsra</t>
  </si>
  <si>
    <t>Jalalpura</t>
  </si>
  <si>
    <t>Lehrka</t>
  </si>
  <si>
    <t>Mudhal</t>
  </si>
  <si>
    <t>Nawan Pind</t>
  </si>
  <si>
    <t>Qila Jiwan Singh</t>
  </si>
  <si>
    <t>Shahpur Khurd</t>
  </si>
  <si>
    <t>Devi Dasspura</t>
  </si>
  <si>
    <t>Naraingarh</t>
  </si>
  <si>
    <t>Kauni</t>
  </si>
  <si>
    <t>Dhadogal</t>
  </si>
  <si>
    <t>Badshahpur</t>
  </si>
  <si>
    <t>Ganga</t>
  </si>
  <si>
    <t>Kaulseri</t>
  </si>
  <si>
    <t>Chhatiana</t>
  </si>
  <si>
    <t>Kumbarwal</t>
  </si>
  <si>
    <t>Bhundar</t>
  </si>
  <si>
    <t>Ladda</t>
  </si>
  <si>
    <t>Khane Ki Dhab</t>
  </si>
  <si>
    <t>Kot Bhai</t>
  </si>
  <si>
    <t>Gurusar</t>
  </si>
  <si>
    <t>Kheri Chandwan</t>
  </si>
  <si>
    <t>Natt</t>
  </si>
  <si>
    <t>Bhamabaddi</t>
  </si>
  <si>
    <t>Loha Khera</t>
  </si>
  <si>
    <t>Sardargarh</t>
  </si>
  <si>
    <t>Lal Bai</t>
  </si>
  <si>
    <t>Jharon</t>
  </si>
  <si>
    <t>Kaljha Rani</t>
  </si>
  <si>
    <t>2aa</t>
  </si>
  <si>
    <t>2ab</t>
  </si>
  <si>
    <t>2ac</t>
  </si>
  <si>
    <t>2ad</t>
  </si>
  <si>
    <t>2ae</t>
  </si>
  <si>
    <t>Chhpri Part</t>
  </si>
  <si>
    <t>Thaska Miranji</t>
  </si>
  <si>
    <t>Mandi</t>
  </si>
  <si>
    <t>Kanthala</t>
  </si>
  <si>
    <t>Lohar Majra</t>
  </si>
  <si>
    <t>Umri Part</t>
  </si>
  <si>
    <t>Bagthala</t>
  </si>
  <si>
    <t>Lukhi</t>
  </si>
  <si>
    <t>Shadipur Shahabad</t>
  </si>
  <si>
    <t>Dhirpur</t>
  </si>
  <si>
    <t>Ajrana Kalan</t>
  </si>
  <si>
    <t>Kharindwa</t>
  </si>
  <si>
    <t>Dhangali</t>
  </si>
  <si>
    <t>Bodla</t>
  </si>
  <si>
    <t>Morthal Khas</t>
  </si>
  <si>
    <t>Mehndipur</t>
  </si>
  <si>
    <t>Palra</t>
  </si>
  <si>
    <t>Mirakpur</t>
  </si>
  <si>
    <t>Jakhauli</t>
  </si>
  <si>
    <t>Haroli</t>
  </si>
  <si>
    <t>Burj</t>
  </si>
  <si>
    <t>Shahnal</t>
  </si>
  <si>
    <t>Gorakhpur</t>
  </si>
  <si>
    <t>Dhaulu</t>
  </si>
  <si>
    <t>Ayalki</t>
  </si>
  <si>
    <t>Nagpur</t>
  </si>
  <si>
    <t>Bhattu Khurd</t>
  </si>
  <si>
    <t>Sarwarpur</t>
  </si>
  <si>
    <t>Banawali</t>
  </si>
  <si>
    <t>Suchan</t>
  </si>
  <si>
    <t>Ali Mohammad</t>
  </si>
  <si>
    <t>2af</t>
  </si>
  <si>
    <t>2ag</t>
  </si>
  <si>
    <t>2ah</t>
  </si>
  <si>
    <t>2ai</t>
  </si>
  <si>
    <t>2aj</t>
  </si>
  <si>
    <t>2ak</t>
  </si>
  <si>
    <t>2al</t>
  </si>
  <si>
    <t>2am</t>
  </si>
  <si>
    <t>2an</t>
  </si>
  <si>
    <t>2ao</t>
  </si>
  <si>
    <t>2ap</t>
  </si>
  <si>
    <t>2aq</t>
  </si>
  <si>
    <t>2ar</t>
  </si>
  <si>
    <t>2as</t>
  </si>
  <si>
    <t>2at</t>
  </si>
  <si>
    <t>2au</t>
  </si>
  <si>
    <t>2av</t>
  </si>
  <si>
    <t>2aw</t>
  </si>
  <si>
    <t>2ax</t>
  </si>
  <si>
    <t>2ay</t>
  </si>
  <si>
    <t>2az</t>
  </si>
  <si>
    <t>2ba</t>
  </si>
  <si>
    <t>2bb</t>
  </si>
  <si>
    <t>2bc</t>
  </si>
  <si>
    <t>2bd</t>
  </si>
  <si>
    <t>2be</t>
  </si>
  <si>
    <t>2bf</t>
  </si>
  <si>
    <t>2bg</t>
  </si>
  <si>
    <t>2bh</t>
  </si>
  <si>
    <t>2bi</t>
  </si>
  <si>
    <t>2bj</t>
  </si>
  <si>
    <t>2bk</t>
  </si>
  <si>
    <t>2bl</t>
  </si>
  <si>
    <t>2aaa</t>
  </si>
  <si>
    <t>2aab</t>
  </si>
  <si>
    <t>2aac</t>
  </si>
  <si>
    <t>2aad</t>
  </si>
  <si>
    <t>2bm</t>
  </si>
  <si>
    <t>2bn</t>
  </si>
  <si>
    <t>2bo</t>
  </si>
  <si>
    <t>2bp</t>
  </si>
  <si>
    <t>2bq</t>
  </si>
  <si>
    <t>2br</t>
  </si>
  <si>
    <t>2bs</t>
  </si>
  <si>
    <t>2bt</t>
  </si>
  <si>
    <t>2bu</t>
  </si>
  <si>
    <t>2bv</t>
  </si>
  <si>
    <t>2bw</t>
  </si>
  <si>
    <t>2bx</t>
  </si>
  <si>
    <t>2by</t>
  </si>
  <si>
    <t>2bz</t>
  </si>
  <si>
    <t>2baa</t>
  </si>
  <si>
    <t>2bab</t>
  </si>
  <si>
    <t>2bac</t>
  </si>
  <si>
    <t>2bad</t>
  </si>
  <si>
    <t>2bae</t>
  </si>
  <si>
    <t>2ab.1</t>
  </si>
  <si>
    <t>2ac.1</t>
  </si>
  <si>
    <t>2ad.1</t>
  </si>
  <si>
    <t>2ae.1</t>
  </si>
  <si>
    <t>2af.1</t>
  </si>
  <si>
    <t>2ag.1</t>
  </si>
  <si>
    <t>2ah.1</t>
  </si>
  <si>
    <t>2ai.1</t>
  </si>
  <si>
    <t>2aj.1</t>
  </si>
  <si>
    <t>2ak.1</t>
  </si>
  <si>
    <t>2al.1</t>
  </si>
  <si>
    <t>2am.1</t>
  </si>
  <si>
    <t>2an.1</t>
  </si>
  <si>
    <t>2ao.1</t>
  </si>
  <si>
    <t>2ap.1</t>
  </si>
  <si>
    <t>2aq.1</t>
  </si>
  <si>
    <t>2ar.1</t>
  </si>
  <si>
    <t>2as.1</t>
  </si>
  <si>
    <t>2at.1</t>
  </si>
  <si>
    <t>2au.1</t>
  </si>
  <si>
    <t>2av.1</t>
  </si>
  <si>
    <t>2aw.1</t>
  </si>
  <si>
    <t>2ax.1</t>
  </si>
  <si>
    <t>2ay.1</t>
  </si>
  <si>
    <t>2az.1</t>
  </si>
  <si>
    <t>2aaa.1</t>
  </si>
  <si>
    <t>2aab.1</t>
  </si>
  <si>
    <t>2aac.1</t>
  </si>
  <si>
    <t>2aad.1</t>
  </si>
  <si>
    <t>2ba.1</t>
  </si>
  <si>
    <t>2bb.1</t>
  </si>
  <si>
    <t>2bc.1</t>
  </si>
  <si>
    <t>2bd.1</t>
  </si>
  <si>
    <t>2be.1</t>
  </si>
  <si>
    <t>2bf.1</t>
  </si>
  <si>
    <t>2bg.1</t>
  </si>
  <si>
    <t>2bh.1</t>
  </si>
  <si>
    <t>2bi.1</t>
  </si>
  <si>
    <t>2bj.1</t>
  </si>
  <si>
    <t>2bk.1</t>
  </si>
  <si>
    <t>2bl.1</t>
  </si>
  <si>
    <t>2bm.1</t>
  </si>
  <si>
    <t>2bn.1</t>
  </si>
  <si>
    <t>2bo.1</t>
  </si>
  <si>
    <t>2bp.1</t>
  </si>
  <si>
    <t>2bq.1</t>
  </si>
  <si>
    <t>2br.1</t>
  </si>
  <si>
    <t>2bs.1</t>
  </si>
  <si>
    <t>2bt.1</t>
  </si>
  <si>
    <t>2bu.1</t>
  </si>
  <si>
    <t>2bv.1</t>
  </si>
  <si>
    <t>2bw.1</t>
  </si>
  <si>
    <t>2bx.1</t>
  </si>
  <si>
    <t>2by.1</t>
  </si>
  <si>
    <t>2bz.1</t>
  </si>
  <si>
    <t>2baa.1</t>
  </si>
  <si>
    <t>2bab.1</t>
  </si>
  <si>
    <t>2bac.1</t>
  </si>
  <si>
    <t>2bad.1</t>
  </si>
  <si>
    <t>2bae.1</t>
  </si>
  <si>
    <t>14a</t>
  </si>
  <si>
    <t>Tschakert 2007</t>
  </si>
  <si>
    <t>Tierra Colectiva</t>
  </si>
  <si>
    <t>Panama</t>
  </si>
  <si>
    <t>Richer households (land holding ~ 74 ha) had a greater focus on pasture than cropland (~18%, 8% respectively) whilst poorer households (land holding ~22 ha) exhibited the opposite trends (pasture ~5%, cropland ~33%). Therefore cropland only accounted for 0.8-2.2ha on average. The average household size was 6.6</t>
  </si>
  <si>
    <t>14a.1</t>
  </si>
  <si>
    <t>14a.2</t>
  </si>
  <si>
    <t xml:space="preserve">Wealthier families with larger land holdings could afford longer fallow periods. Fire linked explicitly to fallow-cycle by authors. </t>
  </si>
  <si>
    <t xml:space="preserve">Poorer, traditional swidden farmers with smaller land holdings were forced to use shorter fallow lengths. Fire linked explicitly to fallow-cycle by authors. </t>
  </si>
  <si>
    <t>15a</t>
  </si>
  <si>
    <t>15b</t>
  </si>
  <si>
    <t>Kilawe et al 2018</t>
  </si>
  <si>
    <t>Tanzania</t>
  </si>
  <si>
    <t xml:space="preserve">Ibingu </t>
  </si>
  <si>
    <t>Ilakala</t>
  </si>
  <si>
    <t xml:space="preserve">15b </t>
  </si>
  <si>
    <t>15c</t>
  </si>
  <si>
    <t>15d</t>
  </si>
  <si>
    <t>15a.1</t>
  </si>
  <si>
    <t>15b.1</t>
  </si>
  <si>
    <t>15c.1</t>
  </si>
  <si>
    <t>15d.1</t>
  </si>
  <si>
    <t>Fire return period inferred from distribution of fallow age amongst land holdings of farmers with different wealth levels and farm size. A cultivation period of 2 years is assumed, as is noted by the authors as typical.</t>
  </si>
  <si>
    <t>Pre-industrial</t>
  </si>
  <si>
    <t>Cropping, Monoculture, Market-oriented</t>
  </si>
  <si>
    <t>Cropping, Monoculture, Subsistence-oriented</t>
  </si>
  <si>
    <t>Colombian Amazon (other)</t>
  </si>
  <si>
    <t>January</t>
  </si>
  <si>
    <t xml:space="preserve">November </t>
  </si>
  <si>
    <t>Enforcement of anti-burning laws has changed burning practice</t>
  </si>
  <si>
    <t>Population pressure has led to changed practices, involving increased tillage and mulch to allow longer cultivation periods and less fallow.</t>
  </si>
  <si>
    <t>15a.2</t>
  </si>
  <si>
    <t>July</t>
  </si>
  <si>
    <t>August</t>
  </si>
  <si>
    <t>Cultural &amp; Spiritual</t>
  </si>
  <si>
    <t>15b.2</t>
  </si>
  <si>
    <t>"Early- burn" was used to ward off snakes and other predators, as well as for religious and cultural reasons; the practice had ended by 2013.</t>
  </si>
  <si>
    <t>Burned area from early burn not given</t>
  </si>
  <si>
    <t>15a.3</t>
  </si>
  <si>
    <t>15b.3</t>
  </si>
  <si>
    <t>15c.2</t>
  </si>
  <si>
    <t>15d.2</t>
  </si>
  <si>
    <t xml:space="preserve">Annual forest loss to intensive cultivation over the period 1995 to 2013. Such 'slash-and-burn' frontier agriculture is directly linked to fire by the authors. Number not given for Ibungu as authors note all fires had stopped due to legislation. </t>
  </si>
  <si>
    <t>Fire return period is the author's noted average agricutural use + fallow period for each location and date, weighted by the proportion of intensive and shifting cultivation. Burned area is calculated using fire return period, weighted by land covers calculated from remote sensing.</t>
  </si>
  <si>
    <t>16a</t>
  </si>
  <si>
    <t>Luoga et al 2000</t>
  </si>
  <si>
    <t>Kitulanghalo Forest Reserve</t>
  </si>
  <si>
    <t>16a.1</t>
  </si>
  <si>
    <t>17a</t>
  </si>
  <si>
    <t>Chidumayo 1987</t>
  </si>
  <si>
    <t>Zambia</t>
  </si>
  <si>
    <t>Mansa</t>
  </si>
  <si>
    <t>17a.1</t>
  </si>
  <si>
    <t>September</t>
  </si>
  <si>
    <t xml:space="preserve">Field preparation directly linked to burning of vegetation to create a charcoal-based fertiliser. </t>
  </si>
  <si>
    <t>17b</t>
  </si>
  <si>
    <t>17b.1</t>
  </si>
  <si>
    <t>Allan (1949) cited by Chidumayo 1987</t>
  </si>
  <si>
    <t>18a</t>
  </si>
  <si>
    <t>Nguru Mountains</t>
  </si>
  <si>
    <t>18a.1</t>
  </si>
  <si>
    <t>18a.2</t>
  </si>
  <si>
    <t>Annual fire on swidden croplands; average usage was 10 years, the same as fallow legnth (10 years)</t>
  </si>
  <si>
    <t>Proportion of cropland in use (50%) multiplied by the number of regimes using annual fire (80%)</t>
  </si>
  <si>
    <t>Proportion of secondary vegetation being prepared as cropland</t>
  </si>
  <si>
    <t>Average usage was 10 years, with an average of 10 years fallow.</t>
  </si>
  <si>
    <t>19a</t>
  </si>
  <si>
    <t>Ihombwe</t>
  </si>
  <si>
    <t>Region or district</t>
  </si>
  <si>
    <t>Kilosa</t>
  </si>
  <si>
    <t>19a.1</t>
  </si>
  <si>
    <t xml:space="preserve">20a </t>
  </si>
  <si>
    <t>Itani 2007</t>
  </si>
  <si>
    <t>Mfuto</t>
  </si>
  <si>
    <t>Mbozi</t>
  </si>
  <si>
    <t>20a</t>
  </si>
  <si>
    <t>20a.1</t>
  </si>
  <si>
    <t>Oxen-driven ploughing replaced traditional shifting cultivation.</t>
  </si>
  <si>
    <t>Due to the degradation of secondary woodlands and the impact of 'viligisation', villagers adopted an 'etumba' system, which involves a form of mulching of vegetation debris, rather than burning.</t>
  </si>
  <si>
    <t>Specific length of fallow period is not mentioned. Fields are used for 2 years before being returned to fallow.</t>
  </si>
  <si>
    <t>20a.2</t>
  </si>
  <si>
    <t>20a.3</t>
  </si>
  <si>
    <t>Maize monoculture is 'sweeping' through the region due to a spike in the maize price from 2002 enabling farmers to invest in oxen-driven ploughing, to produce maize for sale. 
Due to its remote location, the government national maize project (began 1974-75) did not reach Mfuto.</t>
  </si>
  <si>
    <t>21a</t>
  </si>
  <si>
    <t>21b</t>
  </si>
  <si>
    <t>Ulinji</t>
  </si>
  <si>
    <t>Sumbawanga</t>
  </si>
  <si>
    <t>David Chikoti</t>
  </si>
  <si>
    <t>Birch-Thompson 1999</t>
  </si>
  <si>
    <t>Drought animal use was 87%, which is closely associated with planting of high-yield maize for sale at market.</t>
  </si>
  <si>
    <t>21a.1</t>
  </si>
  <si>
    <t>Animal-ploughing and maize monoculture had replaced fire-fallowing</t>
  </si>
  <si>
    <t>21b.1</t>
  </si>
  <si>
    <t>In cases of Swidden, the grass mound 'etumba' system dominates. This is a fire free mulching system.</t>
  </si>
  <si>
    <t>Mbala</t>
  </si>
  <si>
    <t>22a</t>
  </si>
  <si>
    <t>22b</t>
  </si>
  <si>
    <t>22c</t>
  </si>
  <si>
    <t>22d</t>
  </si>
  <si>
    <t>Grogan et al 2013</t>
  </si>
  <si>
    <t>Ulumi</t>
  </si>
  <si>
    <t>Mashete</t>
  </si>
  <si>
    <t>Bwacha</t>
  </si>
  <si>
    <t>Ngoma</t>
  </si>
  <si>
    <t>Kasama</t>
  </si>
  <si>
    <t>22a.1</t>
  </si>
  <si>
    <t>22a.2</t>
  </si>
  <si>
    <t>The degradation of woodland has meant the abandonment of ntmele (fire-fallow) agriculture, which requires secondary forest to burn.</t>
  </si>
  <si>
    <t>The decline in maize price following liberalisation led to a return to more subsistence agriculture. However, monoculture systems remained.</t>
  </si>
  <si>
    <t>22b.1</t>
  </si>
  <si>
    <t>22b.2</t>
  </si>
  <si>
    <t>22b.3</t>
  </si>
  <si>
    <t>The nteme, slash-and-burn system had decreased to only 5% of households by 2010.</t>
  </si>
  <si>
    <t>22c.1</t>
  </si>
  <si>
    <t>22c.2</t>
  </si>
  <si>
    <t>22c.3</t>
  </si>
  <si>
    <t>22d.1</t>
  </si>
  <si>
    <t>22d.2</t>
  </si>
  <si>
    <t>22d.3</t>
  </si>
  <si>
    <t>The nteme system still dominated in Ngoma, and was practiced by 100% of households. It was complemented by grassland swidden (23%) and semi-permanent monoculture (40%)</t>
  </si>
  <si>
    <t>The nteme, slash-and-burn system had decreased to only 11% of households by 2010.</t>
  </si>
  <si>
    <t xml:space="preserve">Drought animal use was 53%, which is closely associated with planting of high-yield maize for sale at market. </t>
  </si>
  <si>
    <t>Villigisation and centralised government policies from 1974-75 had effectively ended shifting cultivation. The decline in maize price following liberalisation led to a return to more subsistence agriculture. However, monoculture systems remained: Subsistence monoculture (65%), shifting grassland cultivation (35%)</t>
  </si>
  <si>
    <t>The decline in maize price following liberalisation led to a return to more subsistence agriculture. However, monoculture systems remained: Subsistence monoculture (41%), shifting grassland cultivation (55%)</t>
  </si>
  <si>
    <t>Ngoma was a remote village accessible only by an unmaintained dirt road.</t>
  </si>
  <si>
    <t>Bwacha is 20km from the main market town of Kasama.</t>
  </si>
  <si>
    <t>22e</t>
  </si>
  <si>
    <t>22f</t>
  </si>
  <si>
    <t>22g</t>
  </si>
  <si>
    <t>22e.1</t>
  </si>
  <si>
    <t>22e.2</t>
  </si>
  <si>
    <t>22f.1</t>
  </si>
  <si>
    <t>22f.2</t>
  </si>
  <si>
    <t>22f.3</t>
  </si>
  <si>
    <t>22g.1</t>
  </si>
  <si>
    <t>22g.2</t>
  </si>
  <si>
    <t>22g.3</t>
  </si>
  <si>
    <t>Extent of shifting (slash &amp; burn) in the region is dependent on the availability of woodland.</t>
  </si>
  <si>
    <t>23a</t>
  </si>
  <si>
    <t>24a</t>
  </si>
  <si>
    <t>Hume 2006</t>
  </si>
  <si>
    <t>Andasibe</t>
  </si>
  <si>
    <t xml:space="preserve">All farmers interviewed practiced both tavy (slash and burn) and permanent monoculture. Tavy was focused on hillsides and hilltops, whilst permament farming was conducted in valleys and by rivers. </t>
  </si>
  <si>
    <t>24a.1</t>
  </si>
  <si>
    <t>5 years of cropping plus 3 years' fallow</t>
  </si>
  <si>
    <t>Several' farmers argued that is quoted as saying - since the climate is cool, one must heat the soil for the seed to germinate and the plants to be strong enough to produce grain.</t>
  </si>
  <si>
    <t>24a.2</t>
  </si>
  <si>
    <t>24a.3</t>
  </si>
  <si>
    <t xml:space="preserve">Irrigated agriculture focused on valleys and in riverine areas. </t>
  </si>
  <si>
    <t>25a</t>
  </si>
  <si>
    <t>Brinkmann et al 2014</t>
  </si>
  <si>
    <t>Presence / Absence</t>
  </si>
  <si>
    <t>Presence</t>
  </si>
  <si>
    <t>Absence</t>
  </si>
  <si>
    <t>Fire restricted</t>
  </si>
  <si>
    <t>Fire banned</t>
  </si>
  <si>
    <t>Control measures</t>
  </si>
  <si>
    <t>Economic restriction</t>
  </si>
  <si>
    <t>Environmental restriction</t>
  </si>
  <si>
    <t>Human health restriction</t>
  </si>
  <si>
    <t>Economic ban</t>
  </si>
  <si>
    <t>Environmental ban</t>
  </si>
  <si>
    <t>Human health ban</t>
  </si>
  <si>
    <t>Yes</t>
  </si>
  <si>
    <t>Extinction measures</t>
  </si>
  <si>
    <t>Institutional agent type</t>
  </si>
  <si>
    <t>No</t>
  </si>
  <si>
    <t>25a.1</t>
  </si>
  <si>
    <t>25a.2</t>
  </si>
  <si>
    <t xml:space="preserve">Deforestation was primarily associated with presence of shifting cultivation (spearman's rho = 0.47), but was also correlated with cropland (rho = 0.39). Deforestation was clustered towards more marginal villages where shifting cultivation was practiced. </t>
  </si>
  <si>
    <t>National Government</t>
  </si>
  <si>
    <t xml:space="preserve">Cattle production took place closer to more established villages, where forest clearing bans were more robustly enforced. </t>
  </si>
  <si>
    <t>State Government</t>
  </si>
  <si>
    <t xml:space="preserve">26a </t>
  </si>
  <si>
    <t>Jakovac 2017</t>
  </si>
  <si>
    <t>Tefe</t>
  </si>
  <si>
    <t>26a</t>
  </si>
  <si>
    <t>26b</t>
  </si>
  <si>
    <t>26a.1</t>
  </si>
  <si>
    <t>26a.2</t>
  </si>
  <si>
    <t>26b.1</t>
  </si>
  <si>
    <t>26b.2</t>
  </si>
  <si>
    <t>Due to difficulty of access in the riverine landscape, 80% of fields are within 2km of a village.</t>
  </si>
  <si>
    <t>Legal Amazon</t>
  </si>
  <si>
    <t>Van vliet 2013</t>
  </si>
  <si>
    <t>28a</t>
  </si>
  <si>
    <t>28b</t>
  </si>
  <si>
    <t>Rondonia</t>
  </si>
  <si>
    <t>Theobroma</t>
  </si>
  <si>
    <t>Acre</t>
  </si>
  <si>
    <t>Pedro Peixoto</t>
  </si>
  <si>
    <t>Vosti 2002</t>
  </si>
  <si>
    <t>28b.1</t>
  </si>
  <si>
    <t>28b.2</t>
  </si>
  <si>
    <t>28a.1</t>
  </si>
  <si>
    <t>28a.2</t>
  </si>
  <si>
    <t xml:space="preserve">Study area (7850) calculated as radius of circle 50km2 around town of Tefe. 
Fallow length is reported; burned area in secondary vegetation %BA is the inverse +1 for active production. Total clearance is reported, and taken as burned area. </t>
  </si>
  <si>
    <t>28a.3</t>
  </si>
  <si>
    <t>28b.3</t>
  </si>
  <si>
    <t>Study focuses on government pioneer farming settlements, with higher agricultural land covers than typical for the region.  Page 69 for yields and pasture carrying capacity yields after a burn.</t>
  </si>
  <si>
    <t>84% of farmers reported burning their pasture annually to kill weeds. Pasture covered an average of 27% of farmers' land.</t>
  </si>
  <si>
    <t>29a</t>
  </si>
  <si>
    <t>29b</t>
  </si>
  <si>
    <t>29c</t>
  </si>
  <si>
    <t>29d</t>
  </si>
  <si>
    <t>29e</t>
  </si>
  <si>
    <t>29f</t>
  </si>
  <si>
    <t>29g</t>
  </si>
  <si>
    <t>29h</t>
  </si>
  <si>
    <t>29i</t>
  </si>
  <si>
    <t>Sri Lanka</t>
  </si>
  <si>
    <t>29a.1</t>
  </si>
  <si>
    <t>Fire return is fallow period + 2</t>
  </si>
  <si>
    <t>Foothills of Perijia mountain range</t>
  </si>
  <si>
    <t>Venezuela</t>
  </si>
  <si>
    <t>Bari Indigenous reserve</t>
  </si>
  <si>
    <t>29b.1</t>
  </si>
  <si>
    <t xml:space="preserve">Pasture lands were reported to be growing, meaning swidden plots were further and further away from Bari settlements. </t>
  </si>
  <si>
    <t>30a</t>
  </si>
  <si>
    <t>Pingali et al 1987</t>
  </si>
  <si>
    <t>Cote d'Ivoire</t>
  </si>
  <si>
    <t>30a.1</t>
  </si>
  <si>
    <t>30b</t>
  </si>
  <si>
    <t>30a.2</t>
  </si>
  <si>
    <t>30c</t>
  </si>
  <si>
    <t>Guinea</t>
  </si>
  <si>
    <t>30c.1</t>
  </si>
  <si>
    <t>30d</t>
  </si>
  <si>
    <t>30b.1</t>
  </si>
  <si>
    <t>30d.1</t>
  </si>
  <si>
    <t>30e</t>
  </si>
  <si>
    <t>30e.1</t>
  </si>
  <si>
    <t>31a</t>
  </si>
  <si>
    <t>Madagascar</t>
  </si>
  <si>
    <t>Keck et al 1994</t>
  </si>
  <si>
    <t>Incentives</t>
  </si>
  <si>
    <t>Economic incentives</t>
  </si>
  <si>
    <t>Environmental incentives</t>
  </si>
  <si>
    <t>Health incentives</t>
  </si>
  <si>
    <t>31a.1</t>
  </si>
  <si>
    <t>31a.2</t>
  </si>
  <si>
    <t>Reported (policy) &amp; Inferred - fallow length</t>
  </si>
  <si>
    <t>Falierana</t>
  </si>
  <si>
    <t>Fanovana</t>
  </si>
  <si>
    <t>Madiorano</t>
  </si>
  <si>
    <t>Maravoalavo</t>
  </si>
  <si>
    <t>Menalamba</t>
  </si>
  <si>
    <t>Village name could not be identified and georeferenced</t>
  </si>
  <si>
    <t>30b.2</t>
  </si>
  <si>
    <t>30c.2</t>
  </si>
  <si>
    <t>30d.2</t>
  </si>
  <si>
    <t>30e.2</t>
  </si>
  <si>
    <t>32a</t>
  </si>
  <si>
    <t>33a</t>
  </si>
  <si>
    <t>Prill-Brett 1986</t>
  </si>
  <si>
    <t>Kukutan</t>
  </si>
  <si>
    <t>Bontoc</t>
  </si>
  <si>
    <t>Philippines</t>
  </si>
  <si>
    <t>29c.1</t>
  </si>
  <si>
    <t>29d.1</t>
  </si>
  <si>
    <t>29e.1</t>
  </si>
  <si>
    <t>29f.1</t>
  </si>
  <si>
    <t>29g.1</t>
  </si>
  <si>
    <t>29h.1</t>
  </si>
  <si>
    <t>29i.1</t>
  </si>
  <si>
    <t>33a.1</t>
  </si>
  <si>
    <t>Fallow linked explicitly to burning</t>
  </si>
  <si>
    <t>Paddy fields developed without use of residue burning for preparation</t>
  </si>
  <si>
    <t>33a.3</t>
  </si>
  <si>
    <t>33a.2</t>
  </si>
  <si>
    <t xml:space="preserve">February </t>
  </si>
  <si>
    <t>Seasonal, backloaded</t>
  </si>
  <si>
    <t>34a</t>
  </si>
  <si>
    <t>Dove 1983</t>
  </si>
  <si>
    <t>West Kalimantan</t>
  </si>
  <si>
    <t>34a.1</t>
  </si>
  <si>
    <t>34a.2</t>
  </si>
  <si>
    <t xml:space="preserve">Secondary forest and primary forest sites were both chosen in a tradeoff between labour cost and yield. The system was stable with contemporary population level. </t>
  </si>
  <si>
    <t xml:space="preserve">35a </t>
  </si>
  <si>
    <t>Siren 2007</t>
  </si>
  <si>
    <t>Sarayaku</t>
  </si>
  <si>
    <t>Pastaza</t>
  </si>
  <si>
    <t xml:space="preserve">Ecuador </t>
  </si>
  <si>
    <t>35a</t>
  </si>
  <si>
    <t>35a.1</t>
  </si>
  <si>
    <t>35a.2</t>
  </si>
  <si>
    <t>36a</t>
  </si>
  <si>
    <t>Coomes 2000</t>
  </si>
  <si>
    <t>San Jose'</t>
  </si>
  <si>
    <t>Iquitos</t>
  </si>
  <si>
    <t>Peru</t>
  </si>
  <si>
    <t>36a.1</t>
  </si>
  <si>
    <t>37a</t>
  </si>
  <si>
    <t>Tai</t>
  </si>
  <si>
    <t>Tai Forest Region</t>
  </si>
  <si>
    <t>37a.2</t>
  </si>
  <si>
    <t>37a.1</t>
  </si>
  <si>
    <t xml:space="preserve">Fire difrectly linked to fallow period. </t>
  </si>
  <si>
    <t>38a</t>
  </si>
  <si>
    <t>de Rouw 2013</t>
  </si>
  <si>
    <t>Ban Lak Sip</t>
  </si>
  <si>
    <t>Luang Prabang</t>
  </si>
  <si>
    <t xml:space="preserve">March </t>
  </si>
  <si>
    <t>Farmers' use the 250-1000 elevation belt, and do not use dipterocarp (dry) forest</t>
  </si>
  <si>
    <t>Return period calculated from the full reported fire history of each plot in the study.</t>
  </si>
  <si>
    <t>39a</t>
  </si>
  <si>
    <t>Roder 1997</t>
  </si>
  <si>
    <t>Prabang</t>
  </si>
  <si>
    <t>40a</t>
  </si>
  <si>
    <t>Ducourtoix 2005</t>
  </si>
  <si>
    <t>Phongsaly</t>
  </si>
  <si>
    <t>40b</t>
  </si>
  <si>
    <t>40a.1</t>
  </si>
  <si>
    <t>40b.1</t>
  </si>
  <si>
    <t>40a.2</t>
  </si>
  <si>
    <t>41a</t>
  </si>
  <si>
    <t>41b</t>
  </si>
  <si>
    <t>41c</t>
  </si>
  <si>
    <t>Roder 2001</t>
  </si>
  <si>
    <t>41a.1</t>
  </si>
  <si>
    <t>41a.2</t>
  </si>
  <si>
    <t>41a.3</t>
  </si>
  <si>
    <t>41b.1</t>
  </si>
  <si>
    <t>41b.2</t>
  </si>
  <si>
    <t>41b.3</t>
  </si>
  <si>
    <t>41d</t>
  </si>
  <si>
    <t>41e</t>
  </si>
  <si>
    <t>41f</t>
  </si>
  <si>
    <t>Bokeo</t>
  </si>
  <si>
    <t>42a</t>
  </si>
  <si>
    <t>42b</t>
  </si>
  <si>
    <t>42c</t>
  </si>
  <si>
    <t>42d</t>
  </si>
  <si>
    <t>Linquist et al 2007</t>
  </si>
  <si>
    <t>Namo</t>
  </si>
  <si>
    <t>Oudomxay</t>
  </si>
  <si>
    <t>42e</t>
  </si>
  <si>
    <t>42f</t>
  </si>
  <si>
    <t>Yields calculated as a weighted average of the amount of paddy (3.5 t/ha) and upland swidden (1.5 t/ha)</t>
  </si>
  <si>
    <t>42a.1</t>
  </si>
  <si>
    <t>Shortage of land left many farmers annual cropping. Fallow length is weighted average of fallow lengths in the village +2 years.</t>
  </si>
  <si>
    <t xml:space="preserve">Paddy had replaced upland swidden in response to land reforms and population pressure. </t>
  </si>
  <si>
    <t>42b.1</t>
  </si>
  <si>
    <t>42c.1</t>
  </si>
  <si>
    <t>Before 1990. longer fallows meant paddy and upland swidden both yielded 3-4 t/ha</t>
  </si>
  <si>
    <t>42e.1</t>
  </si>
  <si>
    <t>42e.2</t>
  </si>
  <si>
    <t>42f.2</t>
  </si>
  <si>
    <t>42d.2</t>
  </si>
  <si>
    <t>Fire return is fallow + 2</t>
  </si>
  <si>
    <t>42.a.1</t>
  </si>
  <si>
    <t>42.b.1</t>
  </si>
  <si>
    <t>42.c.1</t>
  </si>
  <si>
    <t>42.a.2</t>
  </si>
  <si>
    <t>42.b.2</t>
  </si>
  <si>
    <t>42.c.2</t>
  </si>
  <si>
    <t>43a</t>
  </si>
  <si>
    <t>43b</t>
  </si>
  <si>
    <t>43c</t>
  </si>
  <si>
    <t>Watanabe 2004</t>
  </si>
  <si>
    <t>Thin Kaeo</t>
  </si>
  <si>
    <t>Phon Xai</t>
  </si>
  <si>
    <t>Long Louat</t>
  </si>
  <si>
    <t>Xiang Ngeun</t>
  </si>
  <si>
    <t>Laos</t>
  </si>
  <si>
    <t>43a.1</t>
  </si>
  <si>
    <t>43a.2</t>
  </si>
  <si>
    <t>42f.1</t>
  </si>
  <si>
    <t>42d.1</t>
  </si>
  <si>
    <t>43b.1</t>
  </si>
  <si>
    <t>43b.2</t>
  </si>
  <si>
    <t>43c.1</t>
  </si>
  <si>
    <t>38a.1</t>
  </si>
  <si>
    <t>39a.1</t>
  </si>
  <si>
    <t>39a.2</t>
  </si>
  <si>
    <t>39a.3</t>
  </si>
  <si>
    <t>43c.2</t>
  </si>
  <si>
    <t>Paddy Fields</t>
  </si>
  <si>
    <t>44a</t>
  </si>
  <si>
    <t>Satoshi 2004</t>
  </si>
  <si>
    <t>Pak Luang</t>
  </si>
  <si>
    <t>44a.1</t>
  </si>
  <si>
    <t>Fire return is fallow + 1 (given explicitly).</t>
  </si>
  <si>
    <t xml:space="preserve">Illicit poppy production was the main complement to swidden. There were no paddy fields in the study area. Study documents diverse array of NTFP gathered by villagers. </t>
  </si>
  <si>
    <t>45a</t>
  </si>
  <si>
    <t>1 year fallow + 2 years planting reported</t>
  </si>
  <si>
    <t>46a</t>
  </si>
  <si>
    <t>45b</t>
  </si>
  <si>
    <t>45c</t>
  </si>
  <si>
    <t>Pieng Xai</t>
  </si>
  <si>
    <t>Keo Xik</t>
  </si>
  <si>
    <t>Khang Khao</t>
  </si>
  <si>
    <t>Huaphan</t>
  </si>
  <si>
    <t xml:space="preserve">Paddy fields were emerging as a response to shorter fallow lengths, driven by central land allocation. </t>
  </si>
  <si>
    <t>45a.1</t>
  </si>
  <si>
    <t>45b.1</t>
  </si>
  <si>
    <t>45c.1</t>
  </si>
  <si>
    <t>Seidenberg 2003</t>
  </si>
  <si>
    <t>Lambert 1996</t>
  </si>
  <si>
    <t>Ejido La Laja</t>
  </si>
  <si>
    <t>Guerrero</t>
  </si>
  <si>
    <t>Mexico</t>
  </si>
  <si>
    <t xml:space="preserve">46a </t>
  </si>
  <si>
    <t xml:space="preserve">Fire size from reported field size; 3:7 cultivation fallow system is reported explicitly. </t>
  </si>
  <si>
    <t>46a.1</t>
  </si>
  <si>
    <t>47a</t>
  </si>
  <si>
    <t>47b</t>
  </si>
  <si>
    <t>Pandey 1998</t>
  </si>
  <si>
    <t>Nguyen Binh</t>
  </si>
  <si>
    <t>Cao Bang</t>
  </si>
  <si>
    <t>Ngan Son</t>
  </si>
  <si>
    <t>Vietnam</t>
  </si>
  <si>
    <t xml:space="preserve">47a </t>
  </si>
  <si>
    <t>47a.1</t>
  </si>
  <si>
    <t>47b.1</t>
  </si>
  <si>
    <t>47a.2</t>
  </si>
  <si>
    <t>47b.2</t>
  </si>
  <si>
    <t>48a</t>
  </si>
  <si>
    <t>Nanga Sumpa</t>
  </si>
  <si>
    <t>Malaysia</t>
  </si>
  <si>
    <t>Marup Baroh</t>
  </si>
  <si>
    <t>Mertz 1997</t>
  </si>
  <si>
    <t>48b</t>
  </si>
  <si>
    <t>48a.1</t>
  </si>
  <si>
    <t>48a.2</t>
  </si>
  <si>
    <t>48a.3</t>
  </si>
  <si>
    <t>48a.4</t>
  </si>
  <si>
    <t>48a.5</t>
  </si>
  <si>
    <t>48b.1</t>
  </si>
  <si>
    <t>48b.2</t>
  </si>
  <si>
    <t>49a</t>
  </si>
  <si>
    <t>49b</t>
  </si>
  <si>
    <t>49c</t>
  </si>
  <si>
    <t>49d</t>
  </si>
  <si>
    <t>49e</t>
  </si>
  <si>
    <t>49f</t>
  </si>
  <si>
    <t>Lim 1998</t>
  </si>
  <si>
    <t>Tudan Ulu</t>
  </si>
  <si>
    <t>Babagon</t>
  </si>
  <si>
    <t>Notoruss</t>
  </si>
  <si>
    <t>Tagudon</t>
  </si>
  <si>
    <t>Moyog</t>
  </si>
  <si>
    <t>Sabah</t>
  </si>
  <si>
    <t>49a.1</t>
  </si>
  <si>
    <t>49b.1</t>
  </si>
  <si>
    <t>49c.1</t>
  </si>
  <si>
    <t>49d.1</t>
  </si>
  <si>
    <t>49e.1</t>
  </si>
  <si>
    <t>49f.1</t>
  </si>
  <si>
    <t xml:space="preserve">Upland rice swidden had been replaced by cash crops such as pinepapple, vegetables and tropical fruits. </t>
  </si>
  <si>
    <t>50a</t>
  </si>
  <si>
    <t>Williams 1965 (cited in Lim 1998)</t>
  </si>
  <si>
    <t>Sensuron</t>
  </si>
  <si>
    <t>50a.1</t>
  </si>
  <si>
    <t xml:space="preserve">51a </t>
  </si>
  <si>
    <t>Cochran 2008</t>
  </si>
  <si>
    <t>Rio Patuca Flood Plain</t>
  </si>
  <si>
    <t>Honduras</t>
  </si>
  <si>
    <t>51a</t>
  </si>
  <si>
    <t>51a.1</t>
  </si>
  <si>
    <t>51a.2</t>
  </si>
  <si>
    <t>51a.3</t>
  </si>
  <si>
    <t>52a</t>
  </si>
  <si>
    <t>Gurri 2002</t>
  </si>
  <si>
    <t>Central Maize Region</t>
  </si>
  <si>
    <t>Yucatan</t>
  </si>
  <si>
    <t>52a.1</t>
  </si>
  <si>
    <t>Irrigated Maize Production</t>
  </si>
  <si>
    <t>79.1% of plots used herbicides due to weeds from short fallowing</t>
  </si>
  <si>
    <t xml:space="preserve">1994 agriculture laws promoted commercial agriculture, particularly citrus production in the region. </t>
  </si>
  <si>
    <t>53a</t>
  </si>
  <si>
    <t>Ku 1992 cited in Gurri 2002</t>
  </si>
  <si>
    <t>Yaxcaba district</t>
  </si>
  <si>
    <t>53a.1</t>
  </si>
  <si>
    <t>54a</t>
  </si>
  <si>
    <t xml:space="preserve">Yucatan </t>
  </si>
  <si>
    <t>Hartter 2008</t>
  </si>
  <si>
    <t>54b</t>
  </si>
  <si>
    <t>54c</t>
  </si>
  <si>
    <t>54d</t>
  </si>
  <si>
    <t>54e</t>
  </si>
  <si>
    <t>54f</t>
  </si>
  <si>
    <t>Small holder dominated site</t>
  </si>
  <si>
    <t>Forested study site</t>
  </si>
  <si>
    <t>54d.1</t>
  </si>
  <si>
    <t>54f.1</t>
  </si>
  <si>
    <t>54b.1</t>
  </si>
  <si>
    <t>Not possible to distinguish swidden from subsistance monoculture</t>
  </si>
  <si>
    <t>PROCAMPO agrarian reforms established large communal forests</t>
  </si>
  <si>
    <t>54b.2</t>
  </si>
  <si>
    <t>54f.2</t>
  </si>
  <si>
    <t>54d.2</t>
  </si>
  <si>
    <t xml:space="preserve">55a </t>
  </si>
  <si>
    <t>Mangora 2005</t>
  </si>
  <si>
    <t>Urambo</t>
  </si>
  <si>
    <t>Tabora</t>
  </si>
  <si>
    <t>Inferred - deforestation and fallow length</t>
  </si>
  <si>
    <t>55a</t>
  </si>
  <si>
    <t>Forestry, Small-scale</t>
  </si>
  <si>
    <t>55a.1</t>
  </si>
  <si>
    <t>55a.2</t>
  </si>
  <si>
    <t>55a.3</t>
  </si>
  <si>
    <t>Due to shortage of land, pesticides and fertilisers had begun to replace swidden.</t>
  </si>
  <si>
    <t xml:space="preserve">46.5% of forest clearance was for wood to cure tobacco; wood from lands cleared for agriculture would be used for curing rather than soil fertilisation. </t>
  </si>
  <si>
    <t>56a</t>
  </si>
  <si>
    <t>Araki 2007</t>
  </si>
  <si>
    <t>Mpika</t>
  </si>
  <si>
    <t>Muchinga</t>
  </si>
  <si>
    <t xml:space="preserve">The 'Maize Marketing Board' supplied farmers with seed, fertilisers and access to credit. </t>
  </si>
  <si>
    <t>56a.1</t>
  </si>
  <si>
    <t>End of the 1980s/1990s Maize marketing programme had left farmers with "little reason to invest in their land"</t>
  </si>
  <si>
    <t>57a</t>
  </si>
  <si>
    <t>Oyama 1996</t>
  </si>
  <si>
    <t>Mulenga-Kapuli</t>
  </si>
  <si>
    <t>57a.1</t>
  </si>
  <si>
    <t xml:space="preserve">Fire size from field size. Citemene cultivation involves harvesting several ha of woodland to be burned on a single 'garden' site. </t>
  </si>
  <si>
    <t>58a</t>
  </si>
  <si>
    <t>Dalle 2006</t>
  </si>
  <si>
    <t>58a.1</t>
  </si>
  <si>
    <t>X-Maben</t>
  </si>
  <si>
    <t>Felipe Carillo Puerto</t>
  </si>
  <si>
    <t>59a</t>
  </si>
  <si>
    <t>Nyerges 1989</t>
  </si>
  <si>
    <t>Outamba-Kilimi National Park</t>
  </si>
  <si>
    <t>Sierra Leone</t>
  </si>
  <si>
    <t>Kimili</t>
  </si>
  <si>
    <t xml:space="preserve">12.5% of cultivated area was paddy rice and kitchen gardens. </t>
  </si>
  <si>
    <t>59a.1</t>
  </si>
  <si>
    <t xml:space="preserve">60a </t>
  </si>
  <si>
    <t>Kembera</t>
  </si>
  <si>
    <t>Western Kalimantan</t>
  </si>
  <si>
    <t>Indonesia</t>
  </si>
  <si>
    <t>100-600m ASL</t>
  </si>
  <si>
    <t>60a</t>
  </si>
  <si>
    <t>60a.1</t>
  </si>
  <si>
    <t>Lawrence 1998, cited in Lawrence 2005</t>
  </si>
  <si>
    <t>61a</t>
  </si>
  <si>
    <t>Pulido 2006</t>
  </si>
  <si>
    <t>Harvesting of NTFPs</t>
  </si>
  <si>
    <t>61a.1</t>
  </si>
  <si>
    <t>Fire return is fallow + 2; fire size from field size - assumes that while each milpa is constructed of mean 3 sub-plots owned by different farmers, they are burned together.</t>
  </si>
  <si>
    <t>62a</t>
  </si>
  <si>
    <t>Padoch 2008</t>
  </si>
  <si>
    <t>Contamana</t>
  </si>
  <si>
    <t>62b</t>
  </si>
  <si>
    <t>Ponte de Pedras</t>
  </si>
  <si>
    <t>Marajo Island</t>
  </si>
  <si>
    <t>63a</t>
  </si>
  <si>
    <t xml:space="preserve">Brondizio 2008 </t>
  </si>
  <si>
    <t>"Small areas of savanna have been converted to planted pasture by the cooperative and also by larger farmers. A significant problem, how- ever, is the use of fire to 'clean' savanna areas of overgrowth; these fires can spread widely and to nearby forests during the dry season or during periods of extended drought."</t>
  </si>
  <si>
    <t xml:space="preserve">63a </t>
  </si>
  <si>
    <t>63a.1</t>
  </si>
  <si>
    <t>63a.2</t>
  </si>
  <si>
    <t>Increased acai agroforestry has reduced pressure on secondary vegetation and increased fallow length. An alternate pattern of burning in June is reported in the river delta.</t>
  </si>
  <si>
    <t>63a.3</t>
  </si>
  <si>
    <t>63a.4</t>
  </si>
  <si>
    <t xml:space="preserve">64a </t>
  </si>
  <si>
    <t>GETACCESS</t>
  </si>
  <si>
    <t>62c</t>
  </si>
  <si>
    <t>62d</t>
  </si>
  <si>
    <t>62e</t>
  </si>
  <si>
    <t>Nuevo Piura</t>
  </si>
  <si>
    <t>62b.1</t>
  </si>
  <si>
    <t>62c.1</t>
  </si>
  <si>
    <t>62d.1</t>
  </si>
  <si>
    <t>62e.1</t>
  </si>
  <si>
    <t>65a</t>
  </si>
  <si>
    <t>Rudel 2002</t>
  </si>
  <si>
    <t>Ecuador</t>
  </si>
  <si>
    <t>Chiguaza</t>
  </si>
  <si>
    <t>Study Date (end)</t>
  </si>
  <si>
    <t>65b</t>
  </si>
  <si>
    <t>64a</t>
  </si>
  <si>
    <t>65a.1</t>
  </si>
  <si>
    <t>65b.1</t>
  </si>
  <si>
    <t xml:space="preserve">Economic turmoil caused government to cut support for smallholders. </t>
  </si>
  <si>
    <t>Numbers do not include water, rock, urban land and bare ground. Around 90% of the land area was classified. After the withdrawal of subsidies, the naranjilla industry collapsed. The return to shifting cultivation was also driven by a need to restore soil health.</t>
  </si>
  <si>
    <t>66a</t>
  </si>
  <si>
    <t>Friere 2007</t>
  </si>
  <si>
    <t>Cataniapo River Basein</t>
  </si>
  <si>
    <t xml:space="preserve">Swidden was the dominant agricultural system, though repeated government attempts to introduce more modern agricultural techniques are reported. </t>
  </si>
  <si>
    <t>66a.1</t>
  </si>
  <si>
    <t xml:space="preserve">Government attempts to introduce more intensive agriculture are reported. </t>
  </si>
  <si>
    <t>67a</t>
  </si>
  <si>
    <t>Arce-Nazario 2007</t>
  </si>
  <si>
    <t>67b</t>
  </si>
  <si>
    <t>Panguana Island</t>
  </si>
  <si>
    <t>67a.1</t>
  </si>
  <si>
    <t>67b.1</t>
  </si>
  <si>
    <t>67a.2</t>
  </si>
  <si>
    <t>67b.2</t>
  </si>
  <si>
    <t>Dismantling of agrarian bank under neo-liberal reforms in 1990 had led to abandonment of previous monoculture farms</t>
  </si>
  <si>
    <t xml:space="preserve">Contamana </t>
  </si>
  <si>
    <t>68a</t>
  </si>
  <si>
    <t>Porro 2005</t>
  </si>
  <si>
    <t>Lago do Junco</t>
  </si>
  <si>
    <t xml:space="preserve">68a </t>
  </si>
  <si>
    <t>As well as fire-fallow 'roca' a slash and mulch system 'abafado' is reported at the end of the rainy season for production of beans.</t>
  </si>
  <si>
    <t>Clearing forest for pasture was a major source of employment for peasants.</t>
  </si>
  <si>
    <t>69a</t>
  </si>
  <si>
    <t>Lestrelin 2007</t>
  </si>
  <si>
    <t>Highly diverse land use is a response to a) land degradation (leading to e.g. tree plantation agriculture) and also increased market access following liberalisation in 1986. Yield is for rice.</t>
  </si>
  <si>
    <t>68a.1</t>
  </si>
  <si>
    <t>68a.2</t>
  </si>
  <si>
    <t>69a.1</t>
  </si>
  <si>
    <t>69b</t>
  </si>
  <si>
    <t>69c</t>
  </si>
  <si>
    <t xml:space="preserve">Data pre 2001 were constructed from interviews in 2001-2003 in conjunction with secondary data. </t>
  </si>
  <si>
    <t>Fire linked directly to fallowing</t>
  </si>
  <si>
    <t>69b.1</t>
  </si>
  <si>
    <t>69c.1</t>
  </si>
  <si>
    <t xml:space="preserve">70a </t>
  </si>
  <si>
    <t>Rasul 2004</t>
  </si>
  <si>
    <t>Bangladesh</t>
  </si>
  <si>
    <t>Dates of field work not given; estimated from publication date.</t>
  </si>
  <si>
    <t>Bandarban District</t>
  </si>
  <si>
    <t>70a</t>
  </si>
  <si>
    <t>70a.1</t>
  </si>
  <si>
    <t>71a</t>
  </si>
  <si>
    <t>Tuy</t>
  </si>
  <si>
    <t>Cambodia</t>
  </si>
  <si>
    <t>71b</t>
  </si>
  <si>
    <t>71c</t>
  </si>
  <si>
    <t>Fox 2008</t>
  </si>
  <si>
    <t>Leu Khun</t>
  </si>
  <si>
    <t>Krala</t>
  </si>
  <si>
    <t>Illegal logging reported; population pressure, demand for land for cashew plantations and limited land had made swidden increasingly impossible to sustain.</t>
  </si>
  <si>
    <t xml:space="preserve">Due to a lower population pressure, and more active land planning, a balance had been found that allowed swidden to be conducted somewhat sustainably. </t>
  </si>
  <si>
    <t xml:space="preserve">71a.1 </t>
  </si>
  <si>
    <t>71c.1</t>
  </si>
  <si>
    <t>72a</t>
  </si>
  <si>
    <t>72b</t>
  </si>
  <si>
    <t>72c</t>
  </si>
  <si>
    <t>72d</t>
  </si>
  <si>
    <t>72e</t>
  </si>
  <si>
    <t>72f</t>
  </si>
  <si>
    <t>72h</t>
  </si>
  <si>
    <t>72g</t>
  </si>
  <si>
    <t>72i</t>
  </si>
  <si>
    <t>Fu 2005</t>
  </si>
  <si>
    <t>Daka</t>
  </si>
  <si>
    <t>Xishuangbanna Dai</t>
  </si>
  <si>
    <t>Baka</t>
  </si>
  <si>
    <t>72a.1</t>
  </si>
  <si>
    <t>72b.1</t>
  </si>
  <si>
    <t>72c.1</t>
  </si>
  <si>
    <t>72d.1</t>
  </si>
  <si>
    <t>72e.1</t>
  </si>
  <si>
    <t>Fallow linked explicitly to fire</t>
  </si>
  <si>
    <t>Fire return is fallow + 2; linear extrapolation between value reported for 1985 and 2000</t>
  </si>
  <si>
    <t>Farm size takes values per capita and multiplies by average family size in 2000</t>
  </si>
  <si>
    <t xml:space="preserve">Farm size assumes family size has stayed roughly constant </t>
  </si>
  <si>
    <t xml:space="preserve">1983 Household Responsibility System allocated 0.026ha of paddy field to each person, whilst ownership remained collective. Households were also allowed to build and own additional paddy. Farm size assumes family size has stayed roughly constant </t>
  </si>
  <si>
    <t>72f.1</t>
  </si>
  <si>
    <t>72g.1</t>
  </si>
  <si>
    <t>72h.1</t>
  </si>
  <si>
    <t>72i.1</t>
  </si>
  <si>
    <t>73a</t>
  </si>
  <si>
    <t>Nampheng</t>
  </si>
  <si>
    <t>Nahom</t>
  </si>
  <si>
    <t>73b</t>
  </si>
  <si>
    <t>Thongmanivong 2006</t>
  </si>
  <si>
    <t>73a.1</t>
  </si>
  <si>
    <t>73b.1</t>
  </si>
  <si>
    <t>74a</t>
  </si>
  <si>
    <t>74b</t>
  </si>
  <si>
    <t>Dressler 2010</t>
  </si>
  <si>
    <t>Buenavista-cabayugan</t>
  </si>
  <si>
    <t>Pallawan Island</t>
  </si>
  <si>
    <t>74a.1</t>
  </si>
  <si>
    <t>74b.1</t>
  </si>
  <si>
    <t>Yield figure is for rice</t>
  </si>
  <si>
    <t>Local Government</t>
  </si>
  <si>
    <t>74a.2</t>
  </si>
  <si>
    <t>74b.2</t>
  </si>
  <si>
    <t>74a.3</t>
  </si>
  <si>
    <t>74a.4</t>
  </si>
  <si>
    <t>74b.3</t>
  </si>
  <si>
    <t>74b.4</t>
  </si>
  <si>
    <t>Nearby city of Puerto Princesa has sought to outlaw and restrict swidden.</t>
  </si>
  <si>
    <t xml:space="preserve">Nearby city of Puerto Princesa has sought to outlaw and restrict swidden. </t>
  </si>
  <si>
    <t>National government has long pursued anti-swidden policies for economic (protection of timber) and environmental reasons</t>
  </si>
  <si>
    <t>75a</t>
  </si>
  <si>
    <t>Fox 2009</t>
  </si>
  <si>
    <t>Xishuangbanna</t>
  </si>
  <si>
    <t>75b</t>
  </si>
  <si>
    <t>75c</t>
  </si>
  <si>
    <t>75d</t>
  </si>
  <si>
    <t>75e</t>
  </si>
  <si>
    <t>Akha Village</t>
  </si>
  <si>
    <t>Northern Laos</t>
  </si>
  <si>
    <t>Yunnan</t>
  </si>
  <si>
    <t>Northern Thailand</t>
  </si>
  <si>
    <t>Thailand</t>
  </si>
  <si>
    <t>Sarawak</t>
  </si>
  <si>
    <t>75f</t>
  </si>
  <si>
    <t>Tanjung Paku</t>
  </si>
  <si>
    <t>Central Kalimantan</t>
  </si>
  <si>
    <t>Sanggau</t>
  </si>
  <si>
    <t>75a.1</t>
  </si>
  <si>
    <t>75b.1</t>
  </si>
  <si>
    <t>75c.1</t>
  </si>
  <si>
    <t>75d.1</t>
  </si>
  <si>
    <t>75e.1</t>
  </si>
  <si>
    <t>75f.1</t>
  </si>
  <si>
    <t>75e.2</t>
  </si>
  <si>
    <t>"Swidden is likely to continue, despite official disapproval"</t>
  </si>
  <si>
    <t>Farmers provided subsidies to grow trees on hilly areas to prevent erosion. This led to an explosion of rubber plantations.</t>
  </si>
  <si>
    <t>In 2005 government enacted a rigorous campaign to eradicate opium cultivation in swidden fields, leading to a large population exodus. Chinese investors increasingly invest in cash crop production.</t>
  </si>
  <si>
    <t>"Substantial and growing discrepancies exist between what land uses are recognized by government institutions operating at different scales… while at the national level land use is officially forbidden or heavily restricted in most upland areas, many forms of land use (including limited areas of swidden) are sanctioned and governed by local institutions".</t>
  </si>
  <si>
    <t>Private Companies</t>
  </si>
  <si>
    <t>The government sponsored 'land custody development authority acts as a broker of land ownership between private investors and local land owners. Its role has been to "totally replace swidden fallows with oil palm plantations"</t>
  </si>
  <si>
    <t>76a</t>
  </si>
  <si>
    <t>Xu 2009</t>
  </si>
  <si>
    <t>Menang Watershed, Xishuangbanna</t>
  </si>
  <si>
    <t>Forests maintained by the government as a means of preventing flooding in the watershed</t>
  </si>
  <si>
    <t>76b</t>
  </si>
  <si>
    <t>76a.1</t>
  </si>
  <si>
    <t>76b.1</t>
  </si>
  <si>
    <t>76a.2</t>
  </si>
  <si>
    <t>Government banned all logging to prevent flooding.</t>
  </si>
  <si>
    <t>76a.3</t>
  </si>
  <si>
    <t>76b.2</t>
  </si>
  <si>
    <t xml:space="preserve">Feb </t>
  </si>
  <si>
    <t>Forests maintained by the government as a means of preventing flooding in the watershed; farmsize assumes 4 persons per household</t>
  </si>
  <si>
    <t>Mining</t>
  </si>
  <si>
    <t>77a</t>
  </si>
  <si>
    <t>Study year</t>
  </si>
  <si>
    <t>77a.1</t>
  </si>
  <si>
    <t>77a.2</t>
  </si>
  <si>
    <t>77a.3</t>
  </si>
  <si>
    <t>77a.4</t>
  </si>
  <si>
    <t>77a.5</t>
  </si>
  <si>
    <t>77a.6</t>
  </si>
  <si>
    <t>International NGOs</t>
  </si>
  <si>
    <t>77a.7</t>
  </si>
  <si>
    <t>77a.8</t>
  </si>
  <si>
    <t>Colonial era no-fire policies were maintained</t>
  </si>
  <si>
    <t>Civial war and uncoordinated government action has led to a lack of effective enforcement</t>
  </si>
  <si>
    <t>78a</t>
  </si>
  <si>
    <t>Hoffmann et al 2009</t>
  </si>
  <si>
    <t>Huai Kha Khaeng Wildlife Sanctuary</t>
  </si>
  <si>
    <t>78a.1</t>
  </si>
  <si>
    <t>78a.2</t>
  </si>
  <si>
    <t>Fire used to encourage mushroom growth</t>
  </si>
  <si>
    <t>78a.3</t>
  </si>
  <si>
    <t>All</t>
  </si>
  <si>
    <t xml:space="preserve">Helicopter fire-crew extinguishes all fires within the nature reserve. </t>
  </si>
  <si>
    <t>78a.4</t>
  </si>
  <si>
    <t>"Unpublished data from the Thai Royal Forest on forest fire during the period 1992-2001 record 100% of fires as human-caused.</t>
  </si>
  <si>
    <t>78a.5</t>
  </si>
  <si>
    <t>78a.6</t>
  </si>
  <si>
    <t>78a.7</t>
  </si>
  <si>
    <t>78a.8</t>
  </si>
  <si>
    <t>78a.9</t>
  </si>
  <si>
    <t>78a.10</t>
  </si>
  <si>
    <t>78a.11</t>
  </si>
  <si>
    <t>78a.12</t>
  </si>
  <si>
    <t>79a</t>
  </si>
  <si>
    <t>79b</t>
  </si>
  <si>
    <t>Johnson 2009</t>
  </si>
  <si>
    <t>Sugihan</t>
  </si>
  <si>
    <t>Mesuji</t>
  </si>
  <si>
    <t>South Sumatra</t>
  </si>
  <si>
    <t>Lampung</t>
  </si>
  <si>
    <t>Hecht 2003</t>
  </si>
  <si>
    <t>80a</t>
  </si>
  <si>
    <t>Kayapo Indigenous Territory</t>
  </si>
  <si>
    <t>80a.1</t>
  </si>
  <si>
    <t xml:space="preserve">The kayapo burn fields regularly throughout the cultivation cycle, with a mixture of ash from cooking and crop residues. </t>
  </si>
  <si>
    <t>80a.2</t>
  </si>
  <si>
    <t>80a.3</t>
  </si>
  <si>
    <t>Vegetation management</t>
  </si>
  <si>
    <t>80a.4</t>
  </si>
  <si>
    <t>Direct fire creation ID</t>
  </si>
  <si>
    <t xml:space="preserve">Sophisticated mosaic of cropping practices used to control burning within a circular field system. </t>
  </si>
  <si>
    <t>Direct fire suppression ID</t>
  </si>
  <si>
    <t>81a</t>
  </si>
  <si>
    <t>Rudel 2005</t>
  </si>
  <si>
    <t>Brazilian Amazon Basin</t>
  </si>
  <si>
    <t xml:space="preserve">During the 1980s, governments across the Amazon basin were keen to 'claim' land by colonising. </t>
  </si>
  <si>
    <t xml:space="preserve">During the 1990s, Debt-driven austerity led Brazilian govt to reduce colonisation for 'geo political reasons', leaving the private sector to drive deforestation. Road paving driven by industry lobbying was a significant driver of increased commercial activity. </t>
  </si>
  <si>
    <t>Natural ecosystem conversion rate %</t>
  </si>
  <si>
    <t>Qualitative Comparative Analysis of policy impact on deforestation</t>
  </si>
  <si>
    <t>82a</t>
  </si>
  <si>
    <t>Ghana</t>
  </si>
  <si>
    <t>83a</t>
  </si>
  <si>
    <t>84a</t>
  </si>
  <si>
    <t>Liberia</t>
  </si>
  <si>
    <t>82a.1</t>
  </si>
  <si>
    <t>83a.1</t>
  </si>
  <si>
    <t>82a.2</t>
  </si>
  <si>
    <t>83a.2</t>
  </si>
  <si>
    <t>Conservation NGOs</t>
  </si>
  <si>
    <t>Conservation NGOs tried a range of integrated conservation and development projects to protect remaining rainforest. These were projects were "not effective".</t>
  </si>
  <si>
    <t>85a</t>
  </si>
  <si>
    <t>Uhl 1997</t>
  </si>
  <si>
    <t>82b</t>
  </si>
  <si>
    <t>82b.1</t>
  </si>
  <si>
    <t>85a.1</t>
  </si>
  <si>
    <t>None</t>
  </si>
  <si>
    <t>82c</t>
  </si>
  <si>
    <t>83a.3</t>
  </si>
  <si>
    <t>82c.1</t>
  </si>
  <si>
    <t>Direct Fire policy ID</t>
  </si>
  <si>
    <t>The Ghanian government removed subsidies from cocoa producing smallholders, meaning many returned to swidden cultivation.</t>
  </si>
  <si>
    <t>Forestry policy was seldom enforced.</t>
  </si>
  <si>
    <t>Nepstad 1999</t>
  </si>
  <si>
    <t>Jepson 2001</t>
  </si>
  <si>
    <t>Kerinci-Seblat National Park</t>
  </si>
  <si>
    <t>Sumatra</t>
  </si>
  <si>
    <t>85b</t>
  </si>
  <si>
    <t>Gunung Leuser National Park</t>
  </si>
  <si>
    <t>85c</t>
  </si>
  <si>
    <t>Kalimantan</t>
  </si>
  <si>
    <t>Malinau district</t>
  </si>
  <si>
    <t>Illegal logging was widespread in the reserve</t>
  </si>
  <si>
    <t>85b.1</t>
  </si>
  <si>
    <t>"Large" areas had been burned.</t>
  </si>
  <si>
    <t>85c.1</t>
  </si>
  <si>
    <t>86a</t>
  </si>
  <si>
    <t>Allen 2006</t>
  </si>
  <si>
    <t>Roraima</t>
  </si>
  <si>
    <t xml:space="preserve">Overview of causes and Brazilian government response to the 1998 wildfires in Roraima. </t>
  </si>
  <si>
    <t>86a.1</t>
  </si>
  <si>
    <t>86a.2</t>
  </si>
  <si>
    <t>86a.3</t>
  </si>
  <si>
    <t>86a.4</t>
  </si>
  <si>
    <t>Even after the drought, ranchers still lit 'irresponsible' land clearance fires</t>
  </si>
  <si>
    <t>86a.5</t>
  </si>
  <si>
    <t>One-off</t>
  </si>
  <si>
    <t xml:space="preserve">Newspaper reports and police investigations indicate farmers burned their lands in order to claim compensation. </t>
  </si>
  <si>
    <t xml:space="preserve">As a result of the fires, a team of 500 "crack firefighters" was established who could be ready for rapid deployment in the Amazon region. </t>
  </si>
  <si>
    <t>87a</t>
  </si>
  <si>
    <t>Tran Duc Vein 2009</t>
  </si>
  <si>
    <t>Tat Hamlet</t>
  </si>
  <si>
    <t>Hoa Binh</t>
  </si>
  <si>
    <t>87b</t>
  </si>
  <si>
    <t>87c</t>
  </si>
  <si>
    <t>Centrally-allocated</t>
  </si>
  <si>
    <t>Yield is for rice, weighted by proportion of paddy and swidden. Monoculture is paddy fields.</t>
  </si>
  <si>
    <t>87a.1</t>
  </si>
  <si>
    <t>87b.1</t>
  </si>
  <si>
    <t>87c.1</t>
  </si>
  <si>
    <t>Usage period reported (2 years)</t>
  </si>
  <si>
    <t>Usage period reported (4 years); increase in fire return is due to more intensive use.</t>
  </si>
  <si>
    <t>Yield is for rice, weighted by proportion of paddy and swidden. Monoculture is paddy fields. Decreased cropland area due to restrictions and incentives to abandon swidden.</t>
  </si>
  <si>
    <t>88a</t>
  </si>
  <si>
    <t>88b</t>
  </si>
  <si>
    <t>88c</t>
  </si>
  <si>
    <t>88d</t>
  </si>
  <si>
    <t>88a.1</t>
  </si>
  <si>
    <t>88b.1</t>
  </si>
  <si>
    <t>88c.1</t>
  </si>
  <si>
    <t>88d.1</t>
  </si>
  <si>
    <t>Fallow and cropping phase reported (6+2)</t>
  </si>
  <si>
    <t>Swidden had disappeared due to government policies</t>
  </si>
  <si>
    <t>Fire size max assumes a family's swidden was all in one plot. Burned area assumes no fires were out of control</t>
  </si>
  <si>
    <t>Burned area from aggregate reported swidden size and fire return, assumes no escaped fires</t>
  </si>
  <si>
    <t>88a.2</t>
  </si>
  <si>
    <t>88b.2</t>
  </si>
  <si>
    <t>88c.2</t>
  </si>
  <si>
    <t>88d.2</t>
  </si>
  <si>
    <t>Trees left in the soil at preliminary burn were copiced and burned during each year of active use</t>
  </si>
  <si>
    <t>Subsidies payed to peasants to plant trees on swidden fields to prevent flooding</t>
  </si>
  <si>
    <t>Dizhengdang</t>
  </si>
  <si>
    <t>Kongdang</t>
  </si>
  <si>
    <t>Dulong valley</t>
  </si>
  <si>
    <t>Shen et al 2017</t>
  </si>
  <si>
    <t>Intended burned area (ha)</t>
  </si>
  <si>
    <t>Intended burned area % (land cover)</t>
  </si>
  <si>
    <t xml:space="preserve">89a </t>
  </si>
  <si>
    <t>Butz 2018</t>
  </si>
  <si>
    <t>Engikareti</t>
  </si>
  <si>
    <t>Arusha</t>
  </si>
  <si>
    <t>89a</t>
  </si>
  <si>
    <t>89a.1</t>
  </si>
  <si>
    <t>Early dry season burning to prevent larger fires</t>
  </si>
  <si>
    <t>89a.2</t>
  </si>
  <si>
    <t>Absent due to increased population, and unpredictability of rains</t>
  </si>
  <si>
    <t>89a.3</t>
  </si>
  <si>
    <t>Nyika National Park</t>
  </si>
  <si>
    <t>Malawi</t>
  </si>
  <si>
    <t>89b</t>
  </si>
  <si>
    <t>89b.1</t>
  </si>
  <si>
    <t>Pyrome management</t>
  </si>
  <si>
    <t>Early season burning to prevent late season fires</t>
  </si>
  <si>
    <t>89b.2</t>
  </si>
  <si>
    <t>Hunting</t>
  </si>
  <si>
    <t xml:space="preserve">July </t>
  </si>
  <si>
    <t xml:space="preserve">Firebreaks created around sensitive areas for burning; roads and tracks cleared of grass to act as further firebreaks. </t>
  </si>
  <si>
    <t>Intended fire size mean (ha)</t>
  </si>
  <si>
    <t>Intended fire size max (ha)</t>
  </si>
  <si>
    <t>Intended fire size min (ha)</t>
  </si>
  <si>
    <t>Ban enforcement (1 none or limited, 2) partial; fine or civil action, 3) partial; prison or criminal action, 4) widespread; fine or civil action, 5) widespread prison or criminal action)</t>
  </si>
  <si>
    <t>Restriction enforcement (1 none or limited, 2) partial; fine or civil action, 3) partial prison or criminal action, 4) widespread; fine or civil action, 5) widespread prison or criminal action)</t>
  </si>
  <si>
    <t>3b</t>
  </si>
  <si>
    <t>3c</t>
  </si>
  <si>
    <t>Dhanori</t>
  </si>
  <si>
    <t>Ajnauda Kalan</t>
  </si>
  <si>
    <t>3b.1</t>
  </si>
  <si>
    <t>3b.2</t>
  </si>
  <si>
    <t>3a.3</t>
  </si>
  <si>
    <t>3a.4</t>
  </si>
  <si>
    <t xml:space="preserve">Burning allows rapid clearing and  double cropping. Window is for post-monsoon rice crop. Mean number of crops per year was 2 per field, indicating this is the dominant form of agriculture across farm sizes and levels of intensification. </t>
  </si>
  <si>
    <t xml:space="preserve">Burning allows rapid clearing and  double cropping. Window is for wheat crop. Mean number of crops per year was 2 per field, indicating this is the dominant form of agriculture across farm sizes and levels of intensification. </t>
  </si>
  <si>
    <t>3b.3</t>
  </si>
  <si>
    <t>3b.4</t>
  </si>
  <si>
    <t>3c.1</t>
  </si>
  <si>
    <t>3c.2</t>
  </si>
  <si>
    <t>3c.3</t>
  </si>
  <si>
    <t>3c.4</t>
  </si>
  <si>
    <t>% of residues burned is reported, assume farmers clearing rice residues by machine are more market oriented. Weighted by proportion of agricultural land devoted to rice.</t>
  </si>
  <si>
    <t>% of residues burned is reported, weighted by proportion of agricultural land devoted to wheat.</t>
  </si>
  <si>
    <t>% of residues burned is reported, assume farmers clearing rice residues by hand are more subsistence oriented. Weighted by proportion of agricultural land devoted to rice.</t>
  </si>
  <si>
    <t>4b</t>
  </si>
  <si>
    <t>4c</t>
  </si>
  <si>
    <t>4d</t>
  </si>
  <si>
    <t>4e</t>
  </si>
  <si>
    <t>4f</t>
  </si>
  <si>
    <t>4g</t>
  </si>
  <si>
    <t>4h</t>
  </si>
  <si>
    <t>4i</t>
  </si>
  <si>
    <t>4j</t>
  </si>
  <si>
    <t>4k</t>
  </si>
  <si>
    <t>Amritsar</t>
  </si>
  <si>
    <t>Bhatinda</t>
  </si>
  <si>
    <t>Faridkot</t>
  </si>
  <si>
    <t>Fategarh</t>
  </si>
  <si>
    <t>Ferozepore</t>
  </si>
  <si>
    <t>Gurdaspur</t>
  </si>
  <si>
    <t>Julandhar</t>
  </si>
  <si>
    <t>Kapoorthala</t>
  </si>
  <si>
    <t>Ludhiana</t>
  </si>
  <si>
    <t>Patiala</t>
  </si>
  <si>
    <t>Sangrur</t>
  </si>
  <si>
    <t>Simbro</t>
  </si>
  <si>
    <t xml:space="preserve">4i </t>
  </si>
  <si>
    <t>4b.1</t>
  </si>
  <si>
    <t>4b.2</t>
  </si>
  <si>
    <t>4c.1</t>
  </si>
  <si>
    <t>4c.2</t>
  </si>
  <si>
    <t>4d.1</t>
  </si>
  <si>
    <t>4d.2</t>
  </si>
  <si>
    <t>4e.1</t>
  </si>
  <si>
    <t>4e.2</t>
  </si>
  <si>
    <t>4f.1</t>
  </si>
  <si>
    <t>4f.2</t>
  </si>
  <si>
    <t>4g.1</t>
  </si>
  <si>
    <t>4g.2</t>
  </si>
  <si>
    <t>4h.1</t>
  </si>
  <si>
    <t>4h.2</t>
  </si>
  <si>
    <t>4i.1</t>
  </si>
  <si>
    <t>4i.2</t>
  </si>
  <si>
    <t>4j.1</t>
  </si>
  <si>
    <t>4j.2</t>
  </si>
  <si>
    <t>4k.1</t>
  </si>
  <si>
    <t>4k.2</t>
  </si>
  <si>
    <t>Window is for burning of wheat residues</t>
  </si>
  <si>
    <t>Window is for burning of rice residues</t>
  </si>
  <si>
    <t>Stratified random sample of farmers based on farm size</t>
  </si>
  <si>
    <t>6b</t>
  </si>
  <si>
    <t>6c</t>
  </si>
  <si>
    <t>6d</t>
  </si>
  <si>
    <t>6e</t>
  </si>
  <si>
    <t>6f</t>
  </si>
  <si>
    <t>6g</t>
  </si>
  <si>
    <t>6h</t>
  </si>
  <si>
    <t>6i</t>
  </si>
  <si>
    <t>6j</t>
  </si>
  <si>
    <t>6k</t>
  </si>
  <si>
    <t>6b.1</t>
  </si>
  <si>
    <t>6b.2</t>
  </si>
  <si>
    <t>Village 1</t>
  </si>
  <si>
    <t>Village 2</t>
  </si>
  <si>
    <t>Village 3</t>
  </si>
  <si>
    <t>Village 4</t>
  </si>
  <si>
    <t>Village 5</t>
  </si>
  <si>
    <t>Village 6</t>
  </si>
  <si>
    <t>Village 7</t>
  </si>
  <si>
    <t>Village 8</t>
  </si>
  <si>
    <t>Village 9</t>
  </si>
  <si>
    <t>Village 10</t>
  </si>
  <si>
    <t>Village 11</t>
  </si>
  <si>
    <t>6c.1</t>
  </si>
  <si>
    <t>6c.2</t>
  </si>
  <si>
    <t>6d.1</t>
  </si>
  <si>
    <t>6d.2</t>
  </si>
  <si>
    <t>6e.1</t>
  </si>
  <si>
    <t>6e.2</t>
  </si>
  <si>
    <t>6f.1</t>
  </si>
  <si>
    <t>6f.2</t>
  </si>
  <si>
    <t>6g.1</t>
  </si>
  <si>
    <t>6g.2</t>
  </si>
  <si>
    <t>6h.1</t>
  </si>
  <si>
    <t>6h.2</t>
  </si>
  <si>
    <t>6i.1</t>
  </si>
  <si>
    <t>6i.2</t>
  </si>
  <si>
    <t>6j.1</t>
  </si>
  <si>
    <t>6j.2</t>
  </si>
  <si>
    <t>6k.1</t>
  </si>
  <si>
    <t>6k.2</t>
  </si>
  <si>
    <t xml:space="preserve">% of paddy farmers burning residues is reported over a five year period; this is weighted by the proportion of villagers reported as paddy farmers. This is weighted by the ratio of the average farm size of farmers who burned to the mean farm size in the overall sample. </t>
  </si>
  <si>
    <t xml:space="preserve">% of paddy farmers burning residues is reported over a five year period; this is weighted by the proportion of villagers reported as paddy farmers. This is weighted by the ratio of the average farm size of farmers who burned to the mean farm size in the overall sample. Intended burned area is multiplied by the number of respondents in the sample and the ratio of the sample to the village population. </t>
  </si>
  <si>
    <t>Overall district land distribution: Farm size, burned residues: 10.42
Farm size, didn't burn residues: 3.46; small-holder types not differentiated.</t>
  </si>
  <si>
    <t>6l</t>
  </si>
  <si>
    <t>Village 12</t>
  </si>
  <si>
    <t>6l.1</t>
  </si>
  <si>
    <t>6l.2</t>
  </si>
  <si>
    <t>90% of rice crop harvested with a combine harvester.</t>
  </si>
  <si>
    <t>7a.2</t>
  </si>
  <si>
    <t>7a.3</t>
  </si>
  <si>
    <t>7a.4</t>
  </si>
  <si>
    <t>7a.5</t>
  </si>
  <si>
    <t>7a.6</t>
  </si>
  <si>
    <t>7a.7</t>
  </si>
  <si>
    <t>7a.8</t>
  </si>
  <si>
    <t>7a.9</t>
  </si>
  <si>
    <t>7a.10</t>
  </si>
  <si>
    <t>Data is for summer wheat crop</t>
  </si>
  <si>
    <t>Data is for autumn rice crop</t>
  </si>
  <si>
    <t xml:space="preserve">total cropped area, % of crop production by commodity reported, and proportion of residues burned for wheat (summer) and rice (autumn) are reported; it is assumed other residues are not burned (implicit assumption of study authors) and that the % production is roughly proportional to the % cropped area. </t>
  </si>
  <si>
    <t>Ignitions from swidden calculated as difference between protected area (no swidden) and land under indigenous reserve.</t>
  </si>
  <si>
    <t xml:space="preserve">Fires are split between pasture fires and forest clearance based on fire events in managed extraction zones and unregulated forest; protected area ignitions assumed as background rate. </t>
  </si>
  <si>
    <r>
      <t>Integrated management areas: 0.0074 ignitions ha</t>
    </r>
    <r>
      <rPr>
        <vertAlign val="superscript"/>
        <sz val="11"/>
        <color theme="1"/>
        <rFont val="Calibri"/>
        <family val="2"/>
        <scheme val="minor"/>
      </rPr>
      <t>-1</t>
    </r>
    <r>
      <rPr>
        <sz val="11"/>
        <color theme="1"/>
        <rFont val="Calibri"/>
        <family val="2"/>
        <scheme val="minor"/>
      </rPr>
      <t>, private and untitled lands: 0.0014 ignitions ha</t>
    </r>
    <r>
      <rPr>
        <vertAlign val="superscript"/>
        <sz val="11"/>
        <color theme="1"/>
        <rFont val="Calibri"/>
        <family val="2"/>
        <scheme val="minor"/>
      </rPr>
      <t xml:space="preserve"> -1</t>
    </r>
    <r>
      <rPr>
        <sz val="11"/>
        <color theme="1"/>
        <rFont val="Calibri"/>
        <family val="2"/>
        <scheme val="minor"/>
      </rPr>
      <t>.</t>
    </r>
  </si>
  <si>
    <t>Bolivar</t>
  </si>
  <si>
    <t>Suqian District</t>
  </si>
  <si>
    <t>Location is district centre</t>
  </si>
  <si>
    <t xml:space="preserve">Study also contains interesting statistical relationships between fires and forest fragmentation. Location is district centre. </t>
  </si>
  <si>
    <t xml:space="preserve">Reported fire activity is remote sensing based; included due to difficulty of access in Colombian Amazon during this period due to conflict. </t>
  </si>
  <si>
    <t xml:space="preserve">Strong evidence that pastures are replacing swidden in the region - 24% of secondary vegetation transitioned to pasture, whilst 33% returned to forest. Further, pasture area increased by 103,000 ha during the study period, yet primary forest only decreased by 19,000 ha. Market-oriented smallholders are larlgely producing illict crops, such as cocaine.
Numbers are averages for study period. </t>
  </si>
  <si>
    <t>Forest burned area higher than deforestation rate, due to the confusion of old growth secondary vegetation with forest  (secondary vegetation being re-classified as forest in subsequent years)</t>
  </si>
  <si>
    <t>Study closely ties fire to property size and land user; study is primarily used to infer information about effectiveness of satellite enforcement of fire policy in the amazon.</t>
  </si>
  <si>
    <t xml:space="preserve">Burned area total is reported along with a transition matrix of vegetation cover. Forest to burned area to pasture transitions are treated as deforestation fires. Forest to burned area to secondary vegetation is treated as swidden. </t>
  </si>
  <si>
    <t>12a.4</t>
  </si>
  <si>
    <t>12a.5</t>
  </si>
  <si>
    <t>12a.6</t>
  </si>
  <si>
    <t>12a.7</t>
  </si>
  <si>
    <t>12a.8</t>
  </si>
  <si>
    <t>12a.9</t>
  </si>
  <si>
    <t>12a.10</t>
  </si>
  <si>
    <t>12a.11</t>
  </si>
  <si>
    <t>Reduction in average clearing size over time closely linked to 'DETER' deforestation detection and enforcement programme. Deforesetation an acceptable proxy for fire size, if it is assumed that deforestation involving / not involving fire is randomly distributed accross farms.</t>
  </si>
  <si>
    <t>12a.12</t>
  </si>
  <si>
    <t>12a.13</t>
  </si>
  <si>
    <t>12a.14</t>
  </si>
  <si>
    <t>12a.15</t>
  </si>
  <si>
    <t>12a.16</t>
  </si>
  <si>
    <t>12a.17</t>
  </si>
  <si>
    <t>12a.18</t>
  </si>
  <si>
    <t>12a.19</t>
  </si>
  <si>
    <t>12a.20</t>
  </si>
  <si>
    <t>12a.21</t>
  </si>
  <si>
    <t>12a.22</t>
  </si>
  <si>
    <t xml:space="preserve">Secondary data is property-level data on size of holding; 'large-farms' used as a proxy for intensive agricultural production. Farms &gt; 352ha (medium, large under author classification) are regarded as intensive cropping. Farms &lt; 352 (small) are regarded as either small-holder cropping or traditional ranching. </t>
  </si>
  <si>
    <t xml:space="preserve">Secondary data is property-level data on size of holding; 'large-farms' used as a proxy for intensive agricultural production. Farms &gt; 280ha (medium, large under author classification) are regarded as intensive cropping. Farms &lt; 280 (small) are regarded as either small-holder cropping or traditional ranching. </t>
  </si>
  <si>
    <t>12b.4</t>
  </si>
  <si>
    <t>12b.5</t>
  </si>
  <si>
    <t>12b.6</t>
  </si>
  <si>
    <t>12b.7</t>
  </si>
  <si>
    <t>12b.8</t>
  </si>
  <si>
    <t>12b.9</t>
  </si>
  <si>
    <t>12b.10</t>
  </si>
  <si>
    <t>12b.11</t>
  </si>
  <si>
    <t>12b.12</t>
  </si>
  <si>
    <t>12b.13</t>
  </si>
  <si>
    <t>12b.14</t>
  </si>
  <si>
    <t>12a.23</t>
  </si>
  <si>
    <t>12a.24</t>
  </si>
  <si>
    <t>12a.25</t>
  </si>
  <si>
    <t>12a.26</t>
  </si>
  <si>
    <t>12a.27</t>
  </si>
  <si>
    <t>12a.28</t>
  </si>
  <si>
    <t>12a.29</t>
  </si>
  <si>
    <t>12a.30</t>
  </si>
  <si>
    <t>12a.31</t>
  </si>
  <si>
    <t>12a.32</t>
  </si>
  <si>
    <t>12a.33</t>
  </si>
  <si>
    <t>12b.15</t>
  </si>
  <si>
    <t>12b.16</t>
  </si>
  <si>
    <t>12b.17</t>
  </si>
  <si>
    <t>12b.18</t>
  </si>
  <si>
    <t>12b.19</t>
  </si>
  <si>
    <t>12b.20</t>
  </si>
  <si>
    <t>12b.21</t>
  </si>
  <si>
    <t>12b.22</t>
  </si>
  <si>
    <t xml:space="preserve">Average fire size is based on a weighted average derived from the % of clearance attributed to different clearance size classes. </t>
  </si>
  <si>
    <t>Average fire size is based on a weighted average derived from the % of clearance attributed to different clearance size classes. The author's greater than 500ha clearance class likely involves some mechanical clearing without use of fire, but this will likely be offset by some very large clearances, e.g. &gt; 1500ha.</t>
  </si>
  <si>
    <t>12b.23</t>
  </si>
  <si>
    <t>12b.24</t>
  </si>
  <si>
    <t>12b.25</t>
  </si>
  <si>
    <t>12b.26</t>
  </si>
  <si>
    <t>12b.27</t>
  </si>
  <si>
    <t>12b.28</t>
  </si>
  <si>
    <t>12b.29</t>
  </si>
  <si>
    <t>12b.30</t>
  </si>
  <si>
    <t>12b.31</t>
  </si>
  <si>
    <t>12b.32</t>
  </si>
  <si>
    <t>12b.33</t>
  </si>
  <si>
    <t>Average fire size is based on a weighted average derived from the % of clearance attributed to different clearance size classes. The author's greater than 500ha clearance class likely involves some mechanical clearing without use of fire, but this will likely be offset by some very large clearances, e.g. &gt; 1500ha. This may be  more an issue in Mato Grosso, with more industrialised agriculture.</t>
  </si>
  <si>
    <r>
      <t>Use of satellite data to enforce anti-deforestation legislation begins on a bi-weekly basis; fires &lt;250m</t>
    </r>
    <r>
      <rPr>
        <vertAlign val="superscript"/>
        <sz val="11"/>
        <color theme="1"/>
        <rFont val="Calibri"/>
        <family val="2"/>
        <scheme val="minor"/>
      </rPr>
      <t>2</t>
    </r>
    <r>
      <rPr>
        <sz val="11"/>
        <color theme="1"/>
        <rFont val="Calibri"/>
        <family val="2"/>
        <scheme val="minor"/>
      </rPr>
      <t xml:space="preserve"> cannot be detected. </t>
    </r>
  </si>
  <si>
    <t xml:space="preserve">Use of satellite data to enforce anti-deforestation legislation on a bi-weekly basis; fires &lt;250m2 cannot be detected. </t>
  </si>
  <si>
    <t xml:space="preserve">Satellite-based enforcement switches to daily data; fires &lt;250m2 cannot be detected. </t>
  </si>
  <si>
    <t xml:space="preserve">Fire return period is a weighted mean of the fallow length used by farmers + 3 years of cropping, as indicated by the author.  </t>
  </si>
  <si>
    <t xml:space="preserve">Field preparation following fallow is directly linked to burning.  34% of farmers used shifting cultivation. Shifting cultivation on slopes, permanent cultivation on flatter land. (Semi-) permanent cultivation on flatter lands begun to involve no-till mulching. </t>
  </si>
  <si>
    <t xml:space="preserve">Field preparation following fallow is directly linked to burning. 24% of farmers used shifting cultivation. Shifting cultivation on slopes, permanent cultivation on flatter land. (Semi-) permanent cultivation on flatter lands begun to involve no-till mulching. </t>
  </si>
  <si>
    <t xml:space="preserve">Field preparation following fallow is directl Shifting cultivation on slopes, permanent cultivation on flatter land.y linked to burning.  16% of farmers used shifting cultivation. Yield figure is for maize. Shifting cultivation on slopes, permanent cultivation on flatter land. (Semi-) permanent cultivation on flatter lands begun to involve no-till mulching. </t>
  </si>
  <si>
    <t xml:space="preserve">Field preparation following fallow is directly linked to burning. 18% of farmers used shifting cultivation. Yield figure is for maize. (Semi-) permanent cultivation on flatter lands begun to involve no-till mulching. </t>
  </si>
  <si>
    <t>15a.4</t>
  </si>
  <si>
    <t>Intended Burned area % (total)</t>
  </si>
  <si>
    <t>Enforcement of anti-burning laws has changed burning practice; swidden systems instead began to use no-till mulching.</t>
  </si>
  <si>
    <t>15c.3</t>
  </si>
  <si>
    <t>15c.4</t>
  </si>
  <si>
    <t>15d.3</t>
  </si>
  <si>
    <t>15d.4</t>
  </si>
  <si>
    <t>"Failure to comply with the law results in a Tanzania Shillings (TZS) 50, 000 fine or a three month jail term"</t>
  </si>
  <si>
    <t>Fire restricted by local bylaws</t>
  </si>
  <si>
    <t>Satellite-based enforcement cannot detect fires smaller than 250m2. Hence smaller land holders were less impacted.</t>
  </si>
  <si>
    <r>
      <t>96% of villagers relied on timber for fuel; 68% practiced shifting cultivation, whilst 32% practiced permanent monoculture. Per capita consumption of fuelwood was 1.5m</t>
    </r>
    <r>
      <rPr>
        <vertAlign val="superscript"/>
        <sz val="11"/>
        <color theme="1"/>
        <rFont val="Calibri"/>
        <family val="2"/>
        <scheme val="minor"/>
      </rPr>
      <t>3</t>
    </r>
    <r>
      <rPr>
        <sz val="11"/>
        <color theme="1"/>
        <rFont val="Calibri"/>
        <family val="2"/>
        <scheme val="minor"/>
      </rPr>
      <t xml:space="preserve"> year</t>
    </r>
    <r>
      <rPr>
        <vertAlign val="superscript"/>
        <sz val="11"/>
        <color theme="1"/>
        <rFont val="Calibri"/>
        <family val="2"/>
        <scheme val="minor"/>
      </rPr>
      <t>-1</t>
    </r>
    <r>
      <rPr>
        <sz val="11"/>
        <color theme="1"/>
        <rFont val="Calibri"/>
        <family val="2"/>
        <scheme val="minor"/>
      </rPr>
      <t>, consumption for constribution was 0.138m</t>
    </r>
    <r>
      <rPr>
        <vertAlign val="superscript"/>
        <sz val="11"/>
        <color theme="1"/>
        <rFont val="Calibri"/>
        <family val="2"/>
        <scheme val="minor"/>
      </rPr>
      <t>3</t>
    </r>
    <r>
      <rPr>
        <sz val="11"/>
        <color theme="1"/>
        <rFont val="Calibri"/>
        <family val="2"/>
        <scheme val="minor"/>
      </rPr>
      <t xml:space="preserve"> year</t>
    </r>
    <r>
      <rPr>
        <vertAlign val="superscript"/>
        <sz val="11"/>
        <color theme="1"/>
        <rFont val="Calibri"/>
        <family val="2"/>
        <scheme val="minor"/>
      </rPr>
      <t>-1</t>
    </r>
    <r>
      <rPr>
        <sz val="11"/>
        <color theme="1"/>
        <rFont val="Calibri"/>
        <family val="2"/>
        <scheme val="minor"/>
      </rPr>
      <t xml:space="preserve">. Villagers do not keep livestock due to the presence of tsetse flies. </t>
    </r>
  </si>
  <si>
    <t>Field preparation directly linked to 'slash-and-burn' fire practice; fire return is fallow length (4 years) + 6 years' permanent cultivation (reported).</t>
  </si>
  <si>
    <r>
      <t>"The chitemene shifting cultivation land use system is confined to the region of the country in which annual, rainfall exceeds 1,000 mm, falling mainly between November and April."
The Critical Person Density in the chitemene cultivation system estimated was 41.5 ha per person or 2.4 persons per km</t>
    </r>
    <r>
      <rPr>
        <vertAlign val="superscript"/>
        <sz val="11"/>
        <color theme="1"/>
        <rFont val="Calibri"/>
        <family val="2"/>
        <scheme val="minor"/>
      </rPr>
      <t>2</t>
    </r>
    <r>
      <rPr>
        <sz val="11"/>
        <color theme="1"/>
        <rFont val="Calibri"/>
        <family val="2"/>
        <scheme val="minor"/>
      </rPr>
      <t xml:space="preserve"> . Yield data for finger millet. Forest requirement for citamene was 0.57ha per person.</t>
    </r>
  </si>
  <si>
    <r>
      <t>"The chitemene shifting cultivation land use system is confined to the region of the country in which annual, rainfall exceeds 1,000 mm, falling mainly between November and April."
The Critical Person Density in the chitemene cultivation system estimated was 41.5 ha per person or 2.4 persons per km</t>
    </r>
    <r>
      <rPr>
        <vertAlign val="superscript"/>
        <sz val="11"/>
        <color theme="1"/>
        <rFont val="Calibri"/>
        <family val="2"/>
        <scheme val="minor"/>
      </rPr>
      <t>2</t>
    </r>
    <r>
      <rPr>
        <sz val="11"/>
        <color theme="1"/>
        <rFont val="Calibri"/>
        <family val="2"/>
        <scheme val="minor"/>
      </rPr>
      <t xml:space="preserve"> . Yield data for finger millet. Forest requirement for citamene was 1.1ha per person.</t>
    </r>
  </si>
  <si>
    <t xml:space="preserve">Population pressure was leading directly to shortened fallows and to deforestation. </t>
  </si>
  <si>
    <t>Fire return is 12 years' fallow + 1 year cultivation (reported)</t>
  </si>
  <si>
    <t>Fire return is 25 years' fallow + 1 year cultivation (reported)</t>
  </si>
  <si>
    <t>Fire return is 7 years' cultivation + 4 years' fallow (both reported)</t>
  </si>
  <si>
    <t xml:space="preserve">3/26 farmers had shifted to monoculture, which consisted principally of maize grown with oxen ploughing. Some larger landholders used tractors to plough their fields. </t>
  </si>
  <si>
    <t>The village had an 'extension officer' responsible for encouraging uptake of new agricultural technologies, including pesticides. She reported having been met with 'skepticism' during her first year on the job, and was finding it difficult to connect with spatially isolated farmers.</t>
  </si>
  <si>
    <t>Where viable woodland was available, traditional burning was still practiced. However, the author reports this had almost disappeared due to the lack of appropriate woodland.</t>
  </si>
  <si>
    <t>21b.2</t>
  </si>
  <si>
    <t>"The population density of Bwacha is similar to that of Ngoma, but Bwacha has far less miombo woodland available due to the presence of dambos (seasonally flooded area) and less productive Chipya vegetation, which reduces the overall land available for Chitemene."</t>
  </si>
  <si>
    <t>20d</t>
  </si>
  <si>
    <t>20d.1</t>
  </si>
  <si>
    <t>20b</t>
  </si>
  <si>
    <t>20c</t>
  </si>
  <si>
    <t>20b.1</t>
  </si>
  <si>
    <t>20c.1</t>
  </si>
  <si>
    <t xml:space="preserve">"Economic liberalisation… generally led to a rapid response by farmers, and fallow, based on the cultivation of crops such as finger millet and beans with low requirements of external inputs, was re-introduced. </t>
  </si>
  <si>
    <t>5 years of cropping plus 3 years' fallow (reported)</t>
  </si>
  <si>
    <t xml:space="preserve">A wide range of government incentive schemes (from providing GM seeds to encouraging uptake of more advanced farming methods) were promoted by the national govenrment. Officials interviewed reported these had little effect due to the cultural attachment of farmers to tavy. </t>
  </si>
  <si>
    <t xml:space="preserve">USAID was amongst the organisations funding Madagascar's attempts to develop agriculture, and phase out swidden, for a variety of environmental and economic reasons. </t>
  </si>
  <si>
    <t xml:space="preserve">Fire was restricted to certain fields in the top third of a mountain during a designated period. However due to understaffing, there was little monitoring of the restrictions. </t>
  </si>
  <si>
    <t xml:space="preserve">12 villages reported in Karnal District; anonymised due to illegality of burning. Location given is centre of Karnal District. </t>
  </si>
  <si>
    <t xml:space="preserve">Mahafaly  </t>
  </si>
  <si>
    <t>Remote sensing struggled to differentiate grassland, savanah and pasture / secondary vegetation from swidden. Transitional forestry is charcoal production for nearby towns.</t>
  </si>
  <si>
    <t xml:space="preserve">Ban on fire was more effectively enforced in ranching and charcoal production areas, which tended to be closer to villages. </t>
  </si>
  <si>
    <t xml:space="preserve">Study area (7850) calculated as radius of circle 50km2 around town of Tefe. 
Fallow length is reported; burned area in secondary vegetation %BA is the inverse +1 for active production. Total clearance is reported; this is an acceptable proxy for fire, given all clearance was for swidden, and no machinery was available. </t>
  </si>
  <si>
    <t>84b</t>
  </si>
  <si>
    <t>84c</t>
  </si>
  <si>
    <t>84d</t>
  </si>
  <si>
    <t>84e</t>
  </si>
  <si>
    <t>84f</t>
  </si>
  <si>
    <t>84g</t>
  </si>
  <si>
    <t>84h</t>
  </si>
  <si>
    <t>84i</t>
  </si>
  <si>
    <t>84j</t>
  </si>
  <si>
    <t>84k</t>
  </si>
  <si>
    <t>84l</t>
  </si>
  <si>
    <t>84m</t>
  </si>
  <si>
    <t>84n</t>
  </si>
  <si>
    <t>84o</t>
  </si>
  <si>
    <t>84p</t>
  </si>
  <si>
    <t>84q</t>
  </si>
  <si>
    <t>84r</t>
  </si>
  <si>
    <t>84s</t>
  </si>
  <si>
    <t>84t</t>
  </si>
  <si>
    <t>84u</t>
  </si>
  <si>
    <t>84v</t>
  </si>
  <si>
    <t>84w</t>
  </si>
  <si>
    <t>84x</t>
  </si>
  <si>
    <t>84y</t>
  </si>
  <si>
    <t>84z</t>
  </si>
  <si>
    <t>84aa</t>
  </si>
  <si>
    <t>84ab</t>
  </si>
  <si>
    <t>84ac</t>
  </si>
  <si>
    <t>84ad</t>
  </si>
  <si>
    <t>84ae</t>
  </si>
  <si>
    <t>84af</t>
  </si>
  <si>
    <t>84ag</t>
  </si>
  <si>
    <t>84ah</t>
  </si>
  <si>
    <t>84ai</t>
  </si>
  <si>
    <t>84aj</t>
  </si>
  <si>
    <t>84ak</t>
  </si>
  <si>
    <t>84al</t>
  </si>
  <si>
    <t>84am</t>
  </si>
  <si>
    <t>84an</t>
  </si>
  <si>
    <t>84ao</t>
  </si>
  <si>
    <t>84ap</t>
  </si>
  <si>
    <t>84aq</t>
  </si>
  <si>
    <t>84ar</t>
  </si>
  <si>
    <t>84as</t>
  </si>
  <si>
    <t>84at</t>
  </si>
  <si>
    <t>84au</t>
  </si>
  <si>
    <t>84av</t>
  </si>
  <si>
    <t>84aw</t>
  </si>
  <si>
    <t>84ax</t>
  </si>
  <si>
    <t>84ay</t>
  </si>
  <si>
    <t>84az</t>
  </si>
  <si>
    <t>84ba</t>
  </si>
  <si>
    <t>84bb</t>
  </si>
  <si>
    <t>84bc</t>
  </si>
  <si>
    <t>84bd</t>
  </si>
  <si>
    <t>84be</t>
  </si>
  <si>
    <t>84bf</t>
  </si>
  <si>
    <t>84bg</t>
  </si>
  <si>
    <t>84bh</t>
  </si>
  <si>
    <t>84bi</t>
  </si>
  <si>
    <t>84bj</t>
  </si>
  <si>
    <t>84bk</t>
  </si>
  <si>
    <t>84bl</t>
  </si>
  <si>
    <t>84bm</t>
  </si>
  <si>
    <t>84bn</t>
  </si>
  <si>
    <t>84bo</t>
  </si>
  <si>
    <t>84bp</t>
  </si>
  <si>
    <t>84bq</t>
  </si>
  <si>
    <t>84br</t>
  </si>
  <si>
    <t>84bs</t>
  </si>
  <si>
    <t>84bt</t>
  </si>
  <si>
    <t>84bu</t>
  </si>
  <si>
    <t>84bv</t>
  </si>
  <si>
    <t>Brazilian Amazon</t>
  </si>
  <si>
    <t>Logging Centre 1</t>
  </si>
  <si>
    <t>Logging Centre 2</t>
  </si>
  <si>
    <t>Logging Centre 3</t>
  </si>
  <si>
    <t>Logging Centre 4</t>
  </si>
  <si>
    <t>Logging Centre 5</t>
  </si>
  <si>
    <t>Logging Centre 6</t>
  </si>
  <si>
    <t>Logging Centre 7</t>
  </si>
  <si>
    <t>Logging Centre 8</t>
  </si>
  <si>
    <t>Logging Centre 9</t>
  </si>
  <si>
    <t>Logging Centre 10</t>
  </si>
  <si>
    <t>Logging Centre 11</t>
  </si>
  <si>
    <t>Logging Centre 12</t>
  </si>
  <si>
    <t>Logging Centre 13</t>
  </si>
  <si>
    <t>Logging Centre 14</t>
  </si>
  <si>
    <t>Logging Centre 15</t>
  </si>
  <si>
    <t>Logging Centre 16</t>
  </si>
  <si>
    <t>Logging Centre 17</t>
  </si>
  <si>
    <t>Logging Centre 18</t>
  </si>
  <si>
    <t>Logging Centre 19</t>
  </si>
  <si>
    <t>Logging Centre 20</t>
  </si>
  <si>
    <t>Logging Centre 21</t>
  </si>
  <si>
    <t>Logging Centre 22</t>
  </si>
  <si>
    <t>Logging Centre 23</t>
  </si>
  <si>
    <t>Logging Centre 24</t>
  </si>
  <si>
    <t>Logging Centre 25</t>
  </si>
  <si>
    <t>Logging Centre 26</t>
  </si>
  <si>
    <t>Logging Centre 27</t>
  </si>
  <si>
    <t>Logging Centre 28</t>
  </si>
  <si>
    <t>Logging Centre 29</t>
  </si>
  <si>
    <t>Logging Centre 30</t>
  </si>
  <si>
    <t>Logging Centre 31</t>
  </si>
  <si>
    <t>Logging Centre 32</t>
  </si>
  <si>
    <t>Logging Centre 33</t>
  </si>
  <si>
    <t>Logging Centre 34</t>
  </si>
  <si>
    <t>Logging Centre 35</t>
  </si>
  <si>
    <t>Logging Centre 36</t>
  </si>
  <si>
    <t>Logging Centre 37</t>
  </si>
  <si>
    <t>Logging Centre 38</t>
  </si>
  <si>
    <t>Logging Centre 39</t>
  </si>
  <si>
    <t>Logging Centre 40</t>
  </si>
  <si>
    <t>Logging Centre 41</t>
  </si>
  <si>
    <t>Logging Centre 42</t>
  </si>
  <si>
    <t>Logging Centre 43</t>
  </si>
  <si>
    <t>Logging Centre 44</t>
  </si>
  <si>
    <t>Logging Centre 45</t>
  </si>
  <si>
    <t>Logging Centre 46</t>
  </si>
  <si>
    <t>Logging Centre 47</t>
  </si>
  <si>
    <t>Logging Centre 48</t>
  </si>
  <si>
    <t>Logging Centre 49</t>
  </si>
  <si>
    <t>Logging Centre 50</t>
  </si>
  <si>
    <t>Logging Centre 51</t>
  </si>
  <si>
    <t>Logging Centre 52</t>
  </si>
  <si>
    <t>Logging Centre 53</t>
  </si>
  <si>
    <t>Logging Centre 54</t>
  </si>
  <si>
    <t>Logging Centre 55</t>
  </si>
  <si>
    <t>Logging Centre 56</t>
  </si>
  <si>
    <t>Logging Centre 57</t>
  </si>
  <si>
    <t>Logging Centre 58</t>
  </si>
  <si>
    <t>Logging Centre 59</t>
  </si>
  <si>
    <t>Logging Centre 60</t>
  </si>
  <si>
    <t>Logging Centre 61</t>
  </si>
  <si>
    <t>Logging Centre 62</t>
  </si>
  <si>
    <t>Logging Centre 63</t>
  </si>
  <si>
    <t>Logging Centre 64</t>
  </si>
  <si>
    <t>Logging Centre 65</t>
  </si>
  <si>
    <t>Logging Centre 66</t>
  </si>
  <si>
    <t>Logging Centre 67</t>
  </si>
  <si>
    <t>Logging Centre 68</t>
  </si>
  <si>
    <t>Logging Centre 69</t>
  </si>
  <si>
    <t>Logging Centre 70</t>
  </si>
  <si>
    <t>Logging Centre 71</t>
  </si>
  <si>
    <t>Logging Centre 72</t>
  </si>
  <si>
    <t>Logging Centre 73</t>
  </si>
  <si>
    <t>Logging Centre 74</t>
  </si>
  <si>
    <t>84a.1</t>
  </si>
  <si>
    <r>
      <t>Biomass harvesting (m</t>
    </r>
    <r>
      <rPr>
        <b/>
        <vertAlign val="superscript"/>
        <sz val="12"/>
        <color theme="1"/>
        <rFont val="Calibri"/>
        <family val="2"/>
        <scheme val="minor"/>
      </rPr>
      <t>2</t>
    </r>
    <r>
      <rPr>
        <b/>
        <sz val="12"/>
        <color theme="1"/>
        <rFont val="Calibri"/>
        <family val="2"/>
        <scheme val="minor"/>
      </rPr>
      <t xml:space="preserve"> ha-</t>
    </r>
    <r>
      <rPr>
        <b/>
        <vertAlign val="superscript"/>
        <sz val="12"/>
        <color theme="1"/>
        <rFont val="Calibri"/>
        <family val="2"/>
        <scheme val="minor"/>
      </rPr>
      <t>1</t>
    </r>
    <r>
      <rPr>
        <b/>
        <sz val="12"/>
        <color theme="1"/>
        <rFont val="Calibri"/>
        <family val="2"/>
        <scheme val="minor"/>
      </rPr>
      <t xml:space="preserve"> yr</t>
    </r>
    <r>
      <rPr>
        <b/>
        <vertAlign val="superscript"/>
        <sz val="12"/>
        <color theme="1"/>
        <rFont val="Calibri"/>
        <family val="2"/>
        <scheme val="minor"/>
      </rPr>
      <t xml:space="preserve"> -1</t>
    </r>
    <r>
      <rPr>
        <b/>
        <sz val="12"/>
        <color theme="1"/>
        <rFont val="Calibri"/>
        <family val="2"/>
        <scheme val="minor"/>
      </rPr>
      <t>)</t>
    </r>
  </si>
  <si>
    <t>84b.1</t>
  </si>
  <si>
    <t>84c.1</t>
  </si>
  <si>
    <t>84d.1</t>
  </si>
  <si>
    <t>84e.1</t>
  </si>
  <si>
    <t>84f.1</t>
  </si>
  <si>
    <t>84g.1</t>
  </si>
  <si>
    <t>84h.1</t>
  </si>
  <si>
    <t>84i.1</t>
  </si>
  <si>
    <t>84j.1</t>
  </si>
  <si>
    <t>84k.1</t>
  </si>
  <si>
    <t>84l.1</t>
  </si>
  <si>
    <t>84m.1</t>
  </si>
  <si>
    <t>84n.1</t>
  </si>
  <si>
    <t>84o.1</t>
  </si>
  <si>
    <t>84p.1</t>
  </si>
  <si>
    <t>84q.1</t>
  </si>
  <si>
    <t>84r.1</t>
  </si>
  <si>
    <t>84s.1</t>
  </si>
  <si>
    <t>84t.1</t>
  </si>
  <si>
    <t>84u.1</t>
  </si>
  <si>
    <t>84v.1</t>
  </si>
  <si>
    <t>84w.1</t>
  </si>
  <si>
    <t>84x.1</t>
  </si>
  <si>
    <t>84y.1</t>
  </si>
  <si>
    <t>84z.1</t>
  </si>
  <si>
    <t>84aa.1</t>
  </si>
  <si>
    <t>84ab.1</t>
  </si>
  <si>
    <t>84ac.1</t>
  </si>
  <si>
    <t>84ad.1</t>
  </si>
  <si>
    <t>84ae.1</t>
  </si>
  <si>
    <t>84af.1</t>
  </si>
  <si>
    <t>84ag.1</t>
  </si>
  <si>
    <t>84ah.1</t>
  </si>
  <si>
    <t>84ai.1</t>
  </si>
  <si>
    <t>84aj.1</t>
  </si>
  <si>
    <t>84ak.1</t>
  </si>
  <si>
    <t>84al.1</t>
  </si>
  <si>
    <t>84am.1</t>
  </si>
  <si>
    <t>84an.1</t>
  </si>
  <si>
    <t>84ao.1</t>
  </si>
  <si>
    <t>84ap.1</t>
  </si>
  <si>
    <t>84aq.1</t>
  </si>
  <si>
    <t>84ar.1</t>
  </si>
  <si>
    <t>84as.1</t>
  </si>
  <si>
    <t>84at.1</t>
  </si>
  <si>
    <t>84au.1</t>
  </si>
  <si>
    <t>84av.1</t>
  </si>
  <si>
    <t>84aw.1</t>
  </si>
  <si>
    <t>84ax.1</t>
  </si>
  <si>
    <t>84ay.1</t>
  </si>
  <si>
    <t>84az.1</t>
  </si>
  <si>
    <t>84ba.1</t>
  </si>
  <si>
    <t>84bb.1</t>
  </si>
  <si>
    <t>84bc.1</t>
  </si>
  <si>
    <t>84bd.1</t>
  </si>
  <si>
    <t>84be.1</t>
  </si>
  <si>
    <t>84bf.1</t>
  </si>
  <si>
    <t>84bg.1</t>
  </si>
  <si>
    <t>84bh.1</t>
  </si>
  <si>
    <t>84bi.1</t>
  </si>
  <si>
    <t>84bj.1</t>
  </si>
  <si>
    <t>84bk.1</t>
  </si>
  <si>
    <t>84bl.1</t>
  </si>
  <si>
    <t>84bm.1</t>
  </si>
  <si>
    <t>84bn.1</t>
  </si>
  <si>
    <t>84bo.1</t>
  </si>
  <si>
    <t>84bp.1</t>
  </si>
  <si>
    <t>84bq.1</t>
  </si>
  <si>
    <t>84br.1</t>
  </si>
  <si>
    <t>84bs.1</t>
  </si>
  <si>
    <t>84bt.1</t>
  </si>
  <si>
    <t>84bu.1</t>
  </si>
  <si>
    <t>84bv.1</t>
  </si>
  <si>
    <t>"Loggers do not clear-cut and burn, but perforate forests by harvesting or damaging many trees."</t>
  </si>
  <si>
    <t>27b</t>
  </si>
  <si>
    <t>27a</t>
  </si>
  <si>
    <t>27c</t>
  </si>
  <si>
    <t>27d</t>
  </si>
  <si>
    <t>27e</t>
  </si>
  <si>
    <t>27h</t>
  </si>
  <si>
    <t>27i</t>
  </si>
  <si>
    <t>27f</t>
  </si>
  <si>
    <t>27g</t>
  </si>
  <si>
    <t>27j</t>
  </si>
  <si>
    <t>27k</t>
  </si>
  <si>
    <t>27l</t>
  </si>
  <si>
    <t>27m</t>
  </si>
  <si>
    <t>27n</t>
  </si>
  <si>
    <t>27o</t>
  </si>
  <si>
    <t>27p</t>
  </si>
  <si>
    <t>27q</t>
  </si>
  <si>
    <t>27r</t>
  </si>
  <si>
    <t>27s</t>
  </si>
  <si>
    <t>27t</t>
  </si>
  <si>
    <t>27u</t>
  </si>
  <si>
    <t>27v</t>
  </si>
  <si>
    <t>27w</t>
  </si>
  <si>
    <t>27x</t>
  </si>
  <si>
    <t>27y</t>
  </si>
  <si>
    <t>27z</t>
  </si>
  <si>
    <t>27aa</t>
  </si>
  <si>
    <t>27ab</t>
  </si>
  <si>
    <t>27ac</t>
  </si>
  <si>
    <t>27ad</t>
  </si>
  <si>
    <t>27ae</t>
  </si>
  <si>
    <t>27af</t>
  </si>
  <si>
    <t>27ag</t>
  </si>
  <si>
    <t>27ah</t>
  </si>
  <si>
    <t>27ai</t>
  </si>
  <si>
    <t>27aj</t>
  </si>
  <si>
    <t>27ak</t>
  </si>
  <si>
    <t>27al</t>
  </si>
  <si>
    <t>27am</t>
  </si>
  <si>
    <t>27ao</t>
  </si>
  <si>
    <t>27ap</t>
  </si>
  <si>
    <t>27aq</t>
  </si>
  <si>
    <t>27ar</t>
  </si>
  <si>
    <t>27as</t>
  </si>
  <si>
    <t>27at</t>
  </si>
  <si>
    <t>27au</t>
  </si>
  <si>
    <t>27av</t>
  </si>
  <si>
    <t>27aw</t>
  </si>
  <si>
    <t>27a.1</t>
  </si>
  <si>
    <t>27b.1</t>
  </si>
  <si>
    <t>27c.1</t>
  </si>
  <si>
    <t>27d.1</t>
  </si>
  <si>
    <t>27d.2</t>
  </si>
  <si>
    <t>27e.1</t>
  </si>
  <si>
    <t>27f.1</t>
  </si>
  <si>
    <t>27f.2</t>
  </si>
  <si>
    <t>27g.1</t>
  </si>
  <si>
    <t>27g.2</t>
  </si>
  <si>
    <t>27h.1</t>
  </si>
  <si>
    <t>27h.2</t>
  </si>
  <si>
    <t>27i.1</t>
  </si>
  <si>
    <t>27i.2</t>
  </si>
  <si>
    <t>27j.1</t>
  </si>
  <si>
    <t>27j.2</t>
  </si>
  <si>
    <t>27k.1</t>
  </si>
  <si>
    <t>27l.1</t>
  </si>
  <si>
    <t>27l.2</t>
  </si>
  <si>
    <t>27m.1</t>
  </si>
  <si>
    <t>27m.2</t>
  </si>
  <si>
    <t>27m.3</t>
  </si>
  <si>
    <t>27n.1</t>
  </si>
  <si>
    <t>27o.1</t>
  </si>
  <si>
    <t>27o.2</t>
  </si>
  <si>
    <t>27p.1</t>
  </si>
  <si>
    <t>27p.2</t>
  </si>
  <si>
    <t>27q.1</t>
  </si>
  <si>
    <t>27q.2</t>
  </si>
  <si>
    <t>27q.3</t>
  </si>
  <si>
    <t>27r.1</t>
  </si>
  <si>
    <t>27r.2</t>
  </si>
  <si>
    <t>27r.3</t>
  </si>
  <si>
    <t>27s.1</t>
  </si>
  <si>
    <t>27t.1</t>
  </si>
  <si>
    <t>27t.2</t>
  </si>
  <si>
    <t>27t.3</t>
  </si>
  <si>
    <t>27u.1</t>
  </si>
  <si>
    <t>27v.1</t>
  </si>
  <si>
    <t>27w.1</t>
  </si>
  <si>
    <t>27w.2</t>
  </si>
  <si>
    <t>27w.3</t>
  </si>
  <si>
    <t>27x.1</t>
  </si>
  <si>
    <t>27y.1</t>
  </si>
  <si>
    <t>27z.1</t>
  </si>
  <si>
    <t>27z.2</t>
  </si>
  <si>
    <t>27z.3</t>
  </si>
  <si>
    <t>27aa.1</t>
  </si>
  <si>
    <t>27aa.2</t>
  </si>
  <si>
    <t>27ab.1</t>
  </si>
  <si>
    <t>27ac.1</t>
  </si>
  <si>
    <t>27ad.1</t>
  </si>
  <si>
    <t>27ae.1</t>
  </si>
  <si>
    <t>27ae.2</t>
  </si>
  <si>
    <t>27ae.3</t>
  </si>
  <si>
    <t>27af.1</t>
  </si>
  <si>
    <t>27af.2</t>
  </si>
  <si>
    <t>27af.3</t>
  </si>
  <si>
    <t>27ag.1</t>
  </si>
  <si>
    <t>27ag.2</t>
  </si>
  <si>
    <t>27ah.1</t>
  </si>
  <si>
    <t>27ah.2</t>
  </si>
  <si>
    <t>27ah.3</t>
  </si>
  <si>
    <t>27ai.1</t>
  </si>
  <si>
    <t>27ai.2</t>
  </si>
  <si>
    <t>27ai.3</t>
  </si>
  <si>
    <t>27aj.1</t>
  </si>
  <si>
    <t>27aj.2</t>
  </si>
  <si>
    <t>27aj.3</t>
  </si>
  <si>
    <t>27ak.1</t>
  </si>
  <si>
    <t>27ak.2</t>
  </si>
  <si>
    <t>27ak.3</t>
  </si>
  <si>
    <t>27al.1</t>
  </si>
  <si>
    <t>27al.2</t>
  </si>
  <si>
    <t>27am.1</t>
  </si>
  <si>
    <t>27am.2</t>
  </si>
  <si>
    <t>27am.3</t>
  </si>
  <si>
    <t>27ao.1</t>
  </si>
  <si>
    <t>27ao.2</t>
  </si>
  <si>
    <t>27ap.1</t>
  </si>
  <si>
    <t>27aq.1</t>
  </si>
  <si>
    <t>27ar.1</t>
  </si>
  <si>
    <t>27ar.2</t>
  </si>
  <si>
    <t>27ar.3</t>
  </si>
  <si>
    <t>27as.1</t>
  </si>
  <si>
    <t>27as.2</t>
  </si>
  <si>
    <t>27as.3</t>
  </si>
  <si>
    <t>27at.1</t>
  </si>
  <si>
    <t>27at.2</t>
  </si>
  <si>
    <t>27au.1</t>
  </si>
  <si>
    <t>27au.2</t>
  </si>
  <si>
    <t>27av.1</t>
  </si>
  <si>
    <t>27aw.1</t>
  </si>
  <si>
    <t>Study focuses on government pioneer farming settlements, with higher agricultural land covers than typical for the region.  Page 69 for yields and pasture carrying capacity yields after a burn. Yield data for corn.</t>
  </si>
  <si>
    <t>Total BA is mean secondary vegetation cleared * number of farmers; fire return is fallow period + 2 years (usage duration reported).</t>
  </si>
  <si>
    <t>Forest clearance linked explicitly to subsequent burning; page 25 gives useful breakdown of operation size.</t>
  </si>
  <si>
    <t>28a.4</t>
  </si>
  <si>
    <t xml:space="preserve">Total BA is mean forest cleared * number of farmers, weighted by the proportion of land dedicated to this land use. </t>
  </si>
  <si>
    <t xml:space="preserve">Pasture not linked directly to deforestation fires, as land is first used for cropping before pasture. Clearly, there may be an indirect link. Pasture used for average of 15 years before degradation. </t>
  </si>
  <si>
    <t>Swidden cycle linked explicitly to burning</t>
  </si>
  <si>
    <t>29j</t>
  </si>
  <si>
    <t>29k</t>
  </si>
  <si>
    <t>29l</t>
  </si>
  <si>
    <t>29m</t>
  </si>
  <si>
    <t>29n</t>
  </si>
  <si>
    <t>29o</t>
  </si>
  <si>
    <t>29r</t>
  </si>
  <si>
    <t>29s</t>
  </si>
  <si>
    <t>29p</t>
  </si>
  <si>
    <t>29q</t>
  </si>
  <si>
    <t>29t</t>
  </si>
  <si>
    <t>29u</t>
  </si>
  <si>
    <t>29v</t>
  </si>
  <si>
    <t>29w</t>
  </si>
  <si>
    <t>29x</t>
  </si>
  <si>
    <t>29y</t>
  </si>
  <si>
    <t>29z</t>
  </si>
  <si>
    <t>29aa</t>
  </si>
  <si>
    <t>29ab</t>
  </si>
  <si>
    <t>29ac</t>
  </si>
  <si>
    <t>29ad</t>
  </si>
  <si>
    <t>29ae</t>
  </si>
  <si>
    <t>29af</t>
  </si>
  <si>
    <t>29ag</t>
  </si>
  <si>
    <t>29ah</t>
  </si>
  <si>
    <t>29ai</t>
  </si>
  <si>
    <t>29ak</t>
  </si>
  <si>
    <t>29aj</t>
  </si>
  <si>
    <t>29al</t>
  </si>
  <si>
    <t>29am</t>
  </si>
  <si>
    <t>29an</t>
  </si>
  <si>
    <t>29ao</t>
  </si>
  <si>
    <t>29ap</t>
  </si>
  <si>
    <t>29aq</t>
  </si>
  <si>
    <t>29ar</t>
  </si>
  <si>
    <t>29as</t>
  </si>
  <si>
    <t>29at</t>
  </si>
  <si>
    <t xml:space="preserve"> Palo Sehtla district </t>
  </si>
  <si>
    <t xml:space="preserve"> Eastern Ngamiland </t>
  </si>
  <si>
    <t xml:space="preserve"> Western Ngamiland</t>
  </si>
  <si>
    <t xml:space="preserve"> Gaborone region</t>
  </si>
  <si>
    <t xml:space="preserve"> Boromo region</t>
  </si>
  <si>
    <t xml:space="preserve"> "Volta Noire"</t>
  </si>
  <si>
    <t xml:space="preserve"> Ouagadougou region</t>
  </si>
  <si>
    <t xml:space="preserve"> Yatenga</t>
  </si>
  <si>
    <t xml:space="preserve"> Mokolo region</t>
  </si>
  <si>
    <t xml:space="preserve"> Guider region</t>
  </si>
  <si>
    <t xml:space="preserve"> Tupairi</t>
  </si>
  <si>
    <t xml:space="preserve"> Guatala</t>
  </si>
  <si>
    <t xml:space="preserve"> Bamenda region</t>
  </si>
  <si>
    <t xml:space="preserve"> Ada'a</t>
  </si>
  <si>
    <t xml:space="preserve"> Adama area</t>
  </si>
  <si>
    <t xml:space="preserve"> Arsi</t>
  </si>
  <si>
    <t xml:space="preserve"> Shewa region</t>
  </si>
  <si>
    <t xml:space="preserve"> Kissidougou</t>
  </si>
  <si>
    <t xml:space="preserve"> Kankan</t>
  </si>
  <si>
    <t xml:space="preserve"> 'Higlit Guinea'</t>
  </si>
  <si>
    <t xml:space="preserve"> South Nyanza</t>
  </si>
  <si>
    <t xml:space="preserve"> Bungoma County</t>
  </si>
  <si>
    <t xml:space="preserve"> Kakamega</t>
  </si>
  <si>
    <t xml:space="preserve"> Siaya</t>
  </si>
  <si>
    <t xml:space="preserve"> Embu County</t>
  </si>
  <si>
    <t xml:space="preserve"> Machakos</t>
  </si>
  <si>
    <t xml:space="preserve"> Bauchi</t>
  </si>
  <si>
    <t xml:space="preserve"> Kano</t>
  </si>
  <si>
    <t xml:space="preserve"> Kaduna State</t>
  </si>
  <si>
    <t xml:space="preserve"> Oyo State</t>
  </si>
  <si>
    <t xml:space="preserve"> Mwanza Hills</t>
  </si>
  <si>
    <t xml:space="preserve"> Mwanza Valley</t>
  </si>
  <si>
    <t xml:space="preserve"> Northern Kilosa</t>
  </si>
  <si>
    <t xml:space="preserve"> Southern Kilosa</t>
  </si>
  <si>
    <t xml:space="preserve"> Katete</t>
  </si>
  <si>
    <t xml:space="preserve"> Kandungo</t>
  </si>
  <si>
    <t>Botswana</t>
  </si>
  <si>
    <t>Burkina Faso</t>
  </si>
  <si>
    <t>Ethiopia</t>
  </si>
  <si>
    <t>Kenya</t>
  </si>
  <si>
    <t>Nigeria</t>
  </si>
  <si>
    <t>Exact date not available; fieldwork completed for 1987 publication. Location digitised from authors' map.</t>
  </si>
  <si>
    <t>"Good" Access to markets reported</t>
  </si>
  <si>
    <t>"Very poor" Access to markets reported</t>
  </si>
  <si>
    <t>"Excellent" Access to markets reported</t>
  </si>
  <si>
    <t>"Fair" Access to markets reported</t>
  </si>
  <si>
    <t>"Poor" Access to markets reported</t>
  </si>
  <si>
    <t>"Very Poor" Access to markets reported</t>
  </si>
  <si>
    <t>Fire-free short fallow system (1-2 years' cultivation and 1-2 years' fallow), using manure as fertiliser</t>
  </si>
  <si>
    <t xml:space="preserve">Emerging annual cultivation' - a transition state between swidden and permanent agriculture, without use of fire. </t>
  </si>
  <si>
    <t>29j.1</t>
  </si>
  <si>
    <t>29k.1</t>
  </si>
  <si>
    <t>29l.1</t>
  </si>
  <si>
    <t>29m.1</t>
  </si>
  <si>
    <t>Fire-free permanent monoculture</t>
  </si>
  <si>
    <t>29n.1</t>
  </si>
  <si>
    <t>29o.1</t>
  </si>
  <si>
    <t>29o.2</t>
  </si>
  <si>
    <t>"Forest Fallow" - a system of 20-25 year fallow, with 1-2 years' cultivation.</t>
  </si>
  <si>
    <t>"Bush Fallow" - a system of 6-10 years' fallow, with 2-6 years' cultivation</t>
  </si>
  <si>
    <t>29p.1</t>
  </si>
  <si>
    <t>29q.1</t>
  </si>
  <si>
    <t>29r.1</t>
  </si>
  <si>
    <t>29s.1</t>
  </si>
  <si>
    <t>29t.1</t>
  </si>
  <si>
    <t>29u.1</t>
  </si>
  <si>
    <t xml:space="preserve">"Emerging annual cultivation" - a transition state between swidden and permanent agriculture, without use of fire. </t>
  </si>
  <si>
    <t>29v.1</t>
  </si>
  <si>
    <t>29w.1</t>
  </si>
  <si>
    <t>29w.2</t>
  </si>
  <si>
    <t>29x.1</t>
  </si>
  <si>
    <t>29y.1</t>
  </si>
  <si>
    <t>29z.1</t>
  </si>
  <si>
    <t>29aa.1</t>
  </si>
  <si>
    <t>29ab.1</t>
  </si>
  <si>
    <t>29ac.1</t>
  </si>
  <si>
    <t>29ad.1</t>
  </si>
  <si>
    <t>29ae.1</t>
  </si>
  <si>
    <t>29af.1</t>
  </si>
  <si>
    <t>29ag.1</t>
  </si>
  <si>
    <t>29ah.1</t>
  </si>
  <si>
    <t>29aj.1</t>
  </si>
  <si>
    <t>29ak.1</t>
  </si>
  <si>
    <t>29al.1</t>
  </si>
  <si>
    <t>29am.1</t>
  </si>
  <si>
    <t>29an.1</t>
  </si>
  <si>
    <t>29ao.1</t>
  </si>
  <si>
    <t>29ap.1</t>
  </si>
  <si>
    <t>29ap.2</t>
  </si>
  <si>
    <t>29aq.1</t>
  </si>
  <si>
    <t>29ar.1</t>
  </si>
  <si>
    <t>29as.1</t>
  </si>
  <si>
    <t xml:space="preserve">11000 ha of nature reserves established; two private forestry companies in the area. Only 10% of farmers practice irrigated agriculture. </t>
  </si>
  <si>
    <t xml:space="preserve">No farmers reported gaining an income from forestry in these villages; Only 10% of farmers practice irrigated agriculture. </t>
  </si>
  <si>
    <t xml:space="preserve">11000 ha of nature reserves established; two private forestry companies in the area. Only 10% of farmers practice irrigated agriculture. 58% of farmers grew coffee as well as subsistence swidden; coffee is grown where soils are suitable. </t>
  </si>
  <si>
    <t xml:space="preserve">No farmers reported gaining an income from forestry in these villages; Only 10% of farmers practice irrigated agriculture. 75% of farmers grew coffee as well as subsistence swidden; coffee is grown where soils are suitable. </t>
  </si>
  <si>
    <t>80% of households cleared "almost 2ha per year".</t>
  </si>
  <si>
    <t>Mean cultivation period in the study region was 2-3 years on forest fallow, and 1-2 on shorter bush fallow.</t>
  </si>
  <si>
    <t>Rice from paddy fields contributes around 50% of calories consumed, whereas swidden contributes only ~25%. Cattle are grazed in forest openings or where vegetation is sparse enough. Yield is for rice.</t>
  </si>
  <si>
    <t>Fallow linked explicitly to burning; cultivation period is 4-5 years due to extensive improvements made to swidden land</t>
  </si>
  <si>
    <t xml:space="preserve">Fires are lit after new rice plants are embedded in paddy fields to ward of disease and pests, in a highly ritualised ceremony. </t>
  </si>
  <si>
    <t xml:space="preserve">Cattle pastures were established in the 1980s due to government subsidies, but had largely been abandoned. </t>
  </si>
  <si>
    <t>Fire return calculated as 1 / average percentage of swidden and secondary vegetation that was under cultivation.</t>
  </si>
  <si>
    <t>2/3 of field clearing was in secondary forest. Field preparation linked explicitly to fire.</t>
  </si>
  <si>
    <t>1/3 of field clearing was in primary forest. Field preparation linked explicitly to fire.</t>
  </si>
  <si>
    <t>A false location name is given to respect participants' anonimity; location estimated from author description.</t>
  </si>
  <si>
    <t>Fire return is fallow age + 2; intended fire size from fallow size.</t>
  </si>
  <si>
    <t>de Rouw 1991</t>
  </si>
  <si>
    <t>Yield is for rice</t>
  </si>
  <si>
    <t>Swidden agriculture used secondary fallows, whilst coffee and cacoa required primary forest fallows for succesful crops.</t>
  </si>
  <si>
    <t>37a.3</t>
  </si>
  <si>
    <t xml:space="preserve">Later burning date than swidden reflects more labour intensive practice. </t>
  </si>
  <si>
    <t>Study is four plots on Luang Prabang, location given is for Luang Prabang plot.</t>
  </si>
  <si>
    <t>Fallowing cycle linked directly to burning; return period is from field interviews conducted in 1991/2</t>
  </si>
  <si>
    <t xml:space="preserve">Land allocation had placed old forests under state protection, and removed them from the swidden cycle. </t>
  </si>
  <si>
    <t>% of burned area is calculated as fallow % / fallow duration; Fire return is fallow period + 2; intended fire size from field size.</t>
  </si>
  <si>
    <t xml:space="preserve">Moving land into forest reserve, combined with bans on burning in those regions, led to shorter fallow lengths and more frequent fire in secondary forest / swidden fallow cycles. </t>
  </si>
  <si>
    <t>Fire linked directly to fallowing; mean cropping period and fallow length both reported.</t>
  </si>
  <si>
    <t>Burned area is amount of swidden upland rice / fire return period. Upland rice area calculated as a weighted mean by the average land holdings of villagers with a given % of paddy.</t>
  </si>
  <si>
    <t xml:space="preserve">1970 upland rice is (1-paddy area); paddy area calculated as 0.2*2003 levels, based on the reported increase across the study area. </t>
  </si>
  <si>
    <t>Location is centre of district</t>
  </si>
  <si>
    <t>Phonxay</t>
  </si>
  <si>
    <t>1970 is based on field interviews conducted in 2003; Location is centre of district.</t>
  </si>
  <si>
    <t>41g</t>
  </si>
  <si>
    <t>41h</t>
  </si>
  <si>
    <t>41i</t>
  </si>
  <si>
    <t>42a.2</t>
  </si>
  <si>
    <t>42b.2</t>
  </si>
  <si>
    <t>42c.2</t>
  </si>
  <si>
    <t>42g</t>
  </si>
  <si>
    <t>42h</t>
  </si>
  <si>
    <t>42i</t>
  </si>
  <si>
    <t>42g.1</t>
  </si>
  <si>
    <t>42g.2</t>
  </si>
  <si>
    <t>42h.1</t>
  </si>
  <si>
    <t>42h.2</t>
  </si>
  <si>
    <t>42i.1</t>
  </si>
  <si>
    <t>42i.2</t>
  </si>
  <si>
    <t>Distinction between records is based on the grouping of Laotian people based on their altitudinal range. Lao Loum traditionally lived in valleys &lt; 300m ASL. Location is centre of province.</t>
  </si>
  <si>
    <t>Location digitised from hand-drawn map</t>
  </si>
  <si>
    <t>Farmers operated a combination of swidden and paddy-grown rice</t>
  </si>
  <si>
    <t>Fallow calculated from land use histories</t>
  </si>
  <si>
    <t>Location is centre of province</t>
  </si>
  <si>
    <t>Intended fire size from fallow size</t>
  </si>
  <si>
    <t>Some farmers had up to 2ha of irrigated land in alluvial areas. 21% of farmers applied some form of chemicals. Yield data for maize.</t>
  </si>
  <si>
    <t>Yield is for rice &amp; a weighted average of upland (1.4) and lowland (2.96)</t>
  </si>
  <si>
    <t>Fire size from reported field size. Fire return is fallow + 2. Cropland burned area is swidden area as a proportion of all cropland / fire return period.</t>
  </si>
  <si>
    <t>Yield is for rice and a weighted average rice crop given allocation to paddy and upland swidden.</t>
  </si>
  <si>
    <t xml:space="preserve">Cultivation and fallow period given explicitly for upland swidden. Intended fire size from swidden field size. </t>
  </si>
  <si>
    <t>Six villages fall within close proximity; location reflects bounding box given in hand drawn map in the study.</t>
  </si>
  <si>
    <t>Kibunut</t>
  </si>
  <si>
    <t xml:space="preserve">Six villages fall within close proximity; location reflects bounding box given in hand drawn map in the study. A 'remote' village. </t>
  </si>
  <si>
    <t>Fire return is fallow + 3 (reported).</t>
  </si>
  <si>
    <t xml:space="preserve">Fire return is fallow + 2 </t>
  </si>
  <si>
    <t>Farm size estimated from narrative description of distribution of land holdings; study mean was 6.1 ha. Cash crops - such as onions or tapioca were being incoporated into the swidden rotation.</t>
  </si>
  <si>
    <t>Farm size estimated from narrative description of distribution of land holdings; study mean was 6.1 ha. "The transition from food to cash crop is evident especially where there is road access"</t>
  </si>
  <si>
    <t xml:space="preserve">Incentives to encourage farmers to abandon swidden in favour of cash cropping; these were most effective where road networks existed. </t>
  </si>
  <si>
    <t>Study conducted close to Lim (1998), record 49.</t>
  </si>
  <si>
    <t>Location digitised from study map</t>
  </si>
  <si>
    <t xml:space="preserve">Conservation reserve to the west of study site is used for gathering of NTFPs; land use from community partcipatory mapping. </t>
  </si>
  <si>
    <t>Fire return calculated from proportion of secondary vegetation to cropland. Intended burned area based on land cover %.</t>
  </si>
  <si>
    <r>
      <rPr>
        <i/>
        <sz val="11"/>
        <color theme="1"/>
        <rFont val="Calibri"/>
        <family val="2"/>
        <scheme val="minor"/>
      </rPr>
      <t>Ejido</t>
    </r>
    <r>
      <rPr>
        <sz val="11"/>
        <color theme="1"/>
        <rFont val="Calibri"/>
        <family val="2"/>
        <scheme val="minor"/>
      </rPr>
      <t xml:space="preserve"> system of land allocation; yield data for maize.</t>
    </r>
  </si>
  <si>
    <t>Location is centre of size study villages; results from individual villages reported together.</t>
  </si>
  <si>
    <t>Fire return is fallow + 2; new (roza) and 1 or 2 year old (cana) milpa plots have different terms in local dialect;  fire size from field size</t>
  </si>
  <si>
    <t>Case study from 2005 not included due to scan error on landsat scene.</t>
  </si>
  <si>
    <t xml:space="preserve">Other' category in land use classification means numbers do not sum to 100. </t>
  </si>
  <si>
    <t>Fallow length from proportion of secondary vegetation, assuming 2 years' cultivation</t>
  </si>
  <si>
    <r>
      <t>Tsetse flies reported as preventing cattle herds; biomass demand is for tobacco, calculated using the average seasonal tobacco field, the amount of wood required for curing, and the percentage of farmers growing tobacco. NB 1ha of miombo woodland &lt; 1ha trees; the author's suggest 23m</t>
    </r>
    <r>
      <rPr>
        <vertAlign val="superscript"/>
        <sz val="11"/>
        <color theme="1"/>
        <rFont val="Calibri"/>
        <family val="2"/>
        <scheme val="minor"/>
      </rPr>
      <t xml:space="preserve">3  </t>
    </r>
    <r>
      <rPr>
        <sz val="11"/>
        <color theme="1"/>
        <rFont val="Calibri"/>
        <family val="2"/>
        <scheme val="minor"/>
      </rPr>
      <t xml:space="preserve">required to cure tobacco from an average field size represents timber stock from ~ 1ha of woodland. </t>
    </r>
  </si>
  <si>
    <t>Fire return is fallow + 2; fire size from field size.</t>
  </si>
  <si>
    <t>56b</t>
  </si>
  <si>
    <t>56c</t>
  </si>
  <si>
    <t>56d</t>
  </si>
  <si>
    <t>56e</t>
  </si>
  <si>
    <t>56f</t>
  </si>
  <si>
    <t>56g</t>
  </si>
  <si>
    <t>56h</t>
  </si>
  <si>
    <t>56i</t>
  </si>
  <si>
    <t>56j</t>
  </si>
  <si>
    <t>56k</t>
  </si>
  <si>
    <t>56l</t>
  </si>
  <si>
    <t>56m</t>
  </si>
  <si>
    <t>56n</t>
  </si>
  <si>
    <t>56o</t>
  </si>
  <si>
    <t>56p</t>
  </si>
  <si>
    <t>56q</t>
  </si>
  <si>
    <t>56r</t>
  </si>
  <si>
    <t>56s</t>
  </si>
  <si>
    <t>56t</t>
  </si>
  <si>
    <t>56u</t>
  </si>
  <si>
    <t>56v</t>
  </si>
  <si>
    <t>56w</t>
  </si>
  <si>
    <t>56x</t>
  </si>
  <si>
    <t>56y</t>
  </si>
  <si>
    <t>56z</t>
  </si>
  <si>
    <t>56aa</t>
  </si>
  <si>
    <t>56ab</t>
  </si>
  <si>
    <t>56ac</t>
  </si>
  <si>
    <t>56ad</t>
  </si>
  <si>
    <t>56ae</t>
  </si>
  <si>
    <t>56af</t>
  </si>
  <si>
    <t>56ag</t>
  </si>
  <si>
    <t>56ah</t>
  </si>
  <si>
    <t>56ai</t>
  </si>
  <si>
    <t>56aj</t>
  </si>
  <si>
    <t>56ak</t>
  </si>
  <si>
    <t>56al</t>
  </si>
  <si>
    <t>56am</t>
  </si>
  <si>
    <t>56an</t>
  </si>
  <si>
    <t>56ao</t>
  </si>
  <si>
    <t>56ap</t>
  </si>
  <si>
    <t>56aq</t>
  </si>
  <si>
    <t>56ar</t>
  </si>
  <si>
    <t>56as</t>
  </si>
  <si>
    <t>56at</t>
  </si>
  <si>
    <t>56au</t>
  </si>
  <si>
    <t>56av</t>
  </si>
  <si>
    <t>56aw</t>
  </si>
  <si>
    <t>56ax</t>
  </si>
  <si>
    <t>56ay</t>
  </si>
  <si>
    <t>56az</t>
  </si>
  <si>
    <t>Field size is for a chitemene; withdrawal of maize subsidies had meant shifting cultivation was the dominant system</t>
  </si>
  <si>
    <t xml:space="preserve">Field size is for a chitemene; production was a combination of traditional chitemene and maize monoculture. </t>
  </si>
  <si>
    <t>Fire return is 4 years' cultivation + 8 years' fallow (both reported); intended burned area is intended % of chitemene burned (based on fire return period) * chitemene size * chitemene density</t>
  </si>
  <si>
    <t>56b.1</t>
  </si>
  <si>
    <t>56c.1</t>
  </si>
  <si>
    <t>56d.1</t>
  </si>
  <si>
    <t>56e.1</t>
  </si>
  <si>
    <t>56f.1</t>
  </si>
  <si>
    <t>56g.1</t>
  </si>
  <si>
    <t>56h.1</t>
  </si>
  <si>
    <t>56i.1</t>
  </si>
  <si>
    <t>56j.1</t>
  </si>
  <si>
    <t>56k.1</t>
  </si>
  <si>
    <t>56l.1</t>
  </si>
  <si>
    <t>56m.1</t>
  </si>
  <si>
    <t>56n.1</t>
  </si>
  <si>
    <t>56o.1</t>
  </si>
  <si>
    <t>56p.1</t>
  </si>
  <si>
    <t>56q.1</t>
  </si>
  <si>
    <t>56r.1</t>
  </si>
  <si>
    <t>56s.1</t>
  </si>
  <si>
    <t>56t.1</t>
  </si>
  <si>
    <t>56u.1</t>
  </si>
  <si>
    <t>56v.1</t>
  </si>
  <si>
    <t>56w.1</t>
  </si>
  <si>
    <t>56x.1</t>
  </si>
  <si>
    <t>56y.1</t>
  </si>
  <si>
    <t>56z.1</t>
  </si>
  <si>
    <t>56aa.1</t>
  </si>
  <si>
    <t>56ab.1</t>
  </si>
  <si>
    <t>56ac.1</t>
  </si>
  <si>
    <t>56ad.1</t>
  </si>
  <si>
    <t>56ae.1</t>
  </si>
  <si>
    <t>56af.1</t>
  </si>
  <si>
    <t>56ag.1</t>
  </si>
  <si>
    <t>56ah.1</t>
  </si>
  <si>
    <t>56ai.1</t>
  </si>
  <si>
    <t>56aj.1</t>
  </si>
  <si>
    <t>56ak.1</t>
  </si>
  <si>
    <t>56al.1</t>
  </si>
  <si>
    <t>56am.1</t>
  </si>
  <si>
    <t>56an.1</t>
  </si>
  <si>
    <t>56ao.1</t>
  </si>
  <si>
    <t>56ap.1</t>
  </si>
  <si>
    <t>56aq.1</t>
  </si>
  <si>
    <t>56ar.1</t>
  </si>
  <si>
    <t>56as.1</t>
  </si>
  <si>
    <t>56at.1</t>
  </si>
  <si>
    <t>56au.1</t>
  </si>
  <si>
    <t>56av.1</t>
  </si>
  <si>
    <t>56aw.1</t>
  </si>
  <si>
    <t>56ax.1</t>
  </si>
  <si>
    <t>56ay.1</t>
  </si>
  <si>
    <t>56az.1</t>
  </si>
  <si>
    <t>56aa.2</t>
  </si>
  <si>
    <t>Maize marketing programme made high-yielding cultivars and fertilisers available to farmers, encouraging them to abandon swidden</t>
  </si>
  <si>
    <t>56ab.2</t>
  </si>
  <si>
    <t>56ac.2</t>
  </si>
  <si>
    <t>56ad.2</t>
  </si>
  <si>
    <t>56ae.2</t>
  </si>
  <si>
    <t>56af.2</t>
  </si>
  <si>
    <t>56ag.2</t>
  </si>
  <si>
    <t>56ah.2</t>
  </si>
  <si>
    <t>56ai.2</t>
  </si>
  <si>
    <t>56aj.2</t>
  </si>
  <si>
    <t>56ak.2</t>
  </si>
  <si>
    <t>56al.2</t>
  </si>
  <si>
    <t>56am.2</t>
  </si>
  <si>
    <t>56an.2</t>
  </si>
  <si>
    <t>56ao.2</t>
  </si>
  <si>
    <t>56ap.2</t>
  </si>
  <si>
    <t>56aq.2</t>
  </si>
  <si>
    <t>56ar.2</t>
  </si>
  <si>
    <t>56as.2</t>
  </si>
  <si>
    <t>56at.2</t>
  </si>
  <si>
    <t>56au.2</t>
  </si>
  <si>
    <t>56av.2</t>
  </si>
  <si>
    <t>56aw.2</t>
  </si>
  <si>
    <t>56ax.2</t>
  </si>
  <si>
    <t>56ay.2</t>
  </si>
  <si>
    <t>56az.2</t>
  </si>
  <si>
    <t>Citemene shifting cultivation only takes place between 600-1400m ASL; yield for finger millet; harvesting of wood for one Citemene estimated as 1-4.2ha</t>
  </si>
  <si>
    <t>Milpas were used to graze livestock (primarily pigs, turkeys, chickens) in the first year after cropping, and to harvest firewood from post-burn remnants</t>
  </si>
  <si>
    <t>Fire return is fallow + 2; Fire return estimated from distributions of fallow reported (40% below 10years old, with a range of 5-60 years); fire size from field size.</t>
  </si>
  <si>
    <t>Fire return is fallow + 1 (reported)</t>
  </si>
  <si>
    <t xml:space="preserve">1-year cultivation period is attributed to soil quality and invasion of weeds during long cultivation periods. </t>
  </si>
  <si>
    <t>62a.1</t>
  </si>
  <si>
    <t xml:space="preserve">Land area is distribution of farmers' holdings, not including surrounding primary forest; secondary vegetation was actively managed for timber production. </t>
  </si>
  <si>
    <t>Land area is distribution of farmers' holdings, not including surrounding primary forest.</t>
  </si>
  <si>
    <t xml:space="preserve">Central Government made credit available to smallholders at concessionary rates. </t>
  </si>
  <si>
    <t xml:space="preserve">Numbers do not include water, rock, urban land and bare ground. Around 90% of the land area was classified. Government subsidies supported development of naranjilla and other cash crop plantations. </t>
  </si>
  <si>
    <t>Location digitised from author map</t>
  </si>
  <si>
    <t xml:space="preserve">Fire return is fallow + 4 years' cultivation (reported); fire size from field size. </t>
  </si>
  <si>
    <t>Charcoal trees were logged highly selectively, often leaving the wider canopy in tact</t>
  </si>
  <si>
    <t>Clearing of primary forest for charcoal supplied to urban areas was a significant process; previous monoculture farms were being abandoned due to the end of agricultural credit in 1990. Charcoal clearing (biomass harvesting) was focused towards swampy areas.</t>
  </si>
  <si>
    <t>Charcoal creation acknowledged as the fastest and easiest way to make money. Charcoal clearing (biomass harvesting) was focused towards swampy areas.</t>
  </si>
  <si>
    <t>Fieldwork dates from author personal communication.</t>
  </si>
  <si>
    <t>A process of land privitisation had lead wealthier farmers to increase land holdings, 'aggrevating' a process of social differentiation. This led to a conflict in land use between secondary forest for babassu production and clearing for pasture. Forestry is babassu extraction.</t>
  </si>
  <si>
    <t>Official government policy has made eradication of shifting cultivation a major priority. This includes a legal limit of the fallow period to 5 years.</t>
  </si>
  <si>
    <t xml:space="preserve">Fallow length &amp; cropping period given explicitly; average of 1.8 years' cropping. Fire size and intended burned area from land holdings per household. </t>
  </si>
  <si>
    <t xml:space="preserve">Fallow length &amp; cropping period given explicitly; 1 year of cropping. Fire size from land holdings. Fire size and intended burned area from land holdings per household. </t>
  </si>
  <si>
    <t xml:space="preserve">Farm size is a weighted average of land holdings. </t>
  </si>
  <si>
    <t xml:space="preserve">Fire return is fallow + 1 year production (reported); fallow linked explicitly to fire. Intended burned area is based on swidden as a proportion of overall cropland. </t>
  </si>
  <si>
    <t xml:space="preserve">Farm size assumes family size has stayed roughly constant; yield is average of paddy and swidden rice farming. </t>
  </si>
  <si>
    <t xml:space="preserve">Farm size takes values per capita and multiplies by average family size in 2000; yield is average of paddy and swidden rice farming. </t>
  </si>
  <si>
    <t>Fire return is fallow + 2; intended burned area from swidden area and fire return.</t>
  </si>
  <si>
    <t>Fire return is fallow + 2; linear extrapolation between value reported for 1987 and 2000; intended burned area from swidden area and fire return.</t>
  </si>
  <si>
    <t>72a.2</t>
  </si>
  <si>
    <t>Land clearance</t>
  </si>
  <si>
    <r>
      <t>9.6ha y</t>
    </r>
    <r>
      <rPr>
        <vertAlign val="superscript"/>
        <sz val="11"/>
        <color theme="1"/>
        <rFont val="Calibri"/>
        <family val="2"/>
        <scheme val="minor"/>
      </rPr>
      <t>-1</t>
    </r>
    <r>
      <rPr>
        <sz val="11"/>
        <color theme="1"/>
        <rFont val="Calibri"/>
        <family val="2"/>
        <scheme val="minor"/>
      </rPr>
      <t xml:space="preserve"> of former swidden fallows cleared for rubber plantations; not reported what % involved fire.</t>
    </r>
  </si>
  <si>
    <t>72b.2</t>
  </si>
  <si>
    <t>72c.2</t>
  </si>
  <si>
    <t>72d.2</t>
  </si>
  <si>
    <t>72e.2</t>
  </si>
  <si>
    <r>
      <t>7.3ha y</t>
    </r>
    <r>
      <rPr>
        <vertAlign val="superscript"/>
        <sz val="11"/>
        <color theme="1"/>
        <rFont val="Calibri"/>
        <family val="2"/>
        <scheme val="minor"/>
      </rPr>
      <t>-1</t>
    </r>
    <r>
      <rPr>
        <sz val="11"/>
        <color theme="1"/>
        <rFont val="Calibri"/>
        <family val="2"/>
        <scheme val="minor"/>
      </rPr>
      <t xml:space="preserve"> of former swidden fallows cleared for rubber plantations; not reported what % involved fire.</t>
    </r>
  </si>
  <si>
    <r>
      <t>12.0ha y</t>
    </r>
    <r>
      <rPr>
        <vertAlign val="superscript"/>
        <sz val="11"/>
        <color theme="1"/>
        <rFont val="Calibri"/>
        <family val="2"/>
        <scheme val="minor"/>
      </rPr>
      <t>-1</t>
    </r>
    <r>
      <rPr>
        <sz val="11"/>
        <color theme="1"/>
        <rFont val="Calibri"/>
        <family val="2"/>
        <scheme val="minor"/>
      </rPr>
      <t xml:space="preserve"> of former swidden fallows cleared for rubber plantations; not reported what % involved fire.</t>
    </r>
  </si>
  <si>
    <r>
      <t>7.9ha y</t>
    </r>
    <r>
      <rPr>
        <vertAlign val="superscript"/>
        <sz val="11"/>
        <color theme="1"/>
        <rFont val="Calibri"/>
        <family val="2"/>
        <scheme val="minor"/>
      </rPr>
      <t>-1</t>
    </r>
    <r>
      <rPr>
        <sz val="11"/>
        <color theme="1"/>
        <rFont val="Calibri"/>
        <family val="2"/>
        <scheme val="minor"/>
      </rPr>
      <t xml:space="preserve"> of former swidden fallows cleared for rubber plantations; not reported what % involved fire.</t>
    </r>
  </si>
  <si>
    <t>Former swidden fallows cleared for rubber plantations; not reported what % involved fire.</t>
  </si>
  <si>
    <t>72h.2</t>
  </si>
  <si>
    <t>72i.2</t>
  </si>
  <si>
    <r>
      <t>2.8ha y</t>
    </r>
    <r>
      <rPr>
        <vertAlign val="superscript"/>
        <sz val="11"/>
        <color theme="1"/>
        <rFont val="Calibri"/>
        <family val="2"/>
        <scheme val="minor"/>
      </rPr>
      <t>-1</t>
    </r>
    <r>
      <rPr>
        <sz val="11"/>
        <color theme="1"/>
        <rFont val="Calibri"/>
        <family val="2"/>
        <scheme val="minor"/>
      </rPr>
      <t xml:space="preserve"> of former swidden fallows cleared for rubber plantations; not reported what % involved fire.</t>
    </r>
  </si>
  <si>
    <t>Fire return estimated from distribution of secondary forest and swidden fields; assumes cultivation period of 2 years. Intended burned area from reported extent of swidden fields.</t>
  </si>
  <si>
    <t xml:space="preserve">2003 Forest act outlawed swidden outside of village boundaries. </t>
  </si>
  <si>
    <t>Active swidden fields per household averaged 1.3 ha, down from 3.4ha in 1980.</t>
  </si>
  <si>
    <t>75b.2</t>
  </si>
  <si>
    <t>"Throughout the 1990s, the Department of Forestry developed new policies and legislation to promote conservation, imposing restrictions on upland peoples’ access to their swidden fields and fallows."</t>
  </si>
  <si>
    <t>75b.3</t>
  </si>
  <si>
    <t>75b.4</t>
  </si>
  <si>
    <t>75b.5</t>
  </si>
  <si>
    <t>75b.6</t>
  </si>
  <si>
    <t>75b.7</t>
  </si>
  <si>
    <t>75b.8</t>
  </si>
  <si>
    <t>75b.9</t>
  </si>
  <si>
    <t>75b.10</t>
  </si>
  <si>
    <t>75b.11</t>
  </si>
  <si>
    <t>Insecure</t>
  </si>
  <si>
    <t>"Under the Village Forestry Development program… timber concessions launched programs to extend irrigated rice fields, tree plantations, fish ponds and vegetable gardens… farmers slowly left their traditional swidden systems"</t>
  </si>
  <si>
    <t>Farmers switched swidden for intensive production "only as long as the timber concession provided subsidies… after the subsidy was reduced farmers reduced the process… in 2004, about 59/95 households practiced shiftin cultivation".</t>
  </si>
  <si>
    <t xml:space="preserve">% of farmers burning rice residues is reported. BA for all cropland calculated by weighting survey responses by those who grew no rice (12.5%); fire size from field size. </t>
  </si>
  <si>
    <t>Location is mean of sampled villages</t>
  </si>
  <si>
    <t>Study ID</t>
  </si>
  <si>
    <t>Case Study ID</t>
  </si>
  <si>
    <t xml:space="preserve"> Maroua region</t>
  </si>
  <si>
    <t xml:space="preserve"> Morondo region</t>
  </si>
  <si>
    <t xml:space="preserve"> 'Northern region'</t>
  </si>
  <si>
    <t xml:space="preserve"> Debre Birhan region</t>
  </si>
  <si>
    <t xml:space="preserve"> Gueckedou region</t>
  </si>
  <si>
    <t xml:space="preserve"> Busia region</t>
  </si>
  <si>
    <t xml:space="preserve"> Arusha region</t>
  </si>
  <si>
    <t xml:space="preserve"> Chipata region</t>
  </si>
  <si>
    <t xml:space="preserve"> Mkushi region</t>
  </si>
  <si>
    <t xml:space="preserve"> Mazabuka region</t>
  </si>
  <si>
    <t xml:space="preserve">Location is centre of study province; study primarily based in Prabang but also covers some locations in Oudomxay (results reported in aggregate). </t>
  </si>
  <si>
    <t>ND</t>
  </si>
  <si>
    <t>Fallow length linked directly to burning; location digitised from author's map.</t>
  </si>
  <si>
    <t>Study area is compared before and after land reforms that tookplace in 1997. Pre 1997 observations are from field interviews conducted in 2001. Location digitised from author's map.</t>
  </si>
  <si>
    <t>Fire development stage</t>
  </si>
  <si>
    <t>Primary AFT</t>
  </si>
  <si>
    <t>Secondary AFT</t>
  </si>
  <si>
    <t>Tertiary AFT</t>
  </si>
  <si>
    <t>Other AFT</t>
  </si>
  <si>
    <t>Habitat maintenance</t>
  </si>
  <si>
    <t>AFT</t>
  </si>
  <si>
    <t xml:space="preserve">The forest is seen as a natural fire break, and so only fires close to houses or other plots are closely tended. _x000D_
_x000D_
Most burning is conducted 1200-1500 as conducive to a thorough burn._x000D_
_x000D_
Clearing of primary forest is discouraged by need to gain a permit from the authorities (ICMbio)._x000D_
_x000D_
Fire breaks are less than the mandatory 2-6m in width (field size is 100m2); further farmers argue that firebreaks are incapable of containing fire when surrounded by flamable vegetation (bamboo)._x000D_
_x000D_
Local impromptu fire breaks work on low intensity fires surrounded by less flammable vegetation - their effectiveness under drought is unknown but likely limited. </t>
  </si>
  <si>
    <t xml:space="preserve">The vast majority of burns happen in secondary forest sites. _x000D_
_x000D_
Areas are cleared and a fire break prepared pre burn; farmers wait for first rains before burning to limit risk of fire spread. _x000D_
_x000D_
Fire is set across all edges of the field, and tended until the major flames have burned down. _x000D_
_x000D_
However, burning during weak winds, or during the cool hours of the day is still rare. Most burning happens 1200-1500 to ensure a full burn. _x000D_
_x000D_
Fire breaks are less than the mandatory 2-6m in width (field size is 100m2); further farmers argue that firebreaks are incapable of containing fire when surrounded by flamable vegetation (bamboo). _x000D_
_x000D_
Local impromptu fire breaks work on low intensity fires surrounded by less flammable vegetation - their effectiveness under drought is unknown but likely limited. </t>
  </si>
  <si>
    <t xml:space="preserve">To protect livestock, fires are lit in the cool evening, and are watched, primarily by boys. Fire breaks are used, and branches are cut to extinguish fires that jump breaks.Sand is also used to put out fires._x000D_
_x000D_
Areas near heavily forested areas to prevent damage and escape (wood is used for building and firewood). </t>
  </si>
  <si>
    <t>"During the 1990s private companies began setting up oil palm estates in the district. PT Sime Indo Agro (SIA) (owned by the Malaysian conglomerate Sime Darby Berhad) asked farmers to provide 7.5 ha of land: 5 for the estate, 2 to be returned to the farmer planted in oil palm, and 0.5 ha for infrastructure. Communities were initially reluctant but they were pressured by government officers and village headmen, all rumored to have received payments from the company. Although they possessed assets in the form of reasonably large landholdings, averaging 15 ha, under the new arrangements farmers’ access to land, especially swidden land, was considerably reduced."</t>
  </si>
  <si>
    <t>Digitised from author map; study focuses on riverine hamlets</t>
  </si>
  <si>
    <t>Incentives to support tea gardens, &amp; rubber and other plantations to replace swidden</t>
  </si>
  <si>
    <t>Fire return is fallow + 3 (reported); after the collapse of tin mining in 1996, fallow periods collapsed to as low as 3 years as swidden was phased out.</t>
  </si>
  <si>
    <t>Process linked explicitly to fire; "Large plots" burned</t>
  </si>
  <si>
    <t>Logging region</t>
  </si>
  <si>
    <t>Central location in study area</t>
  </si>
  <si>
    <r>
      <t xml:space="preserve">Logging rates were 1-2 trees (traditional), 10+ (small-scale) &amp; &lt;1 (large commercial firms seeking Mahogany; </t>
    </r>
    <r>
      <rPr>
        <sz val="11"/>
        <color rgb="FFFF0000"/>
        <rFont val="Calibri"/>
        <family val="2"/>
        <scheme val="minor"/>
      </rPr>
      <t>"industrial" logging  but not a managed forest</t>
    </r>
  </si>
  <si>
    <t>Chokkalingam 2001</t>
  </si>
  <si>
    <t>Middle Mahakam</t>
  </si>
  <si>
    <t>East Kalimantan</t>
  </si>
  <si>
    <t>10a.1</t>
  </si>
  <si>
    <t>10a.2</t>
  </si>
  <si>
    <t>Fires were concentrated 0.5km from rivers</t>
  </si>
  <si>
    <t>Fires were concentrated 0.5km from rivers, overwhelmingly lit to fish, but also to hunt turtles</t>
  </si>
  <si>
    <t>Fires were lit during drought in El-nino years, driving vast wildfires across the peatlands</t>
  </si>
  <si>
    <t>Fishing</t>
  </si>
  <si>
    <t>Location reported &amp; confirmed from map in study of same region by same author (23)</t>
  </si>
  <si>
    <t>Chokkalingham 2005</t>
  </si>
  <si>
    <t>Main activity of traditional forestry is fishing</t>
  </si>
  <si>
    <t>23a.1</t>
  </si>
  <si>
    <t>23a.2</t>
  </si>
  <si>
    <t>23a.3</t>
  </si>
  <si>
    <t>Uniform</t>
  </si>
  <si>
    <t xml:space="preserve">Fire used to clear river vegetation from river banks, but also to forge new channels in the peat for boats, create pools of water within the peat that act as refuges for fish in the dry season, and finally to provide a nutrient boost that stimulates algae and fish populations. </t>
  </si>
  <si>
    <t xml:space="preserve">Villagers reported that forest clearance for plantations played "almost no role" in the 1998 El Nino fires. </t>
  </si>
  <si>
    <t>23b</t>
  </si>
  <si>
    <t>23c</t>
  </si>
  <si>
    <t>23b.1</t>
  </si>
  <si>
    <t>23b.2</t>
  </si>
  <si>
    <t>23b.3</t>
  </si>
  <si>
    <t>23c.1</t>
  </si>
  <si>
    <t>23c.2</t>
  </si>
  <si>
    <t>23c.3</t>
  </si>
  <si>
    <t>Divides overall amount burned (24%) over  5 years by the proportion of the land cover in primary forest, and then multiplies by the amount of recurrent burning.
Once opened up through fire, particularly during an El Nino drought, peat is then much more fire susceptible, and fisherman use annual fire to manipulate the landscape.</t>
  </si>
  <si>
    <t>Divides overall amount burned (24%) over  5 years by the proportion of the land cover in forest.</t>
  </si>
  <si>
    <t>Divides overall amount burned (17%) over  5 years by the proportion of the land cover in primary forest, and then multiplies by the amount of recurrent burning.
Once opened up through fire, particularly during an El Nino drought, peat is then much more fire susceptible, and fisherman use annual fire to manipulate the landscape.</t>
  </si>
  <si>
    <t>Divides overall amount burned (17%) over  5 years by the proportion of the land cover in forest.</t>
  </si>
  <si>
    <t>Divides overall amount burned (72%) over 3 years by the proportion of the land cover in primary forest, and then multiplies by the amount of recurrent burning.
Once opened up through fire, particularly during an El Nino drought, peat is then much more fire susceptible, and fisherman use annual fire to manipulate the landscape.</t>
  </si>
  <si>
    <t>Divides overall amount burned (72%) over  3 years by the proportion of the land cover in secondary vegetation, and then multiplies by the amount of recurrent burning.</t>
  </si>
  <si>
    <t>Villagers were not concerned with fire spread, as they had little incentive to control them: the surrounding peat swamp vegetation had little intrinsic value to them</t>
  </si>
  <si>
    <t>Chokkalingam 2007</t>
  </si>
  <si>
    <t>79a.1</t>
  </si>
  <si>
    <t>79a.2</t>
  </si>
  <si>
    <t>79b.1</t>
  </si>
  <si>
    <t>Yield is for 'sonor' swidden rice</t>
  </si>
  <si>
    <t>79b.2</t>
  </si>
  <si>
    <t>Once an area has been heavily selectively logged, it is burned out to encourage Gelam growth - a species that thrives in secondary forests and is used for timber and pulp.</t>
  </si>
  <si>
    <t>79a.3</t>
  </si>
  <si>
    <t>79b.3</t>
  </si>
  <si>
    <t>79a.4</t>
  </si>
  <si>
    <t>79b.4</t>
  </si>
  <si>
    <t>Accessibility</t>
  </si>
  <si>
    <t>Areas around river banks and villages to make forests more accessible for fishing and logging</t>
  </si>
  <si>
    <t>79a.5</t>
  </si>
  <si>
    <t>79b.5</t>
  </si>
  <si>
    <t xml:space="preserve">Major oil palm plantations were reported as having not burned during the study period </t>
  </si>
  <si>
    <t>Arson</t>
  </si>
  <si>
    <t>Due to conflict over land tenure, coconut oil plantations were repeatedly burned</t>
  </si>
  <si>
    <t>Gelam dominated secondary forests were burned to foster continued Gelam growth; fire causes Gelam to drop its seeds, and it becomes fire resistant once 3-4 metres in height</t>
  </si>
  <si>
    <t>Sonor system of swidden, is a hybrid of paddy fields and more usual swidden systems, that involves fire use for field fertilisation; it becomes more popular during a drought or long dry season</t>
  </si>
  <si>
    <t>No incentive to control fires due to an absence of management plan and no restrictions</t>
  </si>
  <si>
    <t>Absence of controls</t>
  </si>
  <si>
    <t>Fishing in peat swamps</t>
  </si>
  <si>
    <t>Data Source(s)</t>
  </si>
  <si>
    <t>Extractive forestry</t>
  </si>
  <si>
    <t>Plantation forest area %</t>
  </si>
  <si>
    <t>Actual fire size max (ha)</t>
  </si>
  <si>
    <t>Actual fire size min (ha)</t>
  </si>
  <si>
    <t>Actual fire size mean (ha)</t>
  </si>
  <si>
    <t>Actual burned area (ha)</t>
  </si>
  <si>
    <t>Actual burned area % (land cover)</t>
  </si>
  <si>
    <t>Actual Burned area % (total)</t>
  </si>
  <si>
    <t>0-1</t>
  </si>
  <si>
    <r>
      <t>Number of fires (# km</t>
    </r>
    <r>
      <rPr>
        <b/>
        <vertAlign val="superscript"/>
        <sz val="12"/>
        <color theme="1"/>
        <rFont val="Calibri"/>
        <family val="2"/>
        <scheme val="minor"/>
      </rPr>
      <t>2-1</t>
    </r>
    <r>
      <rPr>
        <b/>
        <sz val="12"/>
        <color theme="1"/>
        <rFont val="Calibri"/>
        <family val="2"/>
        <scheme val="minor"/>
      </rPr>
      <t>)</t>
    </r>
  </si>
  <si>
    <t>0</t>
  </si>
  <si>
    <t>0-0.001</t>
  </si>
  <si>
    <t>0.002-0.01</t>
  </si>
  <si>
    <t>0.011-0.025</t>
  </si>
  <si>
    <t>0.026-0.05</t>
  </si>
  <si>
    <t>0.051-0.1</t>
  </si>
  <si>
    <t>0.101-0.2</t>
  </si>
  <si>
    <t>0.201-0.5</t>
  </si>
  <si>
    <t>0.501-2</t>
  </si>
  <si>
    <t>2-5</t>
  </si>
  <si>
    <t>5-10</t>
  </si>
  <si>
    <t>1-2</t>
  </si>
  <si>
    <t>10-20</t>
  </si>
  <si>
    <t>20-50</t>
  </si>
  <si>
    <t>50-100</t>
  </si>
  <si>
    <t>100-200</t>
  </si>
  <si>
    <t>200-500</t>
  </si>
  <si>
    <t>500-1000</t>
  </si>
  <si>
    <t>1000-2500</t>
  </si>
  <si>
    <t>2500-5000</t>
  </si>
  <si>
    <t>5000-10000</t>
  </si>
  <si>
    <t>10000-25000</t>
  </si>
  <si>
    <t>25000+</t>
  </si>
  <si>
    <t>Counts (# per km2)</t>
  </si>
  <si>
    <t>Fire size (min, max, mean) in ha</t>
  </si>
  <si>
    <t>20-30</t>
  </si>
  <si>
    <t>30-40</t>
  </si>
  <si>
    <t>40-50</t>
  </si>
  <si>
    <t>50-60</t>
  </si>
  <si>
    <t>60-70</t>
  </si>
  <si>
    <t>70-80</t>
  </si>
  <si>
    <t>80-90</t>
  </si>
  <si>
    <t>90-100</t>
  </si>
  <si>
    <t>Burned area (land cover / total) - %</t>
  </si>
  <si>
    <t>Academic</t>
  </si>
  <si>
    <t>Primary</t>
  </si>
  <si>
    <t>Primary, remote sensing</t>
  </si>
  <si>
    <t>2-4</t>
  </si>
  <si>
    <t>4-8</t>
  </si>
  <si>
    <t>8-15</t>
  </si>
  <si>
    <t>25-</t>
  </si>
  <si>
    <t>15-25</t>
  </si>
  <si>
    <t>Remote sensing</t>
  </si>
  <si>
    <t xml:space="preserve">Remote sensing, secondary </t>
  </si>
  <si>
    <t>Fire return period is the author's noted average agricultural use + fallow period for each location and date, weighted by the proportion of intensive and shifting cultivation. Burned area is calculated using fire return period, weighted by land covers calculated from remote sensing.</t>
  </si>
  <si>
    <t xml:space="preserve">Fire return is 12 years' fallow + 1 year cultivation (reported); intended burned area from fire return period. </t>
  </si>
  <si>
    <t xml:space="preserve">Fire return is 25 years' fallow + 1 year cultivation (reported); intended burned area from fire return period. </t>
  </si>
  <si>
    <t>Mwampamba 2011</t>
  </si>
  <si>
    <t>Norrlund 2004</t>
  </si>
  <si>
    <t>Burned area is proportion of households conducting fire-fallow multiplied by cultivation &amp; fallow cycle (reported)</t>
  </si>
  <si>
    <t xml:space="preserve">Study area (7850) calculated as radius of circle 50km2 around town of Tefe. 
Fallow length and cultivation period reported. Total clearance is reported; this is an acceptable proxy for fire, given all clearance was for swidden, and no machinery was available. </t>
  </si>
  <si>
    <t>Other (see notes)</t>
  </si>
  <si>
    <t>Expert elicitation, experts selected with firsthand field experience working with relevant community</t>
  </si>
  <si>
    <t>NGO</t>
  </si>
  <si>
    <t>Fire return is fallow period + 2; intended fire size from field size.</t>
  </si>
  <si>
    <t>BA is fire return period (inferred from fallow) * %secondary vegetation (reported). Fire size from field size; return is fallow + 2,</t>
  </si>
  <si>
    <t>Fire return based on reported average fallow + 2 years' cultivation; fire size from field size.</t>
  </si>
  <si>
    <t>Primary, remote sensing, secondary</t>
  </si>
  <si>
    <t>Fire return estimated from fallow + 2</t>
  </si>
  <si>
    <t>Primary, secondary</t>
  </si>
  <si>
    <t>Policy review</t>
  </si>
  <si>
    <t>Literature review</t>
  </si>
  <si>
    <t>Policy review: dates based on timing of relevant policy interventions.</t>
  </si>
  <si>
    <t>79b.6</t>
  </si>
  <si>
    <t>79b.7</t>
  </si>
  <si>
    <t>79b.8</t>
  </si>
  <si>
    <t>Location is study centre digitised from author map; policy review</t>
  </si>
  <si>
    <t>Yield is for rice; however coffee and cacoa plantations had come to dominate the regional agricultural system.</t>
  </si>
  <si>
    <t>Fire control (0-3)</t>
  </si>
  <si>
    <t>Fire extinction (0-3)</t>
  </si>
  <si>
    <t>Fire return period</t>
  </si>
  <si>
    <t>Residue Burning</t>
  </si>
  <si>
    <t>"National Green Tribunal recommended the implementation of fines upon errant farmers that burn residue"</t>
  </si>
  <si>
    <r>
      <t>Study area (km</t>
    </r>
    <r>
      <rPr>
        <b/>
        <vertAlign val="superscript"/>
        <sz val="12"/>
        <color theme="1"/>
        <rFont val="Calibri"/>
        <family val="2"/>
        <scheme val="minor"/>
      </rPr>
      <t>2</t>
    </r>
    <r>
      <rPr>
        <b/>
        <sz val="12"/>
        <color theme="1"/>
        <rFont val="Calibri"/>
        <family val="2"/>
        <scheme val="minor"/>
      </rPr>
      <t>)</t>
    </r>
  </si>
  <si>
    <t>Farm area (ha)</t>
  </si>
  <si>
    <t>Intended fire size median (ha)</t>
  </si>
  <si>
    <t>Actual fire size median (ha)</t>
  </si>
  <si>
    <t>Intended land cover</t>
  </si>
  <si>
    <t>Fire prevention (0-3)</t>
  </si>
  <si>
    <t>Prevention measures</t>
  </si>
  <si>
    <t xml:space="preserve">
Delayed deployment of modern firefighters, combined with indigenous forest knowledge was eventually used to combat the fires. </t>
  </si>
  <si>
    <t xml:space="preserve">In the initial stages of the fires, a limited response was made due to the remoteness of the location. </t>
  </si>
  <si>
    <t>Grogan 2012</t>
  </si>
  <si>
    <t>90a</t>
  </si>
  <si>
    <t>Dampa Tiger Reserve</t>
  </si>
  <si>
    <t>Mizoram</t>
  </si>
  <si>
    <t>90b</t>
  </si>
  <si>
    <t>Actual land cover</t>
  </si>
  <si>
    <t>Trial plot</t>
  </si>
  <si>
    <t>Location is 10km North of Lunglei, per author description</t>
  </si>
  <si>
    <t>90a.1</t>
  </si>
  <si>
    <t>90a.2</t>
  </si>
  <si>
    <t>Authors' report that 4% of the forest in the reserve was lost due to swidden, whilst 'substantial' areas were burned that were not required. Assumed that 50% of burned area is due to escaped fires, and 50% due to intentional burning for fields</t>
  </si>
  <si>
    <t>Escaped fires</t>
  </si>
  <si>
    <t>5 year fallow had become common, with 1 or 2 years' cultivation</t>
  </si>
  <si>
    <t>Human, escaped</t>
  </si>
  <si>
    <t>Authors' note that far more area was burned than was necessary for planting crops the subsequent Spring.</t>
  </si>
  <si>
    <t>90b.1</t>
  </si>
  <si>
    <t>State had severely restricted availability of fertilisers to preveent eutrophication from run-off in this very hilly landscape</t>
  </si>
  <si>
    <t>90b.2</t>
  </si>
  <si>
    <t>Annual burning of active swidden plots reported</t>
  </si>
  <si>
    <t>A limited number of farmers applied fertilisers to their fields (given as cropping, monoculture)</t>
  </si>
  <si>
    <t>Sati 2019</t>
  </si>
  <si>
    <t>91a</t>
  </si>
  <si>
    <t>91b</t>
  </si>
  <si>
    <t>91c</t>
  </si>
  <si>
    <t>91d</t>
  </si>
  <si>
    <t>91e</t>
  </si>
  <si>
    <t>91f</t>
  </si>
  <si>
    <t>91g</t>
  </si>
  <si>
    <t>91h</t>
  </si>
  <si>
    <t>91i</t>
  </si>
  <si>
    <t>91j</t>
  </si>
  <si>
    <t>91k</t>
  </si>
  <si>
    <t>91l</t>
  </si>
  <si>
    <t>91m</t>
  </si>
  <si>
    <t>91n</t>
  </si>
  <si>
    <t>91o</t>
  </si>
  <si>
    <t>91p</t>
  </si>
  <si>
    <t>Bukvannei</t>
  </si>
  <si>
    <t>Zanlawn</t>
  </si>
  <si>
    <t>Pehlawn</t>
  </si>
  <si>
    <t>Nalzawl</t>
  </si>
  <si>
    <t>Dapchhuah</t>
  </si>
  <si>
    <t>Tualcheng</t>
  </si>
  <si>
    <t>Neihdawn</t>
  </si>
  <si>
    <t>Thiak</t>
  </si>
  <si>
    <t>Sialhau</t>
  </si>
  <si>
    <t>Sialsir</t>
  </si>
  <si>
    <t>North Mualthuam</t>
  </si>
  <si>
    <t>Thiltlang</t>
  </si>
  <si>
    <t>Siachangkawn</t>
  </si>
  <si>
    <t>Lungzarhtum</t>
  </si>
  <si>
    <t>Vanhne R</t>
  </si>
  <si>
    <t>Theiri</t>
  </si>
  <si>
    <t>Data collected across 16 villages, but reported as one population</t>
  </si>
  <si>
    <r>
      <t>Yield is for paddy rice; paddy was around 0.45 ha out of total farm size per household; yield for other crops was 0.2-0.5 t ha</t>
    </r>
    <r>
      <rPr>
        <vertAlign val="superscript"/>
        <sz val="11"/>
        <color theme="1"/>
        <rFont val="Calibri"/>
        <family val="2"/>
        <scheme val="minor"/>
      </rPr>
      <t>-1</t>
    </r>
  </si>
  <si>
    <t>91a.1</t>
  </si>
  <si>
    <t>91b.1</t>
  </si>
  <si>
    <t>91c.1</t>
  </si>
  <si>
    <t>91d.1</t>
  </si>
  <si>
    <t>91e.1</t>
  </si>
  <si>
    <t>91f.1</t>
  </si>
  <si>
    <t>91g.1</t>
  </si>
  <si>
    <t>91h.1</t>
  </si>
  <si>
    <t>91i.1</t>
  </si>
  <si>
    <t>91j.1</t>
  </si>
  <si>
    <t>91k.1</t>
  </si>
  <si>
    <t>91l.1</t>
  </si>
  <si>
    <t>91m.1</t>
  </si>
  <si>
    <t>91n.1</t>
  </si>
  <si>
    <t>91o.1</t>
  </si>
  <si>
    <t>91p.1</t>
  </si>
  <si>
    <t>Fallow periods of 3-5 years noted as the norm</t>
  </si>
  <si>
    <t>Molinario 2020</t>
  </si>
  <si>
    <t>92a</t>
  </si>
  <si>
    <t>DRC</t>
  </si>
  <si>
    <t>92b</t>
  </si>
  <si>
    <t>Rural complex expansion</t>
  </si>
  <si>
    <t>Isolated forest perforation</t>
  </si>
  <si>
    <t>92a.1</t>
  </si>
  <si>
    <t>92b.1</t>
  </si>
  <si>
    <t>92a.2</t>
  </si>
  <si>
    <t>92b.2</t>
  </si>
  <si>
    <t>0-5</t>
  </si>
  <si>
    <t>Agriculture includes recent clearing as well as active land; farm area as active cultivation not including fallows</t>
  </si>
  <si>
    <t>Commercial agriculture, mining and logging were found to be very small contributors to deforestation, and so are ignored. Fire size from field size</t>
  </si>
  <si>
    <t>Molinario 2015</t>
  </si>
  <si>
    <t>93a</t>
  </si>
  <si>
    <t>93b</t>
  </si>
  <si>
    <t>Study focus is the area of tropical forest across North &amp; Central DRC, split into more easily accessible and more isolated points</t>
  </si>
  <si>
    <t>93a.1</t>
  </si>
  <si>
    <t>93b.1</t>
  </si>
  <si>
    <t>Fires took place in 'Dry Season', after clearing</t>
  </si>
  <si>
    <t>Study focus is the area of tropical forest across North &amp; Central DRC; includes remote sensing results by same authors previously published in Potapov et al., 2012</t>
  </si>
  <si>
    <t>86.4% of clearing took place in mosaic of forest and fallows around existing agricultural areas; this process was dominated by shifting cultivation</t>
  </si>
  <si>
    <t>Wilkie 1998</t>
  </si>
  <si>
    <t>94a</t>
  </si>
  <si>
    <t>Okapi Wildlife Reserve</t>
  </si>
  <si>
    <t>Traditional Forestry is bush meat hunter gathering</t>
  </si>
  <si>
    <t>Modelling results presented not considered; only calibration field data reported</t>
  </si>
  <si>
    <t>94a.1</t>
  </si>
  <si>
    <t>94a.2</t>
  </si>
  <si>
    <t>Inferred  - deforestation</t>
  </si>
  <si>
    <t>92b.3</t>
  </si>
  <si>
    <t>92b.4</t>
  </si>
  <si>
    <t>Tiwari 2003</t>
  </si>
  <si>
    <t>95a</t>
  </si>
  <si>
    <t>Pomlakrai-Mawbynna</t>
  </si>
  <si>
    <t>Meghalaya</t>
  </si>
  <si>
    <t>Fire size from remote sensing study of Potapov 2012</t>
  </si>
  <si>
    <t>95a.1</t>
  </si>
  <si>
    <t>95a.2</t>
  </si>
  <si>
    <t>A similar system to the 'citamene' of Tanzania, where branches are lopped from trees over a wide area before being gathered to a single field and burned.</t>
  </si>
  <si>
    <t>95b</t>
  </si>
  <si>
    <t>95b.1</t>
  </si>
  <si>
    <t>95b.2</t>
  </si>
  <si>
    <t>95b.3</t>
  </si>
  <si>
    <t>95b.4</t>
  </si>
  <si>
    <t>95b.5</t>
  </si>
  <si>
    <t>96a</t>
  </si>
  <si>
    <t>Prokop 2018</t>
  </si>
  <si>
    <t>Slash was gathered and arranged along trenches towards the centre of the swidden plot</t>
  </si>
  <si>
    <t>Slash was covered with earth before burning so that it converted to charcoal</t>
  </si>
  <si>
    <t>Burning in early season, extensive preparation to prevent fire escape including deployment of sandbags.</t>
  </si>
  <si>
    <t>Shillong area</t>
  </si>
  <si>
    <t>Study site digitised from author map</t>
  </si>
  <si>
    <t>Yield figure is for potatoes</t>
  </si>
  <si>
    <t>96a.1</t>
  </si>
  <si>
    <t xml:space="preserve">A novel form of 'sedentary' swidden, amalgamating aspects of intensive (fertiliser) and traditional practice (including burning); introduction of double cropping had moved burning season earlier. </t>
  </si>
  <si>
    <t xml:space="preserve">Field was burned each year in cultivation; fallowed period and cultivation period were the same length. </t>
  </si>
  <si>
    <t>97a</t>
  </si>
  <si>
    <t>Cavechia 2014</t>
  </si>
  <si>
    <t>97b</t>
  </si>
  <si>
    <t>Barra Grande</t>
  </si>
  <si>
    <t>Praia Grande</t>
  </si>
  <si>
    <t>Ilha do Araujo</t>
  </si>
  <si>
    <t>Ponta Negra</t>
  </si>
  <si>
    <t>Praia do Sono</t>
  </si>
  <si>
    <t>Trindade</t>
  </si>
  <si>
    <t>Arroio</t>
  </si>
  <si>
    <t>Divinieia</t>
  </si>
  <si>
    <t>Ribanceira</t>
  </si>
  <si>
    <t>Aguada</t>
  </si>
  <si>
    <t>Barranceira</t>
  </si>
  <si>
    <t>97c</t>
  </si>
  <si>
    <t>97d</t>
  </si>
  <si>
    <t>97e</t>
  </si>
  <si>
    <t>97f</t>
  </si>
  <si>
    <t>97g</t>
  </si>
  <si>
    <t>97h</t>
  </si>
  <si>
    <t>97i</t>
  </si>
  <si>
    <t>97j</t>
  </si>
  <si>
    <t>97k</t>
  </si>
  <si>
    <t>Paraty</t>
  </si>
  <si>
    <t>Imbituba</t>
  </si>
  <si>
    <t>Inferred - swidden cycle</t>
  </si>
  <si>
    <t>97a.2</t>
  </si>
  <si>
    <t>97a.1</t>
  </si>
  <si>
    <t>97b.1</t>
  </si>
  <si>
    <t>97b.2</t>
  </si>
  <si>
    <t>97c.1</t>
  </si>
  <si>
    <t>97c.2</t>
  </si>
  <si>
    <t>97d.1</t>
  </si>
  <si>
    <t>97d.2</t>
  </si>
  <si>
    <t>97e.1</t>
  </si>
  <si>
    <t>97e.2</t>
  </si>
  <si>
    <t>97f.1</t>
  </si>
  <si>
    <t>97f.2</t>
  </si>
  <si>
    <t>97g.1</t>
  </si>
  <si>
    <t>97g.2</t>
  </si>
  <si>
    <t>97h.1</t>
  </si>
  <si>
    <t>97h.2</t>
  </si>
  <si>
    <t>97i.1</t>
  </si>
  <si>
    <t>97i.2</t>
  </si>
  <si>
    <t>97j.1</t>
  </si>
  <si>
    <t>97j.2</t>
  </si>
  <si>
    <t>97k.1</t>
  </si>
  <si>
    <t>97k.2</t>
  </si>
  <si>
    <t xml:space="preserve">Under the traditional land tenure, each household was allocated 2ha of land from communal plots. </t>
  </si>
  <si>
    <t>Thaler 2017</t>
  </si>
  <si>
    <t>98a</t>
  </si>
  <si>
    <t>98b</t>
  </si>
  <si>
    <t>Gunung Madu</t>
  </si>
  <si>
    <t>Long Kelay</t>
  </si>
  <si>
    <t>Mining, traditional</t>
  </si>
  <si>
    <t>98b.1</t>
  </si>
  <si>
    <t>98a.1</t>
  </si>
  <si>
    <t>98a.2</t>
  </si>
  <si>
    <t>International NGO</t>
  </si>
  <si>
    <t>Government</t>
  </si>
  <si>
    <t>Other</t>
  </si>
  <si>
    <t>Data source</t>
  </si>
  <si>
    <t>Review</t>
  </si>
  <si>
    <t>Primary, review</t>
  </si>
  <si>
    <t>Primary, remote sensing, review</t>
  </si>
  <si>
    <t>Primary, remote sensing, secondary, review</t>
  </si>
  <si>
    <t>Fire behaviour</t>
  </si>
  <si>
    <t>Inferred - other</t>
  </si>
  <si>
    <t>Inferred - fallow cycle</t>
  </si>
  <si>
    <t>Record info</t>
  </si>
  <si>
    <t>Land use</t>
  </si>
  <si>
    <t>Industrial</t>
  </si>
  <si>
    <t>Post-industrial</t>
  </si>
  <si>
    <t>Cattle, Intensive</t>
  </si>
  <si>
    <t>Cattle, Landless</t>
  </si>
  <si>
    <t>Forestry, Industrial</t>
  </si>
  <si>
    <t>Agroforestry, Market-oriented</t>
  </si>
  <si>
    <t>Agroforestry, Subsistence-oriented</t>
  </si>
  <si>
    <t>Tourism manager</t>
  </si>
  <si>
    <t>Urban planner</t>
  </si>
  <si>
    <t>Fire pattern</t>
  </si>
  <si>
    <t>Seasonal, Front-loaded</t>
  </si>
  <si>
    <t>Lightning</t>
  </si>
  <si>
    <t>Other Natural</t>
  </si>
  <si>
    <t>Unknown</t>
  </si>
  <si>
    <t>Crop residue burning</t>
  </si>
  <si>
    <t xml:space="preserve">Pasture renewal </t>
  </si>
  <si>
    <t>Forest Clearance</t>
  </si>
  <si>
    <t>Shrubland (Mixed forest &amp; grassland)</t>
  </si>
  <si>
    <t>Plantation forest</t>
  </si>
  <si>
    <t>Burning</t>
  </si>
  <si>
    <t>Suppression</t>
  </si>
  <si>
    <t>Levels</t>
  </si>
  <si>
    <t>Policy</t>
  </si>
  <si>
    <t>Restriction</t>
  </si>
  <si>
    <t>Yes - spatial</t>
  </si>
  <si>
    <t>Yes - temporal</t>
  </si>
  <si>
    <t>Yes - spatiotemporal</t>
  </si>
  <si>
    <t>Policy agent</t>
  </si>
  <si>
    <t>State or local government</t>
  </si>
  <si>
    <t>Private sector</t>
  </si>
  <si>
    <t>Multinational corporation</t>
  </si>
  <si>
    <t xml:space="preserve">Fire return based on villagers reported preferences; </t>
  </si>
  <si>
    <t xml:space="preserve">75% of farmers cleared each year; 'primarly' in natural forest; swidden plots are usually located along rivers or logging roads. </t>
  </si>
  <si>
    <t>98c</t>
  </si>
  <si>
    <t>Farm area includes swidden fallows and active plots</t>
  </si>
  <si>
    <t>77% of villagers farm swiddens; it was the primary source of income for 61%; Farm area includes swidden fallows and active plots</t>
  </si>
  <si>
    <t>98c.1</t>
  </si>
  <si>
    <t>98d</t>
  </si>
  <si>
    <t>Farm area includes swidden fallows and active plots; Monoculture is rubber plantation</t>
  </si>
  <si>
    <t>Farm area includes swidden fallows and active plots; 73% of households farmed, and for 50% it was the primary activity; Monoculture is rubber plantation</t>
  </si>
  <si>
    <t>98d.1</t>
  </si>
  <si>
    <t>TNC support for rubber plantations to reduce swidden clearing fires</t>
  </si>
  <si>
    <t>98b.2</t>
  </si>
  <si>
    <t>Swidden clearing was 'almost exclusively' in natural forest to claim land, and as old fallows were converted to plantations. 70% of farmers cleared land.</t>
  </si>
  <si>
    <t>98a.3</t>
  </si>
  <si>
    <t>Yes - fire suppression</t>
  </si>
  <si>
    <t>Yes - fire creation</t>
  </si>
  <si>
    <t>36% of households cleared land</t>
  </si>
  <si>
    <t>Supported by subsidies, swidden farmers converted old fallows to rubber plantations and other cash crop monocultures</t>
  </si>
  <si>
    <t>98b.3</t>
  </si>
  <si>
    <t>Land was cleared to establish title; preventing other villages or large oil palm plantations from owning it.</t>
  </si>
  <si>
    <t xml:space="preserve">Government compensation payments to farmers' whose lands were taken away for oil palm plantations led to land speculation by swidden farmers - who would clear and claim lands likely to fall in new concessions. Swidden was illegal, whilst large industrial deforestation was done under government licence. </t>
  </si>
  <si>
    <t xml:space="preserve">Economic incentives to develop rubber plantations; Swidden was illegal, whilst large industrial deforestation was done under government licence. </t>
  </si>
  <si>
    <t>98a.4</t>
  </si>
  <si>
    <t>Forest clearance for plantations could be done legally, with government permits and within concessions.</t>
  </si>
  <si>
    <t>98b.4</t>
  </si>
  <si>
    <t>98c.2</t>
  </si>
  <si>
    <t xml:space="preserve">Swidden was illegal  whilst large industrial deforestation was done under government licence. </t>
  </si>
  <si>
    <t>98d.2</t>
  </si>
  <si>
    <t>TNC support for rubber plantations to reduce swidden clearing fires; under a new agreement with villagers payments had been made conditional on a complex series of restrictions on swidden clearing.</t>
  </si>
  <si>
    <t>Barlow 2002</t>
  </si>
  <si>
    <t>Carmenta 2019</t>
  </si>
  <si>
    <t>99a</t>
  </si>
  <si>
    <t>99b</t>
  </si>
  <si>
    <t>99c</t>
  </si>
  <si>
    <t>Middle Solimoes</t>
  </si>
  <si>
    <t>Arapiuns</t>
  </si>
  <si>
    <t>Paragominas</t>
  </si>
  <si>
    <t>REDD+ site, location digitised from author map</t>
  </si>
  <si>
    <t>Extractive reserve (RESEX), location digitised from author map</t>
  </si>
  <si>
    <t>Green municipality pact (GMP), location digitised from author map</t>
  </si>
  <si>
    <t>99c.1</t>
  </si>
  <si>
    <t>REDD+</t>
  </si>
  <si>
    <t>RESEX</t>
  </si>
  <si>
    <t>GMP</t>
  </si>
  <si>
    <t>99b.1</t>
  </si>
  <si>
    <t>99a.1</t>
  </si>
  <si>
    <t>99a.2</t>
  </si>
  <si>
    <t>UN Agency</t>
  </si>
  <si>
    <t>99d</t>
  </si>
  <si>
    <t>99d.1</t>
  </si>
  <si>
    <t>REDD+ incentives for fire-free agroforestry and finance for fire-free swidden projects</t>
  </si>
  <si>
    <t>99b.2</t>
  </si>
  <si>
    <t>Yes - other</t>
  </si>
  <si>
    <t>Sizes of fires were restricted according to an agreed management plan</t>
  </si>
  <si>
    <t>99c.2</t>
  </si>
  <si>
    <t>50% of families had at least 2 fire accidents on their property over 5 years</t>
  </si>
  <si>
    <t>Escaped fires had damaged new agroforestry developments</t>
  </si>
  <si>
    <t>Fire size from field size</t>
  </si>
  <si>
    <t>42% of families had experienced accidental fire in the last 5 years</t>
  </si>
  <si>
    <t>99c.3</t>
  </si>
  <si>
    <t>Fire ban was "never applied to small holders"</t>
  </si>
  <si>
    <t>99c.4</t>
  </si>
  <si>
    <t xml:space="preserve">Subsidised tractors to till soil. </t>
  </si>
  <si>
    <t>Municipal law (Law 765/2011) prohibits all fire use and ascribes sanction.</t>
  </si>
  <si>
    <t>"Residents perceived the awareness raising related to the illegality of fire explained a positive shift towards better fire management." 92% used fire control management.</t>
  </si>
  <si>
    <t>All fire use required a federal licence; residents were aware of constant surveillance.</t>
  </si>
  <si>
    <t>Farmers with land tenure were given significant welfare payments, discouraging swidden and encouraging investment in fire management. All fire use required a federal licence; residents were aware of constant surveillance.</t>
  </si>
  <si>
    <t>99b.3</t>
  </si>
  <si>
    <t xml:space="preserve"> "The head of the rural farmers union was guardian of a cache of equipment for fire combat  but these were chronically inferior (e.g.  fire beaters with rotten handles...) and too few"</t>
  </si>
  <si>
    <t xml:space="preserve">A group of 6 firefighters were based at the site; however they were not equipped with water tanks and other investments as fire was technical illegal at the site. </t>
  </si>
  <si>
    <t>100a</t>
  </si>
  <si>
    <t>Fire size from field size; swidden plot size was regulated by reserve management plan</t>
  </si>
  <si>
    <t>Tapajo´s-Arapiuns Extractive Reserve</t>
  </si>
  <si>
    <t>100a.1</t>
  </si>
  <si>
    <t>Mertz 2011</t>
  </si>
  <si>
    <t>101a</t>
  </si>
  <si>
    <t>Bellona</t>
  </si>
  <si>
    <t>Solomon Islands</t>
  </si>
  <si>
    <t>Study size is approx island size</t>
  </si>
  <si>
    <t>Christiansen 1975, reported in Mertz 2011</t>
  </si>
  <si>
    <t>101b</t>
  </si>
  <si>
    <t>101a.1</t>
  </si>
  <si>
    <t>101b.1</t>
  </si>
  <si>
    <t>Yield is for sweet potato</t>
  </si>
  <si>
    <t>Fire size from field size; fire return from fallow</t>
  </si>
  <si>
    <t>Fire return from fallow</t>
  </si>
  <si>
    <t>Ando 2014</t>
  </si>
  <si>
    <t>102a</t>
  </si>
  <si>
    <t>Eastern Province</t>
  </si>
  <si>
    <t>Unnamed village</t>
  </si>
  <si>
    <t>102a.1</t>
  </si>
  <si>
    <r>
      <t>Yield is for maize; study is of one citamene swidden plot; quotes distribution of swidden is 150-350 Mg ha</t>
    </r>
    <r>
      <rPr>
        <vertAlign val="superscript"/>
        <sz val="11"/>
        <color theme="1"/>
        <rFont val="Calibri"/>
        <family val="2"/>
        <scheme val="minor"/>
      </rPr>
      <t>-1</t>
    </r>
    <r>
      <rPr>
        <sz val="11"/>
        <color theme="1"/>
        <rFont val="Calibri"/>
        <family val="2"/>
        <scheme val="minor"/>
      </rPr>
      <t xml:space="preserve"> of biomass. In the miombo woodland study location it was 38.3 Mg ha</t>
    </r>
    <r>
      <rPr>
        <vertAlign val="superscript"/>
        <sz val="11"/>
        <color theme="1"/>
        <rFont val="Calibri"/>
        <family val="2"/>
        <scheme val="minor"/>
      </rPr>
      <t>-1</t>
    </r>
  </si>
  <si>
    <t>Edirisinghe 2017</t>
  </si>
  <si>
    <t>103a</t>
  </si>
  <si>
    <t>103a.1</t>
  </si>
  <si>
    <t>103a.2</t>
  </si>
  <si>
    <t>Local polititians had sided with the swidden farmers against bans on the practice</t>
  </si>
  <si>
    <t>103b</t>
  </si>
  <si>
    <t>103c</t>
  </si>
  <si>
    <t>103d</t>
  </si>
  <si>
    <t>103e</t>
  </si>
  <si>
    <t>Siyambalanduwa</t>
  </si>
  <si>
    <t>Thanamalwila</t>
  </si>
  <si>
    <t>Buttala</t>
  </si>
  <si>
    <t>Katharagama</t>
  </si>
  <si>
    <t>Sewanagala</t>
  </si>
  <si>
    <t>Monaragala</t>
  </si>
  <si>
    <t>103b.1</t>
  </si>
  <si>
    <t>103c.1</t>
  </si>
  <si>
    <t>103d.1</t>
  </si>
  <si>
    <t>103e.1</t>
  </si>
  <si>
    <t xml:space="preserve">98% of swidden took place on government land &gt; 50% of households used fertiliers, agrochemicals and tractors. </t>
  </si>
  <si>
    <t xml:space="preserve">"Few legal actions are taken, partly because there is an understanding that poor landless farmers have few alternative options".. Since 2009 farmers have been allowed to cultivate a maximum of 0.8ha on forested lands. Incentives for farmers were to convert secondary fallows to timber production; this was not a succesful scheme. </t>
  </si>
  <si>
    <t xml:space="preserve">Intended burned area % from proportion of families participating, weighted by average land holdings and % burning annually. </t>
  </si>
  <si>
    <t>Study location is centre of sub-district; author map estimates distribution of swidden in Sri Lanka</t>
  </si>
  <si>
    <t>103b.2</t>
  </si>
  <si>
    <t>103c.2</t>
  </si>
  <si>
    <t>103d.2</t>
  </si>
  <si>
    <t>103e.2</t>
  </si>
  <si>
    <t xml:space="preserve">Abate 2016 </t>
  </si>
  <si>
    <t>104a</t>
  </si>
  <si>
    <t>Borana rangelands</t>
  </si>
  <si>
    <t>Location is mid point of study area</t>
  </si>
  <si>
    <t>104b</t>
  </si>
  <si>
    <t>104c</t>
  </si>
  <si>
    <t>104a.1</t>
  </si>
  <si>
    <t>104b.1</t>
  </si>
  <si>
    <t>104c.1</t>
  </si>
  <si>
    <t>Rangeland management</t>
  </si>
  <si>
    <t>104c.2</t>
  </si>
  <si>
    <t>104b.2</t>
  </si>
  <si>
    <t>104a.2</t>
  </si>
  <si>
    <t>Fire Ban was having a significant impact on rangelands, with woody enchroachment becoming a major challenge</t>
  </si>
  <si>
    <t>Fire ban was having a significant impact on rangelands, with woody enchroachment becoming a major challenge. Government policy also promoted sedenterisation and crop cultivation</t>
  </si>
  <si>
    <t>105a</t>
  </si>
  <si>
    <t>105b</t>
  </si>
  <si>
    <t>105c</t>
  </si>
  <si>
    <t>105d</t>
  </si>
  <si>
    <t>105e</t>
  </si>
  <si>
    <t>Solomon 2007</t>
  </si>
  <si>
    <t>Did Yabello</t>
  </si>
  <si>
    <t>Moyatte</t>
  </si>
  <si>
    <t>Did Harra</t>
  </si>
  <si>
    <t>Dubuluk</t>
  </si>
  <si>
    <t>Melbana</t>
  </si>
  <si>
    <t>105f</t>
  </si>
  <si>
    <t>Forestry for charcoal production</t>
  </si>
  <si>
    <t>105a.1</t>
  </si>
  <si>
    <t>105a.2</t>
  </si>
  <si>
    <t>105b.1</t>
  </si>
  <si>
    <t>105b.2</t>
  </si>
  <si>
    <t>105c.1</t>
  </si>
  <si>
    <t>105c.2</t>
  </si>
  <si>
    <t>105d.1</t>
  </si>
  <si>
    <t>105d.2</t>
  </si>
  <si>
    <t>105e.1</t>
  </si>
  <si>
    <t>105e.2</t>
  </si>
  <si>
    <t>105f.1</t>
  </si>
  <si>
    <t>105f.2</t>
  </si>
  <si>
    <t>Villagers did not light fires for fear of prosecution</t>
  </si>
  <si>
    <t>Pastoralists were free to light fires to manage the rangelands</t>
  </si>
  <si>
    <t>The majority of pastoralists had adopted cropping as a secondary income due to the lack of rangeland</t>
  </si>
  <si>
    <t>Data from study participant memory; study location mean of villages surveyed</t>
  </si>
  <si>
    <t>106a</t>
  </si>
  <si>
    <t>106b</t>
  </si>
  <si>
    <t>Hoover 2017</t>
  </si>
  <si>
    <t>Papua New Guinea</t>
  </si>
  <si>
    <t>Anonymous study village</t>
  </si>
  <si>
    <t>106a.1</t>
  </si>
  <si>
    <t>10-25</t>
  </si>
  <si>
    <t>25-50</t>
  </si>
  <si>
    <t>106b.1</t>
  </si>
  <si>
    <t>107a</t>
  </si>
  <si>
    <t>Dawoe 2012</t>
  </si>
  <si>
    <t>Atwima Nwabiagya District</t>
  </si>
  <si>
    <t>Location is mid point of study area; study dates estimated from publication date.</t>
  </si>
  <si>
    <t>107a.1</t>
  </si>
  <si>
    <t>107a.2</t>
  </si>
  <si>
    <t>107a.3</t>
  </si>
  <si>
    <t>Fallow periods were a maximum of three years, preventing meaningful secondary fallows from developing</t>
  </si>
  <si>
    <t>Farmers used fire where a field had been fallowed for ~three years to improve access</t>
  </si>
  <si>
    <t>80% of farmers adopted a no-fire mulching practice to improve fertility</t>
  </si>
  <si>
    <t>107a.4</t>
  </si>
  <si>
    <t>80% of farmers did not burn residues</t>
  </si>
  <si>
    <t>Fire return from fallow; intended burned area based on proportion of farmers using fire to fertilise fields and fire return period.</t>
  </si>
  <si>
    <t xml:space="preserve">Intended burned area based on proportion of farmers using residues as a covering / fertiliser &amp; therefore not burning. </t>
  </si>
  <si>
    <t xml:space="preserve">Dendi 2004 </t>
  </si>
  <si>
    <t>108a</t>
  </si>
  <si>
    <t>Mapat Tunggul</t>
  </si>
  <si>
    <t>West Sumatra</t>
  </si>
  <si>
    <t>108a.1</t>
  </si>
  <si>
    <t>108a.2</t>
  </si>
  <si>
    <t xml:space="preserve">Incentives included digging of irrigation canals, and initiatives to promote cocoa and other cash crop growing. </t>
  </si>
  <si>
    <t>Location is mid point of study area; data from community memory (fire/yield) and literature review (policy)</t>
  </si>
  <si>
    <t>108b</t>
  </si>
  <si>
    <t>Subsistence-oriented monoculture is irrigated rice farming, whilst market-oriented farming refers to rubber plantations. Yield for swidden rice.</t>
  </si>
  <si>
    <t>Market-oriented was primarily cocoa and rubber plantations; yield for swidden rice</t>
  </si>
  <si>
    <t>108b.1</t>
  </si>
  <si>
    <t>108b.2</t>
  </si>
  <si>
    <t>Period saw substantial deforestation for swidden due to inward migration from lowlands</t>
  </si>
  <si>
    <t>Fire return from fallow cycle</t>
  </si>
  <si>
    <t>108b.3</t>
  </si>
  <si>
    <t>Forest clearance for rubber plantations was allowed after the removal of colonial-era legislation</t>
  </si>
  <si>
    <t>Government lifted colonial-era ban on use of forests for rubber plantations</t>
  </si>
  <si>
    <t>Bhagawati 2015</t>
  </si>
  <si>
    <t>109a</t>
  </si>
  <si>
    <t>Northeast Himalayan Region</t>
  </si>
  <si>
    <t>109a.1</t>
  </si>
  <si>
    <t>"Very strict customs were followed while burning the slashed field…the event is celebrated overnight… They never go for uncontrolled slash and burn, and know the science to control the fires".</t>
  </si>
  <si>
    <t>Smith 2019</t>
  </si>
  <si>
    <t>110a</t>
  </si>
  <si>
    <t>110b</t>
  </si>
  <si>
    <t>110c</t>
  </si>
  <si>
    <t>Belize</t>
  </si>
  <si>
    <t>Bladen</t>
  </si>
  <si>
    <t>Trio</t>
  </si>
  <si>
    <t>San Isidro</t>
  </si>
  <si>
    <t>Location digitised from description</t>
  </si>
  <si>
    <t>110a.1</t>
  </si>
  <si>
    <t>110b.1</t>
  </si>
  <si>
    <t>110c.1</t>
  </si>
  <si>
    <t>110a.2</t>
  </si>
  <si>
    <t>110a.3</t>
  </si>
  <si>
    <t>110a.4</t>
  </si>
  <si>
    <t>110a.5</t>
  </si>
  <si>
    <t>110a.6</t>
  </si>
  <si>
    <t>110a.7</t>
  </si>
  <si>
    <t>Fires were frequently lit just for "enjoyment"</t>
  </si>
  <si>
    <t>Fires lit to expose snakes</t>
  </si>
  <si>
    <t>For access to palmetto berries and fishing sites</t>
  </si>
  <si>
    <t>To clear land for growing pineapple or plantain</t>
  </si>
  <si>
    <t>110b.2</t>
  </si>
  <si>
    <t>110b.3</t>
  </si>
  <si>
    <t>110b.4</t>
  </si>
  <si>
    <t>110b.5</t>
  </si>
  <si>
    <t>110b.6</t>
  </si>
  <si>
    <t>110b.7</t>
  </si>
  <si>
    <t>110c.2</t>
  </si>
  <si>
    <t>110c.3</t>
  </si>
  <si>
    <t>110c.4</t>
  </si>
  <si>
    <t>110c.5</t>
  </si>
  <si>
    <t>110c.6</t>
  </si>
  <si>
    <t>110c.7</t>
  </si>
  <si>
    <t>"...few households had support from the fire service in Independence, but most also doubt that that service would help…"</t>
  </si>
  <si>
    <t>"...fires in savanna areas removed from their villages, while deemed a problem by conservationists or pine concession-holders, are generally not deemed problematic by local people. These villagers have little incentive to care about fires in these areas because they lack clear access rights..."</t>
  </si>
  <si>
    <t>"Where farms are close together, some farmers construct fire lines around their land and inform neighbours before burning, but many conduct their burns alone and fires sometimes escape into neighbouring farm… Aiming for a hot and ‘clean burn’, many farmers choose to burn around midday on days of good weather. Such hot burns, when not carefully managed, can escape."</t>
  </si>
  <si>
    <t>NGOs &amp; latterly the government had sought to introduce agroforestry, slash and mulch, and other fire free practices.</t>
  </si>
  <si>
    <t>Farmers required a permit to burn, but this was rarely enforced - "most farmers interviewed were unaware of either the Agricultural Fires Act or the Forest Fires Act." NGOs &amp; latterly the government had sought to introduce agroforestry, slash and mulch, and other fire free practices.</t>
  </si>
  <si>
    <t>110d</t>
  </si>
  <si>
    <t>Payne's Creek National Park</t>
  </si>
  <si>
    <t>Beliza</t>
  </si>
  <si>
    <t>Location is centre of reported study area</t>
  </si>
  <si>
    <t>110d.1</t>
  </si>
  <si>
    <t>Park rangers had adopted a rule of thumb that a fire return period of 3-5 years should be adopted</t>
  </si>
  <si>
    <t>"...soon TIDE found funding for fire management equipment, and today its rangers use purpose-made clothing, drip torches, rakes, fire-swatters, water tanks and bladder bags when they conduct prescribed burning... The infrastructure and means of communication available to TIDE for fire management are far less sophisticated than what is used in the USA"</t>
  </si>
  <si>
    <t>Areas of the reserve had been allocated as logging concessions</t>
  </si>
  <si>
    <t>An international conservation NGO had provided training, equipment and ongoing support for prescribed burning to promote biodiversity.</t>
  </si>
  <si>
    <t>Coomes 2017</t>
  </si>
  <si>
    <t>111a</t>
  </si>
  <si>
    <t>A false location name is given to respect participants' anonimity; location estimated from author description. Same as study 36.</t>
  </si>
  <si>
    <t>111b</t>
  </si>
  <si>
    <t>111a.1</t>
  </si>
  <si>
    <t>111b.1</t>
  </si>
  <si>
    <t>111a.2</t>
  </si>
  <si>
    <t xml:space="preserve">Forestry was charcoal production; plantation forests were fruit orchards. Secondary vegetation and orchards split on %s given in land holdings data. </t>
  </si>
  <si>
    <t>111b.2</t>
  </si>
  <si>
    <t>Burned area based on fallow length, and percentage of secondary fallows converted to orchards vs returned to swidden cycle. Ignitions from fire size and burned area estimate.</t>
  </si>
  <si>
    <t>Conelly 1992</t>
  </si>
  <si>
    <t>112a</t>
  </si>
  <si>
    <t>Palawan Island</t>
  </si>
  <si>
    <t>Napsaan</t>
  </si>
  <si>
    <t xml:space="preserve">Low yields due to a short fallow had driven diversification into irrigated rice production, cashew growing, intensified gathering of NTFPs and wage labour. Yield for swidden rice. </t>
  </si>
  <si>
    <t>112a.1</t>
  </si>
  <si>
    <t>Fire return from fallow cycle, fire size from field size.</t>
  </si>
  <si>
    <t xml:space="preserve">Fire size from field size; full fallow cycle reported (5.8 + 1.2 cultivation); intended burned area from amount of secondary vegetation and fallow cycle; ignitions from fire size and burned area. </t>
  </si>
  <si>
    <t xml:space="preserve">Fire size from field size; full fallow cycle reported (3 + 2.75 cultivation); intended burned area from amount of secondary vegetation and fallow cycle; ignitions from fire size and burned area. </t>
  </si>
  <si>
    <t>Swidden fields were tightly packed into a riverine estuary</t>
  </si>
  <si>
    <t>Mistry 2005</t>
  </si>
  <si>
    <t>113a</t>
  </si>
  <si>
    <t>Kraho indigenous reserve</t>
  </si>
  <si>
    <t>Tocantins</t>
  </si>
  <si>
    <t>Reserve was surrounded by commercial farms, with pastures seeded with non-native grasses</t>
  </si>
  <si>
    <t>113a.1</t>
  </si>
  <si>
    <t>Fires list to protect Roca (swidden fields) against late dry-season wildfires</t>
  </si>
  <si>
    <t>113a.2</t>
  </si>
  <si>
    <t>Fires list to protect fruiting trees against late dry-season wildfires</t>
  </si>
  <si>
    <t>113a.3</t>
  </si>
  <si>
    <t>113a.4</t>
  </si>
  <si>
    <t>Burning to encourage 'carrasco' - a thicker form of cerrado rich in fruits and wild animals</t>
  </si>
  <si>
    <t>113a.5</t>
  </si>
  <si>
    <t>"Small areas burnt each year"</t>
  </si>
  <si>
    <t>113a.6</t>
  </si>
  <si>
    <t>"Rocas are burnt at the very end of August or in September"</t>
  </si>
  <si>
    <t>113a.7</t>
  </si>
  <si>
    <t>113a.8</t>
  </si>
  <si>
    <t>113a.9</t>
  </si>
  <si>
    <t>113a.10</t>
  </si>
  <si>
    <t>Outside fires escaped throughout the dry season</t>
  </si>
  <si>
    <t>Several "Small" patches burned during a hunting trip to encourage forage for grazers</t>
  </si>
  <si>
    <t>113a.11</t>
  </si>
  <si>
    <t>Fires were lit en route to Rocas</t>
  </si>
  <si>
    <t>Fires were lit whlist hunting or walking to villages</t>
  </si>
  <si>
    <t>Fires were lit en route to Rocas; most interviewees agreed the cerrado needed to be "cleaned" every 2-3 years</t>
  </si>
  <si>
    <t>Fires were lit whlist hunting or walking to villages most interviewees agreed the cerrado needed to be "cleaned" every 2-3 years</t>
  </si>
  <si>
    <t xml:space="preserve">Fires to manage carrasco were lit as a community, with the thicker vegetation acting as a natural kind of fire break. This combined with the early-season burning made them less likely to escape. </t>
  </si>
  <si>
    <t>113a.12</t>
  </si>
  <si>
    <t>Swidden fires lit at the end of the dry season were liable to escape</t>
  </si>
  <si>
    <t>Widespread use of early-season fires to prevent late dry season intense fires</t>
  </si>
  <si>
    <t>(Burning dry secondary vegetation for swidden...) "results in an intense ﬁre, thoroughly clearing the area for planting. These ﬁres can potentially be very dangerous, especially if it is windy on the day of the burn. Dry fuel around the roca is rarely cleared, and as a result ﬁres occasionally burn into the adjoining vegetation. In order to reduce this possibility, most burns are set in the afternoon, when it is less windy. "</t>
  </si>
  <si>
    <t>Senegal</t>
  </si>
  <si>
    <t>Central Eastern</t>
  </si>
  <si>
    <t>Fieldwork dates estimated</t>
  </si>
  <si>
    <t>114a</t>
  </si>
  <si>
    <t>114a.1</t>
  </si>
  <si>
    <t>114a.2</t>
  </si>
  <si>
    <t>114a.3</t>
  </si>
  <si>
    <t>Fires were in theory illegal, but widely set by local people</t>
  </si>
  <si>
    <t>114a.4</t>
  </si>
  <si>
    <t>Domestic</t>
  </si>
  <si>
    <t>115a</t>
  </si>
  <si>
    <t>115a.1</t>
  </si>
  <si>
    <t>114a.5</t>
  </si>
  <si>
    <t>114a.6</t>
  </si>
  <si>
    <t>114a.7</t>
  </si>
  <si>
    <t>114a.8</t>
  </si>
  <si>
    <t>114a.9</t>
  </si>
  <si>
    <t>114a.10</t>
  </si>
  <si>
    <t>Used in timber collection, honey and Arabic gum extraction</t>
  </si>
  <si>
    <t>114a.11</t>
  </si>
  <si>
    <t>E.g. Non-extinguised cigarettes</t>
  </si>
  <si>
    <t>"to promote new growth of herbs and grasses in the early phase of the dry season, while some soil moisture is still available"</t>
  </si>
  <si>
    <t>Swidden fires were lit late in the dry season, just before the rainy season.</t>
  </si>
  <si>
    <t>Early dry season fires to protect crops and villages from late dry season large fires</t>
  </si>
  <si>
    <t>114a.12</t>
  </si>
  <si>
    <t>Fires lit to pretect woodlands against late season destructive fires</t>
  </si>
  <si>
    <t>Reducing grass coverage through early season burning improves accessibility and visibility, which reduces risks from snakes and scorpions</t>
  </si>
  <si>
    <t>Late dry-season fires were cited as becoming uncontrolled and causing substantial damage</t>
  </si>
  <si>
    <t>Use of early-season fires to prevent late dry season intense fires</t>
  </si>
  <si>
    <t>114a.13</t>
  </si>
  <si>
    <t>114a.14</t>
  </si>
  <si>
    <t>Use of fire by govt forestry agency in fuel load management was "reducing" due to "logistical challenges"</t>
  </si>
  <si>
    <t>Location is centre of reported study area; dates from personal author communication</t>
  </si>
  <si>
    <t>Mistry 1998</t>
  </si>
  <si>
    <t>Distrito Federal</t>
  </si>
  <si>
    <r>
      <t xml:space="preserve">Study location centre of reported area; </t>
    </r>
    <r>
      <rPr>
        <sz val="11"/>
        <color rgb="FFFF0000"/>
        <rFont val="Calibri"/>
        <family val="2"/>
        <scheme val="minor"/>
      </rPr>
      <t xml:space="preserve">dates estimated from publication date. </t>
    </r>
  </si>
  <si>
    <t>115a.2</t>
  </si>
  <si>
    <t>115a.3</t>
  </si>
  <si>
    <t>115a.4</t>
  </si>
  <si>
    <t>115a.5</t>
  </si>
  <si>
    <t xml:space="preserve">Burning took place throughout the dry season, depending on condition of vegetation. In dry years, burning would tend to be earlier, to rejuvinate forage. 19 of 25 cattle farmers' used fire. </t>
  </si>
  <si>
    <t xml:space="preserve">Farmers with access to capital used planting of non-native grasses and tractors to manage their pastures as an alternative to fire. 6/25 farmers' adopted this option. </t>
  </si>
  <si>
    <t xml:space="preserve">Reported that some ranchers created fire breaks around their houses to prevent against fire damage; 5/40 farmers' adopted this practice. </t>
  </si>
  <si>
    <t>115a.6</t>
  </si>
  <si>
    <t>"Small-delimited" fires for cropping were typically better controlled than pasture fires; precautions involved use of water, fire beaters, and use of fire breaks.</t>
  </si>
  <si>
    <t>More likely as dry season progressed</t>
  </si>
  <si>
    <t>BA% estimate based on proportion of farmers burning and fire return period</t>
  </si>
  <si>
    <t>Burning for crops tended to happen in the mid to late dry season; 32/40 farmers interviewed used fire for this purpose</t>
  </si>
  <si>
    <t>Pasture fires tended to be 'large and undelimited'; escaped fires tended to create hostility between neighbours, which in turn led less care to be taken over their control</t>
  </si>
  <si>
    <t>Some farmers created firebreaks around their houses</t>
  </si>
  <si>
    <t>Only 2/40 farmers' interviewed admitted to using fire to clear land</t>
  </si>
  <si>
    <t xml:space="preserve">39/40 farmers did not know how to access the required permit to burn, but did so anyway. Overall "laws and regulations play a negligible role in decision-making". </t>
  </si>
  <si>
    <t>116a</t>
  </si>
  <si>
    <t>Tiogo State Forest</t>
  </si>
  <si>
    <t>Savadogo 2007</t>
  </si>
  <si>
    <t>116a.1</t>
  </si>
  <si>
    <t>"Most forest management plans include early burning"</t>
  </si>
  <si>
    <t>116a.2</t>
  </si>
  <si>
    <t>Eloy 2019</t>
  </si>
  <si>
    <t>117a</t>
  </si>
  <si>
    <t>117b</t>
  </si>
  <si>
    <t>Serra Geral do Tocantins Ecological Station</t>
  </si>
  <si>
    <t>State Park of Jalapao</t>
  </si>
  <si>
    <t>Study location is centre of reported area</t>
  </si>
  <si>
    <t>117a.1</t>
  </si>
  <si>
    <t>117a.2</t>
  </si>
  <si>
    <t>117a.3</t>
  </si>
  <si>
    <t>117a.4</t>
  </si>
  <si>
    <t>117a.5</t>
  </si>
  <si>
    <t>117a.6</t>
  </si>
  <si>
    <t>Fuel load reduction</t>
  </si>
  <si>
    <t>Smaller areas of planted pastures grown close to the house were used to tend sick cattle or those with calves. The remainder of the herd ranged 'larger' areas. Exotic grasses burned October to November</t>
  </si>
  <si>
    <t>117a.7</t>
  </si>
  <si>
    <t>Late season fires were the hardest to control</t>
  </si>
  <si>
    <t>Humid grassland "Varjao" fires</t>
  </si>
  <si>
    <t>Open cerrado fires</t>
  </si>
  <si>
    <t>Community Managed Area</t>
  </si>
  <si>
    <t>117c</t>
  </si>
  <si>
    <t>117d</t>
  </si>
  <si>
    <t>Government Managed Area</t>
  </si>
  <si>
    <t>117b.1</t>
  </si>
  <si>
    <t>117b.2</t>
  </si>
  <si>
    <t>117b.3</t>
  </si>
  <si>
    <t>117b.4</t>
  </si>
  <si>
    <t>117b.5</t>
  </si>
  <si>
    <t>117b.6</t>
  </si>
  <si>
    <t>117b.7</t>
  </si>
  <si>
    <t>117c.1</t>
  </si>
  <si>
    <t>117c.2</t>
  </si>
  <si>
    <t>Zero fire policy</t>
  </si>
  <si>
    <t>Most large fires happened in late dry-season</t>
  </si>
  <si>
    <t>Forestry was crafts based on the local goldflower</t>
  </si>
  <si>
    <t>117c.3</t>
  </si>
  <si>
    <t>Native pasture fires burned to provide late dry-season forage</t>
  </si>
  <si>
    <t>Described as &lt;30ha</t>
  </si>
  <si>
    <t>86% of burn scars were smaller than 50ha</t>
  </si>
  <si>
    <t>All fires were &lt; 10000ha and 98% were &lt; 1000</t>
  </si>
  <si>
    <t>117c.4</t>
  </si>
  <si>
    <t>117c.5</t>
  </si>
  <si>
    <t>Most large fires happened in late dry-season; fuel-build up from zero-fire policy led to late season catastrophic fires</t>
  </si>
  <si>
    <t>Burned area calculated from reported % burned and area burned from late dry season</t>
  </si>
  <si>
    <t>117c.6</t>
  </si>
  <si>
    <t>117c.7</t>
  </si>
  <si>
    <t>117d.1</t>
  </si>
  <si>
    <t>117d.2</t>
  </si>
  <si>
    <t>117d.3</t>
  </si>
  <si>
    <t>117d.4</t>
  </si>
  <si>
    <t>117d.5</t>
  </si>
  <si>
    <t>117d.6</t>
  </si>
  <si>
    <t>117d.7</t>
  </si>
  <si>
    <t>Late season fires were the hardest to control; however there was less inter-annual variation due to mega fires than in the government controlled areas</t>
  </si>
  <si>
    <t>"cattle ranchers start ﬁres in the late afternoon, taking account of the ground and weather conditions (especially wind direction)"</t>
  </si>
  <si>
    <t>The seasonal mosaic of burning led to fewer megafires due to fuel load management</t>
  </si>
  <si>
    <t>118a</t>
  </si>
  <si>
    <t>118b</t>
  </si>
  <si>
    <t>Blanco 2013</t>
  </si>
  <si>
    <t>118c</t>
  </si>
  <si>
    <t>118d</t>
  </si>
  <si>
    <t>118e</t>
  </si>
  <si>
    <t>118f</t>
  </si>
  <si>
    <t>Malo</t>
  </si>
  <si>
    <t>Santo</t>
  </si>
  <si>
    <t>Malekula</t>
  </si>
  <si>
    <t>Ambae</t>
  </si>
  <si>
    <t>Tanna</t>
  </si>
  <si>
    <t>Pentecost</t>
  </si>
  <si>
    <t>Vanuatu</t>
  </si>
  <si>
    <t>Avunaleleo</t>
  </si>
  <si>
    <t>Brenwe</t>
  </si>
  <si>
    <t>Pessena</t>
  </si>
  <si>
    <t>Lolossori</t>
  </si>
  <si>
    <t>Lamlu</t>
  </si>
  <si>
    <t>Tansip</t>
  </si>
  <si>
    <t>Location is island centre</t>
  </si>
  <si>
    <t>118a.1</t>
  </si>
  <si>
    <t>118b.1</t>
  </si>
  <si>
    <t>118c.1</t>
  </si>
  <si>
    <t>118d.1</t>
  </si>
  <si>
    <t>118e.1</t>
  </si>
  <si>
    <t>118f.1</t>
  </si>
  <si>
    <t xml:space="preserve">Farmers used a natural irrigation system, allowing fields to be used for ~10 years. Fields were always cut from old forest. </t>
  </si>
  <si>
    <t>Fire size from field size; fire return from fallow. Max documented field size was 0.036ha</t>
  </si>
  <si>
    <t>Fire size from field size; fire return from fallow. Max documented field size was 0.086ha</t>
  </si>
  <si>
    <t>Fire size from field size; fire return from fallow. Max documented field size was 0.072ha</t>
  </si>
  <si>
    <t>Bilbao 2019</t>
  </si>
  <si>
    <t>119a</t>
  </si>
  <si>
    <t>119b</t>
  </si>
  <si>
    <t>119c</t>
  </si>
  <si>
    <t>119d</t>
  </si>
  <si>
    <t>Guyana</t>
  </si>
  <si>
    <t>North Rupununi</t>
  </si>
  <si>
    <t>South Rupununi</t>
  </si>
  <si>
    <t>Raposa Serra do Sol</t>
  </si>
  <si>
    <t>Parque Nacional Canaima</t>
  </si>
  <si>
    <t>119a.1</t>
  </si>
  <si>
    <t>119b.1</t>
  </si>
  <si>
    <t>119c.1</t>
  </si>
  <si>
    <t>119d.1</t>
  </si>
  <si>
    <t>Partly as a colonial legacy, and as a result of large wildfires, a 'zero' burning policy was adopted for conservation reasons.</t>
  </si>
  <si>
    <t>119c.2</t>
  </si>
  <si>
    <t>From 2012, fire was allowed for conservation purposes in "fire prone" environments</t>
  </si>
  <si>
    <t>Farm area from fields per farmer &amp; field size from associated dominant cropping system; traditional forestry refers to fruit collection from trees, especially those lining roads</t>
  </si>
  <si>
    <t>2-3 cultivation plus 5-20 years' fallow reported</t>
  </si>
  <si>
    <t>119a.2</t>
  </si>
  <si>
    <t>119a.3</t>
  </si>
  <si>
    <t>119a.4</t>
  </si>
  <si>
    <t>119a.5</t>
  </si>
  <si>
    <t>119a.6</t>
  </si>
  <si>
    <t>119a.7</t>
  </si>
  <si>
    <t>119a.8</t>
  </si>
  <si>
    <t>119a.9</t>
  </si>
  <si>
    <t>119a.10</t>
  </si>
  <si>
    <t>119a.11</t>
  </si>
  <si>
    <t>119a.12</t>
  </si>
  <si>
    <t>119a.13</t>
  </si>
  <si>
    <t>Fire surrounding rivers and lakes causes insects to jump into the water, thereby attracting fish</t>
  </si>
  <si>
    <t>119a.14</t>
  </si>
  <si>
    <t>119a.15</t>
  </si>
  <si>
    <t>119a.16</t>
  </si>
  <si>
    <t>Small numbers of cattle held in communally-managed areas</t>
  </si>
  <si>
    <t>119b.2</t>
  </si>
  <si>
    <t>119b.3</t>
  </si>
  <si>
    <t>119b.4</t>
  </si>
  <si>
    <t>119b.5</t>
  </si>
  <si>
    <t>119b.6</t>
  </si>
  <si>
    <t>119b.7</t>
  </si>
  <si>
    <t>119b.8</t>
  </si>
  <si>
    <t>119b.9</t>
  </si>
  <si>
    <t>119b.10</t>
  </si>
  <si>
    <t>119b.11</t>
  </si>
  <si>
    <t>119b.12</t>
  </si>
  <si>
    <t>119b.13</t>
  </si>
  <si>
    <t>119b.14</t>
  </si>
  <si>
    <t>119b.15</t>
  </si>
  <si>
    <t>119b.16</t>
  </si>
  <si>
    <t>119c.3</t>
  </si>
  <si>
    <t>119c.4</t>
  </si>
  <si>
    <t>119c.5</t>
  </si>
  <si>
    <t>119c.6</t>
  </si>
  <si>
    <t>119c.7</t>
  </si>
  <si>
    <t>119c.8</t>
  </si>
  <si>
    <t>119c.9</t>
  </si>
  <si>
    <t>119c.10</t>
  </si>
  <si>
    <t>119c.11</t>
  </si>
  <si>
    <t>119c.12</t>
  </si>
  <si>
    <t>119c.13</t>
  </si>
  <si>
    <t>119c.14</t>
  </si>
  <si>
    <t>119d.2</t>
  </si>
  <si>
    <t>119d.3</t>
  </si>
  <si>
    <t>119d.4</t>
  </si>
  <si>
    <t>119d.5</t>
  </si>
  <si>
    <t>119d.6</t>
  </si>
  <si>
    <t>119d.7</t>
  </si>
  <si>
    <t>119d.8</t>
  </si>
  <si>
    <t>119d.9</t>
  </si>
  <si>
    <t>119d.10</t>
  </si>
  <si>
    <t>119d.11</t>
  </si>
  <si>
    <t>119d.12</t>
  </si>
  <si>
    <t>119d.13</t>
  </si>
  <si>
    <t>119d.14</t>
  </si>
  <si>
    <t>"burnings are done against the wind (backﬁres) in early morning hours while ﬂammable material is more humid, in this way, preventing ﬁre spreading. Additionally, since the burning is fully completed in the morning, they still have plenty of light hours to be alert and control and restrain any ﬁre spread..."</t>
  </si>
  <si>
    <t>"Makushi and Wapishana use the patch mosaic system to both have fresh grass for cattle in diﬀerent areas at diﬀerent times and to protect savannas from the spread of wildﬁre"</t>
  </si>
  <si>
    <t>"Foremost among the Pemón’s reasons for burning the savanna is to create a mosaic landscape of vegetation divided by natural ﬁre breaks that keep low fuel levels, preventing the spread of larger ﬁres. They usually undertake this practice in the savanna—forest transitions—in order to protect forests from wildﬁres, assuring the continuity of their main livelihood activities"</t>
  </si>
  <si>
    <t>PCIV brigades formed of indigenous people attended swidden fires… "After more than 30 years of continuous operation, they have an extensive knowledge of the region, training of its staﬀ in technical aspects of prevention, detection, and ﬁre ﬁghting in the upper basin of the Caroní River included in the Gran Sabana region of the CNP. The PCIV Brigades only work during the ﬁrst attack against wildﬁres and are mostly composed of Indigenous Pemón members"</t>
  </si>
  <si>
    <t>External firefighting agency dealt with large wildfires within the national park</t>
  </si>
  <si>
    <t>Fire suppression agent</t>
  </si>
  <si>
    <t>Firefighters had previously adopted a zero fire policy, that had led to a build up of fuel and megafires. After this, they had begun to work with local communities to adopt a hybrid plan of firefighting combined with the traditional fire calendar and subsistence practice</t>
  </si>
  <si>
    <t xml:space="preserve">Firefighting service was available, though their ability to implement a first-class fire service was seen as potentially being hampered by wealthy landowners who disliked the incorporation of controlled burning and traditional fire knowledge into fire management plans. </t>
  </si>
  <si>
    <t>PCIV brigades formed of indigenous people attended swidden fires… " After more than 30 years of continuous operation, they have an extensive knowledge of the region, training of its staﬀ in technical aspects of prevention, detection, and ﬁre ﬁghting in the upper basin of the Caroní River included in the Gran Sabana region of the CNP. The PCIV Brigades only work during the ﬁrst attack against wildﬁres and are mostly composed of Indigenous Pemón members"</t>
  </si>
  <si>
    <t>There was no national fire service in Guyana</t>
  </si>
  <si>
    <t>The breakdown of the traditional indigenous community had led to less community envolvement in fire management; one indigenous leader said "Each one takes care of his own farm for example, and if the ﬁre is out of control, there is not a large team to help him, thus increasing the chances of the burn entering adjacent forest".</t>
  </si>
  <si>
    <t>The breakdown of the traditional indigenous community had led to less community envolvement in fire management; one indigenous leader said: "We had an Indigenous calendar for burnings. Now each person does his own thing and makes ﬁre alone without a plan or knowledge"</t>
  </si>
  <si>
    <t>"San Jose"</t>
  </si>
  <si>
    <t>32a.1</t>
  </si>
  <si>
    <t>Fire return estimated from fallow period + 2</t>
  </si>
  <si>
    <t>32a.2</t>
  </si>
  <si>
    <t>Study dates estimated from publication date</t>
  </si>
  <si>
    <t>Agalawtte 1993, cited in Fujisaka 1996</t>
  </si>
  <si>
    <t>Lizarralde 1991</t>
  </si>
  <si>
    <t>Siahaya 2016</t>
  </si>
  <si>
    <t>120a</t>
  </si>
  <si>
    <t>Linggang Melapeh</t>
  </si>
  <si>
    <t xml:space="preserve">120a.1 </t>
  </si>
  <si>
    <t>120a.2</t>
  </si>
  <si>
    <t>Swidden fields were burned annually to remove shrubby vegetation</t>
  </si>
  <si>
    <t>120b.2</t>
  </si>
  <si>
    <t>120b</t>
  </si>
  <si>
    <t>Reijentjes 1992, cited in Siahaya 2016</t>
  </si>
  <si>
    <t>Study dates estimated based on publication date</t>
  </si>
  <si>
    <t>Agroforestry involves rubber, nut and and other crop production; plantation principally rubber plantations; land cover %s based on proportion of reported land cover types; yield is for swidden rice</t>
  </si>
  <si>
    <t>120b.1</t>
  </si>
  <si>
    <t>Fields used for up to three years and are burned annually</t>
  </si>
  <si>
    <t>Fire return based on fire cycle</t>
  </si>
  <si>
    <t xml:space="preserve">Combination of farmers abandoning subsistence farming for cities, and industrial land users occupying territory outside the village had approximately balanced out. </t>
  </si>
  <si>
    <t>121a</t>
  </si>
  <si>
    <t>Schmook 2010</t>
  </si>
  <si>
    <t>Quintana Roo</t>
  </si>
  <si>
    <t>121b</t>
  </si>
  <si>
    <t>121c</t>
  </si>
  <si>
    <t>El Refugio</t>
  </si>
  <si>
    <t>Centauros del Norte</t>
  </si>
  <si>
    <t>Alvaro Obregon</t>
  </si>
  <si>
    <t>121d</t>
  </si>
  <si>
    <t>121e</t>
  </si>
  <si>
    <t>121f</t>
  </si>
  <si>
    <t>Neuvo Becar</t>
  </si>
  <si>
    <t>X-Bonil</t>
  </si>
  <si>
    <t>Nicolas Bravo</t>
  </si>
  <si>
    <t>121g</t>
  </si>
  <si>
    <t>121h</t>
  </si>
  <si>
    <t>121i</t>
  </si>
  <si>
    <t>La Lucha</t>
  </si>
  <si>
    <t>Tomas Garrido</t>
  </si>
  <si>
    <t>Arroyo Negro</t>
  </si>
  <si>
    <t>121j</t>
  </si>
  <si>
    <t>121k</t>
  </si>
  <si>
    <t>121l</t>
  </si>
  <si>
    <t>Chan Laguna</t>
  </si>
  <si>
    <t>Km. 120</t>
  </si>
  <si>
    <t>Alacranes</t>
  </si>
  <si>
    <t>121m</t>
  </si>
  <si>
    <t>121n</t>
  </si>
  <si>
    <t>Cana Brava</t>
  </si>
  <si>
    <t>Ingeniero Ricardo Pavro</t>
  </si>
  <si>
    <t xml:space="preserve">Study village not identified; centre of study region provided. </t>
  </si>
  <si>
    <t>121a.1</t>
  </si>
  <si>
    <t>121b.1</t>
  </si>
  <si>
    <t>121c.1</t>
  </si>
  <si>
    <t>121d.1</t>
  </si>
  <si>
    <t>121e.1</t>
  </si>
  <si>
    <t>121f.1</t>
  </si>
  <si>
    <t>121g.1</t>
  </si>
  <si>
    <t>121h.1</t>
  </si>
  <si>
    <t>121i.1</t>
  </si>
  <si>
    <t>121j.1</t>
  </si>
  <si>
    <t>121k.1</t>
  </si>
  <si>
    <t>121l.1</t>
  </si>
  <si>
    <t>121m.1</t>
  </si>
  <si>
    <t>121n.1</t>
  </si>
  <si>
    <t>Fire return based on cropping density and reported mean fallow cycle (9 years)</t>
  </si>
  <si>
    <t>Yield is for maize; an average of 13.71% and 9.14% used fertilisers on swidden plots</t>
  </si>
  <si>
    <t>de Melo 2012</t>
  </si>
  <si>
    <t>122a</t>
  </si>
  <si>
    <t>122b</t>
  </si>
  <si>
    <t>Pimentel Barbosa Indigenous Lands</t>
  </si>
  <si>
    <t>Areoes Indigenous Lands</t>
  </si>
  <si>
    <t>Forestry is hunter gathering</t>
  </si>
  <si>
    <t>122a.1</t>
  </si>
  <si>
    <t xml:space="preserve">The transitional vegetation (campo sujo) between grassland and shrubland (cerrado) was burned only in July at an interval of 1-2 years. </t>
  </si>
  <si>
    <t>122a.2</t>
  </si>
  <si>
    <t xml:space="preserve">Sparser vegetation was burned earlier in the dry season to prevent uncontrolled wildfires later in the dry-season. The eldest members of the tribe decide whether to burn after 1 or 2 years. </t>
  </si>
  <si>
    <t>"Our results indicate that the Xavante know that fire behavior is determined by the interaction of several factors, such as climate, rain, humidity, wind, topography, and fuel sources. In turn, these factors influence the defining aspects of fire behavior, such as flame intensity, residual heat, the vertical distribution of temperature, and the rate at which a fire spreads....This knowledge-based practice implies that they also understand the extension of these factors to fire behavior and that they use their knowledge of fire behavior to avoid uncontrolled fires and provide the helpful service of fuel reduction"</t>
  </si>
  <si>
    <t>Gil-Romero 2011</t>
  </si>
  <si>
    <t>123a</t>
  </si>
  <si>
    <t>Lower Omo Valley</t>
  </si>
  <si>
    <t>Mako</t>
  </si>
  <si>
    <t>Maganto</t>
  </si>
  <si>
    <t>Dargus</t>
  </si>
  <si>
    <t>123b</t>
  </si>
  <si>
    <t>123c</t>
  </si>
  <si>
    <t>Location digitised from author map; study area estimated from author map.</t>
  </si>
  <si>
    <t>123d</t>
  </si>
  <si>
    <t>123e</t>
  </si>
  <si>
    <t>123f</t>
  </si>
  <si>
    <t>123a.1</t>
  </si>
  <si>
    <t>123a.2</t>
  </si>
  <si>
    <t>Burning timed before first heavy rains fall in March</t>
  </si>
  <si>
    <t>123b.1</t>
  </si>
  <si>
    <t>123b.2</t>
  </si>
  <si>
    <t>123c.1</t>
  </si>
  <si>
    <t>123c.2</t>
  </si>
  <si>
    <t>124a</t>
  </si>
  <si>
    <t>124a.1</t>
  </si>
  <si>
    <t>123d.1</t>
  </si>
  <si>
    <t xml:space="preserve">Burning was every few years to allow fuel build-up; this meant larger fires which removed woody vegetation from the land. </t>
  </si>
  <si>
    <t xml:space="preserve">Community fire-management had broken down, leading to annual burning dominating. </t>
  </si>
  <si>
    <t>123e.1</t>
  </si>
  <si>
    <t>123f.1</t>
  </si>
  <si>
    <t>123a.3</t>
  </si>
  <si>
    <t>123a.4</t>
  </si>
  <si>
    <t>123b.3</t>
  </si>
  <si>
    <t>123b.4</t>
  </si>
  <si>
    <t>123c.3</t>
  </si>
  <si>
    <t>123c.4</t>
  </si>
  <si>
    <t>Burning was 'haphazard'</t>
  </si>
  <si>
    <t>The burning regime was intended to allow fuel build-up, and therefore very large fires that removed trees from the bush.</t>
  </si>
  <si>
    <t>The breakdown of community fire practice had led to people starting fires without due care and attention: "People of my age ... they don’t listen to the elders. They do whatever they like. They burn wherever they like ... which is not right."</t>
  </si>
  <si>
    <t>Annual burning helped to prevent fuel build-up and therefore very large fires</t>
  </si>
  <si>
    <t>There was an intricate arrangement of fire management, involving community rituals led by a local priest.</t>
  </si>
  <si>
    <t>The national parks are described as following a haphazard fire management plan</t>
  </si>
  <si>
    <t xml:space="preserve">Traditional fires for pasture management were outlawed inside govt managed protected areas and a tourist hunting concession. </t>
  </si>
  <si>
    <t>No protected areas or tourist concessions were yet present.</t>
  </si>
  <si>
    <t>Copsey 2009</t>
  </si>
  <si>
    <t>Anororo</t>
  </si>
  <si>
    <t>Lac Alaotra</t>
  </si>
  <si>
    <t>Forestry is hunter gathering, principally fishing and biomass gathering; study focuses on wetland areas. However, not clear what % were primary vs secondary vegetation created from burning for fishing.</t>
  </si>
  <si>
    <t>Wetland vegetation</t>
  </si>
  <si>
    <t>124a.2</t>
  </si>
  <si>
    <t>124a.3</t>
  </si>
  <si>
    <t>Degraded wetland</t>
  </si>
  <si>
    <t>124a.4</t>
  </si>
  <si>
    <t>Wetland vegetation; clearing of land for rice paddy</t>
  </si>
  <si>
    <t>Degraded wetland vegetation; clearing of land for rice paddy</t>
  </si>
  <si>
    <t>124a.5</t>
  </si>
  <si>
    <t>124a.6</t>
  </si>
  <si>
    <t>124a.7</t>
  </si>
  <si>
    <t>Wetland vegetation; hunting for lemurs</t>
  </si>
  <si>
    <t>Andrianandrasana 2005</t>
  </si>
  <si>
    <t>125a</t>
  </si>
  <si>
    <t>Alaotra wetlands</t>
  </si>
  <si>
    <t xml:space="preserve">Subsistence-oriented monoculture is paddy rice; yield is for paddy rice. Study area comprises wetland and surrounding cropland. </t>
  </si>
  <si>
    <t>125a.1</t>
  </si>
  <si>
    <t>125a.2</t>
  </si>
  <si>
    <t>125a.3</t>
  </si>
  <si>
    <t>125a.4</t>
  </si>
  <si>
    <t>Distribution of brned area uses fire intention distribution from Copsey 2009 (124)</t>
  </si>
  <si>
    <t>125b</t>
  </si>
  <si>
    <t>125c</t>
  </si>
  <si>
    <t>125d</t>
  </si>
  <si>
    <t>125b.1</t>
  </si>
  <si>
    <t>125b.2</t>
  </si>
  <si>
    <t>125b.3</t>
  </si>
  <si>
    <t>125b.4</t>
  </si>
  <si>
    <t>125c.1</t>
  </si>
  <si>
    <t>125c.2</t>
  </si>
  <si>
    <t>125c.3</t>
  </si>
  <si>
    <t>125c.4</t>
  </si>
  <si>
    <t>125d.1</t>
  </si>
  <si>
    <t>125d.2</t>
  </si>
  <si>
    <t>125d.3</t>
  </si>
  <si>
    <t>125d.4</t>
  </si>
  <si>
    <t>Fire for fishing restricted to three months of the year; restriction only "strictly enforced" since 2002</t>
  </si>
  <si>
    <t xml:space="preserve">Fire for fishing restricted to three months of the year; on the ground monitoring suggested the ban had been respected. </t>
  </si>
  <si>
    <t>Laws outlawing fire use in fishing were strengthened in 2002.</t>
  </si>
  <si>
    <t>Klop 2007</t>
  </si>
  <si>
    <t>126a</t>
  </si>
  <si>
    <t xml:space="preserve"> Bénoué National Park</t>
  </si>
  <si>
    <t>126a.1</t>
  </si>
  <si>
    <t xml:space="preserve">Burning restricted to dry season; Number of fires is given as 20 - however unclear if this is 20 ignitions or 20 large wildfires. Herbivores reported to prefer grass after a hotter burn that removes stems from shrubby plants. </t>
  </si>
  <si>
    <t>Awash Valley</t>
  </si>
  <si>
    <t>Abule 2004</t>
  </si>
  <si>
    <t>127a</t>
  </si>
  <si>
    <t>127b</t>
  </si>
  <si>
    <t>Awash-Fantale</t>
  </si>
  <si>
    <t>Kereyu-Fantale</t>
  </si>
  <si>
    <t>127a.1</t>
  </si>
  <si>
    <t>127b.1</t>
  </si>
  <si>
    <t>Bans and population pressure had led to an absence of burning: in this region, burning of pasture required fallowing due to low levels of NPP. This was not possible due to overgrazing driven by inward migration and being appropriated as cropland.</t>
  </si>
  <si>
    <t>Angassa 2008</t>
  </si>
  <si>
    <t>128a</t>
  </si>
  <si>
    <t>128b</t>
  </si>
  <si>
    <t>Arero</t>
  </si>
  <si>
    <t>Dirre</t>
  </si>
  <si>
    <t>Yabello</t>
  </si>
  <si>
    <t>128c</t>
  </si>
  <si>
    <t>Oromia</t>
  </si>
  <si>
    <t>Field work dates estimated from publication</t>
  </si>
  <si>
    <t>129a</t>
  </si>
  <si>
    <t>129b</t>
  </si>
  <si>
    <t>129c</t>
  </si>
  <si>
    <t>128a.1</t>
  </si>
  <si>
    <t>128b.1</t>
  </si>
  <si>
    <t>128c.1</t>
  </si>
  <si>
    <t>128a.2</t>
  </si>
  <si>
    <t>128b.2</t>
  </si>
  <si>
    <t>128c.2</t>
  </si>
  <si>
    <t>128a.3</t>
  </si>
  <si>
    <t>128b.3</t>
  </si>
  <si>
    <t>128c.3</t>
  </si>
  <si>
    <t>Fires during main dry season, before main wet season in March-May; data from oral history collected in 2003/4</t>
  </si>
  <si>
    <t>Intended burned area based on proportion of pastoralists burning (94%) and the fire return period (point estimate 2.88)</t>
  </si>
  <si>
    <t>"Despite the government’s concern about the careless use of fires, this study showed that the pastoralists are knowledgeable and careful about the application of fire."</t>
  </si>
  <si>
    <t>Subsequent fire ban (~1970) had had a profound impact on the composition of the rangelands and fire practice in the community</t>
  </si>
  <si>
    <t xml:space="preserve">Incentives were a proactive policy of land privitisation that encouraged a transition to sedentary cropping. </t>
  </si>
  <si>
    <t>Angassa 2007</t>
  </si>
  <si>
    <t>Dida-Hara</t>
  </si>
  <si>
    <t xml:space="preserve">Borana </t>
  </si>
  <si>
    <t xml:space="preserve">Field study conducted in 2003, also reports early field observations </t>
  </si>
  <si>
    <t>129a.1</t>
  </si>
  <si>
    <t>129b.1</t>
  </si>
  <si>
    <t>129c.1</t>
  </si>
  <si>
    <t xml:space="preserve">Inward migration of sedentary population, combined with digging of permanent water pools, combined with a fire ban led to a decline of traditional rangeland mgmt. In its place, pastoralists created communal enclosures for dry season forage. These were too small / heavily grazed and close to villages to be burned. </t>
  </si>
  <si>
    <t>Farm size is for a communal pasture enclosure</t>
  </si>
  <si>
    <t>Bird 2005</t>
  </si>
  <si>
    <t>130a</t>
  </si>
  <si>
    <t>Australia</t>
  </si>
  <si>
    <t>Western Desert</t>
  </si>
  <si>
    <t>Traditional forestry is aboriginal hunter gathering</t>
  </si>
  <si>
    <t xml:space="preserve">Traditional burning regime led to substantial controls on fire size </t>
  </si>
  <si>
    <t>130a.1</t>
  </si>
  <si>
    <t>130a.2</t>
  </si>
  <si>
    <t>Martu Aboriginal Homelands</t>
  </si>
  <si>
    <t>"Foraging outside the (cool-dry season) does not usually involve burning"</t>
  </si>
  <si>
    <t>"Burning during wana hunts is highly systematic: the size of the ﬁre-line used and the burned patch (nyurnma) that results depend on th ewind velocity, accumulated fuels, and surrounding ﬁrebreaks— in the sandplains and dunes, ﬁrebreaks are primarily neighboring patches burned within the last two or three years. Hunters ignite a line of dry spinifex by quickly ﬂicking matches or dabbing a ﬁre-stick into the occasional hummock as they walk along in search."</t>
  </si>
  <si>
    <t>Aboriginal burning had ceased, as population was resettled</t>
  </si>
  <si>
    <t>Resettlement of aboriginal people for cities led to a dramatic increase in fire size</t>
  </si>
  <si>
    <t>Burrows 2006</t>
  </si>
  <si>
    <t>131a</t>
  </si>
  <si>
    <t>Kiwirrkurra Aboriginal Homelands</t>
  </si>
  <si>
    <t>Fieldwork date was 1987</t>
  </si>
  <si>
    <t>131a.1</t>
  </si>
  <si>
    <t>131a.2</t>
  </si>
  <si>
    <t>131a.3</t>
  </si>
  <si>
    <t>131a.4</t>
  </si>
  <si>
    <t>131a.5</t>
  </si>
  <si>
    <t>131a.6</t>
  </si>
  <si>
    <t>131a.7</t>
  </si>
  <si>
    <t>131a.8</t>
  </si>
  <si>
    <t>131a.9</t>
  </si>
  <si>
    <t>131a.10</t>
  </si>
  <si>
    <t>131a.11</t>
  </si>
  <si>
    <t>"From our interviews with Pintupis, it was clear that they had a sound empirical understanding of the role of weather and fuel conditions in influencing fire behaviour."</t>
  </si>
  <si>
    <t>"Many generations of Aborigines frequently burning country as they moved through the landscape would have resulted in discontinuous, patchy fuels, ranging from recently burnt to occasional long-unburnt patches. However, when the human ignition source was removed from the desert, fuels accumulated over large, continuous tracts of land in a relatively short time."</t>
  </si>
  <si>
    <t>Minimum fire return given as 5-7 years; estimate based on this and combined burned area over 5-6 year period. Aboriginal patch burning led to strong controls in mean fire size.</t>
  </si>
  <si>
    <t>Number of fires based on number of patches identified from aerial photo, minus the mean number in years after aboriginal people had left the area. Oral evidence and fire size from satellites suggest the Aborigines burned year round, even in 'marginal weather conditions (light winds, moist fuels)'</t>
  </si>
  <si>
    <t>Russell-Smith 1997</t>
  </si>
  <si>
    <t>132a</t>
  </si>
  <si>
    <t>Location from author description</t>
  </si>
  <si>
    <t>132a.1</t>
  </si>
  <si>
    <t>132a.2</t>
  </si>
  <si>
    <t>The majority of burning took place early in the mid dry season (June-Aug)</t>
  </si>
  <si>
    <t>Fires to 'clean the landscape' ceased In the peak dry season (August-October)</t>
  </si>
  <si>
    <t>132a.3</t>
  </si>
  <si>
    <t>132a.4</t>
  </si>
  <si>
    <t>Fires focused on wetlands, to clear areas for hunting of aphibians and fish</t>
  </si>
  <si>
    <t>132a.5</t>
  </si>
  <si>
    <t xml:space="preserve">During the hot, dry-season, large and escaped fires for hunting were described. </t>
  </si>
  <si>
    <t>Lightning fires dominated ignitions in the storms of the wet season.</t>
  </si>
  <si>
    <t>Throughout (the dry season), "both men and women, typically under the guidance of senior custodians, set about arri wurlhge, "cleaning the country," moving through their clan estates systematically setting fire to the curing grasses with their smouldering anyakngarra (Pandanus spiralis) or guibuk (Banksia dentata) firesticks. Burning radiated out from camp sites and footpaths, creating wurga, small patches, and gabolk birrmiyandan, places cleaned of grasses; later, as people and their fires traveled further, the landscape would become a mosaic of burnt and unburnt vegetation. When burning upland, woodland areas, care was taken to protect/conserve known beds of bush yams; careless burning would erase all trace of their already withering aerial parts. Similarly, conservation of fruit trees was undertaken using anbirlu yahwurd—low, creeping, fires."</t>
  </si>
  <si>
    <t>West Arnhem Aboriginal Lands</t>
  </si>
  <si>
    <t>Kakapu National Park</t>
  </si>
  <si>
    <t>133a</t>
  </si>
  <si>
    <t>Bloesch, 1999</t>
  </si>
  <si>
    <t>Ankarafantsika plateau</t>
  </si>
  <si>
    <t>Traditional forestry is hunter gathering</t>
  </si>
  <si>
    <t xml:space="preserve">Traditional forestry is hunter gathering; extractive forestry was for wood and charcoal for urban population. </t>
  </si>
  <si>
    <t>133a.1</t>
  </si>
  <si>
    <t xml:space="preserve">Late dry season fires to clear woody shrubs from the rangelands. </t>
  </si>
  <si>
    <t>133a.2</t>
  </si>
  <si>
    <t xml:space="preserve">Due to the lack of a permanent water source on the plateau, during the dry season, cattle grazed on rice fields, and hence early dry season pasture burning was 'seldom' practiced. </t>
  </si>
  <si>
    <t>133a.3</t>
  </si>
  <si>
    <t>133a.4</t>
  </si>
  <si>
    <t>133a.5</t>
  </si>
  <si>
    <t>"End of dry season"</t>
  </si>
  <si>
    <t>"The risk of loosing control over the fire is low, if the local community assures control as was traditionally the case."</t>
  </si>
  <si>
    <t>"The burning of a charcoal pile is usually not surveyed permanently and therefore there is a high risk that the fire spreads to the surrounding dry forest."</t>
  </si>
  <si>
    <t>133a.6</t>
  </si>
  <si>
    <t>Charcoal production</t>
  </si>
  <si>
    <t>Charcoal fires "frequently" escaped</t>
  </si>
  <si>
    <t>133a.7</t>
  </si>
  <si>
    <t>133a.8</t>
  </si>
  <si>
    <t>Harvesting of NTFP</t>
  </si>
  <si>
    <t>"Uncontrolled" use of fire for harvesting yams regularly escaped</t>
  </si>
  <si>
    <t>133a.9</t>
  </si>
  <si>
    <t>133a.10</t>
  </si>
  <si>
    <t>"Frequently people manifest their disagreement towards the authorities by setting fire. Most probably, the fire in the newly installed cashew-nut plantations (FaMaMa Project, Mevadoany) was such a case."</t>
  </si>
  <si>
    <t>Almost all use of fire for "almost any purpose" was banned</t>
  </si>
  <si>
    <t>"For the harvesting of the tubers the population uses fire to facilitate the detection of the over-ground parts of these climbers. This uncontrolled burning may devastate large areas of dry forest"</t>
  </si>
  <si>
    <t>Bowora 2016</t>
  </si>
  <si>
    <t>Hwedza District</t>
  </si>
  <si>
    <t>Mashonaland East Province</t>
  </si>
  <si>
    <t>Zimbabwe</t>
  </si>
  <si>
    <t>134a</t>
  </si>
  <si>
    <t>134b</t>
  </si>
  <si>
    <t>Policy overview of fire in Zimbabwe</t>
  </si>
  <si>
    <t>134b.1</t>
  </si>
  <si>
    <t>134b.2</t>
  </si>
  <si>
    <t>"In the 1960s, the country developed a fire management system which was based on early detection, quick reaction and suppression (Mudekwe, 2007).  This system mainly targeted forestry plantations, protected areas and private land such as commercial farms. According to FAO (2011), this approach to fire management was effective though costly and excluded especially the rural farmer who was regarded as part of the problem."</t>
  </si>
  <si>
    <t>134a.1</t>
  </si>
  <si>
    <t>134a.2</t>
  </si>
  <si>
    <t>134a.3</t>
  </si>
  <si>
    <t>"Although the country is making some efforts in managing fire, Nkomo and Sassi (2009) argue that the current fire management system in Zimbabwe is ineffective, costly and spatially limited. Chigurah and Jerie (2010) echo the same sentiments arguing that fire prevention and detection have been severely constrained and ineffective in Zimbabwe... A total of 130 fire fighting teams were established in 2012 throughout the country (EMA, 2012). Despite these trainings there is a generally marked rise in fire occurrences in accelerated land reform programme farming areas (EMA, 2011). Thus the effectiveness of these trainings in controlling fire in accelerated land reform farming 
areas needs to be assessed. "</t>
  </si>
  <si>
    <t xml:space="preserve">Some farmers conducted hay bailing, to harvest grass for cattle - thereby reducing fuel load. </t>
  </si>
  <si>
    <t>134a.4</t>
  </si>
  <si>
    <t>134a.5</t>
  </si>
  <si>
    <t>134a.6</t>
  </si>
  <si>
    <t>In 2009 just 1% of farmers contstructed fire breaks</t>
  </si>
  <si>
    <t>134a.7</t>
  </si>
  <si>
    <t>In 2010 just 1% of farmers contstructed fire breaks</t>
  </si>
  <si>
    <t>134a.8</t>
  </si>
  <si>
    <t>134a.9</t>
  </si>
  <si>
    <t>134a.10</t>
  </si>
  <si>
    <t xml:space="preserve">Fire break adoption increased to around 8%, other measures becoming more common included reducing fuel load, and informing other farmers. </t>
  </si>
  <si>
    <t>134a.11</t>
  </si>
  <si>
    <t>134a.12</t>
  </si>
  <si>
    <t>134a.13</t>
  </si>
  <si>
    <t xml:space="preserve">Fire break adoption increased to around 10%, other measures becoming more common included reducing fuel load, and informing other farmers. </t>
  </si>
  <si>
    <t>134a.14</t>
  </si>
  <si>
    <t>134a.15</t>
  </si>
  <si>
    <t>134a.16</t>
  </si>
  <si>
    <t>134a.17</t>
  </si>
  <si>
    <t>134a.18</t>
  </si>
  <si>
    <t>134a.19</t>
  </si>
  <si>
    <t xml:space="preserve">Fire break adoption increased to around 15%, other measures becoming more common included reducing fuel load, and informing other farmers. </t>
  </si>
  <si>
    <t xml:space="preserve">There were 12 firefighting teams across the ward, however their main equipment was rudimentary fire beaters - often branches of trees hastily pulled down during a fire event. </t>
  </si>
  <si>
    <t xml:space="preserve">There were 9 firefighting teams across the ward, however their main equipment was rudimentary fire beaters - often branches of trees hastily pulled down during a fire event. </t>
  </si>
  <si>
    <t xml:space="preserve">There were 15 firefighting teams across the ward, however their main equipment was rudimentary fire beaters - often branches of trees hastily pulled down during a fire event. </t>
  </si>
  <si>
    <t xml:space="preserve">There were 24 firefighting teams across the ward, however their main equipment was rudimentary fire beaters - often branches of trees hastily pulled down during a fire event. </t>
  </si>
  <si>
    <t xml:space="preserve">"Implementation of the various pieces of fire legislation is still lagging behind mainly due to resource constraints. Poor 
implementation of legislation may not lead to a shift in fire management practices in communities."
Incentives were primarily education and training in fire management. </t>
  </si>
  <si>
    <t>There were no community firefighting teams</t>
  </si>
  <si>
    <t>Butz 2009</t>
  </si>
  <si>
    <t>135a</t>
  </si>
  <si>
    <t>Longido District</t>
  </si>
  <si>
    <t>135b</t>
  </si>
  <si>
    <t>135a.1</t>
  </si>
  <si>
    <t>135a.2</t>
  </si>
  <si>
    <t>135a.3</t>
  </si>
  <si>
    <t>Forested areas were not burned as they were used for building materials and firewood</t>
  </si>
  <si>
    <t>135a.4</t>
  </si>
  <si>
    <t>135a.5</t>
  </si>
  <si>
    <t>135a.6</t>
  </si>
  <si>
    <t>135a.7</t>
  </si>
  <si>
    <t>135a.8</t>
  </si>
  <si>
    <t>135a.9</t>
  </si>
  <si>
    <t>135a.10</t>
  </si>
  <si>
    <t>135a.11</t>
  </si>
  <si>
    <t>135a.12</t>
  </si>
  <si>
    <t>135a.13</t>
  </si>
  <si>
    <t>"Maasai pastoralists used natural or constructed firebreaks, such as a dry riverbed or a constructedtrench,aswellasback-burnstoconstraintheareato be burned… If the area to be burned was experiencing strong winds at night, the men would ignite the fire(s) very early in the morning and assign a team of people, often other warriors and young boys, to carefully watch the progression"</t>
  </si>
  <si>
    <t>"Green branches of trees were cut and used to beat out small fires and fires that jumped a firebreak into an undesired area. Sand was also used to put out fires when careful containment was necessary.</t>
  </si>
  <si>
    <t xml:space="preserve">"a progression of small fires throughout the dry season to create a checkerboard or patch-mosaic (Parr and Brockett 1999) pattern of burns as grasses cured to prevent large, catastrophic late-season fires. Pasture areas grazed down by livestock also served to prevent fires from escaping by containing minimal fuel loads. </t>
  </si>
  <si>
    <t xml:space="preserve">Traditional forestry was gathering of wood for construction and fire. </t>
  </si>
  <si>
    <t>Small-scale forestry was primarily charcoal production</t>
  </si>
  <si>
    <t xml:space="preserve">Data gathered from oral history during 2005 fieldwork; population density is linear interpolation from 1977 and 2005 data. </t>
  </si>
  <si>
    <t xml:space="preserve">135b.1 </t>
  </si>
  <si>
    <t xml:space="preserve">Traditional burning had died out, due to a combination of population pressure making burning too risky, government bans, rains becoming too variable to burn according to the calendar and a lack of confidence forage would grow back. </t>
  </si>
  <si>
    <t>135b.2</t>
  </si>
  <si>
    <t>135b.3</t>
  </si>
  <si>
    <t>135b.4</t>
  </si>
  <si>
    <t>135b.5</t>
  </si>
  <si>
    <t>135b.6</t>
  </si>
  <si>
    <t>135b.7</t>
  </si>
  <si>
    <t>135b.8</t>
  </si>
  <si>
    <t>135b.9</t>
  </si>
  <si>
    <t>135b.10</t>
  </si>
  <si>
    <t>135b.11</t>
  </si>
  <si>
    <t>135b.12</t>
  </si>
  <si>
    <t>135b.13</t>
  </si>
  <si>
    <t>135b.14</t>
  </si>
  <si>
    <t>To eliminate poor grasses</t>
  </si>
  <si>
    <t>Accidental fire that started in West Kilimanjaro</t>
  </si>
  <si>
    <t>Careless cooking fires</t>
  </si>
  <si>
    <t>"Purposeful burn"</t>
  </si>
  <si>
    <t>Cigarette thrown from road</t>
  </si>
  <si>
    <t>135b.1</t>
  </si>
  <si>
    <t>Maasai reported being 'thrown in jail' for burning. One rationale for the ban was "tourists do not want to see blackened land when they are on safari"</t>
  </si>
  <si>
    <t xml:space="preserve">Breakdown of community fire practice had led to more accidental fires and to a "destructive" fire regime. </t>
  </si>
  <si>
    <t>Uganda</t>
  </si>
  <si>
    <t>136a</t>
  </si>
  <si>
    <t>Byakagaba 2018</t>
  </si>
  <si>
    <t>Policy overview of rangeland fire in Uganda</t>
  </si>
  <si>
    <t>136a.1</t>
  </si>
  <si>
    <t>136a.2</t>
  </si>
  <si>
    <t>Nature reserve managers were allowed to burn for fire control and conservation reasons</t>
  </si>
  <si>
    <t xml:space="preserve">The 1974 burning of grassland act banned use of fire for almost all land mangagement purposes, and remained in force. </t>
  </si>
  <si>
    <t xml:space="preserve">"Rangelands cover 44% of Uganda's total land area; most of them are dominated by pastoralists"; frequent land conflicts were reported. </t>
  </si>
  <si>
    <t>Elias 2015</t>
  </si>
  <si>
    <t>137a</t>
  </si>
  <si>
    <t>Darito</t>
  </si>
  <si>
    <t>Yabelo</t>
  </si>
  <si>
    <t>137b</t>
  </si>
  <si>
    <t>137c</t>
  </si>
  <si>
    <t>137d</t>
  </si>
  <si>
    <t>137e</t>
  </si>
  <si>
    <t>Soda</t>
  </si>
  <si>
    <t>Samaro</t>
  </si>
  <si>
    <t>Did mega</t>
  </si>
  <si>
    <t>Haralo</t>
  </si>
  <si>
    <t>Dire</t>
  </si>
  <si>
    <t xml:space="preserve">In land classification provided, "grassland" is not clearly distinct from rangeland and pasture </t>
  </si>
  <si>
    <t>137a.1</t>
  </si>
  <si>
    <t>137b.1</t>
  </si>
  <si>
    <t>137c.1</t>
  </si>
  <si>
    <t>137d.1</t>
  </si>
  <si>
    <t>137e.1</t>
  </si>
  <si>
    <t>137a.2</t>
  </si>
  <si>
    <t>137b.2</t>
  </si>
  <si>
    <t>137c.2</t>
  </si>
  <si>
    <t>137d.2</t>
  </si>
  <si>
    <t>137e.2</t>
  </si>
  <si>
    <t>~10% of farmers used "slash and burning"</t>
  </si>
  <si>
    <t>~50% of farmers used "slash and burning"</t>
  </si>
  <si>
    <t>~40% of farmers used "slash and burning"</t>
  </si>
  <si>
    <t xml:space="preserve">Burned area % based on proportion of farmers burning residues. </t>
  </si>
  <si>
    <t>Easdale 2018</t>
  </si>
  <si>
    <t>138a</t>
  </si>
  <si>
    <t>Northern Neuquén</t>
  </si>
  <si>
    <t>Argentina</t>
  </si>
  <si>
    <t xml:space="preserve">Study of pastoralists in the context of land use change, urbanisation and agricultural intensification. </t>
  </si>
  <si>
    <t>138a.1</t>
  </si>
  <si>
    <t>138a.2</t>
  </si>
  <si>
    <t>Absence of fire use confirmed by author personal communication</t>
  </si>
  <si>
    <t>Patagonia</t>
  </si>
  <si>
    <t>138a.3</t>
  </si>
  <si>
    <t>138a.4</t>
  </si>
  <si>
    <t>Eloy 2017</t>
  </si>
  <si>
    <t>139a</t>
  </si>
  <si>
    <t>139b</t>
  </si>
  <si>
    <t>Gran Sabana</t>
  </si>
  <si>
    <t>Canaima National Park</t>
  </si>
  <si>
    <t>139c</t>
  </si>
  <si>
    <t>139d</t>
  </si>
  <si>
    <t xml:space="preserve">Parque Nacional da Chapada das Mesas </t>
  </si>
  <si>
    <t>Maranhao</t>
  </si>
  <si>
    <t xml:space="preserve">Parque Estadual do Jalapao </t>
  </si>
  <si>
    <t>Estacao Ecologica Serra Geral</t>
  </si>
  <si>
    <t>139a.1</t>
  </si>
  <si>
    <t>139b.1</t>
  </si>
  <si>
    <t>139c.1</t>
  </si>
  <si>
    <t>139d.1</t>
  </si>
  <si>
    <t>139a.2</t>
  </si>
  <si>
    <t>139b.2</t>
  </si>
  <si>
    <t>139c.2</t>
  </si>
  <si>
    <t>139d.2</t>
  </si>
  <si>
    <t>From 2012, fire was allowed in fire-prone ecosystems of the Cerrado for conservation and pyrome management</t>
  </si>
  <si>
    <t>139a.3</t>
  </si>
  <si>
    <t>139b.3</t>
  </si>
  <si>
    <t>139c.3</t>
  </si>
  <si>
    <t>139d.3</t>
  </si>
  <si>
    <t>139a.4</t>
  </si>
  <si>
    <t>139b.4</t>
  </si>
  <si>
    <t>139c.4</t>
  </si>
  <si>
    <t>139d.4</t>
  </si>
  <si>
    <t xml:space="preserve">From 2012, fire was allowed in fire-prone ecosystems of the Cerrado for conservation and pyrome management; incentives were funding for community fire brigades. </t>
  </si>
  <si>
    <t>New law sought to recognise traditional fire knowledge within fire planning and management</t>
  </si>
  <si>
    <t>139a.5</t>
  </si>
  <si>
    <t>139b.5</t>
  </si>
  <si>
    <t>139c.5</t>
  </si>
  <si>
    <t>139a.6</t>
  </si>
  <si>
    <t>139b.6</t>
  </si>
  <si>
    <t>139c.6</t>
  </si>
  <si>
    <t>Fire brigades and other experts worked with farmers to open new swidden plots "without risk"</t>
  </si>
  <si>
    <t>Government had recruited community fire brigades, which harnessed both scientific and traditional fire knowledge</t>
  </si>
  <si>
    <t>Fire brigades worked with local knowledge to conduct fuel reducing prescribed burning</t>
  </si>
  <si>
    <t>George 2013</t>
  </si>
  <si>
    <t>140a</t>
  </si>
  <si>
    <t>Primary, secondary, review</t>
  </si>
  <si>
    <t>140b</t>
  </si>
  <si>
    <t>140b.1</t>
  </si>
  <si>
    <t xml:space="preserve">"In the smallholder farming areas of Zimbabwe, poor farmers who have limited resources and equipment to clear and prepare the land using mechanical methods frequently use fire for land preparation…" by inference, commercial farmers had not used fire prior to land reform. </t>
  </si>
  <si>
    <t>140a.1</t>
  </si>
  <si>
    <t>140a.2</t>
  </si>
  <si>
    <t>140a.3</t>
  </si>
  <si>
    <t>140a.4</t>
  </si>
  <si>
    <t>Traditional forestry is hunting and gathering of honey</t>
  </si>
  <si>
    <t>140a.5</t>
  </si>
  <si>
    <t>Workers were reported to be burning down forests in response to unpaid wages</t>
  </si>
  <si>
    <t>140a.6</t>
  </si>
  <si>
    <t>140a.7</t>
  </si>
  <si>
    <t>140a.8</t>
  </si>
  <si>
    <t>140a.9</t>
  </si>
  <si>
    <t>Escaped cooking fires lit by safari hunters</t>
  </si>
  <si>
    <t>Trains and long distance hauliers were known to start accidental and indiscriminate cooking fires</t>
  </si>
  <si>
    <t>140a.10</t>
  </si>
  <si>
    <t>140a.11</t>
  </si>
  <si>
    <t>140a.12</t>
  </si>
  <si>
    <t>140a.13</t>
  </si>
  <si>
    <t>140a.14</t>
  </si>
  <si>
    <t>140a.15</t>
  </si>
  <si>
    <t>140a.16</t>
  </si>
  <si>
    <t>Mixture of deliberate and escaped fires</t>
  </si>
  <si>
    <t>Burned area based on proportion of fires taking place in A1 (subsistence) and A2 (market) land resettlement areas; max fire size for smallholder based on mean farm size (5ha); data assumes all farmers in resettlement areas burned at a similar rate</t>
  </si>
  <si>
    <t>Burned area based on proportion of fires taking place in A1 (subsistence) and A2 (market) land resettlement areas; data assumes all farmers in resettlement areas burned at a similar rate</t>
  </si>
  <si>
    <t>Mixture of deliberate and escaped fires; both field preparation and land clearance fires</t>
  </si>
  <si>
    <t>"Zimbabwe’s Fast Track Land Reform Program (FTLRP) which started in 2000 resulted in an upsurge in veld fire incidents due to poor land clearing methods by the more than 300000 resettled small holder farmers. The FTLRP has encroached into areas that were not used for agriculture resulting in increased fire incidences."</t>
  </si>
  <si>
    <t>Famers using fire were supposed to enact control measures such as fire breaks; however no fines were issued for non-compliance nationwide</t>
  </si>
  <si>
    <t>Famers using fire were supposed to enact control measures such as fire breaks; however just 30 fines were issued for non-compliance nationwide</t>
  </si>
  <si>
    <t>Famers using fire were supposed to enact control measures such as fire breaks; 240 fines were issued for non-compliance nationwide</t>
  </si>
  <si>
    <t>Famers using fire were supposed to enact control measures such as fire breaks; 345 fines were issued for non-compliance nationwide</t>
  </si>
  <si>
    <t>Owing to government communication campaigns and greater enforcement of rules, farmers had begun to improve fire control methods</t>
  </si>
  <si>
    <t>Hauck 2016</t>
  </si>
  <si>
    <t>141a</t>
  </si>
  <si>
    <t>141b</t>
  </si>
  <si>
    <t>Kazakhstan</t>
  </si>
  <si>
    <t>Zaisan District</t>
  </si>
  <si>
    <t>Saur Mountains</t>
  </si>
  <si>
    <t>Katon-Karagai</t>
  </si>
  <si>
    <t>Kazakh Altai Mountains</t>
  </si>
  <si>
    <t>The Zaisan forest authority reported no fires due to suppression and lookout.</t>
  </si>
  <si>
    <t>Pastoralists reported that wildfire was a danger to their livelihood</t>
  </si>
  <si>
    <t>141a.2</t>
  </si>
  <si>
    <t>141b.1</t>
  </si>
  <si>
    <t>141a.1</t>
  </si>
  <si>
    <t>141a.3</t>
  </si>
  <si>
    <t>Fire vehicles, early warning system</t>
  </si>
  <si>
    <t>Fire vehicles, early warning system, but restricted to more remote areas encompassed by the national park</t>
  </si>
  <si>
    <t>Humphrey 2018</t>
  </si>
  <si>
    <t>142a</t>
  </si>
  <si>
    <t>Bwabwata National Park</t>
  </si>
  <si>
    <t>Namibia</t>
  </si>
  <si>
    <t>Fieldwork in 2014/15</t>
  </si>
  <si>
    <t>142a.1</t>
  </si>
  <si>
    <t>142a.2</t>
  </si>
  <si>
    <t>142a.3</t>
  </si>
  <si>
    <t>142a.4</t>
  </si>
  <si>
    <t>142a.5</t>
  </si>
  <si>
    <t>142a.6</t>
  </si>
  <si>
    <t>142a.7</t>
  </si>
  <si>
    <t>142a.8</t>
  </si>
  <si>
    <t>142a.9</t>
  </si>
  <si>
    <t>A policy of prescribed burning was introduced in the Park</t>
  </si>
  <si>
    <t>A zero fire policy was introduced. There was evidence of communication of the ban and enforcement</t>
  </si>
  <si>
    <t>142a.10</t>
  </si>
  <si>
    <t>142a.11</t>
  </si>
  <si>
    <t>Fire suppression policy weighted towards large late dry-season fires</t>
  </si>
  <si>
    <t>Policy of early season burning in place</t>
  </si>
  <si>
    <t>Burned area based on aggregated figure for 2000-2005, weighted by the frequency of areas burning more than once (reported) - point estimate 0.19. Fire return based on same factors.</t>
  </si>
  <si>
    <t>Burned area based on aggregated figure for 2006-2015, weighted by the frequency of areas burning more than once (reported) - point estimate 0.11. Fire return based on same factors.</t>
  </si>
  <si>
    <t>143a</t>
  </si>
  <si>
    <t>Bale Mountains</t>
  </si>
  <si>
    <t xml:space="preserve">Oromia </t>
  </si>
  <si>
    <t>143a.1</t>
  </si>
  <si>
    <t>143a.2</t>
  </si>
  <si>
    <t>143a.3</t>
  </si>
  <si>
    <t>143a.4</t>
  </si>
  <si>
    <t>Fires weighted towards January &amp; February - particularly days where the fire weather index was &gt; 25</t>
  </si>
  <si>
    <t>Fires to combat a poisonous caterpillar and remove cover from predators</t>
  </si>
  <si>
    <t>Land with shrubby vegetation &lt;6 years old was not burned, as it lacked the fuel and flamability to regenerate forage</t>
  </si>
  <si>
    <t>No lightning fires could be recalled "in living memory"</t>
  </si>
  <si>
    <t>Due to the prevailing cool, wet climate, the primary goal of pastoralists burning was to ensure a complete burn. For this reason, they burned in the morning when winds were stronger and when the weather was at its hottest.</t>
  </si>
  <si>
    <t xml:space="preserve">The mosaic burning resulted in disconnected fuels and natural fire breaks. Owing to the low level of GPP in the vegetation, such natural firebreaks remained effective for several years. </t>
  </si>
  <si>
    <t xml:space="preserve">Owing to the pastoralists remote location, the ban was largely a paper ban, with few known examples of enforcement. </t>
  </si>
  <si>
    <t>Kaufmann 2006</t>
  </si>
  <si>
    <t>144a</t>
  </si>
  <si>
    <t>Androka Vaovao</t>
  </si>
  <si>
    <t>Toliara</t>
  </si>
  <si>
    <t>144a.1</t>
  </si>
  <si>
    <t>144a.2</t>
  </si>
  <si>
    <t>144a.3</t>
  </si>
  <si>
    <t>144b</t>
  </si>
  <si>
    <t>Ankazota</t>
  </si>
  <si>
    <t>"It is important also to note that the process of opening up pastures did not involve fire. Nor did pastoralists use fire as pasture management. ‘Forests in the Mahafale do not burn’, they explained, referring to the fire-resistant moisture storing flora that dominated the landscape. Instead, the cattle browsed the lower storey and ‘opened’ more space for grass to grow between the trees and brush. The trees and brush remained, therefore, in the pastoralist landscape."</t>
  </si>
  <si>
    <t>"It is important also to note that the process of opening up pastures did not involve fire. Nor did pastoralists use fire as pasture management."</t>
  </si>
  <si>
    <t>144b.1</t>
  </si>
  <si>
    <t>144b.2</t>
  </si>
  <si>
    <t>144b.3</t>
  </si>
  <si>
    <t>144b.4</t>
  </si>
  <si>
    <t>144b.5</t>
  </si>
  <si>
    <t>"Mahafale pastoralists did not use fires to manage and maintain their pastures. They employed mobile pastoralist strategies involving the transfer of livestock from one grazing ground to another with the changing of seasons and pasture rotation dependant on the quality of grasses."</t>
  </si>
  <si>
    <t>Kepe 1999</t>
  </si>
  <si>
    <t>145a</t>
  </si>
  <si>
    <t>South Africa</t>
  </si>
  <si>
    <t>Eastern Cape</t>
  </si>
  <si>
    <t>Mkambati Nature Reserve</t>
  </si>
  <si>
    <t>Traditional forestry is hunters poaching in the reserve</t>
  </si>
  <si>
    <t>145a.1</t>
  </si>
  <si>
    <t>145a.2</t>
  </si>
  <si>
    <t>145a.3</t>
  </si>
  <si>
    <r>
      <rPr>
        <i/>
        <sz val="11"/>
        <color theme="1"/>
        <rFont val="Calibri"/>
        <family val="2"/>
        <scheme val="minor"/>
      </rPr>
      <t>Aristida</t>
    </r>
    <r>
      <rPr>
        <sz val="11"/>
        <color theme="1"/>
        <rFont val="Calibri"/>
        <family val="2"/>
        <scheme val="minor"/>
      </rPr>
      <t xml:space="preserve"> dominated grasslands were the predominant ecosystem, which occur under 'heavy grazing and regular burning'</t>
    </r>
  </si>
  <si>
    <t>Hunters lit fires near the edge of the park so as to attract game and hunt it</t>
  </si>
  <si>
    <t>In response to fires lit by hunters, conservationists lit fires at the park centre to attract game away from the hunters</t>
  </si>
  <si>
    <t>The planned patch burning strategy for the reserve had broken down due to frequent, and competing fire users</t>
  </si>
  <si>
    <t>"Perhaps the most dominant transition which has occurred within living memory is the transition to Aristida junciformis grassland, precipitated by a combination of heavy grazing and regular, uncontrolled burning… (by contrast) In the past, grazing and burning used to be controlled within the village area by collective management at the neighborhood level"
Breakdown is attributed to "Scarcity of grazing resources has meant that livestock owners have begun to pursue more individualistic strategies, ensuring that their animals get the best grazing first".</t>
  </si>
  <si>
    <t>Kepe 2005</t>
  </si>
  <si>
    <t>146a</t>
  </si>
  <si>
    <t>Pondoland</t>
  </si>
  <si>
    <t>Khanyayo</t>
  </si>
  <si>
    <t>146a.1</t>
  </si>
  <si>
    <t>Ignitions recrde as being 'throughout the year'</t>
  </si>
  <si>
    <t>146a.2</t>
  </si>
  <si>
    <t>146a.3</t>
  </si>
  <si>
    <t>146a.4</t>
  </si>
  <si>
    <t>Burning to eradicate ticks was done in the winter months</t>
  </si>
  <si>
    <t>Traditional forestry is hunting and biomass gathering; extractive forestry is gathering firewood</t>
  </si>
  <si>
    <t>146a.5</t>
  </si>
  <si>
    <t>146a.6</t>
  </si>
  <si>
    <t>Creation of an adhoc system of fire breaks</t>
  </si>
  <si>
    <t>Laris 2002</t>
  </si>
  <si>
    <t>147a</t>
  </si>
  <si>
    <t>Mali</t>
  </si>
  <si>
    <t>Mbow 2000</t>
  </si>
  <si>
    <t>Koulikoro</t>
  </si>
  <si>
    <t>147a.1</t>
  </si>
  <si>
    <t>147a.2</t>
  </si>
  <si>
    <t>67% of crop fallows burned early (October and November)</t>
  </si>
  <si>
    <t>147a.3</t>
  </si>
  <si>
    <t>147a.4</t>
  </si>
  <si>
    <t>147a.5</t>
  </si>
  <si>
    <t>64% of densely wooded areas burned in January or later</t>
  </si>
  <si>
    <t>Fallows were burned around millet harvest time to protect fruit producing shea trees, and to reduce fuel for the subsequent year's agricultural fields</t>
  </si>
  <si>
    <t>147a.6</t>
  </si>
  <si>
    <t xml:space="preserve">"When ﬁelds are ready to plant in May the remaining grasses will burn.But since areas are separated (by earlier burning),all will not burn. </t>
  </si>
  <si>
    <t>A strict calendar of burning fragmented fuels and reduced risk of out of control late season fires</t>
  </si>
  <si>
    <t xml:space="preserve">In the survey, 41% of farmers admitted to burning; however, if fire were legalised, 94% said they would burn. </t>
  </si>
  <si>
    <t xml:space="preserve">"When ﬁelds are ready to plant in May the remaining grasses will burn.But since areas are separated (by earlier burning), all will not burn. </t>
  </si>
  <si>
    <t>Early dry season fires to protect crops and villages from late dry season large fires; 74% of those starting fires stated this as their reason.</t>
  </si>
  <si>
    <t>Laris 2011</t>
  </si>
  <si>
    <t>148a</t>
  </si>
  <si>
    <t>Landsat pathrow 152/99</t>
  </si>
  <si>
    <t>148a.1</t>
  </si>
  <si>
    <t>148a.2</t>
  </si>
  <si>
    <t>148a.3</t>
  </si>
  <si>
    <t>148a.4</t>
  </si>
  <si>
    <t>148a.5</t>
  </si>
  <si>
    <t>148a.6</t>
  </si>
  <si>
    <t>148a.7</t>
  </si>
  <si>
    <t>Traditional forestry is hunter gathering; extractive forestry was gathering of firewood</t>
  </si>
  <si>
    <t>148a.8</t>
  </si>
  <si>
    <t>148a.9</t>
  </si>
  <si>
    <t xml:space="preserve">Fallows were burned to reduce fuel loads and protect them from destructive late-season fire </t>
  </si>
  <si>
    <t>Actual burned area derived from landsat data, combined with fire intention given by author, and % of farmers using fire for given reasons as in Laris (2001) - record 147.</t>
  </si>
  <si>
    <t xml:space="preserve">Although the patch burning technique led to a highly managed and controlled fire regime; late dry-season fires were noted to become out of control, with villagers complaining about "too much fire". </t>
  </si>
  <si>
    <t>Schmidt 2016</t>
  </si>
  <si>
    <t>149a</t>
  </si>
  <si>
    <t>Afar National Regional State</t>
  </si>
  <si>
    <t>Ewa</t>
  </si>
  <si>
    <t>149b</t>
  </si>
  <si>
    <t>Awra</t>
  </si>
  <si>
    <t>Traditional forestry is gathering of wood for local consumption</t>
  </si>
  <si>
    <t>149a.1</t>
  </si>
  <si>
    <t xml:space="preserve">Government was pursuing a programme of sedentarisation, by allocating farmlands out of communcal rangelands. </t>
  </si>
  <si>
    <t>Sheuyange 2005</t>
  </si>
  <si>
    <t>150a</t>
  </si>
  <si>
    <t>Owambo pastoralist homeland</t>
  </si>
  <si>
    <t xml:space="preserve">Northeastern </t>
  </si>
  <si>
    <t>Study dates estimated from publication date and secondary data sources used.</t>
  </si>
  <si>
    <t>150a.1</t>
  </si>
  <si>
    <t>Vegetation regarded as providing good forage for cattle was burned on a cycle &lt;5 years; older vegetation tended to be determined by woody shrubs</t>
  </si>
  <si>
    <t>150a.2</t>
  </si>
  <si>
    <t xml:space="preserve">Authors report no lightning started fires were present in their study and are very rare in the region. </t>
  </si>
  <si>
    <t>Silori 2001</t>
  </si>
  <si>
    <t>151a</t>
  </si>
  <si>
    <t>Mudumalai Wildlife Sanctuary</t>
  </si>
  <si>
    <t>Western Ghats</t>
  </si>
  <si>
    <r>
      <t xml:space="preserve">Study dates from reported data, </t>
    </r>
    <r>
      <rPr>
        <b/>
        <sz val="11"/>
        <color rgb="FFFF0000"/>
        <rFont val="Calibri"/>
        <family val="2"/>
        <scheme val="minor"/>
      </rPr>
      <t>queried with lead author</t>
    </r>
  </si>
  <si>
    <t>Mixed cropping-livestock small holder, Subsistence-oriented</t>
  </si>
  <si>
    <t>Mixed cropping-livestock small holder, Market-oriented</t>
  </si>
  <si>
    <t xml:space="preserve">Traditional forestry is gathering of NTFP; stocking rate based on author estimate of total cattle grazing and study area. Reported stocking rates give maximum or peak numbers, which are not representative of the overall study location. </t>
  </si>
  <si>
    <t>151a.1</t>
  </si>
  <si>
    <t xml:space="preserve">The stocking rate of cattle meant that demand for forage was 1.5 times the available NPP in grasslands; hence forage could not be burned. Further, cattle were fed from forest biomass to compensate for lack of available grass forage. </t>
  </si>
  <si>
    <t>Absence queried with author</t>
  </si>
  <si>
    <t>Sletto 2008</t>
  </si>
  <si>
    <t>152a</t>
  </si>
  <si>
    <t>Upper Caroni River Basin</t>
  </si>
  <si>
    <t xml:space="preserve">Study area estimated from author map; fieldwork conducted from 2000-2004. Location is centre of regional fire suppression operation. </t>
  </si>
  <si>
    <t>Forests were protected by a state electricity company (EDELCA), to prevent erosion due to the nearby hydroelectric dams. Traditional forestry is hunter gathering.</t>
  </si>
  <si>
    <t>152a.1</t>
  </si>
  <si>
    <t xml:space="preserve">Fire detection data from EDELCA fire suppression team; may be an undercount as not capturing the smallest fires. </t>
  </si>
  <si>
    <t>152a.2</t>
  </si>
  <si>
    <t>152a.3</t>
  </si>
  <si>
    <t>152a.4</t>
  </si>
  <si>
    <t>152a.5</t>
  </si>
  <si>
    <t>152a.6</t>
  </si>
  <si>
    <t>152a.7</t>
  </si>
  <si>
    <t>152a.8</t>
  </si>
  <si>
    <t>152a.9</t>
  </si>
  <si>
    <t>152a.10</t>
  </si>
  <si>
    <t>152a.11</t>
  </si>
  <si>
    <t>152a.12</t>
  </si>
  <si>
    <t>May include some lightning strikes - however the "great majority of fires" were started by people, rather than by lightning ignitions.</t>
  </si>
  <si>
    <t>152a.13</t>
  </si>
  <si>
    <t>152a.14</t>
  </si>
  <si>
    <t>152a.15</t>
  </si>
  <si>
    <t>152a.16</t>
  </si>
  <si>
    <t>152a.17</t>
  </si>
  <si>
    <t>152a.18</t>
  </si>
  <si>
    <t>Fire size queried with author</t>
  </si>
  <si>
    <t>Hunting accounted for 'a large portion of the total fires set by the Pemon'</t>
  </si>
  <si>
    <t>Complex network of monitoring stations; fire crews shipped in to fight fires by helicopter</t>
  </si>
  <si>
    <t>The EDELCA fire suppression crews viewed forest as the 'natural' state of the vegetation and therefore did not engage in fuel management in the Savannas. Further, forests were protected to prevent erosion into hydroelectric dams.</t>
  </si>
  <si>
    <t xml:space="preserve">Patch burned mosaic of Savanna; including a complex treatment of Savanna-forest ecotone to prevent fire spread into forests. </t>
  </si>
  <si>
    <t xml:space="preserve">The small patches of vegetation at different stages of growth provided an effective fire break against out of control fires. </t>
  </si>
  <si>
    <t>Umutoni 2018</t>
  </si>
  <si>
    <t>153a</t>
  </si>
  <si>
    <t>153b</t>
  </si>
  <si>
    <t>Bougouni</t>
  </si>
  <si>
    <t>Koutiala</t>
  </si>
  <si>
    <t>Extractive forestry was tree cutting by migratory pastoralists</t>
  </si>
  <si>
    <t>153a.1</t>
  </si>
  <si>
    <t>153b.1</t>
  </si>
  <si>
    <t>Absence confirmed by personal communication from author 09062020</t>
  </si>
  <si>
    <t>Abubakari 2013</t>
  </si>
  <si>
    <t>154a</t>
  </si>
  <si>
    <t>Garu-Tempane</t>
  </si>
  <si>
    <t>Zebilla</t>
  </si>
  <si>
    <t>Mamprusi</t>
  </si>
  <si>
    <t>Karaga</t>
  </si>
  <si>
    <t xml:space="preserve">Nanumba North </t>
  </si>
  <si>
    <t>154b</t>
  </si>
  <si>
    <t>154d</t>
  </si>
  <si>
    <t>154c</t>
  </si>
  <si>
    <t>154e</t>
  </si>
  <si>
    <t>154f</t>
  </si>
  <si>
    <t>Central Gonja</t>
  </si>
  <si>
    <t>Extractive forestry was tree cutting by migratory pastoralists for forage</t>
  </si>
  <si>
    <t>154a.1</t>
  </si>
  <si>
    <t>Fire season from time spent by pastoralists in Ghana before returning further North.</t>
  </si>
  <si>
    <t>154b.1</t>
  </si>
  <si>
    <t>154c.1</t>
  </si>
  <si>
    <t>154d.1</t>
  </si>
  <si>
    <t>154e.1</t>
  </si>
  <si>
    <t>154f.1</t>
  </si>
  <si>
    <t>155a</t>
  </si>
  <si>
    <t>155b</t>
  </si>
  <si>
    <t>155c</t>
  </si>
  <si>
    <t>155d</t>
  </si>
  <si>
    <t>155e</t>
  </si>
  <si>
    <t>155f</t>
  </si>
  <si>
    <t>155g</t>
  </si>
  <si>
    <t>155h</t>
  </si>
  <si>
    <t>155i</t>
  </si>
  <si>
    <t>155j</t>
  </si>
  <si>
    <t>155k</t>
  </si>
  <si>
    <t>155l</t>
  </si>
  <si>
    <t>Gambia</t>
  </si>
  <si>
    <t>Kiang West</t>
  </si>
  <si>
    <t>Nianjia</t>
  </si>
  <si>
    <t>Tenghory</t>
  </si>
  <si>
    <t>Wassadou</t>
  </si>
  <si>
    <t>Bandafassi</t>
  </si>
  <si>
    <t>Sagabari</t>
  </si>
  <si>
    <t>Madina Diassa</t>
  </si>
  <si>
    <t>Manankoro</t>
  </si>
  <si>
    <t>Gaoual</t>
  </si>
  <si>
    <t>Dinguiraye</t>
  </si>
  <si>
    <t>Guineau</t>
  </si>
  <si>
    <t>Beyla</t>
  </si>
  <si>
    <t>Ayantunde 2014</t>
  </si>
  <si>
    <t>155j.1</t>
  </si>
  <si>
    <t>155k.1</t>
  </si>
  <si>
    <t>155l.1</t>
  </si>
  <si>
    <t>155j.2</t>
  </si>
  <si>
    <t>155k.2</t>
  </si>
  <si>
    <t>155l.2</t>
  </si>
  <si>
    <t>Guineau had mixed incentives to support the livestock sector, both guaranteeing transhumant movement of cattle, and supporting sedenterisation and intensification</t>
  </si>
  <si>
    <t>Market-oriented small-holders was cotton production</t>
  </si>
  <si>
    <t>Author's report rapid cropland expansion</t>
  </si>
  <si>
    <t>155b.1</t>
  </si>
  <si>
    <t>155c.1</t>
  </si>
  <si>
    <t>155e.1</t>
  </si>
  <si>
    <t>155f.1</t>
  </si>
  <si>
    <t>Local farmers blamed pastoralists for "uncontrolled bush fires"</t>
  </si>
  <si>
    <t>155b.2</t>
  </si>
  <si>
    <t>155c.2</t>
  </si>
  <si>
    <t>155e.2</t>
  </si>
  <si>
    <t>155f.2</t>
  </si>
  <si>
    <t>Barrow 2003</t>
  </si>
  <si>
    <t>156a</t>
  </si>
  <si>
    <t>156b</t>
  </si>
  <si>
    <t>Lorugum</t>
  </si>
  <si>
    <t>Turkana</t>
  </si>
  <si>
    <t>Shinyanga</t>
  </si>
  <si>
    <t>Study data from community oral history</t>
  </si>
  <si>
    <t>156c</t>
  </si>
  <si>
    <t xml:space="preserve">Extractive forestry was use of wood for timber, firewood and forage for cattle </t>
  </si>
  <si>
    <t xml:space="preserve">Woodland restoration policies led to a decline in use of extractive forestry </t>
  </si>
  <si>
    <t>156b.1</t>
  </si>
  <si>
    <t>156c.1</t>
  </si>
  <si>
    <t>156b.2</t>
  </si>
  <si>
    <t>156c.2</t>
  </si>
  <si>
    <t>Fires to control tsetse flies</t>
  </si>
  <si>
    <t>Fires had stopped to encourage woodland regeneration</t>
  </si>
  <si>
    <t>156b.3</t>
  </si>
  <si>
    <t>156b.4</t>
  </si>
  <si>
    <t>156c.3</t>
  </si>
  <si>
    <t>156c.4</t>
  </si>
  <si>
    <t>156c.5</t>
  </si>
  <si>
    <t>Ban was agreed on by all villagers as part of a forest restoration project, led by the village chief. Unclear what (if any) punishment was enacted for infractions.</t>
  </si>
  <si>
    <t>Fire was resticted to areas well away from trees - this was agreed on by all villagers as part of a forest restoration project, led by the village chief. Unclear what (if any) punishment was enacted for infractions.</t>
  </si>
  <si>
    <t>Abate 2016b</t>
  </si>
  <si>
    <t>157a</t>
  </si>
  <si>
    <t>157b</t>
  </si>
  <si>
    <t>Guji</t>
  </si>
  <si>
    <t xml:space="preserve"> Wadera</t>
  </si>
  <si>
    <t xml:space="preserve">Gorodola </t>
  </si>
  <si>
    <t>Liben</t>
  </si>
  <si>
    <t>157c</t>
  </si>
  <si>
    <t>Author contacted re study dates</t>
  </si>
  <si>
    <t>157a.1</t>
  </si>
  <si>
    <t>157b.1</t>
  </si>
  <si>
    <t>157c.1</t>
  </si>
  <si>
    <t>Incentives were to encourage crop production</t>
  </si>
  <si>
    <t>157a.2</t>
  </si>
  <si>
    <t>157b.2</t>
  </si>
  <si>
    <t>157c.2</t>
  </si>
  <si>
    <t>157a.3</t>
  </si>
  <si>
    <t>157a.4</t>
  </si>
  <si>
    <t>157b.3</t>
  </si>
  <si>
    <t>157b.4</t>
  </si>
  <si>
    <t>157c.3</t>
  </si>
  <si>
    <t>157c.4</t>
  </si>
  <si>
    <t>13.4% of farmers burned in communal pastures</t>
  </si>
  <si>
    <t>25.3% of farmers burned open rangelands</t>
  </si>
  <si>
    <t>11.0% of farmers burned in communal pastures</t>
  </si>
  <si>
    <t>4.6% of farmers burned in communal pastures</t>
  </si>
  <si>
    <t>25.0% of farmers burned open rangelands</t>
  </si>
  <si>
    <t>158a</t>
  </si>
  <si>
    <t>Green 2004</t>
  </si>
  <si>
    <t>Tchabal Mbabo-Dodeo</t>
  </si>
  <si>
    <t>Study area estimated from author coordinates; location is study centre</t>
  </si>
  <si>
    <t>Extractive forestry was principally use of woodlands for fuel, construction and forage; traditional forestry was also gathering of NTFPs</t>
  </si>
  <si>
    <t>158a.1</t>
  </si>
  <si>
    <t>158a.2</t>
  </si>
  <si>
    <t>158a.3</t>
  </si>
  <si>
    <t>158a.4</t>
  </si>
  <si>
    <t>158a.5</t>
  </si>
  <si>
    <t>158a.6</t>
  </si>
  <si>
    <t>158a.7</t>
  </si>
  <si>
    <t>Fernandez-Giminez 2000</t>
  </si>
  <si>
    <t>159a</t>
  </si>
  <si>
    <t>159b</t>
  </si>
  <si>
    <t>159c</t>
  </si>
  <si>
    <t>159d</t>
  </si>
  <si>
    <t>Mongolia</t>
  </si>
  <si>
    <t>Bayan-Ovoo</t>
  </si>
  <si>
    <t>Jinst Sums</t>
  </si>
  <si>
    <t>Tariat</t>
  </si>
  <si>
    <t>Zaankhushuu</t>
  </si>
  <si>
    <t>Bayankhongor</t>
  </si>
  <si>
    <t>Arkhangai</t>
  </si>
  <si>
    <t>159a.1</t>
  </si>
  <si>
    <t>159b.1</t>
  </si>
  <si>
    <t>159c.1</t>
  </si>
  <si>
    <t>159d.1</t>
  </si>
  <si>
    <t>159a.2</t>
  </si>
  <si>
    <t>159b.2</t>
  </si>
  <si>
    <t>159c.2</t>
  </si>
  <si>
    <t>159d.2</t>
  </si>
  <si>
    <t>Detailed survey of management practices and herders' ecological knowledge given, that makes no reference to fire use or burning.</t>
  </si>
  <si>
    <t>160a</t>
  </si>
  <si>
    <t>160a.1</t>
  </si>
  <si>
    <t>Hadjigeorgiou 2011</t>
  </si>
  <si>
    <t>Greece</t>
  </si>
  <si>
    <t>Arcadia</t>
  </si>
  <si>
    <t>Aegean Islands</t>
  </si>
  <si>
    <t>Etoloacarnania</t>
  </si>
  <si>
    <t>Epiros</t>
  </si>
  <si>
    <t>Makedonia</t>
  </si>
  <si>
    <t>Messinia</t>
  </si>
  <si>
    <t>Thessalia</t>
  </si>
  <si>
    <t>160b</t>
  </si>
  <si>
    <t>160c</t>
  </si>
  <si>
    <t>160d</t>
  </si>
  <si>
    <t>160e</t>
  </si>
  <si>
    <t>160f</t>
  </si>
  <si>
    <t>160g</t>
  </si>
  <si>
    <t>169c</t>
  </si>
  <si>
    <t>160f.1</t>
  </si>
  <si>
    <t>160a.2</t>
  </si>
  <si>
    <t>160f.2</t>
  </si>
  <si>
    <t>160a.3</t>
  </si>
  <si>
    <t>160f.3</t>
  </si>
  <si>
    <t>Large wildfires swept across Southern Greece</t>
  </si>
  <si>
    <t>160b.1</t>
  </si>
  <si>
    <t>160c.1</t>
  </si>
  <si>
    <t>160d.1</t>
  </si>
  <si>
    <t>160e.1</t>
  </si>
  <si>
    <t>Grazing of scrublands and mountainous areas reduced the presence of woody shrubs, and greatly reduced the risk of large wildfires</t>
  </si>
  <si>
    <t>EU</t>
  </si>
  <si>
    <t xml:space="preserve">Incentives towards agricultural intensification led to reduced grazing in mountainous areas; agricultural abandonment led to increased fuel build up and greater risk of wildfires. </t>
  </si>
  <si>
    <t>160b.2</t>
  </si>
  <si>
    <t>160c.2</t>
  </si>
  <si>
    <t>160d.2</t>
  </si>
  <si>
    <t>160e.2</t>
  </si>
  <si>
    <t>Stocking rate is for extensive grazing</t>
  </si>
  <si>
    <t>A change in subsidy led to a revival of grazing in marginal agricultural lands and reduced fuel loads</t>
  </si>
  <si>
    <t>Hessl 2016</t>
  </si>
  <si>
    <t>161a</t>
  </si>
  <si>
    <t>Northern region</t>
  </si>
  <si>
    <t>Tree ring fire record, including present day observations; location is centre of study sampling locations</t>
  </si>
  <si>
    <t>Grazing intensity shifted with different policy regimes</t>
  </si>
  <si>
    <t>161a.1</t>
  </si>
  <si>
    <t>161a.2</t>
  </si>
  <si>
    <t>161a.3</t>
  </si>
  <si>
    <t>161a.4</t>
  </si>
  <si>
    <t>161a.5</t>
  </si>
  <si>
    <t>161a.6</t>
  </si>
  <si>
    <t>161a.7</t>
  </si>
  <si>
    <t>161a.8</t>
  </si>
  <si>
    <t>161a.9</t>
  </si>
  <si>
    <t>Lightning strikes did not occur during the main fire season</t>
  </si>
  <si>
    <t>161a.10</t>
  </si>
  <si>
    <t>161a.11</t>
  </si>
  <si>
    <t>Limited funds restricted the extent and effectiveness of fire fighting</t>
  </si>
  <si>
    <t>161a.12</t>
  </si>
  <si>
    <t>161a.13</t>
  </si>
  <si>
    <t>Grazing, combined with drought, hed kept fuel loads in check and therefore offset any increase in fire activity due to climate change</t>
  </si>
  <si>
    <t>&gt;10% at &gt;3/20 study locations reported burned</t>
  </si>
  <si>
    <t>Hoy 1995</t>
  </si>
  <si>
    <t>162a</t>
  </si>
  <si>
    <t>162b</t>
  </si>
  <si>
    <t>New Zealand</t>
  </si>
  <si>
    <t>Kansas</t>
  </si>
  <si>
    <t>USA</t>
  </si>
  <si>
    <t>South Island</t>
  </si>
  <si>
    <t>Tussock Grasslands</t>
  </si>
  <si>
    <t>Bluestem Grazing Region</t>
  </si>
  <si>
    <t>Documentary and archive-based research; locations estimated from author description</t>
  </si>
  <si>
    <t>"Spring" burning reported</t>
  </si>
  <si>
    <t>162a.1</t>
  </si>
  <si>
    <t>162a.2</t>
  </si>
  <si>
    <t>162b.1</t>
  </si>
  <si>
    <t>162b.2</t>
  </si>
  <si>
    <t>Estimated that 7% of grassland was burned</t>
  </si>
  <si>
    <t>Livestock were primarily sheep in both cases</t>
  </si>
  <si>
    <t>"Where runs have passed through generations of a family, a good deal of lore about the setting and spread of fires on particular slopes is passed along… It is difficultu to find any evidence of irresponsible burning on the land.</t>
  </si>
  <si>
    <t xml:space="preserve">Licenses were required for burning </t>
  </si>
  <si>
    <t>Sporadic local bans against burning were enforced in particular areas of the state</t>
  </si>
  <si>
    <t>Rangers in the park enforced a strict no fire policy (confirmed by author personal communication)</t>
  </si>
  <si>
    <t>Park rangers rigorously enforced a no fire policy (confirmed by author personal communication)</t>
  </si>
  <si>
    <t>163a</t>
  </si>
  <si>
    <t>Huntsinger 2010</t>
  </si>
  <si>
    <t>Sierra Nevada Foothills</t>
  </si>
  <si>
    <t>California</t>
  </si>
  <si>
    <t>163a.1</t>
  </si>
  <si>
    <t>163a.2</t>
  </si>
  <si>
    <t>" A common management activity undertaken by more than half of the ranchers on their own property was brush control or clearing...Controlled burning was 3x more likely on private land than on public US forestry service land"</t>
  </si>
  <si>
    <t>Default position in US Forestry Service land was a zero fire policy - burning was therefore "rarely" undertaken on USFS land</t>
  </si>
  <si>
    <t>Hussain 2017</t>
  </si>
  <si>
    <t>164a</t>
  </si>
  <si>
    <t>Corbett Tiger Reserve</t>
  </si>
  <si>
    <t>Uttarakhand</t>
  </si>
  <si>
    <t>Study date estimated from publication date; author contacted to confirm.</t>
  </si>
  <si>
    <t>Extractive forestry was biomass gathering by semi-nomadi pastoralists</t>
  </si>
  <si>
    <t>164a.1</t>
  </si>
  <si>
    <t>164a.2</t>
  </si>
  <si>
    <t>Forest clearing was strongly linked to gathering of firewood</t>
  </si>
  <si>
    <t>165a</t>
  </si>
  <si>
    <t>165b</t>
  </si>
  <si>
    <t>Kamau 2014</t>
  </si>
  <si>
    <t>Kibwezi</t>
  </si>
  <si>
    <t>Makueni County</t>
  </si>
  <si>
    <t>Loitokitok</t>
  </si>
  <si>
    <t>Kajiado County</t>
  </si>
  <si>
    <t>Small-scale forestry was charcoal production, and also gathering of leaves for sale as medicine</t>
  </si>
  <si>
    <t>165a.1</t>
  </si>
  <si>
    <t>165a.2</t>
  </si>
  <si>
    <t>165a.3</t>
  </si>
  <si>
    <t>165a.4</t>
  </si>
  <si>
    <t>165a.5</t>
  </si>
  <si>
    <t>165a.6</t>
  </si>
  <si>
    <t>165a.7</t>
  </si>
  <si>
    <t>165a.8</t>
  </si>
  <si>
    <t>Harvesting of Timber</t>
  </si>
  <si>
    <t>165a.9</t>
  </si>
  <si>
    <t>165b.1</t>
  </si>
  <si>
    <t>165b.2</t>
  </si>
  <si>
    <t>165a.10</t>
  </si>
  <si>
    <t>165b.3</t>
  </si>
  <si>
    <t>165b.4</t>
  </si>
  <si>
    <t>165b.5</t>
  </si>
  <si>
    <t>165b.6</t>
  </si>
  <si>
    <t>165b.7</t>
  </si>
  <si>
    <t>165b.8</t>
  </si>
  <si>
    <t>165b.9</t>
  </si>
  <si>
    <t>165b.10</t>
  </si>
  <si>
    <t>All villagers strongly agreed that early season burning prevented fuel build-up and large late-dryseason widlfires</t>
  </si>
  <si>
    <t>Burning only at night in early in the morning; tending fires as group; not starting fires in forested areas to protect valuable plants; fines issued to those who burned without authority</t>
  </si>
  <si>
    <t>165a.11</t>
  </si>
  <si>
    <t>Although cases were cited of local people being prosecuted, large-scale fire use continued regardless</t>
  </si>
  <si>
    <t>Escaped charcoal fires were common - "when an inexperienced charcoal maker doesn't cover the kiln with enough soil, a fire might escape and end up burning the surrounding bush"</t>
  </si>
  <si>
    <t>165a.12</t>
  </si>
  <si>
    <t>165b.11</t>
  </si>
  <si>
    <t>165b.12</t>
  </si>
  <si>
    <t>165a.13</t>
  </si>
  <si>
    <t>165a.14</t>
  </si>
  <si>
    <t>6/6 focus groups reported burning for this reason</t>
  </si>
  <si>
    <t>Escaped fires used for cooking and heat; 6/6 focus groups reported burning for this reason</t>
  </si>
  <si>
    <t>Accessibility for people and livestock; 4.5/6 focus groups reported burning for this reason</t>
  </si>
  <si>
    <t>Kenya Wildlife Service lands were burned due to ongoing bitterness and conflict; 1/6 focus groups reported burning for this reason</t>
  </si>
  <si>
    <t>3/6 focus groups reported burning for this reason</t>
  </si>
  <si>
    <t>Forest clearance for cannabis crops; reported by 2/6 focus groups</t>
  </si>
  <si>
    <t>3/6 focus groups reported burning for this reason (all the male focus groups reported this)</t>
  </si>
  <si>
    <t>Honey harvesting; 5/6 focus groups reported burning for this reason</t>
  </si>
  <si>
    <t>4/6 focus groups reported burning for this reason (5 for human accessibility, 3 for livestock accessibiility)</t>
  </si>
  <si>
    <t>Honey harvesting; 5/6 focus groups reported burning for this reason - also medicinal plants (2/6)</t>
  </si>
  <si>
    <t>2/6 focus groups reported burning for this reason</t>
  </si>
  <si>
    <t>Kurtz 2010</t>
  </si>
  <si>
    <t>166a</t>
  </si>
  <si>
    <t>166b</t>
  </si>
  <si>
    <t>Empedrado</t>
  </si>
  <si>
    <t>Corrientes</t>
  </si>
  <si>
    <t>166a.1</t>
  </si>
  <si>
    <t>166a.2</t>
  </si>
  <si>
    <t>Intensively managed rangelands were "not exposed to fire"</t>
  </si>
  <si>
    <t>Only "undergrazed" pastures were reported to have been burned</t>
  </si>
  <si>
    <t>166a.3</t>
  </si>
  <si>
    <t>166a.4</t>
  </si>
  <si>
    <t>Fire return period based on the amount of pasture that burned in both 2002 &amp; 2005</t>
  </si>
  <si>
    <t>Intensive stocking rates prevented any detectable fires in rangelands during the study period</t>
  </si>
  <si>
    <t>Stocking rate of &gt;0.9 is given as overgrazing, the intensity at which degradation may occur. C4 dominated rangeland with grazing reported as pasture.</t>
  </si>
  <si>
    <t>Liao 2018</t>
  </si>
  <si>
    <t>167a</t>
  </si>
  <si>
    <t>Sarite</t>
  </si>
  <si>
    <t>Borana Rangelands</t>
  </si>
  <si>
    <t>Pastoralists had been largely sedentarised</t>
  </si>
  <si>
    <t>167a.1</t>
  </si>
  <si>
    <t>"Although the (fire) ban was lifted in the 200s, the effect of fire on controlling woody plant encroachment has been diminished during the decades of fire suppression, leaving grazing as the primary disturbance factor at the local level."</t>
  </si>
  <si>
    <t>The fire ban of the 1970s had been lifted, and so fire had returned, in a more limited capacity.</t>
  </si>
  <si>
    <t>167a.2</t>
  </si>
  <si>
    <t>Fire was banned officially in 1974</t>
  </si>
  <si>
    <t>Eriksen 2007</t>
  </si>
  <si>
    <t>168a</t>
  </si>
  <si>
    <t>168b</t>
  </si>
  <si>
    <t xml:space="preserve">Kasanka National Park </t>
  </si>
  <si>
    <t>Kafinda Game Management Area</t>
  </si>
  <si>
    <t>168a.1</t>
  </si>
  <si>
    <t>168a.2</t>
  </si>
  <si>
    <t>Grasses to encourage wildgame for tourist safaris</t>
  </si>
  <si>
    <t xml:space="preserve">Early dry-season fires for fuel management and to create pyro/biodiversity </t>
  </si>
  <si>
    <t>168a.3</t>
  </si>
  <si>
    <t>168a.4</t>
  </si>
  <si>
    <t>Fires from poachers who deliberately burned at the edge of the park to attract game</t>
  </si>
  <si>
    <t>Other late dry-season fires from villagers escaped into the park</t>
  </si>
  <si>
    <t>168b.1</t>
  </si>
  <si>
    <t>168b.2</t>
  </si>
  <si>
    <t>168b.3</t>
  </si>
  <si>
    <t>Traditional forestry was gathering of NTFPs, principally honey and caterpillars</t>
  </si>
  <si>
    <t>For gathering honey</t>
  </si>
  <si>
    <t>168b.4</t>
  </si>
  <si>
    <t>168b.5</t>
  </si>
  <si>
    <t>168b.6</t>
  </si>
  <si>
    <t>For harvesting caterpillars; 79% of interviewees conducted this</t>
  </si>
  <si>
    <t>Fires lit under the citamene system; 59% of respondents did this</t>
  </si>
  <si>
    <t>"Late dry-season" fires; 5% of respondents conducted this burning</t>
  </si>
  <si>
    <t>31% of interviewees conducted this</t>
  </si>
  <si>
    <t>168b.7</t>
  </si>
  <si>
    <t>26% of interviewees conducted this</t>
  </si>
  <si>
    <t>168b.8</t>
  </si>
  <si>
    <t>9% of interviewees conducted this</t>
  </si>
  <si>
    <t>To create firebreaks around fields; escaped fires on fields caused erosion. 76% of interviewees did this to either create fire breaks around fields or property</t>
  </si>
  <si>
    <t>Fire breaks were up to 50m wide; fire size estimated from this</t>
  </si>
  <si>
    <t>Patch mosaic; only early dry-season fires; fire breaks</t>
  </si>
  <si>
    <t>Fuel management; patch mosaic; fire breaks</t>
  </si>
  <si>
    <t>Fire breaks around fields and property</t>
  </si>
  <si>
    <t>Many villagers were unaware of legislation that required burns to be in the early dry-season. Many considered the views of their local chief to override the official ban.</t>
  </si>
  <si>
    <t>Park rangers complied with the restriction of burning to the early dry season</t>
  </si>
  <si>
    <t>Meddour-Sahar 2012</t>
  </si>
  <si>
    <t>169a</t>
  </si>
  <si>
    <t>169b</t>
  </si>
  <si>
    <t>Mizrana</t>
  </si>
  <si>
    <t>Ain Zouia</t>
  </si>
  <si>
    <t>Haizer</t>
  </si>
  <si>
    <t>Algeria</t>
  </si>
  <si>
    <t>Traditional forestry was collection of NTFPs, typically honey gathering; agroforestry was olive growing; extractive forestry was largely illegal logging</t>
  </si>
  <si>
    <t>169a.1</t>
  </si>
  <si>
    <t>169a.2</t>
  </si>
  <si>
    <t>169a.3</t>
  </si>
  <si>
    <t>169a.4</t>
  </si>
  <si>
    <t>169a.5</t>
  </si>
  <si>
    <t>169a.6</t>
  </si>
  <si>
    <t>169a.7</t>
  </si>
  <si>
    <t>169a.8</t>
  </si>
  <si>
    <t>169a.9</t>
  </si>
  <si>
    <t>169a.10</t>
  </si>
  <si>
    <t>11.3% of fires were attributed to this cause</t>
  </si>
  <si>
    <t>9.13% of fires were set for this reason (in combination with 169a.5)</t>
  </si>
  <si>
    <t>9.13% of fires were set for this reason (in combination with 169a.6)</t>
  </si>
  <si>
    <t>9.86% of fires were set for this reason</t>
  </si>
  <si>
    <t>3.56% of fires were set for this reason</t>
  </si>
  <si>
    <t>6.83% of fires were set for this reason</t>
  </si>
  <si>
    <t>Overall numbers are used (table 4), as table 5 contains unclear categories and partial reporting</t>
  </si>
  <si>
    <t>19.91% of fires were set for this reason; arson was both land disputes, and a result of conflict with terrorists</t>
  </si>
  <si>
    <t>169b.1</t>
  </si>
  <si>
    <t>169b.2</t>
  </si>
  <si>
    <t>169b.3</t>
  </si>
  <si>
    <t>169b.4</t>
  </si>
  <si>
    <t>169b.5</t>
  </si>
  <si>
    <t>169b.6</t>
  </si>
  <si>
    <t>169b.7</t>
  </si>
  <si>
    <t>169b.8</t>
  </si>
  <si>
    <t>169b.9</t>
  </si>
  <si>
    <t>169c.1</t>
  </si>
  <si>
    <t>169c.2</t>
  </si>
  <si>
    <t>169c.3</t>
  </si>
  <si>
    <t>169c.4</t>
  </si>
  <si>
    <t>169c.5</t>
  </si>
  <si>
    <t>169c.6</t>
  </si>
  <si>
    <t>169c.7</t>
  </si>
  <si>
    <t>169c.8</t>
  </si>
  <si>
    <t>169c.9</t>
  </si>
  <si>
    <t>169a.11</t>
  </si>
  <si>
    <t>169a.12</t>
  </si>
  <si>
    <t>169a.13</t>
  </si>
  <si>
    <t>Fires only refer to those that burned forested areas</t>
  </si>
  <si>
    <t>Calculated by weighting reported govt fire statistics by fire causes as reported in the survey</t>
  </si>
  <si>
    <t>169b.10</t>
  </si>
  <si>
    <t>169b.11</t>
  </si>
  <si>
    <t>169b.12</t>
  </si>
  <si>
    <t>169b.13</t>
  </si>
  <si>
    <t>169c.10</t>
  </si>
  <si>
    <t>169c.11</t>
  </si>
  <si>
    <t>169c.12</t>
  </si>
  <si>
    <t>169c.13</t>
  </si>
  <si>
    <t>21% of villagers reported working in firefigthing within the forests; however, frequent failure to extinguish fires was reported. Furthermore, conflict in the region meant they had to abandon some fires due to a lack of security.</t>
  </si>
  <si>
    <t>Seek to clarify figures given with lead author - are they annual or totals?</t>
  </si>
  <si>
    <t>170a</t>
  </si>
  <si>
    <t>Spain</t>
  </si>
  <si>
    <t>Ruiz-Mizaro 2011</t>
  </si>
  <si>
    <t>Andalusia</t>
  </si>
  <si>
    <t>170b</t>
  </si>
  <si>
    <t>170c</t>
  </si>
  <si>
    <t>170d</t>
  </si>
  <si>
    <t>170e</t>
  </si>
  <si>
    <t>170f</t>
  </si>
  <si>
    <t>170g</t>
  </si>
  <si>
    <t>170h</t>
  </si>
  <si>
    <t>170i</t>
  </si>
  <si>
    <t>170j</t>
  </si>
  <si>
    <t>170k</t>
  </si>
  <si>
    <t>Grazed fuel break</t>
  </si>
  <si>
    <t>Total study area was 23.46km; location digitised from author map</t>
  </si>
  <si>
    <t>Grazed fire breaks were created within national parks, typically forested landscapes</t>
  </si>
  <si>
    <t>Encompassing forest and rangeland</t>
  </si>
  <si>
    <t>Entire landscape of Andulucia, outside of comparatively small-scale fire break operations. Provided for context.</t>
  </si>
  <si>
    <t>170a.1</t>
  </si>
  <si>
    <t>170b.1</t>
  </si>
  <si>
    <t>170c.1</t>
  </si>
  <si>
    <t>170d.1</t>
  </si>
  <si>
    <t>170e.1</t>
  </si>
  <si>
    <t>170f.1</t>
  </si>
  <si>
    <t>170g.1</t>
  </si>
  <si>
    <t>170h.1</t>
  </si>
  <si>
    <t>170i.1</t>
  </si>
  <si>
    <t>170j.1</t>
  </si>
  <si>
    <t>170k.1</t>
  </si>
  <si>
    <t>Fuel breaks were strategically grazed to prevent large-scale wildfires. However, at this stage of the programme, their implementation was mixed, with only partial achievement of grazing objectives</t>
  </si>
  <si>
    <t>Outside of experimental fuel break areas, management of fuel loads was not widespread, instead a blanket suppression policy was in action</t>
  </si>
  <si>
    <t>170a.2</t>
  </si>
  <si>
    <t>170b.2</t>
  </si>
  <si>
    <t>170c.2</t>
  </si>
  <si>
    <t>170d.2</t>
  </si>
  <si>
    <t>170e.2</t>
  </si>
  <si>
    <t>170f.2</t>
  </si>
  <si>
    <t>170g.2</t>
  </si>
  <si>
    <t>170h.2</t>
  </si>
  <si>
    <t>170i.2</t>
  </si>
  <si>
    <t>170j.2</t>
  </si>
  <si>
    <t>170k.2</t>
  </si>
  <si>
    <t>The main strategy to tackle wildfires in the region was "fast and effective ongoing fire suppression"</t>
  </si>
  <si>
    <t>Agricultural abandonment had led to fuel build-up in fire prone locations. Therefore, shepherds were paid by the government to graze locations to create fire breaks.</t>
  </si>
  <si>
    <t>Los Alerces National Park</t>
  </si>
  <si>
    <t>Seijo 2020</t>
  </si>
  <si>
    <t>171a</t>
  </si>
  <si>
    <t>Fire regime today</t>
  </si>
  <si>
    <t>171b</t>
  </si>
  <si>
    <t>171a.1</t>
  </si>
  <si>
    <t>171a.2</t>
  </si>
  <si>
    <t>171a.3</t>
  </si>
  <si>
    <t>171b.1</t>
  </si>
  <si>
    <t>171b.2</t>
  </si>
  <si>
    <t>171b.3</t>
  </si>
  <si>
    <t>171b.4</t>
  </si>
  <si>
    <t>Forest understories were burned for pasture</t>
  </si>
  <si>
    <t>171b.5</t>
  </si>
  <si>
    <t>171b.6</t>
  </si>
  <si>
    <t>Commercial cattle ranches had come to dominate land adjacent to the park borders</t>
  </si>
  <si>
    <t xml:space="preserve">Whilst not conclusive of ignition source, the fires took place adjacent to large commercial ranches, and areas burned were subsequently used for pasture. </t>
  </si>
  <si>
    <t xml:space="preserve">Fire exclusion policy </t>
  </si>
  <si>
    <t>171b.7</t>
  </si>
  <si>
    <t>A strict regime of fire suppression was working to remove human ignitions from the study area</t>
  </si>
  <si>
    <t>However, in spite of this policy, large wildfires were present during both study years - suggesting it was not succesful in preventing all wildfires from damaging the park.</t>
  </si>
  <si>
    <t>Before the park was established, fire use was widespread throughout the region</t>
  </si>
  <si>
    <t>Whilst some traditional pastoralists in the region, all other fire use was banned. Further, the government had worked systematically over many years to reduce fire use. For example, closing local infrastructure to support forestry and farming had led to reductions in fire use.</t>
  </si>
  <si>
    <t>Reports fire regime at founding of the park; established through oral history and secondary sources</t>
  </si>
  <si>
    <t>Author confirmed study dates (personal communication)</t>
  </si>
  <si>
    <t>Uncontrolled bush fire rated a 'low' impact problem; author confirmed fire intention (personal communication)</t>
  </si>
  <si>
    <t>Uncontrolled bush fire rated a 'moderate' impact problem; author confirmed fire intention (personal communication)</t>
  </si>
  <si>
    <t>Uncontrolled bush fire rated a 'high' impact problem; author confirmed fire intention (personal communication)</t>
  </si>
  <si>
    <t>Uncontrolled ; author confirmed fire intention (personal communication)bush fire rated a 'low' impact problem</t>
  </si>
  <si>
    <t>172a</t>
  </si>
  <si>
    <t>Said 2014</t>
  </si>
  <si>
    <t>172b</t>
  </si>
  <si>
    <t>172c</t>
  </si>
  <si>
    <t>172d</t>
  </si>
  <si>
    <t>172e</t>
  </si>
  <si>
    <t>172f</t>
  </si>
  <si>
    <t>Unpublished consultant's report; same authors and study location as 155</t>
  </si>
  <si>
    <t>172d.1</t>
  </si>
  <si>
    <t>172d.2</t>
  </si>
  <si>
    <t>District was a market centre for products including staples such as rice and millet, but also cotton and peanuts</t>
  </si>
  <si>
    <t>A traditional "agro-pastoralist" region in which "logging and bush fire" seriously threatened vegetation cover; land cover data from 2006; forest savanna mosaic listed as secondary vegetation</t>
  </si>
  <si>
    <t>An area with much undisturbed rainforest, with pastoralism in the north; land cover data from 2006; forest savanna mosaic listed as secondary vegetation</t>
  </si>
  <si>
    <t>172d.3</t>
  </si>
  <si>
    <t>172e.1</t>
  </si>
  <si>
    <t>172e.2</t>
  </si>
  <si>
    <t>172f.1</t>
  </si>
  <si>
    <t>Early dry season fires, largely attributable to pasture / forage regeneration</t>
  </si>
  <si>
    <t>172a.1</t>
  </si>
  <si>
    <t>172b.1</t>
  </si>
  <si>
    <t>Fire count / BA from MODIS burned area product not included</t>
  </si>
  <si>
    <t>Fire count / BA from MODIS burned area product not included; fire return is fallow (4) + 2</t>
  </si>
  <si>
    <t>172f.2</t>
  </si>
  <si>
    <t>Fire count / BA from MODIS burned area product not included; fire return is fallow (10) + 2</t>
  </si>
  <si>
    <t>This was a less important fire driver than in the other two study areas</t>
  </si>
  <si>
    <t>Niamina East</t>
  </si>
  <si>
    <t>172a.2</t>
  </si>
  <si>
    <t>172b.2</t>
  </si>
  <si>
    <t>Fire behaviour was "erratic" at the study location</t>
  </si>
  <si>
    <t>172c.1</t>
  </si>
  <si>
    <t>172c.2</t>
  </si>
  <si>
    <t>173a</t>
  </si>
  <si>
    <t>Robinett 2008</t>
  </si>
  <si>
    <t>Afghanistan</t>
  </si>
  <si>
    <t>173b</t>
  </si>
  <si>
    <t>Turkmenistan</t>
  </si>
  <si>
    <t>Badkhiz</t>
  </si>
  <si>
    <t>Badkhiz Reserve</t>
  </si>
  <si>
    <t>Tourists reported not liking seeing burned areas, and so tourist lodge owners tried to persuade farmers not to set fires - including those for fuel mgmt</t>
  </si>
  <si>
    <t>Traditional forestry was gathering of biomass for fuel, and also collection of pistachio nuts</t>
  </si>
  <si>
    <t>Policy of "exclusion" for people and their herds</t>
  </si>
  <si>
    <t>173a.1</t>
  </si>
  <si>
    <t>173b.1</t>
  </si>
  <si>
    <t xml:space="preserve">Reliance of people on wood for fire fuel and protection of pistachio trees meant fire was not used for forage regeneration. </t>
  </si>
  <si>
    <t>Anthropogenic land use (aside from conservation) inside the reserve was not permitted</t>
  </si>
  <si>
    <t xml:space="preserve">Grazing had prevented fuel build-up, which prevented the destructive wildfires seen in the proximate national park: further, herders deliberately grazed early season grasses to reduce fire risk. </t>
  </si>
  <si>
    <t>173b.2</t>
  </si>
  <si>
    <t>An absence of proactive fuel management was reported in the park</t>
  </si>
  <si>
    <t>Mills 2005</t>
  </si>
  <si>
    <t>174a</t>
  </si>
  <si>
    <t>Kirkwood</t>
  </si>
  <si>
    <t>174a.1</t>
  </si>
  <si>
    <t>174a.2</t>
  </si>
  <si>
    <t>174b</t>
  </si>
  <si>
    <t>174b.1</t>
  </si>
  <si>
    <t>174b.2</t>
  </si>
  <si>
    <t>174a.3</t>
  </si>
  <si>
    <t>174b.3</t>
  </si>
  <si>
    <t>Fire was not used to manage vegetation in the region</t>
  </si>
  <si>
    <t>The shrubby vegetation that resulted from heavy goat grazing was evergreen, rich in moisture and highly resistant to fire</t>
  </si>
  <si>
    <t>Nigh 2013</t>
  </si>
  <si>
    <t>175a</t>
  </si>
  <si>
    <t>Lakandon Indigenous People</t>
  </si>
  <si>
    <t>Chiapas</t>
  </si>
  <si>
    <t>175b</t>
  </si>
  <si>
    <t>Contemporary Maya Farming</t>
  </si>
  <si>
    <t>175c</t>
  </si>
  <si>
    <t>Teran and Rasmussen (2009) cited by Nigh 2013</t>
  </si>
  <si>
    <t>Dates referred to "up to the end of the 20th century"</t>
  </si>
  <si>
    <t>Dates referred to as state of system "today"</t>
  </si>
  <si>
    <t>175a.1</t>
  </si>
  <si>
    <t>175a.2</t>
  </si>
  <si>
    <t>Fire return is 25 year fallow period with 6 years' cultivation</t>
  </si>
  <si>
    <t>175b.1</t>
  </si>
  <si>
    <t>175b.2</t>
  </si>
  <si>
    <t>Fallow cycle had shortened towards 10 years + 3 years of cultivation</t>
  </si>
  <si>
    <t>Weeds were repeatedly burned throughout the year to create charcoal for nutrients</t>
  </si>
  <si>
    <t>175b.3</t>
  </si>
  <si>
    <t>Multi-annual burning for weeding had been replaced by an annual hot burn of residues</t>
  </si>
  <si>
    <t>Residues were burned annually after harvest</t>
  </si>
  <si>
    <t>175c.1</t>
  </si>
  <si>
    <t>Forestry traditional was planting of specific valuable tree species in secondary fallows</t>
  </si>
  <si>
    <t>A field size of 1ha is given as typical</t>
  </si>
  <si>
    <t>Burning as a community, burning against the wind, careful burn timing, fire breaks</t>
  </si>
  <si>
    <t>Use of fire beaters fashioned from surrounding vegetation to tackle fires that risk spreading out of control</t>
  </si>
  <si>
    <t>Oba 1990</t>
  </si>
  <si>
    <t>176a</t>
  </si>
  <si>
    <t>Lodwar</t>
  </si>
  <si>
    <t>176a.1</t>
  </si>
  <si>
    <t>176a.2</t>
  </si>
  <si>
    <t>176a.3</t>
  </si>
  <si>
    <t>176a.4</t>
  </si>
  <si>
    <t>176a.5</t>
  </si>
  <si>
    <t>Land clearance and accessibility burning particularly focused towards areas of dense palm trees (Hyphanae compressa)</t>
  </si>
  <si>
    <t>176a.6</t>
  </si>
  <si>
    <t>176a.7</t>
  </si>
  <si>
    <t>Fire density from author estimate of 3-4 wildfires per year impacting the riparian woodlands in the study region</t>
  </si>
  <si>
    <t>Lamprey 2004</t>
  </si>
  <si>
    <t>177a</t>
  </si>
  <si>
    <t>Serengeti National Park</t>
  </si>
  <si>
    <t>177b</t>
  </si>
  <si>
    <t>177c</t>
  </si>
  <si>
    <t>177d</t>
  </si>
  <si>
    <t>177a.1</t>
  </si>
  <si>
    <t>177a.2</t>
  </si>
  <si>
    <t>177b.1</t>
  </si>
  <si>
    <t>177b.2</t>
  </si>
  <si>
    <t>Large areas of woodland were cleared as part of a government project to eradicate the tsetse fly</t>
  </si>
  <si>
    <t>Lush grasslands were burned to rejuvinate forage</t>
  </si>
  <si>
    <t>177c.1</t>
  </si>
  <si>
    <t>177d.1</t>
  </si>
  <si>
    <t>Pastoralists burned boma camps after they were used for 4-5 years</t>
  </si>
  <si>
    <t>177c.2</t>
  </si>
  <si>
    <t>Grazing intensity had reached levels where pastoralists complained of too little forage for their herds, indicating little fuel available for wildfires</t>
  </si>
  <si>
    <t>Gregory 2010</t>
  </si>
  <si>
    <t>178a</t>
  </si>
  <si>
    <t>Group ranches had begun to be registered and transhumance reduced with the introduction of permanent agriculture; stocking rate is domesticated animals only</t>
  </si>
  <si>
    <t>Stocking rate excludes wild animals (wilderbeest, zebra)</t>
  </si>
  <si>
    <t>Laikipia</t>
  </si>
  <si>
    <t>178b</t>
  </si>
  <si>
    <t>Fire history of experimental plots</t>
  </si>
  <si>
    <t>178a.1</t>
  </si>
  <si>
    <t>Study location had not burned in last 20 years</t>
  </si>
  <si>
    <t>178a.2</t>
  </si>
  <si>
    <t>Fire exclusionary management remained in force</t>
  </si>
  <si>
    <t>178b.1</t>
  </si>
  <si>
    <t>178b.2</t>
  </si>
  <si>
    <t>North-eastern</t>
  </si>
  <si>
    <t>Swaziland</t>
  </si>
  <si>
    <t>Intensive grazing due to high stocking rates had prevented all fires in the study site for 20 years</t>
  </si>
  <si>
    <t>Roques 2001</t>
  </si>
  <si>
    <t>179a</t>
  </si>
  <si>
    <t>179b</t>
  </si>
  <si>
    <t>179c</t>
  </si>
  <si>
    <t>179d</t>
  </si>
  <si>
    <t>179e</t>
  </si>
  <si>
    <t>Hlane Wildlife Sanctuary</t>
  </si>
  <si>
    <t>Ndukuyamangedla cattle ranch</t>
  </si>
  <si>
    <t>Malahleni site (reserve pasture)</t>
  </si>
  <si>
    <t>Communal land</t>
  </si>
  <si>
    <t>Simunye site (no herbivory)</t>
  </si>
  <si>
    <t>179a.1</t>
  </si>
  <si>
    <t>179b.1</t>
  </si>
  <si>
    <t>179c.1</t>
  </si>
  <si>
    <t>179d.1</t>
  </si>
  <si>
    <t>179e.1</t>
  </si>
  <si>
    <t>179b.2</t>
  </si>
  <si>
    <t>179c.2</t>
  </si>
  <si>
    <t>179d.2</t>
  </si>
  <si>
    <t>179e.2</t>
  </si>
  <si>
    <t>All study years</t>
  </si>
  <si>
    <t>Wildlife park and absenence of intensive grazing led to average fire return period of two years</t>
  </si>
  <si>
    <t>Although burning continued, intensive levels of grazing caused fire return to decrease substantially</t>
  </si>
  <si>
    <t>After conversion of site to an sub-urban buffer zone, no fires were reported</t>
  </si>
  <si>
    <t>Grazing reduced fuel loads and decreased fire frequency. There did not seem to be significant differences between private commercial and communal ranges in the strength of this effect.</t>
  </si>
  <si>
    <t>Trollope 2011</t>
  </si>
  <si>
    <t>180a</t>
  </si>
  <si>
    <t>Ramsar site</t>
  </si>
  <si>
    <t>Okavango Delta</t>
  </si>
  <si>
    <t>180b</t>
  </si>
  <si>
    <t>Southwestern</t>
  </si>
  <si>
    <t>Kavango-Zambezi conservation area</t>
  </si>
  <si>
    <t>180a.1</t>
  </si>
  <si>
    <t>180a.2</t>
  </si>
  <si>
    <t>180a.3</t>
  </si>
  <si>
    <t>180a.4</t>
  </si>
  <si>
    <t>180a.5</t>
  </si>
  <si>
    <t>180a.6</t>
  </si>
  <si>
    <t>180a.7</t>
  </si>
  <si>
    <t>180a.8</t>
  </si>
  <si>
    <t>180a.9</t>
  </si>
  <si>
    <t>180a.10</t>
  </si>
  <si>
    <t>"facilitate the harvesting of forest products like nuts from particular tree species"</t>
  </si>
  <si>
    <t>180b.1</t>
  </si>
  <si>
    <t>180b.2</t>
  </si>
  <si>
    <t>180b.3</t>
  </si>
  <si>
    <t>180b.4</t>
  </si>
  <si>
    <t>180b.5</t>
  </si>
  <si>
    <t>180b.6</t>
  </si>
  <si>
    <t>180b.7</t>
  </si>
  <si>
    <t>180b.8</t>
  </si>
  <si>
    <t>180b.9</t>
  </si>
  <si>
    <t>180b.10</t>
  </si>
  <si>
    <t>Traditional forestry involved both fishing and gathering of nuts / NTFPs</t>
  </si>
  <si>
    <t>180c</t>
  </si>
  <si>
    <t>Phinda Game Reserve</t>
  </si>
  <si>
    <t>Kwazulu-Natal</t>
  </si>
  <si>
    <t>180c.1</t>
  </si>
  <si>
    <t>180c.2</t>
  </si>
  <si>
    <t>180c.3</t>
  </si>
  <si>
    <r>
      <t>2-4 years given as author estimate based on target level of grassland biomass of 4000kg ha</t>
    </r>
    <r>
      <rPr>
        <vertAlign val="superscript"/>
        <sz val="11"/>
        <color theme="1"/>
        <rFont val="Calibri"/>
        <family val="2"/>
        <scheme val="minor"/>
      </rPr>
      <t>-1</t>
    </r>
  </si>
  <si>
    <t>180b.11</t>
  </si>
  <si>
    <t>180a.11</t>
  </si>
  <si>
    <r>
      <t>Fire return assumes a (defacto) target grass length of 3000kg ha</t>
    </r>
    <r>
      <rPr>
        <vertAlign val="superscript"/>
        <sz val="11"/>
        <color theme="1"/>
        <rFont val="Calibri"/>
        <family val="2"/>
        <scheme val="minor"/>
      </rPr>
      <t>-1</t>
    </r>
    <r>
      <rPr>
        <sz val="11"/>
        <color theme="1"/>
        <rFont val="Calibri"/>
        <family val="2"/>
        <scheme val="minor"/>
      </rPr>
      <t>, which is the length found to remove tick presence.</t>
    </r>
  </si>
  <si>
    <t>Ngorongoro Crater</t>
  </si>
  <si>
    <t>180d</t>
  </si>
  <si>
    <t>180d.1</t>
  </si>
  <si>
    <t>180d.2</t>
  </si>
  <si>
    <t>180e</t>
  </si>
  <si>
    <t>180f</t>
  </si>
  <si>
    <t>Kruger National Park</t>
  </si>
  <si>
    <t>Pilansberg National Park</t>
  </si>
  <si>
    <t>180e.1</t>
  </si>
  <si>
    <t>180f.1</t>
  </si>
  <si>
    <t>180e.2</t>
  </si>
  <si>
    <t>180f.2</t>
  </si>
  <si>
    <t>Patch burning mosaic strategy in operation</t>
  </si>
  <si>
    <t>Method of fire carefully evaluated (point vs block burning), detailed restrictions according to weather conditions… "the goal of greater pyrodiversity is achieved if fires are ignited when the air temperature is &lt;25 °C and the relative humidity &gt;50 %"</t>
  </si>
  <si>
    <t>Seasonal mosaic burning to fragment fuels and create a highly heterogenous landscape</t>
  </si>
  <si>
    <t>Fuel loads kept to a very low level through fire and grazing to remove ticks</t>
  </si>
  <si>
    <t>181a</t>
  </si>
  <si>
    <t>Etosha National Park</t>
  </si>
  <si>
    <t>Brockett 2001, cited in Trollope 2004</t>
  </si>
  <si>
    <t>van Wilgen 1990, cited in Trollope 2004</t>
  </si>
  <si>
    <t>181b</t>
  </si>
  <si>
    <t>181c</t>
  </si>
  <si>
    <t>181d</t>
  </si>
  <si>
    <t>Uluru National Park</t>
  </si>
  <si>
    <t>Kakadu National Park</t>
  </si>
  <si>
    <t>181a.1</t>
  </si>
  <si>
    <t>Lightning fires were deliberately allowed to burn, with a prescribed target of 12% of the park</t>
  </si>
  <si>
    <t>181a.2</t>
  </si>
  <si>
    <t>Owing to the lightning fire mgmt system, additional deliberate fires were vigorously suppressed</t>
  </si>
  <si>
    <t>Fire return was 5.5 to 9.3 years; figure is mean of presented range</t>
  </si>
  <si>
    <t>181b.1</t>
  </si>
  <si>
    <t>181c.1</t>
  </si>
  <si>
    <t>181d.1</t>
  </si>
  <si>
    <t>Calculations based on reported range of intended burned area: 1-50% requiring 6-71 ignitions respectively. Values for burned area and ignitions per km2 are means of this range.</t>
  </si>
  <si>
    <t>181a.3</t>
  </si>
  <si>
    <t>Highly organised block burning system set up, with rain gauges used to decide when to prescribe burns; fire behaviour carefully tended and limited to burned area target (12%)</t>
  </si>
  <si>
    <t>Sophisticated approach to fuel load management, involving direct field measurements of grass fuel load; burned area in a given year could be up to 50% of land surface</t>
  </si>
  <si>
    <t>"Unplanned anthropogenic fires were combatted and limited to the smallest area possible"</t>
  </si>
  <si>
    <t>Fuel load management through programme of prescribed burning; maximum burned area of 12%</t>
  </si>
  <si>
    <t>182a</t>
  </si>
  <si>
    <t>182b</t>
  </si>
  <si>
    <t>182c</t>
  </si>
  <si>
    <t>Mid-Boteti</t>
  </si>
  <si>
    <t>Bokspits</t>
  </si>
  <si>
    <t>Reed 2006</t>
  </si>
  <si>
    <t>Tsabong-Werda</t>
  </si>
  <si>
    <t>Study dates estimated from date of publication</t>
  </si>
  <si>
    <t>Livestock was dominated by smallstock such as goats; traditional forestry was gathering of firewood from rangelands</t>
  </si>
  <si>
    <t>182a.1</t>
  </si>
  <si>
    <t>182b.1</t>
  </si>
  <si>
    <t>182c.1</t>
  </si>
  <si>
    <t>182a.2</t>
  </si>
  <si>
    <t>182b.2</t>
  </si>
  <si>
    <t>182c.2</t>
  </si>
  <si>
    <t>Fire use had died out in the rangelands; however, this was primarily due to reduced fuel loads from grazing density and woody enchroachment meaning that fire was no longer an effective management technique</t>
  </si>
  <si>
    <t>Burning was banned and largely phased out in the region; further commercial farmers were applying herbicides and using machinery to remove woody shrubs from the rangelands</t>
  </si>
  <si>
    <t>182a.3</t>
  </si>
  <si>
    <t>182a.4</t>
  </si>
  <si>
    <t>The extent of woody shrub encroachment, and limited fuel loads meant that fire was no longer effective in maintaining grass dominance in the rangelands</t>
  </si>
  <si>
    <t>Low fuel loads due to the intensity of grazing pressure in the region had led to a decline in the frequency and intensity of wildfires</t>
  </si>
  <si>
    <t xml:space="preserve">Fire breaks not installed for prescribed burns due to cost </t>
  </si>
  <si>
    <t>Rueff 2004</t>
  </si>
  <si>
    <t>183a</t>
  </si>
  <si>
    <t>183b</t>
  </si>
  <si>
    <t>Yatir</t>
  </si>
  <si>
    <t>Negev desert</t>
  </si>
  <si>
    <t>Israel</t>
  </si>
  <si>
    <t>Palestine</t>
  </si>
  <si>
    <t>Study location straddled border</t>
  </si>
  <si>
    <t>183a.1</t>
  </si>
  <si>
    <t>Stocking rate is for sheep; herders extracted pinewood for burning from forest</t>
  </si>
  <si>
    <t>183a.2</t>
  </si>
  <si>
    <t>183b.1</t>
  </si>
  <si>
    <t>183b.2</t>
  </si>
  <si>
    <t>Owing to trade restrictions with the Palestinian territories, dung was piled up outside camps and burned (previously was sold as fuel)</t>
  </si>
  <si>
    <t>Given risk of sparking wildfires in populated region, prescribed burning was considered "not a realistic option" - herbicides were used instead to control vegetation</t>
  </si>
  <si>
    <t>In 1997 and 1998, grazing density was too low to fully meet fire suppression objectives</t>
  </si>
  <si>
    <t>From 1998, fire suppression objectives were met through grazing</t>
  </si>
  <si>
    <t>Incentives were provided to Bedouin pastoralists to encourage them to graze the forests</t>
  </si>
  <si>
    <t>Skinner 2010</t>
  </si>
  <si>
    <t>184a</t>
  </si>
  <si>
    <t>Wayama traditional area</t>
  </si>
  <si>
    <t>Location estimated from author description</t>
  </si>
  <si>
    <t>184a.1</t>
  </si>
  <si>
    <t>184a.2</t>
  </si>
  <si>
    <t>"Early dry season" fires; from oral history</t>
  </si>
  <si>
    <t>Due to a combination of a fire ban, grazing intensity and woody shrub encroachment, fire had lost its utility as a management option</t>
  </si>
  <si>
    <t>184a.3</t>
  </si>
  <si>
    <t>Fire was still used to manage ticks and pests</t>
  </si>
  <si>
    <t>Stocking rates without fire for regeneration had meant that even where fires were set deliberately "the fuel load (ground cover) is now so patchy that it can be difficult to get a fire started and maintained"</t>
  </si>
  <si>
    <t>185a</t>
  </si>
  <si>
    <t>185b</t>
  </si>
  <si>
    <t>185c</t>
  </si>
  <si>
    <t>185d</t>
  </si>
  <si>
    <t>Narok</t>
  </si>
  <si>
    <t>Siana</t>
  </si>
  <si>
    <t>Koiyaki</t>
  </si>
  <si>
    <t>Lemek</t>
  </si>
  <si>
    <t>Olchoro-Oiroua</t>
  </si>
  <si>
    <t>Thompson 2002</t>
  </si>
  <si>
    <t>76.6% of pastoralists had adopted some form of cultivation</t>
  </si>
  <si>
    <t>34.45% of pastoralists had adopted some form of cultivation</t>
  </si>
  <si>
    <t>86% of pastoralists had adopted some form of cultivation</t>
  </si>
  <si>
    <t>185a.1</t>
  </si>
  <si>
    <t>185b.1</t>
  </si>
  <si>
    <t>185c.1</t>
  </si>
  <si>
    <t>185d.1</t>
  </si>
  <si>
    <t>Cropland was prepared with machinery, pesticides and fertilisers</t>
  </si>
  <si>
    <t>185a.2</t>
  </si>
  <si>
    <t>185b.2</t>
  </si>
  <si>
    <t>185c.2</t>
  </si>
  <si>
    <t>185d.2</t>
  </si>
  <si>
    <t xml:space="preserve">Fields were fertilised through manuring rather than with ashes and burning. </t>
  </si>
  <si>
    <t>Toutain 2004</t>
  </si>
  <si>
    <t>186a</t>
  </si>
  <si>
    <t>186b</t>
  </si>
  <si>
    <t>186c</t>
  </si>
  <si>
    <t>Benin</t>
  </si>
  <si>
    <t>Niger</t>
  </si>
  <si>
    <t>W National Park</t>
  </si>
  <si>
    <t>Study area assumes park evenly distributed across borders</t>
  </si>
  <si>
    <t>186a.1</t>
  </si>
  <si>
    <t>186b.1</t>
  </si>
  <si>
    <t>186c.1</t>
  </si>
  <si>
    <t>Fire use inferred from description of agricultural practices</t>
  </si>
  <si>
    <t>Pastoralists caught bushmeat using snares and firearms, rather than with fire</t>
  </si>
  <si>
    <t>186a.2</t>
  </si>
  <si>
    <t>186b.2</t>
  </si>
  <si>
    <t>186c.2</t>
  </si>
  <si>
    <t>186a.3</t>
  </si>
  <si>
    <t>186b.3</t>
  </si>
  <si>
    <t>186c.3</t>
  </si>
  <si>
    <t>Farmers established fields, or simply burned pastures to push nomadic pastoralists away and to avoid cattle damaging their crops</t>
  </si>
  <si>
    <t xml:space="preserve">Insecure tenure involved conflict between nomadic pastoralists and park authorities or sedentary farmers. </t>
  </si>
  <si>
    <t>Trigg 2012</t>
  </si>
  <si>
    <t>187a</t>
  </si>
  <si>
    <t>Sudan</t>
  </si>
  <si>
    <t>Kordofan</t>
  </si>
  <si>
    <t>Study location digitised from author map</t>
  </si>
  <si>
    <t>Trigg 2013</t>
  </si>
  <si>
    <t>187b</t>
  </si>
  <si>
    <t>White Nile State</t>
  </si>
  <si>
    <t>Conversion of rangeland into cropland</t>
  </si>
  <si>
    <t>187a.1</t>
  </si>
  <si>
    <t>Fires lit at the interface of agricultural lands and rangelands to ward off nomads to prevent cattle from eating growing crops</t>
  </si>
  <si>
    <t>187a.2</t>
  </si>
  <si>
    <t>187a.3</t>
  </si>
  <si>
    <t>187a.4</t>
  </si>
  <si>
    <t>Lightning fires were not present on cropland as farmers fed residues to cattle</t>
  </si>
  <si>
    <t>Croplands, combined with use of residues to feed cattle, did not burn during the study period</t>
  </si>
  <si>
    <r>
      <t>Ignitions were interpreted visually from remote sensing images; data read from graph and averaged over 2000-2005; assumes a circular area of 3.5km</t>
    </r>
    <r>
      <rPr>
        <vertAlign val="superscript"/>
        <sz val="11"/>
        <color theme="1"/>
        <rFont val="Calibri"/>
        <family val="2"/>
        <scheme val="minor"/>
      </rPr>
      <t>2</t>
    </r>
    <r>
      <rPr>
        <sz val="11"/>
        <color theme="1"/>
        <rFont val="Calibri"/>
        <family val="2"/>
        <scheme val="minor"/>
      </rPr>
      <t xml:space="preserve"> (point estimate 1.04)</t>
    </r>
  </si>
  <si>
    <t>Pastoralists "traditionally" used fire to improve grazing; however its use was limited at the current time due to arson from mechanized farms</t>
  </si>
  <si>
    <t>Turkey</t>
  </si>
  <si>
    <t>188a</t>
  </si>
  <si>
    <t>188b</t>
  </si>
  <si>
    <t xml:space="preserve">Anatolian Highlands </t>
  </si>
  <si>
    <t>Ocak 2016</t>
  </si>
  <si>
    <t>188a.1</t>
  </si>
  <si>
    <t>188b.1</t>
  </si>
  <si>
    <t>"By browsing the undergrowth and low scrub, the herd maintains the brush and heath to manageable levels where ﬁres are far less intense if they occur due to natural causes. As well by constant stomping whilst browsing the understory, the herd buries the volatile pine needles into the soft forest soil, further deterring the likelihood of forest ﬁres."</t>
  </si>
  <si>
    <t>By banning pastoralists from grazing forests, the government was making destructive forest fires more likely</t>
  </si>
  <si>
    <t>189a</t>
  </si>
  <si>
    <t>Wigley 2009</t>
  </si>
  <si>
    <t>Conservation study site</t>
  </si>
  <si>
    <t>Communal grazing study site</t>
  </si>
  <si>
    <t>Commercial ranch study site</t>
  </si>
  <si>
    <t>189b</t>
  </si>
  <si>
    <t>189c</t>
  </si>
  <si>
    <t>189a.1</t>
  </si>
  <si>
    <t>189a.2</t>
  </si>
  <si>
    <t>Park rangers perceived the historical fire regime to have been dominated by a natural or lightning driven regime</t>
  </si>
  <si>
    <t>189a.3</t>
  </si>
  <si>
    <t>Assumes 'present day' to be final 10 years of study period</t>
  </si>
  <si>
    <t>189b.1</t>
  </si>
  <si>
    <t>189c.1</t>
  </si>
  <si>
    <t>189b.2</t>
  </si>
  <si>
    <t>189b.3</t>
  </si>
  <si>
    <t>189b.4</t>
  </si>
  <si>
    <t>189c.2</t>
  </si>
  <si>
    <t>189c.3</t>
  </si>
  <si>
    <t>189c.4</t>
  </si>
  <si>
    <t>Participants reported fire activity peaking at the end of the dry season</t>
  </si>
  <si>
    <t>189b.5</t>
  </si>
  <si>
    <t>189b.6</t>
  </si>
  <si>
    <t>Fires were "infrequent, and controlled"</t>
  </si>
  <si>
    <t>Fires were "frequent, and uncontrolled"</t>
  </si>
  <si>
    <t>Study location digitised from author map; population density from Wrigley (2010)</t>
  </si>
  <si>
    <t>Wigley 2010</t>
  </si>
  <si>
    <t>Land cover from Wrigley (2010) - record 190</t>
  </si>
  <si>
    <t>Extractive forestry was biomass gathering; traditional forestry is biomass gathering. Land cover from Wrigley (2010) - record 190</t>
  </si>
  <si>
    <t>Unclear if nomadic or semi-sedentary; land cover from Wrigley (2010) - record 190</t>
  </si>
  <si>
    <t>Hluhluwe Game Reserve</t>
  </si>
  <si>
    <t>190a</t>
  </si>
  <si>
    <t>190a.1</t>
  </si>
  <si>
    <t>187a.5</t>
  </si>
  <si>
    <t>Vehrs 2016</t>
  </si>
  <si>
    <t>191a</t>
  </si>
  <si>
    <t>East Pokot</t>
  </si>
  <si>
    <t>Nginyang and Mondi Division</t>
  </si>
  <si>
    <t>Head given in Tropical live stock units</t>
  </si>
  <si>
    <t>191b</t>
  </si>
  <si>
    <t>Oral history gathered in 2014-15; 1975 marked the end of a local conflict with Turkana herders and a return to an established pattern of land mgmt / fire use</t>
  </si>
  <si>
    <t>191a.1</t>
  </si>
  <si>
    <t>191b.1</t>
  </si>
  <si>
    <t>A lack of fuel due to intense grazing and woody encroachment made it challenging to generate a dry season burn</t>
  </si>
  <si>
    <t>High grazing pressure had led to low levels of grass forage, and the dominance of woody, fire resistant shrubs</t>
  </si>
  <si>
    <t>191a.2</t>
  </si>
  <si>
    <t>191b.2</t>
  </si>
  <si>
    <t>A lack of fuel due to intense grazing and woody encroachment made it challenging to generate a dry season burn; absence is bolstered by Vehrs (2017) - record 192</t>
  </si>
  <si>
    <t>Vehrs 2017</t>
  </si>
  <si>
    <t>192a</t>
  </si>
  <si>
    <t>Baringo County</t>
  </si>
  <si>
    <t>192b</t>
  </si>
  <si>
    <t>192a.1</t>
  </si>
  <si>
    <t>192b.1</t>
  </si>
  <si>
    <t>192b.2</t>
  </si>
  <si>
    <t>"Grazing. There is nil grazing available in the bottom of the Rift [Valley]. Most of the fodder trees have been cut entirely. Much of the Olarabal (old scheme area) has been burnt, little or no grass has come up. (Visited 24th Sept 65). Churo is overgrazed." - diary of district range management officer (cited in Vehrs 2017)</t>
  </si>
  <si>
    <t>Saladyga 2013</t>
  </si>
  <si>
    <t>193a</t>
  </si>
  <si>
    <t>Fire history from tree rings complemented with similar data from Dai et al., (2004)</t>
  </si>
  <si>
    <t>Tuul River Watershed</t>
  </si>
  <si>
    <t>193b</t>
  </si>
  <si>
    <t>193c</t>
  </si>
  <si>
    <t>193d</t>
  </si>
  <si>
    <t>193e</t>
  </si>
  <si>
    <t>Intensive land use</t>
  </si>
  <si>
    <t>Intermediate land use</t>
  </si>
  <si>
    <t>Low intensity land use</t>
  </si>
  <si>
    <t>Ulaanbaatar</t>
  </si>
  <si>
    <t>Natural ecosystem % is forested land cover; extractive forestry was a combination of migratory herders using fuelwood and logging</t>
  </si>
  <si>
    <t>Extractive forestry was a combination of migratory herders using fuelwood and logging</t>
  </si>
  <si>
    <t>Extractive forestry was principally migratory herders gathering fuelwood</t>
  </si>
  <si>
    <t>193a.1</t>
  </si>
  <si>
    <t>193b.1</t>
  </si>
  <si>
    <t>193c.1</t>
  </si>
  <si>
    <t>193d.1</t>
  </si>
  <si>
    <t>193e.1</t>
  </si>
  <si>
    <t>193a.2</t>
  </si>
  <si>
    <t>193b.2</t>
  </si>
  <si>
    <t>193c.2</t>
  </si>
  <si>
    <t>193d.2</t>
  </si>
  <si>
    <t>193e.2</t>
  </si>
  <si>
    <t>Migratory herders did not use fire for purposes of forage regeneration or land clearance</t>
  </si>
  <si>
    <t>193b.3</t>
  </si>
  <si>
    <t>193c.3</t>
  </si>
  <si>
    <t>193d.3</t>
  </si>
  <si>
    <t>193e.3</t>
  </si>
  <si>
    <t xml:space="preserve">Most ignitions were regarded as being accidental </t>
  </si>
  <si>
    <t>193c.4</t>
  </si>
  <si>
    <t>193d.4</t>
  </si>
  <si>
    <t>193e.4</t>
  </si>
  <si>
    <t>No evidence of stand-replacement fires were found at any study sites</t>
  </si>
  <si>
    <t>194a</t>
  </si>
  <si>
    <t>194b</t>
  </si>
  <si>
    <t>194c</t>
  </si>
  <si>
    <t>194d</t>
  </si>
  <si>
    <t>194e</t>
  </si>
  <si>
    <t>194a.1</t>
  </si>
  <si>
    <t>194a.5</t>
  </si>
  <si>
    <t>194b.5</t>
  </si>
  <si>
    <t>194c.5</t>
  </si>
  <si>
    <t>194d.5</t>
  </si>
  <si>
    <t>194e.5</t>
  </si>
  <si>
    <t>Burned area is estimated mean burned area per year (read from graph)</t>
  </si>
  <si>
    <t>Intensive land use had reduced fire return period by &gt;50%</t>
  </si>
  <si>
    <t>Grazing and extraction of fuelwood was negatively correlated with fire (-0.311, -0.206 respectively)</t>
  </si>
  <si>
    <t>Grazing was negatively correlated with fire (-0.311)</t>
  </si>
  <si>
    <t>Intensive land use had reduced fire return period by &gt;50%; logging was postively correlated with years since last fire (0.602, p &lt; 0.01)</t>
  </si>
  <si>
    <t>Logging was postively correlated with years since last fire (0.602, p &lt; 0.01)</t>
  </si>
  <si>
    <t>Varela 2018</t>
  </si>
  <si>
    <t>Location is centre of study area; study area is grazed area</t>
  </si>
  <si>
    <t>194a.2</t>
  </si>
  <si>
    <t>Targeted grazing to create fuel breaks; although a cheap and effective means of fire reduction, it did not remove the need for mechanical fire breaks</t>
  </si>
  <si>
    <t>Mechanically constructed fire breaks, made by removing vegetation</t>
  </si>
  <si>
    <t>Shephers were paid to graze; payments were based on fuel removal and the difficulty of the grazing location</t>
  </si>
  <si>
    <t>Secondary</t>
  </si>
  <si>
    <t>195a</t>
  </si>
  <si>
    <t>Ruiz-Mizaro 2012</t>
  </si>
  <si>
    <t>195b</t>
  </si>
  <si>
    <t>195c</t>
  </si>
  <si>
    <t>195d</t>
  </si>
  <si>
    <t>195e</t>
  </si>
  <si>
    <t>195f</t>
  </si>
  <si>
    <t>195g</t>
  </si>
  <si>
    <t>195h</t>
  </si>
  <si>
    <t>195i</t>
  </si>
  <si>
    <t>195j</t>
  </si>
  <si>
    <t>195k</t>
  </si>
  <si>
    <t>195l</t>
  </si>
  <si>
    <t>195m</t>
  </si>
  <si>
    <t>195n</t>
  </si>
  <si>
    <t>195o</t>
  </si>
  <si>
    <t>195p</t>
  </si>
  <si>
    <t>195q</t>
  </si>
  <si>
    <t>195r</t>
  </si>
  <si>
    <t>195s</t>
  </si>
  <si>
    <t>195t</t>
  </si>
  <si>
    <t>195u</t>
  </si>
  <si>
    <t>195v</t>
  </si>
  <si>
    <t>195w</t>
  </si>
  <si>
    <t>195x</t>
  </si>
  <si>
    <t>195y</t>
  </si>
  <si>
    <t>Cabo de Gata-Níjar</t>
  </si>
  <si>
    <t>Sierra María-Los Vélez</t>
  </si>
  <si>
    <t>Sierra de Grazalema</t>
  </si>
  <si>
    <t>Bahía de Cádiz</t>
  </si>
  <si>
    <t>Alcorncales</t>
  </si>
  <si>
    <t>Breña y Marismas de Barbate</t>
  </si>
  <si>
    <t>Parque Natural del Estrecho</t>
  </si>
  <si>
    <t>Sierra de Cardeña y Montoro</t>
  </si>
  <si>
    <t>Sierra de Hornachuelos</t>
  </si>
  <si>
    <t>Sierras Subbéticas</t>
  </si>
  <si>
    <t>Sierra Nevada National Park</t>
  </si>
  <si>
    <t>Sierra de Baza</t>
  </si>
  <si>
    <t>Sierra de Castril</t>
  </si>
  <si>
    <t>Sierra de Huétor</t>
  </si>
  <si>
    <t>All natural parks in the State of Andalusia (specific locations given in individual case studies)</t>
  </si>
  <si>
    <t>Parque Nacional de Doñana</t>
  </si>
  <si>
    <t>Sierra de Aracena</t>
  </si>
  <si>
    <t>Despeñaperros Natural Park</t>
  </si>
  <si>
    <t>Sierra de Andújar</t>
  </si>
  <si>
    <t>Sierras de Cazorla, Segura y Las Villas Natural Park</t>
  </si>
  <si>
    <t>Sierra Mágina Natural Park</t>
  </si>
  <si>
    <t>Montes de Malaga Natural Park</t>
  </si>
  <si>
    <t>Sierras de Tejeda, Almijara y Alhama Natural Park</t>
  </si>
  <si>
    <t>Sierra de las Nieves</t>
  </si>
  <si>
    <t>Sierra Norte</t>
  </si>
  <si>
    <t>195a.1</t>
  </si>
  <si>
    <t>195b.1</t>
  </si>
  <si>
    <t>195c.1</t>
  </si>
  <si>
    <t>195d.1</t>
  </si>
  <si>
    <t>195e.1</t>
  </si>
  <si>
    <t>195f.1</t>
  </si>
  <si>
    <t>195g.1</t>
  </si>
  <si>
    <t>195h.1</t>
  </si>
  <si>
    <t>195i.1</t>
  </si>
  <si>
    <t>195j.1</t>
  </si>
  <si>
    <t>195k.1</t>
  </si>
  <si>
    <t>195l.1</t>
  </si>
  <si>
    <t>195m.1</t>
  </si>
  <si>
    <t>195n.1</t>
  </si>
  <si>
    <t>195o.1</t>
  </si>
  <si>
    <t>195p.1</t>
  </si>
  <si>
    <t>195q.1</t>
  </si>
  <si>
    <t>195r.1</t>
  </si>
  <si>
    <t>195s.1</t>
  </si>
  <si>
    <t>195t.1</t>
  </si>
  <si>
    <t>195u.1</t>
  </si>
  <si>
    <t>195v.1</t>
  </si>
  <si>
    <t>195w.1</t>
  </si>
  <si>
    <t>195x.1</t>
  </si>
  <si>
    <t>195y.1</t>
  </si>
  <si>
    <t>Genin 2011</t>
  </si>
  <si>
    <t>196a</t>
  </si>
  <si>
    <t>Morocco</t>
  </si>
  <si>
    <t>Azilal</t>
  </si>
  <si>
    <t>Ait Bouguemez</t>
  </si>
  <si>
    <t>196b</t>
  </si>
  <si>
    <t>Inferred from management of fuel loads</t>
  </si>
  <si>
    <t>Essauira</t>
  </si>
  <si>
    <t>Imint'lit</t>
  </si>
  <si>
    <t>Traditional forestry was harvesting of wood for fuelwood and fodder</t>
  </si>
  <si>
    <t>196a.1</t>
  </si>
  <si>
    <t>196a.2</t>
  </si>
  <si>
    <t>196b.1</t>
  </si>
  <si>
    <t>196b.2</t>
  </si>
  <si>
    <t>The Agdal system involved a sophisticated array of local rules and enforcement regarding biomass harvesting from forests; the impact of the system had had a significant impact on the fuel loads and functional shape of the forest ecosystem</t>
  </si>
  <si>
    <t>197a</t>
  </si>
  <si>
    <t>Analysis of government fire data</t>
  </si>
  <si>
    <t>Sardinia</t>
  </si>
  <si>
    <t>Italy</t>
  </si>
  <si>
    <t>Land use cross-checked against Balestieri (2018); agroforestry primarily olive and citrus groves</t>
  </si>
  <si>
    <t>197a.1</t>
  </si>
  <si>
    <t>197a.2</t>
  </si>
  <si>
    <t>Predominant source of ignitions was residue burning</t>
  </si>
  <si>
    <t>197a.3</t>
  </si>
  <si>
    <t>Includes urban fires (206 p/a)</t>
  </si>
  <si>
    <t>197a.4</t>
  </si>
  <si>
    <t>197a.5</t>
  </si>
  <si>
    <t>Assumes permanently cropped area is agroforestry &amp; ignition distribution follows global pattern</t>
  </si>
  <si>
    <t>Assumes ignition temporal distribution follows global pattern</t>
  </si>
  <si>
    <t>197a.6</t>
  </si>
  <si>
    <t>197a.7</t>
  </si>
  <si>
    <t>Assumes ignition temporal distribution follows global pattern; values estimated as unclear land cover / AFT relationship</t>
  </si>
  <si>
    <t>Assumes permanently cropped area is agroforestry &amp; ignition distribution follows global pattern; values estimated as unclear land cover / AFT relationship</t>
  </si>
  <si>
    <t>Overall limited spread of fires "suggests that fire suppression is highly effective almost everywhere"</t>
  </si>
  <si>
    <t>Bajocco 2010</t>
  </si>
  <si>
    <t>Lind 2016</t>
  </si>
  <si>
    <t>198a</t>
  </si>
  <si>
    <t>Somali</t>
  </si>
  <si>
    <t>Charcoal production had led to large levels of deforestation</t>
  </si>
  <si>
    <t>198a.1</t>
  </si>
  <si>
    <t>198b</t>
  </si>
  <si>
    <t>Borana</t>
  </si>
  <si>
    <t>198b.1</t>
  </si>
  <si>
    <t>After the fire ban in the 1970s, enchroachment of woody plants had meant "fuel loads (were) far from being enough to trigger a fire. Pastoralists (had) no choice but to cut the bushes with (sic) axe."</t>
  </si>
  <si>
    <t>Policy of encouraging sedenterisation and uptake of cropping</t>
  </si>
  <si>
    <t>Karamoja</t>
  </si>
  <si>
    <t>198c</t>
  </si>
  <si>
    <t>Extractive forestry was biomass gathering for fire wood, typically by pastoralists</t>
  </si>
  <si>
    <t>198d</t>
  </si>
  <si>
    <t>South Sudan</t>
  </si>
  <si>
    <t>Bahr el Ghazal</t>
  </si>
  <si>
    <t>Extractive forestry was unlawful logging for timber exports and charcoal production</t>
  </si>
  <si>
    <t>198e</t>
  </si>
  <si>
    <t>199a</t>
  </si>
  <si>
    <t>Traditional forestry was hunting and gathering of bush NTFPs</t>
  </si>
  <si>
    <t>Velempini 2008</t>
  </si>
  <si>
    <t>Kgalagadi</t>
  </si>
  <si>
    <t>Khawa</t>
  </si>
  <si>
    <t>Study end date estimated from author description, described as "present day" by authors</t>
  </si>
  <si>
    <t>199a.1</t>
  </si>
  <si>
    <t>199a.2</t>
  </si>
  <si>
    <t>199a.3</t>
  </si>
  <si>
    <t>199a.4</t>
  </si>
  <si>
    <t>199a.5</t>
  </si>
  <si>
    <t>199a.6</t>
  </si>
  <si>
    <t>199a.7</t>
  </si>
  <si>
    <t>199a.8</t>
  </si>
  <si>
    <t>Fire was used, but there was "considerable reluctance" to discuss this due to official bans</t>
  </si>
  <si>
    <t>Fire was used, but there was "considerable reluctance" to discuss this due to official bans &amp; sanctions including prison</t>
  </si>
  <si>
    <t>Powell 1994, cited in Velempini 2008</t>
  </si>
  <si>
    <t>200a</t>
  </si>
  <si>
    <t>San homeland</t>
  </si>
  <si>
    <t>Location given is of former apartheid era Bantustan</t>
  </si>
  <si>
    <t>Traditional forestry was hunting of bush meat</t>
  </si>
  <si>
    <t>200a.1</t>
  </si>
  <si>
    <t>200a.2</t>
  </si>
  <si>
    <t>200a.3</t>
  </si>
  <si>
    <t>200a.4</t>
  </si>
  <si>
    <t>Fire used to "make the vegetation look good"</t>
  </si>
  <si>
    <t>143a.5</t>
  </si>
  <si>
    <t>Maximum patch size was 5ha, but often "multiple consecutive patches were ignited"; Fire count is mean reported fires p/a (48), divided by the vegetation sampling area (33km*11km); land cover burned based on fire return interval</t>
  </si>
  <si>
    <t>Pastoralism, Migratory</t>
  </si>
  <si>
    <t>Cropping, Agroecology</t>
  </si>
  <si>
    <t>Traditional forestry was hunting</t>
  </si>
  <si>
    <t>75f.2</t>
  </si>
  <si>
    <t>Study area only includes the Traditional cropland of the village</t>
  </si>
  <si>
    <t xml:space="preserve">PROCAMPO agrarian reforms established large Traditional forests; 'Other' category in land use classification means numbers do not sum to 100. </t>
  </si>
  <si>
    <t xml:space="preserve">Forestry to produce firewood and charcoal as cash commodities; land was Traditionally held between pastoralists, but increasingly irrigated agriculture around rivers was occupying previous rangelands. </t>
  </si>
  <si>
    <t xml:space="preserve">Farm size is for cropland - private rangelands were between 30-300ha; land tenure was principally Traditional, with increasing chunks being fenced off as private enclosure or commercial cropland. </t>
  </si>
  <si>
    <t>Proportion of Secondary Vegetation being prepared as cropland</t>
  </si>
  <si>
    <t>Divides overall amount burned (72%) over  3 years by the proportion of the land cover in Secondary Vegetation, and then multiplies by the amount of recurrent burning.</t>
  </si>
  <si>
    <t>Total BA is mean Secondary Vegetation cleared * number of farmers; fire return is fallow period + 2 years (usage duration reported).</t>
  </si>
  <si>
    <t>Fire return calculated as 1 / average percentage of swidden and Secondary Vegetation that was under cultivation.</t>
  </si>
  <si>
    <t>BA is fire return period (inferred from fallow) * %Secondary Vegetation (reported). Fire size from field size; return is fallow + 2,</t>
  </si>
  <si>
    <t>BA is fire return period (inferred from fallow) * %Secondary Vegetation (reported). Fire size from field size; return is fallow + 2</t>
  </si>
  <si>
    <t>Fire return calculated from proportion of Secondary Vegetation to cropland. Intended burned area based on land cover %.</t>
  </si>
  <si>
    <t>Increased acai agroforestry has reduced pressure on Secondary Vegetation and increased fallow length. An alternate pattern of burning in June is reported in the river delta.</t>
  </si>
  <si>
    <t>131a.12</t>
  </si>
  <si>
    <t>Fire return estimated from author categorisation of fine, medium and coarse mosaics with associated fire return periods (&lt;2, 3-10, 10+) fire size ranged from fine grained mosaic (with at least 3 patch transitions over a 2km straight line transect) to gun hunting fires of up to 20km.</t>
  </si>
  <si>
    <t>Fire data from remote sensing not included, but used to infer presence of either cyclical / deforestation fires from fire detection and landcover transition matrix</t>
  </si>
  <si>
    <t>Fire return is 4 years' cultivation + 8 years' fallow (both reported); intended burned area is intended % of chitemene burned (based on fire return period) * chitemene size * chitemene density; fire density based on chitemene density and fire return</t>
  </si>
  <si>
    <t xml:space="preserve">% residues burned * % area planted with rice; assumes market-oriented uses combine, and therefore burns (correlation between burning and combine  = 0.72); burned proportion is an average of 93% of combine harvested area. </t>
  </si>
  <si>
    <t xml:space="preserve">% residues burned * % area planted with wheat; assumes market-oriented uses combine, and therefore burns (correlation between burning and combine  = 0.85; burned proportion is an average of 92% of combine harvested area. </t>
  </si>
  <si>
    <t>RS data not included</t>
  </si>
  <si>
    <t>Tapajas-Arapiuns Extractive Reserve</t>
  </si>
  <si>
    <t>Licenses were technically required for burning</t>
  </si>
  <si>
    <t>Data is for post-monsoon rice crop; assumes residue fires burn ~ the field area in which they are grown</t>
  </si>
  <si>
    <t>9b.2</t>
  </si>
  <si>
    <t>9b.3</t>
  </si>
  <si>
    <t>84% of farmers reported burning their pasture annually to kill weeds (page 34). Pasture covered an average of 27% of farmers' land. Max fire size based on reported average operation size of 75ha, assuming one pasture fire on one plot.</t>
  </si>
  <si>
    <t>Johansson 2012</t>
  </si>
  <si>
    <t>Average fire size is based on a weighted average derived from the % of clearance attributed to different clearance size classes. The author's greater than 500ha clearance class likely involves some mechanical clearing without use of fire, but this will likely be offset by some very large clearances, e.g. &gt; 1500ha. Assumes 'large'(&gt;100ha) properties are intensive, and those &lt;100ha are mixed cattle / cropping smallholder farms.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</si>
</sst>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20">
    <font>
      <sz val="11"/>
      <color theme="1"/>
      <name val="Calibri"/>
      <family val="2"/>
      <scheme val="minor"/>
    </font>
    <font>
      <sz val="11"/>
      <color rgb="FFFF0000"/>
      <name val="Calibri"/>
      <family val="2"/>
      <scheme val="minor"/>
    </font>
    <font>
      <b/>
      <sz val="12"/>
      <color theme="1"/>
      <name val="Calibri"/>
      <family val="2"/>
      <scheme val="minor"/>
    </font>
    <font>
      <u/>
      <sz val="11"/>
      <color theme="10"/>
      <name val="Calibri"/>
      <family val="2"/>
      <scheme val="minor"/>
    </font>
    <font>
      <b/>
      <vertAlign val="superscript"/>
      <sz val="12"/>
      <color theme="1"/>
      <name val="Calibri"/>
      <family val="2"/>
      <scheme val="minor"/>
    </font>
    <font>
      <u/>
      <sz val="11"/>
      <color rgb="FFFF0000"/>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
      <b/>
      <sz val="11"/>
      <color theme="1"/>
      <name val="Calibri"/>
      <family val="2"/>
      <scheme val="minor"/>
    </font>
    <font>
      <i/>
      <sz val="11"/>
      <color rgb="FFFF0000"/>
      <name val="Calibri"/>
      <family val="2"/>
      <scheme val="minor"/>
    </font>
    <font>
      <sz val="11"/>
      <color rgb="FF222222"/>
      <name val="Arial"/>
      <family val="2"/>
    </font>
    <font>
      <sz val="11"/>
      <color rgb="FF000000"/>
      <name val="Calibri"/>
      <family val="2"/>
      <scheme val="minor"/>
    </font>
    <font>
      <sz val="11"/>
      <color rgb="FF212121"/>
      <name val="Calibri"/>
      <family val="2"/>
      <scheme val="minor"/>
    </font>
    <font>
      <b/>
      <sz val="11"/>
      <color rgb="FFFF0000"/>
      <name val="Calibri"/>
      <family val="2"/>
      <scheme val="minor"/>
    </font>
    <font>
      <sz val="11"/>
      <color theme="1"/>
      <name val="Calibri "/>
    </font>
    <font>
      <sz val="12"/>
      <color theme="1"/>
      <name val="Calibri"/>
      <family val="2"/>
      <scheme val="minor"/>
    </font>
    <font>
      <sz val="9"/>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3">
    <xf numFmtId="0" fontId="0" fillId="0" borderId="0" xfId="0"/>
    <xf numFmtId="0" fontId="2" fillId="0" borderId="1" xfId="0" applyFont="1" applyBorder="1"/>
    <xf numFmtId="0" fontId="2" fillId="0" borderId="2" xfId="0" applyFont="1" applyBorder="1"/>
    <xf numFmtId="0" fontId="2" fillId="0" borderId="3" xfId="0" applyFont="1" applyBorder="1"/>
    <xf numFmtId="0" fontId="0" fillId="0" borderId="4" xfId="0" applyBorder="1"/>
    <xf numFmtId="0" fontId="0" fillId="0" borderId="4" xfId="0" applyBorder="1" applyAlignment="1">
      <alignment wrapText="1"/>
    </xf>
    <xf numFmtId="0" fontId="0" fillId="0" borderId="5" xfId="0" applyBorder="1"/>
    <xf numFmtId="0" fontId="0" fillId="0" borderId="5" xfId="0" applyBorder="1" applyAlignment="1">
      <alignment wrapText="1"/>
    </xf>
    <xf numFmtId="0" fontId="3" fillId="0" borderId="5" xfId="1" applyBorder="1"/>
    <xf numFmtId="0" fontId="1" fillId="0" borderId="4" xfId="0" applyFont="1" applyBorder="1"/>
    <xf numFmtId="0" fontId="1" fillId="0" borderId="4" xfId="0" applyFont="1" applyBorder="1" applyAlignment="1">
      <alignment wrapText="1"/>
    </xf>
    <xf numFmtId="0" fontId="0" fillId="2" borderId="4" xfId="0" applyFont="1" applyFill="1" applyBorder="1" applyAlignment="1">
      <alignment wrapText="1"/>
    </xf>
    <xf numFmtId="0" fontId="0" fillId="0" borderId="4" xfId="0" applyFill="1" applyBorder="1"/>
    <xf numFmtId="0" fontId="0" fillId="2" borderId="4" xfId="0" applyFill="1" applyBorder="1"/>
    <xf numFmtId="2" fontId="0" fillId="0" borderId="0" xfId="0" applyNumberFormat="1"/>
    <xf numFmtId="164" fontId="0" fillId="0" borderId="0" xfId="0" applyNumberFormat="1"/>
    <xf numFmtId="0" fontId="2" fillId="0" borderId="2" xfId="0" applyFont="1" applyBorder="1" applyAlignment="1">
      <alignment wrapText="1"/>
    </xf>
    <xf numFmtId="0" fontId="2" fillId="0" borderId="3" xfId="0" applyFont="1" applyFill="1" applyBorder="1"/>
    <xf numFmtId="0" fontId="2" fillId="0" borderId="2" xfId="0" applyFont="1" applyFill="1" applyBorder="1"/>
    <xf numFmtId="0" fontId="0" fillId="0" borderId="4" xfId="0" quotePrefix="1" applyBorder="1" applyAlignment="1">
      <alignment wrapText="1"/>
    </xf>
    <xf numFmtId="0" fontId="0" fillId="0" borderId="4" xfId="0" applyFill="1" applyBorder="1" applyAlignment="1">
      <alignment wrapText="1"/>
    </xf>
    <xf numFmtId="0" fontId="1" fillId="0" borderId="4" xfId="0" applyFont="1" applyFill="1" applyBorder="1"/>
    <xf numFmtId="164" fontId="0" fillId="0" borderId="4" xfId="0" applyNumberFormat="1" applyBorder="1"/>
    <xf numFmtId="0" fontId="0" fillId="0" borderId="4" xfId="0" applyFont="1" applyBorder="1"/>
    <xf numFmtId="0" fontId="0" fillId="0" borderId="4" xfId="0" applyFont="1" applyFill="1" applyBorder="1"/>
    <xf numFmtId="0" fontId="0" fillId="0" borderId="4" xfId="0" applyFont="1" applyBorder="1" applyAlignment="1">
      <alignment wrapText="1"/>
    </xf>
    <xf numFmtId="164" fontId="0" fillId="0" borderId="5" xfId="0" applyNumberFormat="1" applyBorder="1"/>
    <xf numFmtId="0" fontId="0" fillId="0" borderId="4" xfId="0" applyFont="1" applyFill="1" applyBorder="1" applyAlignment="1">
      <alignment wrapText="1"/>
    </xf>
    <xf numFmtId="0" fontId="2" fillId="0" borderId="2" xfId="0" applyFont="1" applyFill="1" applyBorder="1" applyAlignment="1">
      <alignment wrapText="1"/>
    </xf>
    <xf numFmtId="0" fontId="0" fillId="0" borderId="4" xfId="1" applyFont="1" applyBorder="1"/>
    <xf numFmtId="0" fontId="0" fillId="0" borderId="4" xfId="1" applyFont="1" applyBorder="1" applyAlignment="1">
      <alignment wrapText="1"/>
    </xf>
    <xf numFmtId="0" fontId="0" fillId="0" borderId="4" xfId="1" applyFont="1" applyFill="1" applyBorder="1" applyAlignment="1">
      <alignment wrapText="1"/>
    </xf>
    <xf numFmtId="0" fontId="0" fillId="0" borderId="4" xfId="0" applyBorder="1" applyAlignment="1">
      <alignment horizontal="left"/>
    </xf>
    <xf numFmtId="0" fontId="0" fillId="0" borderId="6" xfId="0" applyBorder="1"/>
    <xf numFmtId="0" fontId="0" fillId="0" borderId="6" xfId="0" applyFill="1" applyBorder="1"/>
    <xf numFmtId="0" fontId="1" fillId="0" borderId="4" xfId="0" applyFont="1" applyFill="1" applyBorder="1" applyAlignment="1">
      <alignment wrapText="1"/>
    </xf>
    <xf numFmtId="0" fontId="0" fillId="0" borderId="7" xfId="0" applyFill="1" applyBorder="1"/>
    <xf numFmtId="0" fontId="0" fillId="0" borderId="7" xfId="0" applyFont="1" applyFill="1" applyBorder="1"/>
    <xf numFmtId="0" fontId="0" fillId="0" borderId="7" xfId="0" applyFont="1" applyBorder="1" applyAlignment="1">
      <alignment wrapText="1"/>
    </xf>
    <xf numFmtId="0" fontId="0" fillId="0" borderId="7" xfId="0" applyBorder="1"/>
    <xf numFmtId="0" fontId="0" fillId="0" borderId="4" xfId="0" quotePrefix="1" applyBorder="1"/>
    <xf numFmtId="0" fontId="3" fillId="0" borderId="4" xfId="1" applyBorder="1"/>
    <xf numFmtId="0" fontId="3" fillId="0" borderId="4" xfId="1" applyBorder="1" applyAlignment="1">
      <alignment wrapText="1"/>
    </xf>
    <xf numFmtId="0" fontId="0" fillId="0" borderId="5" xfId="1" applyFont="1" applyBorder="1"/>
    <xf numFmtId="0" fontId="0" fillId="0" borderId="4" xfId="1" applyFont="1" applyFill="1" applyBorder="1"/>
    <xf numFmtId="0" fontId="0" fillId="3" borderId="4" xfId="0" applyFill="1" applyBorder="1"/>
    <xf numFmtId="0" fontId="0" fillId="0" borderId="5" xfId="0" applyFill="1" applyBorder="1"/>
    <xf numFmtId="0" fontId="0" fillId="0" borderId="5" xfId="0" applyFont="1" applyFill="1" applyBorder="1"/>
    <xf numFmtId="0" fontId="0" fillId="0" borderId="8" xfId="0" applyBorder="1" applyAlignment="1">
      <alignment wrapText="1"/>
    </xf>
    <xf numFmtId="0" fontId="0" fillId="0" borderId="9" xfId="0" applyBorder="1" applyAlignment="1">
      <alignment wrapText="1"/>
    </xf>
    <xf numFmtId="0" fontId="0" fillId="0" borderId="9" xfId="0" applyFill="1" applyBorder="1" applyAlignment="1">
      <alignment wrapText="1"/>
    </xf>
    <xf numFmtId="0" fontId="0" fillId="0" borderId="9" xfId="0" applyFont="1" applyFill="1" applyBorder="1" applyAlignment="1">
      <alignment wrapText="1"/>
    </xf>
    <xf numFmtId="0" fontId="0" fillId="0" borderId="9" xfId="0" applyFont="1" applyFill="1" applyBorder="1"/>
    <xf numFmtId="0" fontId="0" fillId="0" borderId="9" xfId="0" applyBorder="1"/>
    <xf numFmtId="0" fontId="0" fillId="0" borderId="5" xfId="0" applyFill="1" applyBorder="1" applyAlignment="1">
      <alignment wrapText="1"/>
    </xf>
    <xf numFmtId="0" fontId="3" fillId="0" borderId="7" xfId="1" applyBorder="1"/>
    <xf numFmtId="0" fontId="0" fillId="0" borderId="7" xfId="0" applyFill="1" applyBorder="1" applyAlignment="1">
      <alignment wrapText="1"/>
    </xf>
    <xf numFmtId="0" fontId="0" fillId="0" borderId="6" xfId="0" applyFont="1" applyFill="1" applyBorder="1"/>
    <xf numFmtId="0" fontId="3" fillId="0" borderId="4" xfId="1" applyFill="1" applyBorder="1"/>
    <xf numFmtId="0" fontId="0" fillId="3" borderId="4" xfId="0" applyFill="1" applyBorder="1" applyAlignment="1">
      <alignment wrapText="1"/>
    </xf>
    <xf numFmtId="0" fontId="0" fillId="0" borderId="6" xfId="0" applyFont="1" applyFill="1" applyBorder="1" applyAlignment="1">
      <alignment wrapText="1"/>
    </xf>
    <xf numFmtId="0" fontId="0" fillId="0" borderId="0" xfId="0" applyAlignment="1">
      <alignment wrapText="1"/>
    </xf>
    <xf numFmtId="0" fontId="9" fillId="0" borderId="4" xfId="1" applyFont="1" applyBorder="1"/>
    <xf numFmtId="0" fontId="8" fillId="0" borderId="4" xfId="1" applyFont="1" applyBorder="1"/>
    <xf numFmtId="0" fontId="8" fillId="0" borderId="4" xfId="0" applyFont="1" applyBorder="1"/>
    <xf numFmtId="0" fontId="10" fillId="0" borderId="4" xfId="0" applyFont="1" applyFill="1" applyBorder="1"/>
    <xf numFmtId="0" fontId="1" fillId="3" borderId="6" xfId="0" applyFont="1" applyFill="1" applyBorder="1"/>
    <xf numFmtId="0" fontId="5" fillId="3" borderId="0" xfId="1" applyFont="1" applyFill="1"/>
    <xf numFmtId="0" fontId="0" fillId="3" borderId="0" xfId="0" applyFill="1"/>
    <xf numFmtId="0" fontId="0" fillId="3" borderId="6" xfId="0" applyFill="1" applyBorder="1"/>
    <xf numFmtId="0" fontId="0" fillId="3" borderId="4" xfId="0" applyFont="1" applyFill="1" applyBorder="1"/>
    <xf numFmtId="0" fontId="0" fillId="3" borderId="5" xfId="0" applyFill="1" applyBorder="1" applyAlignment="1">
      <alignment wrapText="1"/>
    </xf>
    <xf numFmtId="0" fontId="0" fillId="3" borderId="4" xfId="0" applyFont="1" applyFill="1" applyBorder="1" applyAlignment="1">
      <alignment wrapText="1"/>
    </xf>
    <xf numFmtId="0" fontId="2" fillId="0" borderId="3" xfId="0" applyFont="1" applyFill="1" applyBorder="1" applyAlignment="1">
      <alignment wrapText="1"/>
    </xf>
    <xf numFmtId="0" fontId="11" fillId="0" borderId="1" xfId="0" applyFont="1" applyBorder="1"/>
    <xf numFmtId="0" fontId="0" fillId="0" borderId="5" xfId="0" applyBorder="1" applyAlignment="1">
      <alignment horizontal="left"/>
    </xf>
    <xf numFmtId="164" fontId="2" fillId="0" borderId="2" xfId="0" applyNumberFormat="1" applyFont="1" applyBorder="1" applyAlignment="1">
      <alignment wrapText="1"/>
    </xf>
    <xf numFmtId="164" fontId="1" fillId="0" borderId="4" xfId="0" applyNumberFormat="1" applyFont="1" applyBorder="1"/>
    <xf numFmtId="164" fontId="0" fillId="3" borderId="4" xfId="0" applyNumberFormat="1" applyFill="1" applyBorder="1"/>
    <xf numFmtId="164" fontId="0" fillId="0" borderId="7" xfId="0" applyNumberFormat="1" applyBorder="1"/>
    <xf numFmtId="164" fontId="0" fillId="0" borderId="4" xfId="0" applyNumberFormat="1" applyFill="1" applyBorder="1"/>
    <xf numFmtId="164" fontId="0" fillId="3" borderId="0" xfId="0" applyNumberFormat="1" applyFill="1"/>
    <xf numFmtId="164" fontId="0" fillId="0" borderId="4" xfId="0" applyNumberFormat="1" applyBorder="1" applyAlignment="1">
      <alignment wrapText="1"/>
    </xf>
    <xf numFmtId="164" fontId="0" fillId="0" borderId="4" xfId="0" applyNumberFormat="1" applyFont="1" applyFill="1" applyBorder="1"/>
    <xf numFmtId="164" fontId="0" fillId="0" borderId="4" xfId="0" applyNumberFormat="1" applyFont="1" applyBorder="1"/>
    <xf numFmtId="0" fontId="0" fillId="3" borderId="5" xfId="0" applyFill="1" applyBorder="1"/>
    <xf numFmtId="0" fontId="1" fillId="3" borderId="4" xfId="0" applyFont="1" applyFill="1" applyBorder="1" applyAlignment="1">
      <alignment wrapText="1"/>
    </xf>
    <xf numFmtId="164" fontId="2" fillId="0" borderId="2" xfId="0" applyNumberFormat="1" applyFont="1" applyFill="1" applyBorder="1" applyAlignment="1">
      <alignment wrapText="1"/>
    </xf>
    <xf numFmtId="164" fontId="0" fillId="0" borderId="6" xfId="0" applyNumberFormat="1" applyFont="1" applyBorder="1"/>
    <xf numFmtId="164" fontId="0" fillId="0" borderId="4" xfId="0" applyNumberFormat="1" applyFill="1" applyBorder="1" applyAlignment="1">
      <alignment wrapText="1"/>
    </xf>
    <xf numFmtId="0" fontId="2" fillId="0" borderId="1" xfId="0" applyFont="1" applyBorder="1" applyAlignment="1">
      <alignment wrapText="1"/>
    </xf>
    <xf numFmtId="164" fontId="0" fillId="0" borderId="5" xfId="0" applyNumberFormat="1" applyBorder="1" applyAlignment="1">
      <alignment horizontal="right"/>
    </xf>
    <xf numFmtId="164" fontId="0" fillId="0" borderId="4" xfId="0" applyNumberFormat="1" applyBorder="1" applyAlignment="1">
      <alignment horizontal="right"/>
    </xf>
    <xf numFmtId="164" fontId="0" fillId="0" borderId="6" xfId="0" applyNumberFormat="1" applyBorder="1"/>
    <xf numFmtId="164" fontId="0" fillId="0" borderId="4" xfId="0" applyNumberFormat="1" applyFont="1" applyBorder="1" applyAlignment="1">
      <alignment wrapText="1"/>
    </xf>
    <xf numFmtId="164" fontId="0" fillId="2" borderId="4" xfId="0" applyNumberFormat="1" applyFill="1" applyBorder="1"/>
    <xf numFmtId="164" fontId="1" fillId="0" borderId="4" xfId="0" applyNumberFormat="1" applyFont="1" applyFill="1" applyBorder="1"/>
    <xf numFmtId="0" fontId="0" fillId="2" borderId="4" xfId="0" applyFill="1" applyBorder="1" applyAlignment="1">
      <alignment horizontal="left"/>
    </xf>
    <xf numFmtId="0" fontId="3" fillId="2" borderId="4" xfId="1" applyFill="1" applyBorder="1" applyAlignment="1">
      <alignment wrapText="1"/>
    </xf>
    <xf numFmtId="0" fontId="0" fillId="2" borderId="4" xfId="0" applyFill="1" applyBorder="1" applyAlignment="1">
      <alignment wrapText="1"/>
    </xf>
    <xf numFmtId="0" fontId="0" fillId="2" borderId="4" xfId="0" applyFont="1" applyFill="1" applyBorder="1"/>
    <xf numFmtId="1" fontId="0" fillId="0" borderId="4" xfId="0" applyNumberFormat="1" applyFill="1" applyBorder="1"/>
    <xf numFmtId="1" fontId="0" fillId="0" borderId="4" xfId="0" applyNumberFormat="1" applyBorder="1"/>
    <xf numFmtId="0" fontId="0" fillId="3" borderId="4" xfId="0" applyFill="1" applyBorder="1" applyAlignment="1">
      <alignment horizontal="left"/>
    </xf>
    <xf numFmtId="0" fontId="5" fillId="3" borderId="4" xfId="1" applyFont="1" applyFill="1" applyBorder="1"/>
    <xf numFmtId="0" fontId="1" fillId="3" borderId="4" xfId="0" applyFont="1" applyFill="1" applyBorder="1"/>
    <xf numFmtId="164" fontId="1" fillId="3" borderId="4" xfId="0" applyNumberFormat="1" applyFont="1" applyFill="1" applyBorder="1"/>
    <xf numFmtId="49" fontId="0" fillId="0" borderId="0" xfId="0" applyNumberFormat="1"/>
    <xf numFmtId="0" fontId="0" fillId="3" borderId="5" xfId="1" applyFont="1" applyFill="1" applyBorder="1"/>
    <xf numFmtId="164" fontId="0" fillId="0" borderId="5" xfId="0" applyNumberFormat="1" applyFont="1" applyBorder="1"/>
    <xf numFmtId="49" fontId="0" fillId="0" borderId="4" xfId="0" applyNumberFormat="1" applyBorder="1"/>
    <xf numFmtId="0" fontId="0" fillId="0" borderId="5" xfId="0" applyFont="1" applyBorder="1" applyAlignment="1">
      <alignment wrapText="1"/>
    </xf>
    <xf numFmtId="0" fontId="12" fillId="0" borderId="4" xfId="0" applyFont="1" applyFill="1" applyBorder="1" applyAlignment="1">
      <alignment wrapText="1"/>
    </xf>
    <xf numFmtId="0" fontId="0" fillId="0" borderId="4" xfId="0" applyFill="1" applyBorder="1" applyAlignment="1">
      <alignment horizontal="left"/>
    </xf>
    <xf numFmtId="49" fontId="2" fillId="0" borderId="2" xfId="0" applyNumberFormat="1" applyFont="1" applyBorder="1" applyAlignment="1">
      <alignment wrapText="1"/>
    </xf>
    <xf numFmtId="49" fontId="0" fillId="0" borderId="5" xfId="0" applyNumberFormat="1" applyFont="1" applyBorder="1"/>
    <xf numFmtId="49" fontId="0" fillId="0" borderId="4" xfId="0" applyNumberFormat="1" applyFont="1" applyBorder="1"/>
    <xf numFmtId="49" fontId="1" fillId="0" borderId="4" xfId="0" applyNumberFormat="1" applyFont="1" applyBorder="1"/>
    <xf numFmtId="49" fontId="0" fillId="0" borderId="7" xfId="0" applyNumberFormat="1" applyBorder="1"/>
    <xf numFmtId="49" fontId="0" fillId="0" borderId="4" xfId="0" applyNumberFormat="1" applyFill="1" applyBorder="1" applyAlignment="1">
      <alignment wrapText="1"/>
    </xf>
    <xf numFmtId="0" fontId="10" fillId="0" borderId="4" xfId="0" applyFont="1" applyBorder="1" applyAlignment="1">
      <alignment wrapText="1"/>
    </xf>
    <xf numFmtId="0" fontId="13" fillId="0" borderId="0" xfId="0" applyFont="1"/>
    <xf numFmtId="0" fontId="3" fillId="3" borderId="4" xfId="1" applyFill="1" applyBorder="1"/>
    <xf numFmtId="0" fontId="0" fillId="3" borderId="4" xfId="1" applyFont="1" applyFill="1" applyBorder="1"/>
    <xf numFmtId="0" fontId="0" fillId="0" borderId="10" xfId="0" applyBorder="1"/>
    <xf numFmtId="0" fontId="0" fillId="0" borderId="11" xfId="0" applyBorder="1"/>
    <xf numFmtId="0" fontId="0" fillId="0" borderId="12" xfId="0" applyBorder="1"/>
    <xf numFmtId="0" fontId="2" fillId="0" borderId="13" xfId="0" applyFont="1" applyBorder="1" applyAlignment="1">
      <alignment wrapText="1"/>
    </xf>
    <xf numFmtId="0" fontId="11" fillId="0" borderId="0" xfId="0" applyFont="1" applyBorder="1"/>
    <xf numFmtId="0" fontId="11" fillId="0" borderId="14" xfId="0" applyFont="1" applyBorder="1"/>
    <xf numFmtId="0" fontId="0" fillId="0" borderId="13" xfId="0"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49" fontId="0" fillId="0" borderId="10" xfId="0" applyNumberFormat="1" applyBorder="1"/>
    <xf numFmtId="49" fontId="2" fillId="0" borderId="13" xfId="0" applyNumberFormat="1" applyFont="1" applyBorder="1"/>
    <xf numFmtId="49" fontId="0" fillId="0" borderId="13" xfId="0" applyNumberFormat="1" applyBorder="1"/>
    <xf numFmtId="0" fontId="0" fillId="0" borderId="0" xfId="0" applyFill="1" applyBorder="1"/>
    <xf numFmtId="0" fontId="11" fillId="0" borderId="0" xfId="0" applyFont="1" applyFill="1" applyBorder="1"/>
    <xf numFmtId="0" fontId="2" fillId="0" borderId="0" xfId="0" applyFont="1" applyFill="1" applyBorder="1"/>
    <xf numFmtId="0" fontId="2" fillId="0" borderId="14" xfId="0" applyFont="1" applyBorder="1"/>
    <xf numFmtId="0" fontId="0" fillId="0" borderId="14" xfId="0" applyBorder="1" applyAlignment="1">
      <alignment wrapText="1"/>
    </xf>
    <xf numFmtId="49" fontId="0" fillId="0" borderId="0" xfId="0" applyNumberFormat="1" applyBorder="1"/>
    <xf numFmtId="0" fontId="11" fillId="0" borderId="13" xfId="0" applyFont="1" applyBorder="1"/>
    <xf numFmtId="0" fontId="0" fillId="0" borderId="0" xfId="0" applyBorder="1" applyAlignment="1">
      <alignment wrapText="1"/>
    </xf>
    <xf numFmtId="49" fontId="0" fillId="0" borderId="14" xfId="0" applyNumberFormat="1" applyBorder="1"/>
    <xf numFmtId="0" fontId="11" fillId="0" borderId="13" xfId="0" applyFont="1" applyBorder="1" applyAlignment="1">
      <alignment wrapText="1"/>
    </xf>
    <xf numFmtId="0" fontId="11" fillId="0" borderId="0" xfId="0" applyFont="1" applyBorder="1" applyAlignment="1">
      <alignment wrapText="1"/>
    </xf>
    <xf numFmtId="49" fontId="0" fillId="0" borderId="16" xfId="0" applyNumberFormat="1" applyBorder="1"/>
    <xf numFmtId="0" fontId="0" fillId="0" borderId="14" xfId="0" applyFill="1" applyBorder="1" applyAlignment="1">
      <alignment wrapText="1"/>
    </xf>
    <xf numFmtId="0" fontId="11" fillId="0" borderId="13" xfId="0" applyFont="1" applyFill="1" applyBorder="1"/>
    <xf numFmtId="0" fontId="10" fillId="0" borderId="4" xfId="0" applyFont="1" applyBorder="1"/>
    <xf numFmtId="0" fontId="0" fillId="0" borderId="0" xfId="0" applyFill="1" applyBorder="1" applyAlignment="1">
      <alignment wrapText="1"/>
    </xf>
    <xf numFmtId="0" fontId="0" fillId="0" borderId="4" xfId="0" applyBorder="1" applyProtection="1"/>
    <xf numFmtId="49" fontId="0" fillId="0" borderId="0" xfId="0" applyNumberFormat="1" applyFill="1" applyBorder="1"/>
    <xf numFmtId="0" fontId="0" fillId="0" borderId="4" xfId="0" applyBorder="1" applyAlignment="1" applyProtection="1">
      <alignment wrapText="1"/>
    </xf>
    <xf numFmtId="3" fontId="14" fillId="0" borderId="4" xfId="0" applyNumberFormat="1" applyFont="1" applyBorder="1"/>
    <xf numFmtId="0" fontId="15" fillId="0" borderId="4" xfId="0" applyFont="1" applyBorder="1"/>
    <xf numFmtId="0" fontId="0" fillId="0" borderId="6" xfId="0" applyFill="1" applyBorder="1" applyAlignment="1">
      <alignment wrapText="1"/>
    </xf>
    <xf numFmtId="0" fontId="0" fillId="0" borderId="4" xfId="0" applyFont="1" applyBorder="1" applyAlignment="1" applyProtection="1">
      <alignment wrapText="1"/>
    </xf>
    <xf numFmtId="0" fontId="0" fillId="0" borderId="18" xfId="0" applyFont="1" applyBorder="1"/>
    <xf numFmtId="0" fontId="0" fillId="0" borderId="4" xfId="0" applyFont="1" applyBorder="1" applyAlignment="1">
      <alignment horizontal="left"/>
    </xf>
    <xf numFmtId="0" fontId="9" fillId="0" borderId="4" xfId="1" applyFont="1" applyBorder="1" applyAlignment="1">
      <alignment wrapText="1"/>
    </xf>
    <xf numFmtId="0" fontId="0" fillId="0" borderId="5" xfId="0" applyFont="1" applyBorder="1" applyAlignment="1" applyProtection="1">
      <alignment wrapText="1"/>
    </xf>
    <xf numFmtId="3" fontId="0" fillId="0" borderId="4" xfId="0" applyNumberFormat="1" applyBorder="1"/>
    <xf numFmtId="0" fontId="16" fillId="0" borderId="0" xfId="0" applyFont="1" applyFill="1"/>
    <xf numFmtId="164" fontId="17" fillId="0" borderId="4" xfId="0" applyNumberFormat="1" applyFont="1" applyBorder="1"/>
    <xf numFmtId="2" fontId="0" fillId="0" borderId="4" xfId="0" applyNumberFormat="1" applyBorder="1"/>
    <xf numFmtId="165" fontId="0" fillId="0" borderId="4" xfId="0" applyNumberFormat="1" applyBorder="1"/>
    <xf numFmtId="0" fontId="18" fillId="0" borderId="4" xfId="0" applyFont="1" applyBorder="1" applyAlignment="1">
      <alignment wrapText="1"/>
    </xf>
    <xf numFmtId="0" fontId="16" fillId="0" borderId="4" xfId="0" applyFont="1" applyBorder="1"/>
    <xf numFmtId="164" fontId="0" fillId="0" borderId="0" xfId="0" applyNumberFormat="1" applyBorder="1"/>
    <xf numFmtId="0" fontId="12" fillId="0" borderId="4" xfId="0" applyFont="1" applyBorder="1"/>
    <xf numFmtId="0" fontId="12" fillId="0" borderId="4" xfId="0" applyFont="1" applyBorder="1" applyAlignment="1">
      <alignment wrapText="1"/>
    </xf>
    <xf numFmtId="164" fontId="12" fillId="0" borderId="4" xfId="0" applyNumberFormat="1" applyFont="1" applyBorder="1"/>
    <xf numFmtId="0" fontId="0" fillId="0" borderId="7" xfId="0" applyBorder="1" applyAlignment="1">
      <alignment wrapText="1"/>
    </xf>
    <xf numFmtId="10" fontId="0" fillId="0" borderId="4" xfId="0" applyNumberFormat="1" applyBorder="1" applyAlignment="1">
      <alignment wrapText="1"/>
    </xf>
    <xf numFmtId="0" fontId="0" fillId="0" borderId="7" xfId="0" applyFill="1" applyBorder="1" applyAlignment="1">
      <alignment horizontal="left"/>
    </xf>
    <xf numFmtId="0" fontId="0" fillId="0" borderId="4" xfId="0" applyFont="1" applyFill="1" applyBorder="1" applyAlignment="1">
      <alignment horizontal="left"/>
    </xf>
    <xf numFmtId="1" fontId="0" fillId="0" borderId="4" xfId="0" applyNumberFormat="1" applyFont="1" applyBorder="1"/>
    <xf numFmtId="0" fontId="10" fillId="0" borderId="0" xfId="0" applyFont="1" applyAlignment="1">
      <alignment wrapText="1"/>
    </xf>
    <xf numFmtId="1" fontId="0" fillId="0" borderId="4" xfId="0" applyNumberFormat="1" applyFont="1" applyFill="1" applyBorder="1"/>
    <xf numFmtId="0" fontId="0" fillId="0" borderId="4" xfId="0" applyFill="1" applyBorder="1" applyAlignment="1"/>
    <xf numFmtId="0" fontId="0" fillId="0" borderId="4" xfId="0" applyBorder="1" applyAlignment="1"/>
    <xf numFmtId="164" fontId="0" fillId="0" borderId="18" xfId="0" applyNumberFormat="1" applyBorder="1"/>
    <xf numFmtId="0" fontId="0" fillId="0" borderId="18" xfId="0" applyBorder="1"/>
    <xf numFmtId="0" fontId="14" fillId="0" borderId="4" xfId="0" applyFont="1" applyBorder="1"/>
    <xf numFmtId="0" fontId="19" fillId="0" borderId="4" xfId="0" applyFont="1" applyBorder="1"/>
    <xf numFmtId="164" fontId="0" fillId="0" borderId="4" xfId="0" applyNumberFormat="1" applyFont="1" applyFill="1" applyBorder="1" applyAlignment="1">
      <alignment wrapText="1"/>
    </xf>
    <xf numFmtId="0" fontId="1" fillId="0" borderId="5" xfId="0" applyFont="1" applyBorder="1" applyAlignment="1">
      <alignment wrapText="1"/>
    </xf>
    <xf numFmtId="0" fontId="0" fillId="0" borderId="6" xfId="0" applyBorder="1" applyAlignment="1">
      <alignment wrapText="1"/>
    </xf>
  </cellXfs>
  <cellStyles count="2">
    <cellStyle name="Hyperlink" xfId="1" builtinId="8"/>
    <cellStyle name="Normal" xfId="0" builtinId="0"/>
  </cellStyles>
  <dxfs count="30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ciencedirect.com/science/article/pii/S0921800919305191" TargetMode="External"/><Relationship Id="rId299" Type="http://schemas.openxmlformats.org/officeDocument/2006/relationships/hyperlink" Target="http://www.sandeeonline.org/uploads/documents/publication/1103_PUB_WP_117_Prabath.pdf" TargetMode="External"/><Relationship Id="rId21" Type="http://schemas.openxmlformats.org/officeDocument/2006/relationships/hyperlink" Target="https://doi.org/10.14989/68482" TargetMode="External"/><Relationship Id="rId63" Type="http://schemas.openxmlformats.org/officeDocument/2006/relationships/hyperlink" Target="https://www.tandfonline.com/doi/full/10.1080/08941920.2013.820813" TargetMode="External"/><Relationship Id="rId159" Type="http://schemas.openxmlformats.org/officeDocument/2006/relationships/hyperlink" Target="https://bioone.org/journals/Mountain-Research-and-Development/volume-25/issue-4/0276-4741(2005)025%5b0365:FADASD%5d2.0.CO;2/Fallow-Agroecosystem-Dynamics-and-Socioeconomic-Development-in-China/10.1659/0276-4741(2005)025%5b0365:FADASD%5d2.0.CO;2.full" TargetMode="External"/><Relationship Id="rId324" Type="http://schemas.openxmlformats.org/officeDocument/2006/relationships/hyperlink" Target="https://doi.org/10.1007/s13280-018-1118-8" TargetMode="External"/><Relationship Id="rId366" Type="http://schemas.openxmlformats.org/officeDocument/2006/relationships/hyperlink" Target="https://www.jstor.org/stable/1478888" TargetMode="External"/><Relationship Id="rId531" Type="http://schemas.openxmlformats.org/officeDocument/2006/relationships/hyperlink" Target="https://www.researchgate.net/publication/334363169" TargetMode="External"/><Relationship Id="rId170" Type="http://schemas.openxmlformats.org/officeDocument/2006/relationships/hyperlink" Target="https://onlinelibrary.wiley.com/doi/abs/10.1111/1467-8306.00281" TargetMode="External"/><Relationship Id="rId226" Type="http://schemas.openxmlformats.org/officeDocument/2006/relationships/hyperlink" Target="https://www.tandfonline.com/doi/full/10.1080/08941920.2013.820813" TargetMode="External"/><Relationship Id="rId433" Type="http://schemas.openxmlformats.org/officeDocument/2006/relationships/hyperlink" Target="https://www.scirp.org/journal/paperinformation.aspx?paperid=27362" TargetMode="External"/><Relationship Id="rId268" Type="http://schemas.openxmlformats.org/officeDocument/2006/relationships/hyperlink" Target="https://www.researchgate.net/profile/Unna_Chokkalingam/publication/263852218_Fire_use_peatland_transformation_and_local_livelihoods_A_case_of_positive_reinforcement/links/00b4953c2697686448000000.pdf" TargetMode="External"/><Relationship Id="rId475" Type="http://schemas.openxmlformats.org/officeDocument/2006/relationships/hyperlink" Target="https://onlinelibrary.wiley.com/doi/abs/10.1002/ldr.777" TargetMode="External"/><Relationship Id="rId32" Type="http://schemas.openxmlformats.org/officeDocument/2006/relationships/hyperlink" Target="https://doi.org/10.14989/68482" TargetMode="External"/><Relationship Id="rId74" Type="http://schemas.openxmlformats.org/officeDocument/2006/relationships/hyperlink" Target="https://www.tandfonline.com/doi/full/10.1080/08941920.2013.820813" TargetMode="External"/><Relationship Id="rId128" Type="http://schemas.openxmlformats.org/officeDocument/2006/relationships/hyperlink" Target="http://oar.icrisat.org/6779/1/EPW_33_39_A163-A168_1998.pdf" TargetMode="External"/><Relationship Id="rId335"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77" Type="http://schemas.openxmlformats.org/officeDocument/2006/relationships/hyperlink" Target="https://www.sciencedirect.com/science/article/pii/S0743016717312287" TargetMode="External"/><Relationship Id="rId500" Type="http://schemas.openxmlformats.org/officeDocument/2006/relationships/hyperlink" Target="https://www.sciencedirect.com/science/article/pii/S0301479711004701?via%3Dihub" TargetMode="External"/><Relationship Id="rId5" Type="http://schemas.openxmlformats.org/officeDocument/2006/relationships/hyperlink" Target="https://doi.org/10.14989/68482" TargetMode="External"/><Relationship Id="rId181" Type="http://schemas.openxmlformats.org/officeDocument/2006/relationships/hyperlink" Target="https://doi.org/10.14989/68482" TargetMode="External"/><Relationship Id="rId237" Type="http://schemas.openxmlformats.org/officeDocument/2006/relationships/hyperlink" Target="https://www.academia.edu/32394422/Animal_traction_and_market_conditions_a_case_study_from_south-western_Tanzania_and_northern_Zambia" TargetMode="External"/><Relationship Id="rId402" Type="http://schemas.openxmlformats.org/officeDocument/2006/relationships/hyperlink" Target="https://www.semanticscholar.org/paper/PASTORALISM-AND-VIOLENCE-IN-NORTHERN-GHANA%3A-AND-Abubakari/bd1bbba241bc9ad9c82a37d1e9a8aba8e67de9c8" TargetMode="External"/><Relationship Id="rId279" Type="http://schemas.openxmlformats.org/officeDocument/2006/relationships/hyperlink" Target="https://www.researchgate.net/publication/328162058_innovations_in_shifting_cultivation_land_use_and_Land_Cover_Change_in_Higher_Elevations_of_Meghalaya_India" TargetMode="External"/><Relationship Id="rId444" Type="http://schemas.openxmlformats.org/officeDocument/2006/relationships/hyperlink" Target="https://www.sciencedirect.com/science/article/pii/S0167880911000405" TargetMode="External"/><Relationship Id="rId486" Type="http://schemas.openxmlformats.org/officeDocument/2006/relationships/hyperlink" Target="https://link.springer.com/article/10.1007/s10806-016-9613-z" TargetMode="External"/><Relationship Id="rId43" Type="http://schemas.openxmlformats.org/officeDocument/2006/relationships/hyperlink" Target="https://doi.org/10.14989/68482" TargetMode="External"/><Relationship Id="rId139" Type="http://schemas.openxmlformats.org/officeDocument/2006/relationships/hyperlink" Target="https://www.eastwestcenter.org/publications/farming-fire-and-water-human-ecology-composite-swiddening-community-vietnams-northern-m" TargetMode="External"/><Relationship Id="rId290" Type="http://schemas.openxmlformats.org/officeDocument/2006/relationships/hyperlink" Target="https://rgs-ibg.onlinelibrary.wiley.com/doi/abs/10.1111/geoj.12255" TargetMode="External"/><Relationship Id="rId304" Type="http://schemas.openxmlformats.org/officeDocument/2006/relationships/hyperlink" Target="https://www.sciencedirect.com/science/article/pii/S0301479706000557" TargetMode="External"/><Relationship Id="rId346"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88" Type="http://schemas.openxmlformats.org/officeDocument/2006/relationships/hyperlink" Target="http://www.conservationandsociety.org/article.asp?issn=0972-4923;year=2006;volume=4;issue=2;spage=231;epage=261;aulast=Kaufmann" TargetMode="External"/><Relationship Id="rId511" Type="http://schemas.openxmlformats.org/officeDocument/2006/relationships/hyperlink" Target="https://www.sciencedirect.com/science/article/pii/S0301479711004701?via%3Dihub" TargetMode="External"/><Relationship Id="rId85" Type="http://schemas.openxmlformats.org/officeDocument/2006/relationships/hyperlink" Target="https://www.tandfonline.com/doi/full/10.1080/08941920.2013.820813" TargetMode="External"/><Relationship Id="rId150" Type="http://schemas.openxmlformats.org/officeDocument/2006/relationships/hyperlink" Target="https://www.ecologyandsociety.org/vol14/iss2/art20/" TargetMode="External"/><Relationship Id="rId192" Type="http://schemas.openxmlformats.org/officeDocument/2006/relationships/hyperlink" Target="https://doi.org/10.1080/00167223.1997.10649396" TargetMode="External"/><Relationship Id="rId206" Type="http://schemas.openxmlformats.org/officeDocument/2006/relationships/hyperlink" Target="http://www.mekonginfo.org/assets/midocs/0002876-environment-land-policy-and-farming-practices-in-laos.pdf" TargetMode="External"/><Relationship Id="rId413" Type="http://schemas.openxmlformats.org/officeDocument/2006/relationships/hyperlink" Target="https://esajournals.onlinelibrary.wiley.com/doi/abs/10.1890/1051-0761(2000)010%5B1318:TROMNP%5D2.0.CO%3B2" TargetMode="External"/><Relationship Id="rId248" Type="http://schemas.openxmlformats.org/officeDocument/2006/relationships/hyperlink" Target="https://www.sciencedirect.com/science/article/pii/S0921800906000784" TargetMode="External"/><Relationship Id="rId455" Type="http://schemas.openxmlformats.org/officeDocument/2006/relationships/hyperlink" Target="https://esajournals.onlinelibrary.wiley.com/doi/full/10.1890/120344" TargetMode="External"/><Relationship Id="rId497" Type="http://schemas.openxmlformats.org/officeDocument/2006/relationships/hyperlink" Target="https://link.springer.com/article/10.1007/s10021-013-9673-0" TargetMode="External"/><Relationship Id="rId12" Type="http://schemas.openxmlformats.org/officeDocument/2006/relationships/hyperlink" Target="https://doi.org/10.14989/68482" TargetMode="External"/><Relationship Id="rId108" Type="http://schemas.openxmlformats.org/officeDocument/2006/relationships/hyperlink" Target="https://www.tandfonline.com/doi/full/10.1080/08941920.2013.820813" TargetMode="External"/><Relationship Id="rId315" Type="http://schemas.openxmlformats.org/officeDocument/2006/relationships/hyperlink" Target="https://www.sciencedirect.com/science/article/pii/S0743016716305022" TargetMode="External"/><Relationship Id="rId357" Type="http://schemas.openxmlformats.org/officeDocument/2006/relationships/hyperlink" Target="https://pubmed.ncbi.nlm.nih.gov/15748801/" TargetMode="External"/><Relationship Id="rId522" Type="http://schemas.openxmlformats.org/officeDocument/2006/relationships/hyperlink" Target="https://www.sciencedirect.com/science/article/pii/S0301479711004701?via%3Dihub" TargetMode="External"/><Relationship Id="rId54" Type="http://schemas.openxmlformats.org/officeDocument/2006/relationships/hyperlink" Target="http://lad.nafri.org.la/fulltext/231-0.pdf" TargetMode="External"/><Relationship Id="rId96" Type="http://schemas.openxmlformats.org/officeDocument/2006/relationships/hyperlink" Target="https://www.tandfonline.com/doi/full/10.1080/08941920.2013.820813" TargetMode="External"/><Relationship Id="rId161" Type="http://schemas.openxmlformats.org/officeDocument/2006/relationships/hyperlink" Target="https://www.researchgate.net/publication/275523335_Land_for_My_Grandchildren_Land_Use_and_Tenure_Change_in_Ratanakiri_1989-2007" TargetMode="External"/><Relationship Id="rId217" Type="http://schemas.openxmlformats.org/officeDocument/2006/relationships/hyperlink" Target="https://onlinelibrary.wiley.com/doi/abs/10.2307/1242114" TargetMode="External"/><Relationship Id="rId399" Type="http://schemas.openxmlformats.org/officeDocument/2006/relationships/hyperlink" Target="https://pastoralismjournal.springeropen.com/articles/10.1186/s13570-018-0115-7" TargetMode="External"/><Relationship Id="rId259" Type="http://schemas.openxmlformats.org/officeDocument/2006/relationships/hyperlink" Target="https://www.sciencedirect.com/science/article/pii/S0921800919305191" TargetMode="External"/><Relationship Id="rId424" Type="http://schemas.openxmlformats.org/officeDocument/2006/relationships/hyperlink" Target="https://www.jstor.org/stable/23531890" TargetMode="External"/><Relationship Id="rId466" Type="http://schemas.openxmlformats.org/officeDocument/2006/relationships/hyperlink" Target="https://fireecology.springeropen.com/articles/10.4996/fireecology.0701057" TargetMode="External"/><Relationship Id="rId23" Type="http://schemas.openxmlformats.org/officeDocument/2006/relationships/hyperlink" Target="https://doi.org/10.14989/68482" TargetMode="External"/><Relationship Id="rId119" Type="http://schemas.openxmlformats.org/officeDocument/2006/relationships/hyperlink" Target="https://www.sciencedirect.com/science/article/pii/S0921800919305191" TargetMode="External"/><Relationship Id="rId270" Type="http://schemas.openxmlformats.org/officeDocument/2006/relationships/hyperlink" Target="https://link.springer.com/article/10.1007/s10980-007-9123-5" TargetMode="External"/><Relationship Id="rId326" Type="http://schemas.openxmlformats.org/officeDocument/2006/relationships/hyperlink" Target="https://www.researchgate.net/publication/257015511_Agrobiodiversity_performance_in_contrasting_island_environments_The_case_of_shifting_cultivation_in_Vanuatu_Pacific" TargetMode="External"/><Relationship Id="rId533" Type="http://schemas.openxmlformats.org/officeDocument/2006/relationships/hyperlink" Target="http://www.jstor.com/stable/41236635" TargetMode="External"/><Relationship Id="rId65" Type="http://schemas.openxmlformats.org/officeDocument/2006/relationships/hyperlink" Target="https://www.tandfonline.com/doi/full/10.1080/08941920.2013.820813" TargetMode="External"/><Relationship Id="rId130" Type="http://schemas.openxmlformats.org/officeDocument/2006/relationships/hyperlink" Target="http://oar.icrisat.org/6779/1/EPW_33_39_A163-A168_1998.pdf" TargetMode="External"/><Relationship Id="rId368" Type="http://schemas.openxmlformats.org/officeDocument/2006/relationships/hyperlink" Target="http://digilib.buse.ac.zw:8080/xmlui/handle/11196/1853" TargetMode="External"/><Relationship Id="rId172" Type="http://schemas.openxmlformats.org/officeDocument/2006/relationships/hyperlink" Target="http://www.ecologyandsociety.org/vol13/iss2/art2/" TargetMode="External"/><Relationship Id="rId228" Type="http://schemas.openxmlformats.org/officeDocument/2006/relationships/hyperlink" Target="https://doi.org/%2010.1371/journal.pone.0181092" TargetMode="External"/><Relationship Id="rId435" Type="http://schemas.openxmlformats.org/officeDocument/2006/relationships/hyperlink" Target="https://www.sciencedirect.com/science/article/pii/S0167880911000405" TargetMode="External"/><Relationship Id="rId477" Type="http://schemas.openxmlformats.org/officeDocument/2006/relationships/hyperlink" Target="https://www.jstor.org/stable/43123720" TargetMode="External"/><Relationship Id="rId281" Type="http://schemas.openxmlformats.org/officeDocument/2006/relationships/hyperlink" Target="https://onlinelibrary.wiley.com/doi/abs/10.1002/ldr.3018" TargetMode="External"/><Relationship Id="rId337"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502" Type="http://schemas.openxmlformats.org/officeDocument/2006/relationships/hyperlink" Target="https://www.sciencedirect.com/science/article/pii/S0301479711004701?via%3Dihub" TargetMode="External"/><Relationship Id="rId34" Type="http://schemas.openxmlformats.org/officeDocument/2006/relationships/hyperlink" Target="https://doi.org/10.14989/68482" TargetMode="External"/><Relationship Id="rId76" Type="http://schemas.openxmlformats.org/officeDocument/2006/relationships/hyperlink" Target="https://www.tandfonline.com/doi/full/10.1080/08941920.2013.820813" TargetMode="External"/><Relationship Id="rId141" Type="http://schemas.openxmlformats.org/officeDocument/2006/relationships/hyperlink" Target="https://science.sciencemag.org/content/292/5518/859.full" TargetMode="External"/><Relationship Id="rId379" Type="http://schemas.openxmlformats.org/officeDocument/2006/relationships/hyperlink" Target="https://rgs-ibg.onlinelibrary.wiley.com/doi/abs/10.1111/geoj.12245" TargetMode="External"/><Relationship Id="rId7" Type="http://schemas.openxmlformats.org/officeDocument/2006/relationships/hyperlink" Target="https://doi.org/10.14989/68482" TargetMode="External"/><Relationship Id="rId183" Type="http://schemas.openxmlformats.org/officeDocument/2006/relationships/hyperlink" Target="https://www.sciencedirect.com/science/article/pii/S0143622807000252" TargetMode="External"/><Relationship Id="rId239" Type="http://schemas.openxmlformats.org/officeDocument/2006/relationships/hyperlink" Target="http://files.webb.uu.se/uploader/858/MFS-107norrlund-lina-brus-linda.pdf" TargetMode="External"/><Relationship Id="rId390" Type="http://schemas.openxmlformats.org/officeDocument/2006/relationships/hyperlink" Target="https://link.springer.com/article/10.1023/A:1018753216660" TargetMode="External"/><Relationship Id="rId404" Type="http://schemas.openxmlformats.org/officeDocument/2006/relationships/hyperlink" Target="https://link.springer.com/article/10.1007%2Fs10668-014-9515-z" TargetMode="External"/><Relationship Id="rId446" Type="http://schemas.openxmlformats.org/officeDocument/2006/relationships/hyperlink" Target="https://link.springer.com/article/10.1007/s00267-020-01265-w" TargetMode="External"/><Relationship Id="rId250" Type="http://schemas.openxmlformats.org/officeDocument/2006/relationships/hyperlink" Target="https://iopscience.iop.org/article/10.1088/2515-7620/ab056c" TargetMode="External"/><Relationship Id="rId292" Type="http://schemas.openxmlformats.org/officeDocument/2006/relationships/hyperlink" Target="https://www.researchgate.net/publication/222693814_Effects_of_ground_fires_on_understorey_bird_assemblages_in_Amazonian_forests?enrichId=rgreq-01c85790faf16657234601fdde9177a2-XXX&amp;enrichSource=Y292ZXJQYWdlOzIyMjY5MzgxNDtBUzo1NTIzMzUxNDA4MjMwNDBAMTUwODY5ODM2NzIyOQ%3D%3D&amp;el=1_x_2&amp;_esc=publicationCoverPdf" TargetMode="External"/><Relationship Id="rId306" Type="http://schemas.openxmlformats.org/officeDocument/2006/relationships/hyperlink" Target="https://www.sciencedirect.com/science/article/pii/S0301479706000557" TargetMode="External"/><Relationship Id="rId488" Type="http://schemas.openxmlformats.org/officeDocument/2006/relationships/hyperlink" Target="https://onlinelibrary.wiley.com/doi/abs/10.1111/j.1365-2028.2008.01051.x" TargetMode="External"/><Relationship Id="rId45" Type="http://schemas.openxmlformats.org/officeDocument/2006/relationships/hyperlink" Target="https://doi.org/10.14989/68482" TargetMode="External"/><Relationship Id="rId87" Type="http://schemas.openxmlformats.org/officeDocument/2006/relationships/hyperlink" Target="https://www.tandfonline.com/doi/full/10.1080/08941920.2013.820813" TargetMode="External"/><Relationship Id="rId110" Type="http://schemas.openxmlformats.org/officeDocument/2006/relationships/hyperlink" Target="https://www.nature.com/articles/19066" TargetMode="External"/><Relationship Id="rId348" Type="http://schemas.openxmlformats.org/officeDocument/2006/relationships/hyperlink" Target="https://doi.org/10.1080/08941920.2012.713087" TargetMode="External"/><Relationship Id="rId513" Type="http://schemas.openxmlformats.org/officeDocument/2006/relationships/hyperlink" Target="https://www.sciencedirect.com/science/article/pii/S0301479711004701?via%3Dihub" TargetMode="External"/><Relationship Id="rId152" Type="http://schemas.openxmlformats.org/officeDocument/2006/relationships/hyperlink" Target="https://link.springer.com/article/10.1007/s10745-009-9240-7" TargetMode="External"/><Relationship Id="rId194" Type="http://schemas.openxmlformats.org/officeDocument/2006/relationships/hyperlink" Target="..\..\..\..\Downloads\A_socio-economic_analysis_of_rice_produc%20(1).pdf" TargetMode="External"/><Relationship Id="rId208" Type="http://schemas.openxmlformats.org/officeDocument/2006/relationships/hyperlink" Target="https://onlinelibrary.wiley.com/doi/full/10.1111/wre.12053" TargetMode="External"/><Relationship Id="rId415" Type="http://schemas.openxmlformats.org/officeDocument/2006/relationships/hyperlink" Target="https://esajournals.onlinelibrary.wiley.com/doi/abs/10.1890/1051-0761(2000)010%5B1318:TROMNP%5D2.0.CO%3B2" TargetMode="External"/><Relationship Id="rId457" Type="http://schemas.openxmlformats.org/officeDocument/2006/relationships/hyperlink" Target="https://esajournals.onlinelibrary.wiley.com/doi/full/10.1890/120344" TargetMode="External"/><Relationship Id="rId261" Type="http://schemas.openxmlformats.org/officeDocument/2006/relationships/hyperlink" Target="https://link.springer.com/book/10.1007%2F978-81-322-2014-5" TargetMode="External"/><Relationship Id="rId499" Type="http://schemas.openxmlformats.org/officeDocument/2006/relationships/hyperlink" Target="https://www.sciencedirect.com/science/article/pii/S0301479711004701?via%3Dihub" TargetMode="External"/><Relationship Id="rId14" Type="http://schemas.openxmlformats.org/officeDocument/2006/relationships/hyperlink" Target="https://doi.org/10.14989/68482" TargetMode="External"/><Relationship Id="rId56" Type="http://schemas.openxmlformats.org/officeDocument/2006/relationships/hyperlink" Target="https://papers.ssrn.com/sol3/papers.cfm?abstract_id=2408859" TargetMode="External"/><Relationship Id="rId317" Type="http://schemas.openxmlformats.org/officeDocument/2006/relationships/hyperlink" Target="https://era.ed.ac.uk/handle/1842/36538?show=full" TargetMode="External"/><Relationship Id="rId359" Type="http://schemas.openxmlformats.org/officeDocument/2006/relationships/hyperlink" Target="https://link.springer.com/article/10.1007/s10745-007-9156-z" TargetMode="External"/><Relationship Id="rId524" Type="http://schemas.openxmlformats.org/officeDocument/2006/relationships/hyperlink" Target="https://hal-amu.archives-ouvertes.fr/hal-02100603/document" TargetMode="External"/><Relationship Id="rId98" Type="http://schemas.openxmlformats.org/officeDocument/2006/relationships/hyperlink" Target="https://www.tandfonline.com/doi/full/10.1080/08941920.2013.820813" TargetMode="External"/><Relationship Id="rId121" Type="http://schemas.openxmlformats.org/officeDocument/2006/relationships/hyperlink" Target="https://www.sciencedirect.com/science/article/pii/S0921800919305191" TargetMode="External"/><Relationship Id="rId163" Type="http://schemas.openxmlformats.org/officeDocument/2006/relationships/hyperlink" Target="doi:10.1016/j.apgeog.2004.03.004" TargetMode="External"/><Relationship Id="rId219" Type="http://schemas.openxmlformats.org/officeDocument/2006/relationships/hyperlink" Target="https://onlinelibrary.wiley.com/doi/abs/10.2307/1242114" TargetMode="External"/><Relationship Id="rId370" Type="http://schemas.openxmlformats.org/officeDocument/2006/relationships/hyperlink" Target="https://www.publish.csiro.au/wf/wf07067" TargetMode="External"/><Relationship Id="rId426" Type="http://schemas.openxmlformats.org/officeDocument/2006/relationships/hyperlink" Target="https://link.springer.com/article/10.1007/s40974-016-0050-7" TargetMode="External"/><Relationship Id="rId230" Type="http://schemas.openxmlformats.org/officeDocument/2006/relationships/hyperlink" Target="http://www.conservationandsociety.org/article.asp?issn=0972-4923;year=2006;volume=4;issue=2;spage=287;epage=303;aulast=Hume" TargetMode="External"/><Relationship Id="rId251" Type="http://schemas.openxmlformats.org/officeDocument/2006/relationships/hyperlink" Target="https://link.springer.com/content/pdf/10.1007%2Fs10457-006-0003-9.pdf" TargetMode="External"/><Relationship Id="rId468" Type="http://schemas.openxmlformats.org/officeDocument/2006/relationships/hyperlink" Target="https://fireecology.springeropen.com/articles/10.4996/fireecology.0701057" TargetMode="External"/><Relationship Id="rId489" Type="http://schemas.openxmlformats.org/officeDocument/2006/relationships/hyperlink" Target="https://onlinelibrary.wiley.com/doi/abs/10.1111/j.1365-2028.2008.01051.x" TargetMode="External"/><Relationship Id="rId25" Type="http://schemas.openxmlformats.org/officeDocument/2006/relationships/hyperlink" Target="https://doi.org/10.14989/68482" TargetMode="External"/><Relationship Id="rId46" Type="http://schemas.openxmlformats.org/officeDocument/2006/relationships/hyperlink" Target="https://doi.org/10.14989/68482" TargetMode="External"/><Relationship Id="rId67" Type="http://schemas.openxmlformats.org/officeDocument/2006/relationships/hyperlink" Target="https://www.tandfonline.com/doi/full/10.1080/08941920.2013.820813" TargetMode="External"/><Relationship Id="rId272" Type="http://schemas.openxmlformats.org/officeDocument/2006/relationships/hyperlink" Target="https://link.springer.com/article/10.1007/s10457-011-9469-1" TargetMode="External"/><Relationship Id="rId293" Type="http://schemas.openxmlformats.org/officeDocument/2006/relationships/hyperlink" Target="https://rgs-ibg.onlinelibrary.wiley.com/doi/abs/10.1111/j.1475-4959.2011.00447.x" TargetMode="External"/><Relationship Id="rId307" Type="http://schemas.openxmlformats.org/officeDocument/2006/relationships/hyperlink" Target="https://link.springer.com/article/10.1007/s10745-016-9878-x" TargetMode="External"/><Relationship Id="rId328" Type="http://schemas.openxmlformats.org/officeDocument/2006/relationships/hyperlink" Target="https://www.mdpi.com/2571-6255/2/3/39" TargetMode="External"/><Relationship Id="rId349" Type="http://schemas.openxmlformats.org/officeDocument/2006/relationships/hyperlink" Target="https://www.tandfonline.com/doi/full/10.1080/17531055.2011.544550?casa_token=deQdRqNhUDUAAAAA%3AcIA_IpoUukibvbPIFZPjXgi4qx86MZnqq2oiWqP5MvE6AqU2B568Jgcsjt5iiGtnuzZr_rrzepDt" TargetMode="External"/><Relationship Id="rId514" Type="http://schemas.openxmlformats.org/officeDocument/2006/relationships/hyperlink" Target="https://www.sciencedirect.com/science/article/pii/S0301479711004701?via%3Dihub" TargetMode="External"/><Relationship Id="rId88" Type="http://schemas.openxmlformats.org/officeDocument/2006/relationships/hyperlink" Target="https://www.tandfonline.com/doi/full/10.1080/08941920.2013.820813" TargetMode="External"/><Relationship Id="rId111" Type="http://schemas.openxmlformats.org/officeDocument/2006/relationships/hyperlink" Target="https://www.sciencedirect.com/science/article/pii/S0921800919305191" TargetMode="External"/><Relationship Id="rId132" Type="http://schemas.openxmlformats.org/officeDocument/2006/relationships/hyperlink" Target="http://oar.icrisat.org/6779/1/EPW_33_39_A163-A168_1998.pdf" TargetMode="External"/><Relationship Id="rId153" Type="http://schemas.openxmlformats.org/officeDocument/2006/relationships/hyperlink" Target="https://link.springer.com/article/10.1007/s10745-009-9240-7" TargetMode="External"/><Relationship Id="rId174" Type="http://schemas.openxmlformats.org/officeDocument/2006/relationships/hyperlink" Target="https://www.jstor.org/stable/43927654?seq=12" TargetMode="External"/><Relationship Id="rId195" Type="http://schemas.openxmlformats.org/officeDocument/2006/relationships/hyperlink" Target="https://link.springer.com/content/pdf/10.1007/BF02168861.pdf" TargetMode="External"/><Relationship Id="rId209" Type="http://schemas.openxmlformats.org/officeDocument/2006/relationships/hyperlink" Target="https://core.ac.uk/download/pdf/39861954.pdf" TargetMode="External"/><Relationship Id="rId360" Type="http://schemas.openxmlformats.org/officeDocument/2006/relationships/hyperlink" Target="https://onlinelibrary.wiley.com/doi/abs/10.1111/j.1365-2028.2007.00832.x" TargetMode="External"/><Relationship Id="rId381" Type="http://schemas.openxmlformats.org/officeDocument/2006/relationships/hyperlink" Target="https://rgs-ibg.onlinelibrary.wiley.com/doi/abs/10.1111/geoj.12245" TargetMode="External"/><Relationship Id="rId416" Type="http://schemas.openxmlformats.org/officeDocument/2006/relationships/hyperlink" Target="https://pastoralismjournal.springeropen.com/articles/10.1186/2041-7136-1-24" TargetMode="External"/><Relationship Id="rId220" Type="http://schemas.openxmlformats.org/officeDocument/2006/relationships/hyperlink" Target="https://onlinelibrary.wiley.com/doi/abs/10.2307/1242114" TargetMode="External"/><Relationship Id="rId241" Type="http://schemas.openxmlformats.org/officeDocument/2006/relationships/hyperlink" Target="https://link.springer.com/article/10.1007/BF00046411" TargetMode="External"/><Relationship Id="rId437" Type="http://schemas.openxmlformats.org/officeDocument/2006/relationships/hyperlink" Target="https://www.sciencedirect.com/science/article/pii/S0167880911000405" TargetMode="External"/><Relationship Id="rId458" Type="http://schemas.openxmlformats.org/officeDocument/2006/relationships/hyperlink" Target="https://onlinelibrary.wiley.com/doi/epdf/10.1002/ldr.3400020402" TargetMode="External"/><Relationship Id="rId479" Type="http://schemas.openxmlformats.org/officeDocument/2006/relationships/hyperlink" Target="https://link.springer.com/article/10.1023/A:1014519113923" TargetMode="External"/><Relationship Id="rId15" Type="http://schemas.openxmlformats.org/officeDocument/2006/relationships/hyperlink" Target="https://doi.org/10.14989/68482" TargetMode="External"/><Relationship Id="rId36" Type="http://schemas.openxmlformats.org/officeDocument/2006/relationships/hyperlink" Target="https://doi.org/10.14989/68482" TargetMode="External"/><Relationship Id="rId57" Type="http://schemas.openxmlformats.org/officeDocument/2006/relationships/hyperlink" Target="http://citeseerx.ist.psu.edu/viewdoc/download?doi=10.1.1.510.106&amp;rep=rep1&amp;type=pdf" TargetMode="External"/><Relationship Id="rId262" Type="http://schemas.openxmlformats.org/officeDocument/2006/relationships/hyperlink" Target="https://iopscience.iop.org/article/10.1088/2515-7620/ab056c" TargetMode="External"/><Relationship Id="rId283" Type="http://schemas.openxmlformats.org/officeDocument/2006/relationships/hyperlink" Target="https://link.springer.com/article/10.1007/s10745-014-9672-6" TargetMode="External"/><Relationship Id="rId318" Type="http://schemas.openxmlformats.org/officeDocument/2006/relationships/hyperlink" Target="https://www.jstor.org/stable/4603577?seq=1" TargetMode="External"/><Relationship Id="rId339"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490" Type="http://schemas.openxmlformats.org/officeDocument/2006/relationships/hyperlink" Target="https://onlinelibrary.wiley.com/doi/abs/10.1111/j.1365-2486.2009.02030.x" TargetMode="External"/><Relationship Id="rId504" Type="http://schemas.openxmlformats.org/officeDocument/2006/relationships/hyperlink" Target="https://www.sciencedirect.com/science/article/pii/S0301479711004701?via%3Dihub" TargetMode="External"/><Relationship Id="rId525" Type="http://schemas.openxmlformats.org/officeDocument/2006/relationships/hyperlink" Target="https://hal-amu.archives-ouvertes.fr/hal-02100603/document" TargetMode="External"/><Relationship Id="rId78" Type="http://schemas.openxmlformats.org/officeDocument/2006/relationships/hyperlink" Target="https://www.tandfonline.com/doi/full/10.1080/08941920.2013.820813" TargetMode="External"/><Relationship Id="rId99" Type="http://schemas.openxmlformats.org/officeDocument/2006/relationships/hyperlink" Target="https://www.tandfonline.com/doi/full/10.1080/08941920.2013.820813" TargetMode="External"/><Relationship Id="rId101" Type="http://schemas.openxmlformats.org/officeDocument/2006/relationships/hyperlink" Target="https://www.tandfonline.com/doi/full/10.1080/08941920.2013.820813" TargetMode="External"/><Relationship Id="rId122" Type="http://schemas.openxmlformats.org/officeDocument/2006/relationships/hyperlink" Target="http://oar.icrisat.org/6779/1/EPW_33_39_A163-A168_1998.pdf" TargetMode="External"/><Relationship Id="rId143" Type="http://schemas.openxmlformats.org/officeDocument/2006/relationships/hyperlink" Target="https://science.sciencemag.org/content/292/5518/859.full" TargetMode="External"/><Relationship Id="rId164" Type="http://schemas.openxmlformats.org/officeDocument/2006/relationships/hyperlink" Target="https://onlinelibrary.wiley.com/doi/abs/10.1002/ldr.756" TargetMode="External"/><Relationship Id="rId185" Type="http://schemas.openxmlformats.org/officeDocument/2006/relationships/hyperlink" Target="../../Literature%20Review/Global%20database%20review/Preindustrial%20cropping/cag.2002.24.1.42.pdf" TargetMode="External"/><Relationship Id="rId350" Type="http://schemas.openxmlformats.org/officeDocument/2006/relationships/hyperlink" Target="https://www.tandfonline.com/doi/full/10.1080/17531055.2011.544550?casa_token=deQdRqNhUDUAAAAA%3AcIA_IpoUukibvbPIFZPjXgi4qx86MZnqq2oiWqP5MvE6AqU2B568Jgcsjt5iiGtnuzZr_rrzepDt" TargetMode="External"/><Relationship Id="rId371" Type="http://schemas.openxmlformats.org/officeDocument/2006/relationships/hyperlink" Target="https://link.springer.com/article/10.1186/s13570-017-0111-3" TargetMode="External"/><Relationship Id="rId406" Type="http://schemas.openxmlformats.org/officeDocument/2006/relationships/hyperlink" Target="http://www.cifor.org/publications/corporate/cd-roms/bonn-proc/pdfs/papers/T3_FINAL_Barrow.pdf" TargetMode="External"/><Relationship Id="rId9" Type="http://schemas.openxmlformats.org/officeDocument/2006/relationships/hyperlink" Target="https://doi.org/10.14989/68482" TargetMode="External"/><Relationship Id="rId210" Type="http://schemas.openxmlformats.org/officeDocument/2006/relationships/hyperlink" Target="https://www.sciencedirect.com/science/article/pii/S092180099900066X" TargetMode="External"/><Relationship Id="rId392" Type="http://schemas.openxmlformats.org/officeDocument/2006/relationships/hyperlink" Target="https://link.springer.com/article/10.1023/A:1015685529180" TargetMode="External"/><Relationship Id="rId427" Type="http://schemas.openxmlformats.org/officeDocument/2006/relationships/hyperlink" Target="https://www.researchgate.net/publication/260155699_Anthropogenic_fires_and_local_livelihoods_at_Chyulu_Hills_Kenya" TargetMode="External"/><Relationship Id="rId448" Type="http://schemas.openxmlformats.org/officeDocument/2006/relationships/hyperlink" Target="../../../../Downloads/FireSyntheisisPaperMarch2012Draft.pdf" TargetMode="External"/><Relationship Id="rId469" Type="http://schemas.openxmlformats.org/officeDocument/2006/relationships/hyperlink" Target="https://fireecology.springeropen.com/articles/10.4996/fireecology.0701057" TargetMode="External"/><Relationship Id="rId26" Type="http://schemas.openxmlformats.org/officeDocument/2006/relationships/hyperlink" Target="https://doi.org/10.14989/68482" TargetMode="External"/><Relationship Id="rId231" Type="http://schemas.openxmlformats.org/officeDocument/2006/relationships/hyperlink" Target="https://link.springer.com/article/10.1007/s10745-012-9537-9" TargetMode="External"/><Relationship Id="rId252" Type="http://schemas.openxmlformats.org/officeDocument/2006/relationships/hyperlink" Target="https://link.springer.com/content/pdf/10.1007%2Fs10457-006-0003-9.pdf" TargetMode="External"/><Relationship Id="rId273" Type="http://schemas.openxmlformats.org/officeDocument/2006/relationships/hyperlink" Target="https://link.springer.com/article/10.1007/s11629-019-5416-9" TargetMode="External"/><Relationship Id="rId294" Type="http://schemas.openxmlformats.org/officeDocument/2006/relationships/hyperlink" Target="https://rgs-ibg.onlinelibrary.wiley.com/doi/abs/10.1111/j.1475-4959.2011.00447.x" TargetMode="External"/><Relationship Id="rId308" Type="http://schemas.openxmlformats.org/officeDocument/2006/relationships/hyperlink" Target="https://link.springer.com/article/10.1007/s10745-016-9878-x" TargetMode="External"/><Relationship Id="rId329" Type="http://schemas.openxmlformats.org/officeDocument/2006/relationships/hyperlink" Target="https://www.mdpi.com/2571-6255/2/3/39" TargetMode="External"/><Relationship Id="rId480" Type="http://schemas.openxmlformats.org/officeDocument/2006/relationships/hyperlink" Target="https://link.springer.com/article/10.1023/A:1014519113923" TargetMode="External"/><Relationship Id="rId515" Type="http://schemas.openxmlformats.org/officeDocument/2006/relationships/hyperlink" Target="https://www.sciencedirect.com/science/article/pii/S0301479711004701?via%3Dihub" TargetMode="External"/><Relationship Id="rId47" Type="http://schemas.openxmlformats.org/officeDocument/2006/relationships/hyperlink" Target="https://doi.org/10.14989/68482" TargetMode="External"/><Relationship Id="rId68" Type="http://schemas.openxmlformats.org/officeDocument/2006/relationships/hyperlink" Target="https://www.tandfonline.com/doi/full/10.1080/08941920.2013.820813" TargetMode="External"/><Relationship Id="rId89" Type="http://schemas.openxmlformats.org/officeDocument/2006/relationships/hyperlink" Target="https://www.tandfonline.com/doi/full/10.1080/08941920.2013.820813" TargetMode="External"/><Relationship Id="rId112" Type="http://schemas.openxmlformats.org/officeDocument/2006/relationships/hyperlink" Target="https://www.sciencedirect.com/science/article/pii/S0921800919305191" TargetMode="External"/><Relationship Id="rId133" Type="http://schemas.openxmlformats.org/officeDocument/2006/relationships/hyperlink" Target="https://link.springer.com/book/10.1007%2F978-81-322-2014-5" TargetMode="External"/><Relationship Id="rId154" Type="http://schemas.openxmlformats.org/officeDocument/2006/relationships/hyperlink" Target="https://link.springer.com/article/10.1007/s10745-009-9240-7" TargetMode="External"/><Relationship Id="rId175" Type="http://schemas.openxmlformats.org/officeDocument/2006/relationships/hyperlink" Target="http://www.ecologyandsociety.org/vol13/iss2/art2/" TargetMode="External"/><Relationship Id="rId340"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61" Type="http://schemas.openxmlformats.org/officeDocument/2006/relationships/hyperlink" Target="https://onlinelibrary.wiley.com/doi/abs/10.1111/j.1365-2028.2007.00832.x" TargetMode="External"/><Relationship Id="rId196" Type="http://schemas.openxmlformats.org/officeDocument/2006/relationships/hyperlink" Target="https://doi.org/10.1080/00167223.2003.10649493" TargetMode="External"/><Relationship Id="rId200" Type="http://schemas.openxmlformats.org/officeDocument/2006/relationships/hyperlink" Target="https://bioone.org/journals/mountain-research-and-development/volume-27/issue-1/0276-4741(2007)27%5b40%3aMPRDAE%5d2.0.CO%3b2/Montane-Paddy-Rice--Development-and-Effects-on-Food-Security/10.1659/0276-4741(2007)27%5b40:MPRDAE%5d2.0.CO;2.full" TargetMode="External"/><Relationship Id="rId382" Type="http://schemas.openxmlformats.org/officeDocument/2006/relationships/hyperlink" Target="https://www.researchgate.net/publication/246576805_Understanding_the_causes_socio-economic_and_environmental_impacts_and_management_of_veld_fires_in_tropical_Zimbabwe" TargetMode="External"/><Relationship Id="rId417" Type="http://schemas.openxmlformats.org/officeDocument/2006/relationships/hyperlink" Target="https://pastoralismjournal.springeropen.com/articles/10.1186/2041-7136-1-24" TargetMode="External"/><Relationship Id="rId438" Type="http://schemas.openxmlformats.org/officeDocument/2006/relationships/hyperlink" Target="https://www.sciencedirect.com/science/article/pii/S0167880911000405" TargetMode="External"/><Relationship Id="rId459" Type="http://schemas.openxmlformats.org/officeDocument/2006/relationships/hyperlink" Target="https://onlinelibrary.wiley.com/doi/full/10.1111/j.1365-2699.2004.01062.x" TargetMode="External"/><Relationship Id="rId16" Type="http://schemas.openxmlformats.org/officeDocument/2006/relationships/hyperlink" Target="https://doi.org/10.14989/68482" TargetMode="External"/><Relationship Id="rId221" Type="http://schemas.openxmlformats.org/officeDocument/2006/relationships/hyperlink" Target="https://onlinelibrary.wiley.com/doi/abs/10.2307/1242114" TargetMode="External"/><Relationship Id="rId242" Type="http://schemas.openxmlformats.org/officeDocument/2006/relationships/hyperlink" Target="https://link.springer.com/article/10.1007/BF00046411" TargetMode="External"/><Relationship Id="rId263" Type="http://schemas.openxmlformats.org/officeDocument/2006/relationships/hyperlink" Target="https://iopscience.iop.org/article/10.1088/2515-7620/ab056c" TargetMode="External"/><Relationship Id="rId284" Type="http://schemas.openxmlformats.org/officeDocument/2006/relationships/hyperlink" Target="https://link.springer.com/article/10.1007/s10745-014-9672-6" TargetMode="External"/><Relationship Id="rId319" Type="http://schemas.openxmlformats.org/officeDocument/2006/relationships/hyperlink" Target="https://link.springer.com/content/pdf/10.1023/A:1026487730947.pdf" TargetMode="External"/><Relationship Id="rId470" Type="http://schemas.openxmlformats.org/officeDocument/2006/relationships/hyperlink" Target="https://fireecology.springeropen.com/articles/10.4996/fireecology.0701057" TargetMode="External"/><Relationship Id="rId491" Type="http://schemas.openxmlformats.org/officeDocument/2006/relationships/hyperlink" Target="https://doi.org/10.1080/17531055.2015.1134401" TargetMode="External"/><Relationship Id="rId505" Type="http://schemas.openxmlformats.org/officeDocument/2006/relationships/hyperlink" Target="https://www.sciencedirect.com/science/article/pii/S0301479711004701?via%3Dihub" TargetMode="External"/><Relationship Id="rId526" Type="http://schemas.openxmlformats.org/officeDocument/2006/relationships/hyperlink" Target="https://www.researchgate.net/publication/226346960" TargetMode="External"/><Relationship Id="rId37" Type="http://schemas.openxmlformats.org/officeDocument/2006/relationships/hyperlink" Target="https://doi.org/10.14989/68482" TargetMode="External"/><Relationship Id="rId58" Type="http://schemas.openxmlformats.org/officeDocument/2006/relationships/hyperlink" Target="https://onlinelibrary.wiley.com/doi/abs/10.2307/1242114" TargetMode="External"/><Relationship Id="rId79" Type="http://schemas.openxmlformats.org/officeDocument/2006/relationships/hyperlink" Target="https://www.tandfonline.com/doi/full/10.1080/08941920.2013.820813" TargetMode="External"/><Relationship Id="rId102" Type="http://schemas.openxmlformats.org/officeDocument/2006/relationships/hyperlink" Target="https://www.tandfonline.com/doi/full/10.1080/08941920.2013.820813" TargetMode="External"/><Relationship Id="rId123" Type="http://schemas.openxmlformats.org/officeDocument/2006/relationships/hyperlink" Target="http://oar.icrisat.org/6779/1/EPW_33_39_A163-A168_1998.pdf" TargetMode="External"/><Relationship Id="rId144" Type="http://schemas.openxmlformats.org/officeDocument/2006/relationships/hyperlink" Target="https://www.researchgate.net/publication/237044432_Natural_Resource_Management_in_the_Brazilian_Amazon" TargetMode="External"/><Relationship Id="rId330" Type="http://schemas.openxmlformats.org/officeDocument/2006/relationships/hyperlink" Target="https://link.springer.com/article/10.1007/BF00148159" TargetMode="External"/><Relationship Id="rId90" Type="http://schemas.openxmlformats.org/officeDocument/2006/relationships/hyperlink" Target="https://www.tandfonline.com/doi/full/10.1080/08941920.2013.820813" TargetMode="External"/><Relationship Id="rId165" Type="http://schemas.openxmlformats.org/officeDocument/2006/relationships/hyperlink" Target="https://onlinelibrary.wiley.com/doi/abs/10.1002/ldr.756" TargetMode="External"/><Relationship Id="rId186" Type="http://schemas.openxmlformats.org/officeDocument/2006/relationships/hyperlink" Target="..\..\Literature%20Review\Global%20database%20review\Preindustrial%20cropping\cag.2002.24.1.42.pdf" TargetMode="External"/><Relationship Id="rId351" Type="http://schemas.openxmlformats.org/officeDocument/2006/relationships/hyperlink" Target="https://www.tandfonline.com/doi/full/10.1080/17531055.2011.544550?casa_token=deQdRqNhUDUAAAAA%3AcIA_IpoUukibvbPIFZPjXgi4qx86MZnqq2oiWqP5MvE6AqU2B568Jgcsjt5iiGtnuzZr_rrzepDt" TargetMode="External"/><Relationship Id="rId372" Type="http://schemas.openxmlformats.org/officeDocument/2006/relationships/hyperlink" Target="https://www.mdpi.com/2076-3298/2/1/1" TargetMode="External"/><Relationship Id="rId393" Type="http://schemas.openxmlformats.org/officeDocument/2006/relationships/hyperlink" Target="https://www.tandfonline.com/doi/pdf/10.1080/00045608.2011.560063?needAccess=true" TargetMode="External"/><Relationship Id="rId407" Type="http://schemas.openxmlformats.org/officeDocument/2006/relationships/hyperlink" Target="http://www.cifor.org/publications/corporate/cd-roms/bonn-proc/pdfs/papers/T3_FINAL_Barrow.pdf" TargetMode="External"/><Relationship Id="rId428" Type="http://schemas.openxmlformats.org/officeDocument/2006/relationships/hyperlink" Target="https://www.sciencedirect.com/science/article/pii/S0143622809000149" TargetMode="External"/><Relationship Id="rId449" Type="http://schemas.openxmlformats.org/officeDocument/2006/relationships/hyperlink" Target="../../../../Downloads/FireSyntheisisPaperMarch2012Draft.pdf" TargetMode="External"/><Relationship Id="rId211" Type="http://schemas.openxmlformats.org/officeDocument/2006/relationships/hyperlink" Target="https://link.springer.com/content/pdf/10.1007/s10745-006-9089-y.pdf" TargetMode="External"/><Relationship Id="rId232" Type="http://schemas.openxmlformats.org/officeDocument/2006/relationships/hyperlink" Target="https://link.springer.com/article/10.1007/s10745-012-9537-9" TargetMode="External"/><Relationship Id="rId253" Type="http://schemas.openxmlformats.org/officeDocument/2006/relationships/hyperlink" Target="https://www.sciencedirect.com/science/article/pii/S0264837716300060?via%3Dihub" TargetMode="External"/><Relationship Id="rId274" Type="http://schemas.openxmlformats.org/officeDocument/2006/relationships/hyperlink" Target="https://link.springer.com/article/10.1007/s11629-019-5416-9" TargetMode="External"/><Relationship Id="rId295" Type="http://schemas.openxmlformats.org/officeDocument/2006/relationships/hyperlink" Target="https://doi.org/10.1080/00380768.2014.883487" TargetMode="External"/><Relationship Id="rId309" Type="http://schemas.openxmlformats.org/officeDocument/2006/relationships/hyperlink" Target="https://www.sciencedirect.com/science/article/abs/pii/S0016706112000912?via%3Dihub" TargetMode="External"/><Relationship Id="rId460" Type="http://schemas.openxmlformats.org/officeDocument/2006/relationships/hyperlink" Target="https://onlinelibrary.wiley.com/doi/full/10.1111/j.1365-2699.2004.01062.x" TargetMode="External"/><Relationship Id="rId481" Type="http://schemas.openxmlformats.org/officeDocument/2006/relationships/hyperlink" Target="https://doi.org/10.1080/108071200490505963" TargetMode="External"/><Relationship Id="rId516" Type="http://schemas.openxmlformats.org/officeDocument/2006/relationships/hyperlink" Target="https://www.sciencedirect.com/science/article/pii/S0301479711004701?via%3Dihub" TargetMode="External"/><Relationship Id="rId27" Type="http://schemas.openxmlformats.org/officeDocument/2006/relationships/hyperlink" Target="https://doi.org/10.14989/68482" TargetMode="External"/><Relationship Id="rId48" Type="http://schemas.openxmlformats.org/officeDocument/2006/relationships/hyperlink" Target="https://doi.org/10.14989/68482" TargetMode="External"/><Relationship Id="rId69" Type="http://schemas.openxmlformats.org/officeDocument/2006/relationships/hyperlink" Target="https://www.tandfonline.com/doi/full/10.1080/08941920.2013.820813" TargetMode="External"/><Relationship Id="rId113" Type="http://schemas.openxmlformats.org/officeDocument/2006/relationships/hyperlink" Target="https://www.sciencedirect.com/science/article/pii/S0921800919305191" TargetMode="External"/><Relationship Id="rId134" Type="http://schemas.openxmlformats.org/officeDocument/2006/relationships/hyperlink" Target="https://uofupress.lib.utah.edu/fire-otherwise/" TargetMode="External"/><Relationship Id="rId320" Type="http://schemas.openxmlformats.org/officeDocument/2006/relationships/hyperlink" Target="https://pdf.sciencedirectassets.com/272592/1-s2.0-S0301479700X00266/1-s2.0-S0301479798902390/main.pdf?X-Amz-Security-Token=IQoJb3JpZ2luX2VjEI7%2F%2F%2F%2F%2F%2F%2F%2F%2F%2FwEaCXVzLWVhc3QtMSJIMEYCIQCZoVxhPV%2BjPYoI1i6TBvRs9epzQ4YrIVtqPbQRC%2BmdygIhAOnURzKUBDKd8qRJbLCedz3uE9mkTyh5MeYrZBbD8wkJKr0DCNb%2F%2F%2F%2F%2F%2F%2F%2F%2F%2FwEQAxoMMDU5MDAzNTQ2ODY1IgylSxfvv%2BWjNh3XOBgqkQNchGlWZAHzjN76amwXSKeElmvmQd%2B4B2L3ZD8uljLHt9MzIlxoK6KNAsIZdRJ8xIM0ilEEOq7JmwLmrYTN%2FHBKqsdCon%2FuR6TEjcevp9aA6l9WRb1OEAwO6w%2BpTvT8i6TA5Y1ncsuWyEy3adZNEYaf9qYfJQ8bvzx%2FwmcpzeF7zW4Y5DxcJir%2F5JAO1VeDNtpHbR6gyMm%2BGXEdpTKiuBx%2BuQm5%2FCZqabDrRi1chVSfP3MLubpeL4Tu2Qbsvae9PkMdSVuPkoZz%2F9s9lpBPCdvmyTK6kOBl4Op1Or463TLz87tBngUKXwFL1J3Gi49Rza3QchDTD%2FWD9Ll6xqkQtwpt4OUAEjRKK4qMzWlrjvEF2ipvLol0Wl%2F%2FmGsgXfv6SfXqwnce%2BZBX8n5LN5%2FoGCsEUU0Vy68wSG9i2G5Btjp16TDH%2BX1Y4tHKSJV4U%2Bd2Gw1H7PL8h%2BfRtnEmixDcCA3RGZNtSDySOFBXN8hwwgJFyNYLYQNBGM5q1%2BpUenyO8OWc17BdEukEX5qdQ%2FvP%2FacVUTDFl4r2BTrqAcDVeZ41TXYJ9Jc6bEM0LQHzDUBI9qvXFl6z3VOtz1%2F8QSPa809qMPcTJ%2BwTQUJd6Jnfdg%2FWdZwWTZgUR8qz6oAs5NDBVmMeqpj5fv%2FVK2pARVea8NafGf5y52bEM7RyK0gfj8lOvpuppgGetOmAexgQw5VzzC8hJW0240BtcEaiPoM9ov50XCqjlhKD7byMHh7QsifEPzT%2FArSgIoRlXxg3%2BOtRREPjPDZQXlQZgaKnLaO0MIHHy6K1G77Mtx7gI7%2BNkiVBfIxTYfQKV9sxBBl9JIjKAI0xnlxadv4AIa0c2t0%2BRsmp5H69OA%3D%3D&amp;X-Amz-Algorithm=AWS4-HMAC-SHA256&amp;X-Amz-Date=20200518T141344Z&amp;X-Amz-SignedHeaders=host&amp;X-Amz-Expires=300&amp;X-Amz-Credential=ASIAQ3PHCVTY66PBLEUS%2F20200518%2Fus-east-1%2Fs3%2Faws4_request&amp;X-Amz-Signature=b1d8998e2644fb20552beaf4626c6b379f3c41d1c075b2bf7542d84f74121c84&amp;hash=3e01ed28b9b9b907afe9eab83f2d7afa35136a0301c6a43b301373e94bcb91a2&amp;host=68042c943591013ac2b2430a89b270f6af2c76d8dfd086a07176afe7c76c2c61&amp;pii=S0301479798902390&amp;tid=spdf-e6d1e81f-0daa-48c4-8826-f5bf4b9939bf&amp;sid=77a6a0b473e3844b371870b7b27049b92571gxrqb&amp;type=client" TargetMode="External"/><Relationship Id="rId80" Type="http://schemas.openxmlformats.org/officeDocument/2006/relationships/hyperlink" Target="https://www.tandfonline.com/doi/full/10.1080/08941920.2013.820813" TargetMode="External"/><Relationship Id="rId155" Type="http://schemas.openxmlformats.org/officeDocument/2006/relationships/hyperlink" Target="https://link.springer.com/article/10.1007/s10460-009-9239-0" TargetMode="External"/><Relationship Id="rId176" Type="http://schemas.openxmlformats.org/officeDocument/2006/relationships/hyperlink" Target="http://www.ibiologia.unam.mx/gela/Tere.pdf" TargetMode="External"/><Relationship Id="rId197" Type="http://schemas.openxmlformats.org/officeDocument/2006/relationships/hyperlink" Target="https://doi.org/10.1080/00167223.2003.10649493" TargetMode="External"/><Relationship Id="rId341"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62" Type="http://schemas.openxmlformats.org/officeDocument/2006/relationships/hyperlink" Target="https://onlinelibrary.wiley.com/doi/abs/10.1111/j.1365-2028.2007.00832.x" TargetMode="External"/><Relationship Id="rId383" Type="http://schemas.openxmlformats.org/officeDocument/2006/relationships/hyperlink" Target="https://www.researchgate.net/publication/246576805_Understanding_the_causes_socio-economic_and_environmental_impacts_and_management_of_veld_fires_in_tropical_Zimbabwe" TargetMode="External"/><Relationship Id="rId418" Type="http://schemas.openxmlformats.org/officeDocument/2006/relationships/hyperlink" Target="https://pastoralismjournal.springeropen.com/articles/10.1186/2041-7136-1-24" TargetMode="External"/><Relationship Id="rId439" Type="http://schemas.openxmlformats.org/officeDocument/2006/relationships/hyperlink" Target="https://www.sciencedirect.com/science/article/pii/S0167880911000405" TargetMode="External"/><Relationship Id="rId201" Type="http://schemas.openxmlformats.org/officeDocument/2006/relationships/hyperlink" Target="http://lad.nafri.org.la/fulltext/231-0.pdf" TargetMode="External"/><Relationship Id="rId222" Type="http://schemas.openxmlformats.org/officeDocument/2006/relationships/hyperlink" Target="https://onlinelibrary.wiley.com/doi/abs/10.2307/1242114" TargetMode="External"/><Relationship Id="rId243" Type="http://schemas.openxmlformats.org/officeDocument/2006/relationships/hyperlink" Target="https://www.sciencedirect.com/science/article/pii/S025462991531053X" TargetMode="External"/><Relationship Id="rId264" Type="http://schemas.openxmlformats.org/officeDocument/2006/relationships/hyperlink" Target="https://www.press.uchicago.edu/ucp/books/book/chicago/I/bo3619725.html" TargetMode="External"/><Relationship Id="rId285" Type="http://schemas.openxmlformats.org/officeDocument/2006/relationships/hyperlink" Target="https://www.tandfonline.com/doi/full/10.1080/03066150.2016.1243531" TargetMode="External"/><Relationship Id="rId450" Type="http://schemas.openxmlformats.org/officeDocument/2006/relationships/hyperlink" Target="../../../../Downloads/FireSyntheisisPaperMarch2012Draft.pdf" TargetMode="External"/><Relationship Id="rId471" Type="http://schemas.openxmlformats.org/officeDocument/2006/relationships/hyperlink" Target="https://cals.arizona.edu/oals/ALN/aln55/trollope.html" TargetMode="External"/><Relationship Id="rId506" Type="http://schemas.openxmlformats.org/officeDocument/2006/relationships/hyperlink" Target="https://www.sciencedirect.com/science/article/pii/S0301479711004701?via%3Dihub" TargetMode="External"/><Relationship Id="rId17" Type="http://schemas.openxmlformats.org/officeDocument/2006/relationships/hyperlink" Target="https://doi.org/10.14989/68482" TargetMode="External"/><Relationship Id="rId38" Type="http://schemas.openxmlformats.org/officeDocument/2006/relationships/hyperlink" Target="https://doi.org/10.14989/68482" TargetMode="External"/><Relationship Id="rId59" Type="http://schemas.openxmlformats.org/officeDocument/2006/relationships/hyperlink" Target="https://onlinelibrary.wiley.com/doi/abs/10.2307/1242114" TargetMode="External"/><Relationship Id="rId103" Type="http://schemas.openxmlformats.org/officeDocument/2006/relationships/hyperlink" Target="https://www.tandfonline.com/doi/full/10.1080/08941920.2013.820813" TargetMode="External"/><Relationship Id="rId124" Type="http://schemas.openxmlformats.org/officeDocument/2006/relationships/hyperlink" Target="http://oar.icrisat.org/6779/1/EPW_33_39_A163-A168_1998.pdf" TargetMode="External"/><Relationship Id="rId310" Type="http://schemas.openxmlformats.org/officeDocument/2006/relationships/hyperlink" Target="https://onlinelibrary.wiley.com/doi/abs/10.1002/ldr.641" TargetMode="External"/><Relationship Id="rId492" Type="http://schemas.openxmlformats.org/officeDocument/2006/relationships/hyperlink" Target="https://doi.org/10.1080/17531055.2015.1134401" TargetMode="External"/><Relationship Id="rId527" Type="http://schemas.openxmlformats.org/officeDocument/2006/relationships/hyperlink" Target="https://www.researchgate.net/publication/334363169" TargetMode="External"/><Relationship Id="rId70" Type="http://schemas.openxmlformats.org/officeDocument/2006/relationships/hyperlink" Target="https://www.tandfonline.com/doi/full/10.1080/08941920.2013.820813" TargetMode="External"/><Relationship Id="rId91" Type="http://schemas.openxmlformats.org/officeDocument/2006/relationships/hyperlink" Target="https://www.tandfonline.com/doi/full/10.1080/08941920.2013.820813" TargetMode="External"/><Relationship Id="rId145" Type="http://schemas.openxmlformats.org/officeDocument/2006/relationships/hyperlink" Target="https://books.google.co.uk/books?hl=en&amp;lr=&amp;id=j4AvOb_R9h8C&amp;oi=fnd&amp;pg=PR9&amp;dq=rudel+2005+tropical+forests&amp;ots=w-PptzOWIV&amp;sig=gNGGYgyd9j5pF6hkCcsIbZaS0hE&amp;redir_esc=y" TargetMode="External"/><Relationship Id="rId166" Type="http://schemas.openxmlformats.org/officeDocument/2006/relationships/hyperlink" Target="https://link.springer.com/article/10.1007/s10745-005-1654-2" TargetMode="External"/><Relationship Id="rId187" Type="http://schemas.openxmlformats.org/officeDocument/2006/relationships/hyperlink" Target="https://www.jstor.org/stable/i25765194" TargetMode="External"/><Relationship Id="rId331" Type="http://schemas.openxmlformats.org/officeDocument/2006/relationships/hyperlink" Target="https://www.tandfonline.com/doi/full/10.1080/21513732.2016.1169559" TargetMode="External"/><Relationship Id="rId352" Type="http://schemas.openxmlformats.org/officeDocument/2006/relationships/hyperlink" Target="https://www.tandfonline.com/doi/full/10.1080/17531055.2011.544550?casa_token=deQdRqNhUDUAAAAA%3AcIA_IpoUukibvbPIFZPjXgi4qx86MZnqq2oiWqP5MvE6AqU2B568Jgcsjt5iiGtnuzZr_rrzepDt" TargetMode="External"/><Relationship Id="rId373" Type="http://schemas.openxmlformats.org/officeDocument/2006/relationships/hyperlink" Target="https://www.mdpi.com/2076-3298/2/1/1" TargetMode="External"/><Relationship Id="rId394" Type="http://schemas.openxmlformats.org/officeDocument/2006/relationships/hyperlink" Target="https://www.sciencedirect.com/science/article/abs/pii/S0140196315300124?via%3Dihub" TargetMode="External"/><Relationship Id="rId408" Type="http://schemas.openxmlformats.org/officeDocument/2006/relationships/hyperlink" Target="https://www.jstor.org/stable/pdf/26188765.pdf" TargetMode="External"/><Relationship Id="rId429" Type="http://schemas.openxmlformats.org/officeDocument/2006/relationships/hyperlink" Target="https://reader.elsevier.com/reader/sd/pii/S0167880917304553?token=06E005B2EB7D3C5F91DE7E422005A316BA0C5C85DD681D7474A864760C13805432C21B31556AE5708472DAA98435539E" TargetMode="External"/><Relationship Id="rId1" Type="http://schemas.openxmlformats.org/officeDocument/2006/relationships/hyperlink" Target="https://doi.org/10.14989/68482" TargetMode="External"/><Relationship Id="rId212" Type="http://schemas.openxmlformats.org/officeDocument/2006/relationships/hyperlink" Target="https://books.google.co.uk/books?id=PBujttCfD74C&amp;pg=PA61&amp;lpg=PA61&amp;dq=Forest+farmers--the+transformation+of+land+use+and+society+in+eastern+Madagascar+%5B1985%5D+oxby&amp;source=bl&amp;ots=iITZSUDRtZ&amp;sig=ACfU3U0RNR_Tgu_cy6F_wwaVwQqXS-7FgA&amp;hl=en&amp;sa=X&amp;ved=2ahUKEwj75-ChxeLnAhUChlwKHbWdCKAQ6AEwBXoECAkQAQ" TargetMode="External"/><Relationship Id="rId233" Type="http://schemas.openxmlformats.org/officeDocument/2006/relationships/hyperlink" Target="https://link.springer.com/article/10.1007/s10745-012-9537-9" TargetMode="External"/><Relationship Id="rId254" Type="http://schemas.openxmlformats.org/officeDocument/2006/relationships/hyperlink" Target="https://www.sciencedirect.com/science/article/pii/S0264837716300060?via%3Dihub" TargetMode="External"/><Relationship Id="rId440" Type="http://schemas.openxmlformats.org/officeDocument/2006/relationships/hyperlink" Target="https://www.sciencedirect.com/science/article/pii/S0167880911000405" TargetMode="External"/><Relationship Id="rId28" Type="http://schemas.openxmlformats.org/officeDocument/2006/relationships/hyperlink" Target="https://doi.org/10.14989/68482" TargetMode="External"/><Relationship Id="rId49" Type="http://schemas.openxmlformats.org/officeDocument/2006/relationships/hyperlink" Target="https://doi.org/10.14989/68482" TargetMode="External"/><Relationship Id="rId114" Type="http://schemas.openxmlformats.org/officeDocument/2006/relationships/hyperlink" Target="https://www.sciencedirect.com/science/article/pii/S0921800919305191" TargetMode="External"/><Relationship Id="rId275" Type="http://schemas.openxmlformats.org/officeDocument/2006/relationships/hyperlink" Target="https://link.springer.com/article/10.1007/s11629-019-5416-9" TargetMode="External"/><Relationship Id="rId296" Type="http://schemas.openxmlformats.org/officeDocument/2006/relationships/hyperlink" Target="http://www.sandeeonline.org/uploads/documents/publication/1103_PUB_WP_117_Prabath.pdf" TargetMode="External"/><Relationship Id="rId300" Type="http://schemas.openxmlformats.org/officeDocument/2006/relationships/hyperlink" Target="http://www.sandeeonline.org/uploads/documents/publication/1103_PUB_WP_117_Prabath.pdf" TargetMode="External"/><Relationship Id="rId461" Type="http://schemas.openxmlformats.org/officeDocument/2006/relationships/hyperlink" Target="https://pubmed.ncbi.nlm.nih.gov/20561002/" TargetMode="External"/><Relationship Id="rId482" Type="http://schemas.openxmlformats.org/officeDocument/2006/relationships/hyperlink" Target="https://doi.org/10.1080/108071200490505963" TargetMode="External"/><Relationship Id="rId517" Type="http://schemas.openxmlformats.org/officeDocument/2006/relationships/hyperlink" Target="https://www.sciencedirect.com/science/article/pii/S0301479711004701?via%3Dihub" TargetMode="External"/><Relationship Id="rId60" Type="http://schemas.openxmlformats.org/officeDocument/2006/relationships/hyperlink" Target="https://onlinelibrary.wiley.com/doi/abs/10.2307/1242114" TargetMode="External"/><Relationship Id="rId81" Type="http://schemas.openxmlformats.org/officeDocument/2006/relationships/hyperlink" Target="https://www.tandfonline.com/doi/full/10.1080/08941920.2013.820813" TargetMode="External"/><Relationship Id="rId135" Type="http://schemas.openxmlformats.org/officeDocument/2006/relationships/hyperlink" Target="https://uofupress.lib.utah.edu/fire-otherwise/" TargetMode="External"/><Relationship Id="rId156" Type="http://schemas.openxmlformats.org/officeDocument/2006/relationships/hyperlink" Target="https://link.springer.com/article/10.1007/s10460-009-9239-0" TargetMode="External"/><Relationship Id="rId177" Type="http://schemas.openxmlformats.org/officeDocument/2006/relationships/hyperlink" Target="https://esajournals.onlinelibrary.wiley.com/doi/pdf/10.1890/04-0841" TargetMode="External"/><Relationship Id="rId198" Type="http://schemas.openxmlformats.org/officeDocument/2006/relationships/hyperlink" Target="https://core.ac.uk/download/pdf/39187926.pdf" TargetMode="External"/><Relationship Id="rId321" Type="http://schemas.openxmlformats.org/officeDocument/2006/relationships/hyperlink" Target="https://www.sciencedirect.com/science/article/pii/S0167880906001551?via%3Dihub" TargetMode="External"/><Relationship Id="rId342"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63" Type="http://schemas.openxmlformats.org/officeDocument/2006/relationships/hyperlink" Target="https://link.springer.com/article/10.1007/s10745-005-5155-0" TargetMode="External"/><Relationship Id="rId384" Type="http://schemas.openxmlformats.org/officeDocument/2006/relationships/hyperlink" Target="https://linkinghub.elsevier.com/retrieve/pii/S014019631630101X" TargetMode="External"/><Relationship Id="rId419" Type="http://schemas.openxmlformats.org/officeDocument/2006/relationships/hyperlink" Target="https://pastoralismjournal.springeropen.com/articles/10.1186/2041-7136-1-24" TargetMode="External"/><Relationship Id="rId202" Type="http://schemas.openxmlformats.org/officeDocument/2006/relationships/hyperlink" Target="http://lad.nafri.org.la/fulltext/231-0.pdf" TargetMode="External"/><Relationship Id="rId223" Type="http://schemas.openxmlformats.org/officeDocument/2006/relationships/hyperlink" Target="https://onlinelibrary.wiley.com/doi/abs/10.2307/1242114" TargetMode="External"/><Relationship Id="rId244" Type="http://schemas.openxmlformats.org/officeDocument/2006/relationships/hyperlink" Target="https://www.sciencedirect.com/science/article/pii/S0143622817307403" TargetMode="External"/><Relationship Id="rId430" Type="http://schemas.openxmlformats.org/officeDocument/2006/relationships/hyperlink" Target="https://www.jstor.org/stable/30135835" TargetMode="External"/><Relationship Id="rId18" Type="http://schemas.openxmlformats.org/officeDocument/2006/relationships/hyperlink" Target="https://doi.org/10.14989/68482" TargetMode="External"/><Relationship Id="rId39" Type="http://schemas.openxmlformats.org/officeDocument/2006/relationships/hyperlink" Target="https://doi.org/10.14989/68482" TargetMode="External"/><Relationship Id="rId265" Type="http://schemas.openxmlformats.org/officeDocument/2006/relationships/hyperlink" Target="https://www.press.uchicago.edu/ucp/books/book/chicago/I/bo3619725.html" TargetMode="External"/><Relationship Id="rId286" Type="http://schemas.openxmlformats.org/officeDocument/2006/relationships/hyperlink" Target="https://www.tandfonline.com/doi/full/10.1080/03066150.2016.1243531" TargetMode="External"/><Relationship Id="rId451" Type="http://schemas.openxmlformats.org/officeDocument/2006/relationships/hyperlink" Target="../../../../Downloads/FireSyntheisisPaperMarch2012Draft.pdf" TargetMode="External"/><Relationship Id="rId472" Type="http://schemas.openxmlformats.org/officeDocument/2006/relationships/hyperlink" Target="https://cals.arizona.edu/oals/ALN/aln55/trollope.html" TargetMode="External"/><Relationship Id="rId493" Type="http://schemas.openxmlformats.org/officeDocument/2006/relationships/hyperlink" Target="https://link.springer.com/article/10.1007/s10745-017-9926-1" TargetMode="External"/><Relationship Id="rId507" Type="http://schemas.openxmlformats.org/officeDocument/2006/relationships/hyperlink" Target="https://www.sciencedirect.com/science/article/pii/S0301479711004701?via%3Dihub" TargetMode="External"/><Relationship Id="rId528" Type="http://schemas.openxmlformats.org/officeDocument/2006/relationships/hyperlink" Target="https://www.researchgate.net/publication/334363169" TargetMode="External"/><Relationship Id="rId50" Type="http://schemas.openxmlformats.org/officeDocument/2006/relationships/hyperlink" Target="https://doi.org/10.14989/68482" TargetMode="External"/><Relationship Id="rId104" Type="http://schemas.openxmlformats.org/officeDocument/2006/relationships/hyperlink" Target="https://www.tandfonline.com/doi/full/10.1080/08941920.2013.820813" TargetMode="External"/><Relationship Id="rId125" Type="http://schemas.openxmlformats.org/officeDocument/2006/relationships/hyperlink" Target="http://oar.icrisat.org/6779/1/EPW_33_39_A163-A168_1998.pdf" TargetMode="External"/><Relationship Id="rId146" Type="http://schemas.openxmlformats.org/officeDocument/2006/relationships/hyperlink" Target="https://link.springer.com/chapter/10.1007/1-4020-2597-1_18" TargetMode="External"/><Relationship Id="rId167" Type="http://schemas.openxmlformats.org/officeDocument/2006/relationships/hyperlink" Target="https://link.springer.com/article/10.1007/s10980-007-9123-5" TargetMode="External"/><Relationship Id="rId188" Type="http://schemas.openxmlformats.org/officeDocument/2006/relationships/hyperlink" Target="https://onlinelibrary.wiley.com/doi/abs/10.1111/1467-8373.00072" TargetMode="External"/><Relationship Id="rId311" Type="http://schemas.openxmlformats.org/officeDocument/2006/relationships/hyperlink" Target="https://onlinelibrary.wiley.com/doi/abs/10.1002/ldr.641" TargetMode="External"/><Relationship Id="rId332" Type="http://schemas.openxmlformats.org/officeDocument/2006/relationships/hyperlink" Target="https://www.tandfonline.com/doi/full/10.1080/21513732.2016.1169559" TargetMode="External"/><Relationship Id="rId353" Type="http://schemas.openxmlformats.org/officeDocument/2006/relationships/hyperlink" Target="https://www.cambridge.org/core/journals/oryx/article/burning-to-fish-local-explanations-for-wetland-burning-in-lac-alaotra-madagascar/9FBF1B47FDF362CB1D17E3B6BC8CBF54" TargetMode="External"/><Relationship Id="rId374" Type="http://schemas.openxmlformats.org/officeDocument/2006/relationships/hyperlink" Target="https://www.mdpi.com/2076-3298/2/1/1" TargetMode="External"/><Relationship Id="rId395" Type="http://schemas.openxmlformats.org/officeDocument/2006/relationships/hyperlink" Target="https://www.sciencedirect.com/science/article/abs/pii/S0140196315300124?via%3Dihub" TargetMode="External"/><Relationship Id="rId409" Type="http://schemas.openxmlformats.org/officeDocument/2006/relationships/hyperlink" Target="https://www.jstor.org/stable/pdf/26188765.pdf" TargetMode="External"/><Relationship Id="rId71" Type="http://schemas.openxmlformats.org/officeDocument/2006/relationships/hyperlink" Target="https://www.tandfonline.com/doi/full/10.1080/08941920.2013.820813" TargetMode="External"/><Relationship Id="rId92" Type="http://schemas.openxmlformats.org/officeDocument/2006/relationships/hyperlink" Target="https://www.tandfonline.com/doi/full/10.1080/08941920.2013.820813" TargetMode="External"/><Relationship Id="rId213" Type="http://schemas.openxmlformats.org/officeDocument/2006/relationships/hyperlink" Target="https://books.google.co.uk/books?id=PBujttCfD74C&amp;pg=PA61&amp;lpg=PA61&amp;dq=Forest+farmers--the+transformation+of+land+use+and+society+in+eastern+Madagascar+%5B1985%5D+oxby&amp;source=bl&amp;ots=iITZSUDRtZ&amp;sig=ACfU3U0RNR_Tgu_cy6F_wwaVwQqXS-7FgA&amp;hl=en&amp;sa=X&amp;ved=2ahUKEwj75-ChxeLnAhUChlwKHbWdCKAQ6AEwBXoECAkQAQ" TargetMode="External"/><Relationship Id="rId234" Type="http://schemas.openxmlformats.org/officeDocument/2006/relationships/hyperlink" Target="https://link.springer.com/article/10.1007/s10745-012-9537-9" TargetMode="External"/><Relationship Id="rId420" Type="http://schemas.openxmlformats.org/officeDocument/2006/relationships/hyperlink" Target="https://pastoralismjournal.springeropen.com/articles/10.1186/2041-7136-1-24" TargetMode="External"/><Relationship Id="rId2" Type="http://schemas.openxmlformats.org/officeDocument/2006/relationships/hyperlink" Target="https://doi.org/10.14989/68482" TargetMode="External"/><Relationship Id="rId29" Type="http://schemas.openxmlformats.org/officeDocument/2006/relationships/hyperlink" Target="https://doi.org/10.14989/68482" TargetMode="External"/><Relationship Id="rId255" Type="http://schemas.openxmlformats.org/officeDocument/2006/relationships/hyperlink" Target="https://journals.plos.org/plosone/article?id=10.1371/journal.pone.0054310" TargetMode="External"/><Relationship Id="rId276" Type="http://schemas.openxmlformats.org/officeDocument/2006/relationships/hyperlink" Target="https://www.mdpi.com/2073-445X/9/1/23" TargetMode="External"/><Relationship Id="rId297" Type="http://schemas.openxmlformats.org/officeDocument/2006/relationships/hyperlink" Target="http://www.sandeeonline.org/uploads/documents/publication/1103_PUB_WP_117_Prabath.pdf" TargetMode="External"/><Relationship Id="rId441" Type="http://schemas.openxmlformats.org/officeDocument/2006/relationships/hyperlink" Target="https://www.sciencedirect.com/science/article/pii/S0167880911000405" TargetMode="External"/><Relationship Id="rId462" Type="http://schemas.openxmlformats.org/officeDocument/2006/relationships/hyperlink" Target="https://pubmed.ncbi.nlm.nih.gov/20561002/" TargetMode="External"/><Relationship Id="rId483" Type="http://schemas.openxmlformats.org/officeDocument/2006/relationships/hyperlink" Target="http://dx.doi.org/10.1080/1747423X.2011.565372" TargetMode="External"/><Relationship Id="rId518" Type="http://schemas.openxmlformats.org/officeDocument/2006/relationships/hyperlink" Target="https://www.sciencedirect.com/science/article/pii/S0301479711004701?via%3Dihub" TargetMode="External"/><Relationship Id="rId40" Type="http://schemas.openxmlformats.org/officeDocument/2006/relationships/hyperlink" Target="https://doi.org/10.14989/68482" TargetMode="External"/><Relationship Id="rId115" Type="http://schemas.openxmlformats.org/officeDocument/2006/relationships/hyperlink" Target="https://www.sciencedirect.com/science/article/pii/S0921800919305191" TargetMode="External"/><Relationship Id="rId136" Type="http://schemas.openxmlformats.org/officeDocument/2006/relationships/hyperlink" Target="https://www.cabi.org/bookshop/book/9781786391797/" TargetMode="External"/><Relationship Id="rId157" Type="http://schemas.openxmlformats.org/officeDocument/2006/relationships/hyperlink" Target="https://bioone.org/journals/Mountain-Research-and-Development/volume-26/issue-3/0276-4741(2006)26%5b237:RLUALT%5d2.0.CO;2/Recent-Land-Use-and-Livelihood-Transitions-in-Northern-Laos/10.1659/0276-4741(2006)26%5b237:RLUALT%5d2.0.CO;2.full" TargetMode="External"/><Relationship Id="rId178" Type="http://schemas.openxmlformats.org/officeDocument/2006/relationships/hyperlink" Target="https://link.springer.com/content/pdf/10.1007/BF00889497.pdf" TargetMode="External"/><Relationship Id="rId301" Type="http://schemas.openxmlformats.org/officeDocument/2006/relationships/hyperlink" Target="https://ecologicalprocesses.springeropen.com/articles/10.1186/s13717-016-0049-1" TargetMode="External"/><Relationship Id="rId322" Type="http://schemas.openxmlformats.org/officeDocument/2006/relationships/hyperlink" Target="https://doi.org/10.1007/s13280-018-1118-8" TargetMode="External"/><Relationship Id="rId343"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64" Type="http://schemas.openxmlformats.org/officeDocument/2006/relationships/hyperlink" Target="https://www.researchgate.net/publication/284776990_Evidence_of_altered_fire_regimes_in_the_Western_Desert_regime_of_Australia" TargetMode="External"/><Relationship Id="rId61" Type="http://schemas.openxmlformats.org/officeDocument/2006/relationships/hyperlink" Target="https://onlinelibrary.wiley.com/doi/abs/10.2307/1242114" TargetMode="External"/><Relationship Id="rId82" Type="http://schemas.openxmlformats.org/officeDocument/2006/relationships/hyperlink" Target="https://www.tandfonline.com/doi/full/10.1080/08941920.2013.820813" TargetMode="External"/><Relationship Id="rId199" Type="http://schemas.openxmlformats.org/officeDocument/2006/relationships/hyperlink" Target="https://www.jstage.jst.go.jp/article/tak/41/4/41_KJ00000434320/_pdf" TargetMode="External"/><Relationship Id="rId203" Type="http://schemas.openxmlformats.org/officeDocument/2006/relationships/hyperlink" Target="http://lad.nafri.org.la/fulltext/231-0.pdf" TargetMode="External"/><Relationship Id="rId385" Type="http://schemas.openxmlformats.org/officeDocument/2006/relationships/hyperlink" Target="https://linkinghub.elsevier.com/retrieve/pii/S014019631630101X" TargetMode="External"/><Relationship Id="rId19" Type="http://schemas.openxmlformats.org/officeDocument/2006/relationships/hyperlink" Target="https://doi.org/10.14989/68482" TargetMode="External"/><Relationship Id="rId224" Type="http://schemas.openxmlformats.org/officeDocument/2006/relationships/hyperlink" Target="http://www.bio-nica.info/Biblioteca/Vosti2002Deforestation.pdf" TargetMode="External"/><Relationship Id="rId245" Type="http://schemas.openxmlformats.org/officeDocument/2006/relationships/hyperlink" Target="https://www.sciencedirect.com/science/article/pii/S0143622817307403" TargetMode="External"/><Relationship Id="rId266" Type="http://schemas.openxmlformats.org/officeDocument/2006/relationships/hyperlink" Target="https://www.press.uchicago.edu/ucp/books/book/chicago/I/bo3619725.html" TargetMode="External"/><Relationship Id="rId287" Type="http://schemas.openxmlformats.org/officeDocument/2006/relationships/hyperlink" Target="https://www.tandfonline.com/doi/full/10.1080/03066150.2016.1243531" TargetMode="External"/><Relationship Id="rId410" Type="http://schemas.openxmlformats.org/officeDocument/2006/relationships/hyperlink" Target="https://www.jstor.org/stable/pdf/26188765.pdf" TargetMode="External"/><Relationship Id="rId431" Type="http://schemas.openxmlformats.org/officeDocument/2006/relationships/hyperlink" Target="https://www.jstor.org/stable/30135835" TargetMode="External"/><Relationship Id="rId452" Type="http://schemas.openxmlformats.org/officeDocument/2006/relationships/hyperlink" Target="https://journals.uair.arizona.edu/index.php/rangelands/article/download/15883/15858" TargetMode="External"/><Relationship Id="rId473" Type="http://schemas.openxmlformats.org/officeDocument/2006/relationships/hyperlink" Target="https://cals.arizona.edu/oals/ALN/aln55/trollope.html" TargetMode="External"/><Relationship Id="rId494" Type="http://schemas.openxmlformats.org/officeDocument/2006/relationships/hyperlink" Target="https://link.springer.com/article/10.1007/s10745-017-9926-1" TargetMode="External"/><Relationship Id="rId508" Type="http://schemas.openxmlformats.org/officeDocument/2006/relationships/hyperlink" Target="https://www.sciencedirect.com/science/article/pii/S0301479711004701?via%3Dihub" TargetMode="External"/><Relationship Id="rId529" Type="http://schemas.openxmlformats.org/officeDocument/2006/relationships/hyperlink" Target="https://www.researchgate.net/publication/334363169" TargetMode="External"/><Relationship Id="rId30" Type="http://schemas.openxmlformats.org/officeDocument/2006/relationships/hyperlink" Target="https://doi.org/10.14989/68482" TargetMode="External"/><Relationship Id="rId105" Type="http://schemas.openxmlformats.org/officeDocument/2006/relationships/hyperlink" Target="https://www.tandfonline.com/doi/full/10.1080/08941920.2013.820813" TargetMode="External"/><Relationship Id="rId126" Type="http://schemas.openxmlformats.org/officeDocument/2006/relationships/hyperlink" Target="http://oar.icrisat.org/6779/1/EPW_33_39_A163-A168_1998.pdf" TargetMode="External"/><Relationship Id="rId147" Type="http://schemas.openxmlformats.org/officeDocument/2006/relationships/hyperlink" Target="https://link.springer.com/article/10.1007/s11027-006-9038-5" TargetMode="External"/><Relationship Id="rId168" Type="http://schemas.openxmlformats.org/officeDocument/2006/relationships/hyperlink" Target="https://link.springer.com/article/10.1007/s10745-007-9120-y?shared-article-renderer" TargetMode="External"/><Relationship Id="rId312" Type="http://schemas.openxmlformats.org/officeDocument/2006/relationships/hyperlink" Target="https://www.semanticscholar.org/paper/The-structure-of-Jhum-(Traditional-Shifting-or-to-Bhagawati-Bhagawati/fac2a7246919fb273a590b6a218064bce5f664bd" TargetMode="External"/><Relationship Id="rId333"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54" Type="http://schemas.openxmlformats.org/officeDocument/2006/relationships/hyperlink" Target="http://monitoringmatters.org/articles/full13.pdf" TargetMode="External"/><Relationship Id="rId51" Type="http://schemas.openxmlformats.org/officeDocument/2006/relationships/hyperlink" Target="https://doi.org/10.14989/68482" TargetMode="External"/><Relationship Id="rId72" Type="http://schemas.openxmlformats.org/officeDocument/2006/relationships/hyperlink" Target="https://www.tandfonline.com/doi/full/10.1080/08941920.2013.820813" TargetMode="External"/><Relationship Id="rId93" Type="http://schemas.openxmlformats.org/officeDocument/2006/relationships/hyperlink" Target="https://www.tandfonline.com/doi/full/10.1080/08941920.2013.820813" TargetMode="External"/><Relationship Id="rId189" Type="http://schemas.openxmlformats.org/officeDocument/2006/relationships/hyperlink" Target="https://onlinelibrary.wiley.com/doi/abs/10.1111/1467-8373.00072" TargetMode="External"/><Relationship Id="rId375" Type="http://schemas.openxmlformats.org/officeDocument/2006/relationships/hyperlink" Target="https://www.mdpi.com/2076-3298/2/1/1" TargetMode="External"/><Relationship Id="rId396" Type="http://schemas.openxmlformats.org/officeDocument/2006/relationships/hyperlink" Target="https://www.sciencedirect.com/science/article/pii/S0301479705000058" TargetMode="External"/><Relationship Id="rId3" Type="http://schemas.openxmlformats.org/officeDocument/2006/relationships/hyperlink" Target="https://doi.org/10.14989/68482" TargetMode="External"/><Relationship Id="rId214" Type="http://schemas.openxmlformats.org/officeDocument/2006/relationships/hyperlink" Target="https://books.google.co.uk/books?id=PBujttCfD74C&amp;pg=PA61&amp;lpg=PA61&amp;dq=Forest+farmers--the+transformation+of+land+use+and+society+in+eastern+Madagascar+%5B1985%5D+oxby&amp;source=bl&amp;ots=iITZSUDRtZ&amp;sig=ACfU3U0RNR_Tgu_cy6F_wwaVwQqXS-7FgA&amp;hl=en&amp;sa=X&amp;ved=2ahUKEwj75-ChxeLnAhUChlwKHbWdCKAQ6AEwBXoECAkQAQ" TargetMode="External"/><Relationship Id="rId235" Type="http://schemas.openxmlformats.org/officeDocument/2006/relationships/hyperlink" Target="https://link.springer.com/article/10.1007/s10745-012-9537-9" TargetMode="External"/><Relationship Id="rId256" Type="http://schemas.openxmlformats.org/officeDocument/2006/relationships/hyperlink" Target="https://www.sciencedirect.com/science/article/pii/S0006320712004466" TargetMode="External"/><Relationship Id="rId277" Type="http://schemas.openxmlformats.org/officeDocument/2006/relationships/hyperlink" Target="https://link.springer.com/article/10.1007/s11629-019-5416-9" TargetMode="External"/><Relationship Id="rId298" Type="http://schemas.openxmlformats.org/officeDocument/2006/relationships/hyperlink" Target="http://www.sandeeonline.org/uploads/documents/publication/1103_PUB_WP_117_Prabath.pdf" TargetMode="External"/><Relationship Id="rId400" Type="http://schemas.openxmlformats.org/officeDocument/2006/relationships/hyperlink" Target="https://pastoralismjournal.springeropen.com/articles/10.1186/s13570-018-0115-7" TargetMode="External"/><Relationship Id="rId421" Type="http://schemas.openxmlformats.org/officeDocument/2006/relationships/hyperlink" Target="https://pastoralismjournal.springeropen.com/articles/10.1186/2041-7136-1-24" TargetMode="External"/><Relationship Id="rId442" Type="http://schemas.openxmlformats.org/officeDocument/2006/relationships/hyperlink" Target="https://www.sciencedirect.com/science/article/pii/S0167880911000405" TargetMode="External"/><Relationship Id="rId463" Type="http://schemas.openxmlformats.org/officeDocument/2006/relationships/hyperlink" Target="https://besjournals.onlinelibrary.wiley.com/doi/pdf/10.1046/j.1365-2664.2001.00567.x" TargetMode="External"/><Relationship Id="rId484" Type="http://schemas.openxmlformats.org/officeDocument/2006/relationships/hyperlink" Target="http://dx.doi.org/10.1080/1747423X.2011.565372" TargetMode="External"/><Relationship Id="rId519" Type="http://schemas.openxmlformats.org/officeDocument/2006/relationships/hyperlink" Target="https://www.sciencedirect.com/science/article/pii/S0301479711004701?via%3Dihub" TargetMode="External"/><Relationship Id="rId116" Type="http://schemas.openxmlformats.org/officeDocument/2006/relationships/hyperlink" Target="https://www.sciencedirect.com/science/article/pii/S0921800919305191" TargetMode="External"/><Relationship Id="rId137" Type="http://schemas.openxmlformats.org/officeDocument/2006/relationships/hyperlink" Target="https://www.cabi.org/bookshop/book/9781786391797/" TargetMode="External"/><Relationship Id="rId158" Type="http://schemas.openxmlformats.org/officeDocument/2006/relationships/hyperlink" Target="https://bioone.org/journals/Mountain-Research-and-Development/volume-26/issue-3/0276-4741(2006)26%5b237:RLUALT%5d2.0.CO;2/Recent-Land-Use-and-Livelihood-Transitions-in-Northern-Laos/10.1659/0276-4741(2006)26%5b237:RLUALT%5d2.0.CO;2.full" TargetMode="External"/><Relationship Id="rId302" Type="http://schemas.openxmlformats.org/officeDocument/2006/relationships/hyperlink" Target="https://ecologicalprocesses.springeropen.com/articles/10.1186/s13717-016-0049-1" TargetMode="External"/><Relationship Id="rId323" Type="http://schemas.openxmlformats.org/officeDocument/2006/relationships/hyperlink" Target="https://doi.org/10.1007/s13280-018-1118-8" TargetMode="External"/><Relationship Id="rId344"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530" Type="http://schemas.openxmlformats.org/officeDocument/2006/relationships/hyperlink" Target="https://www.researchgate.net/publication/334363169" TargetMode="External"/><Relationship Id="rId20" Type="http://schemas.openxmlformats.org/officeDocument/2006/relationships/hyperlink" Target="https://doi.org/10.14989/68482" TargetMode="External"/><Relationship Id="rId41" Type="http://schemas.openxmlformats.org/officeDocument/2006/relationships/hyperlink" Target="https://doi.org/10.14989/68482" TargetMode="External"/><Relationship Id="rId62" Type="http://schemas.openxmlformats.org/officeDocument/2006/relationships/hyperlink" Target="https://www.tandfonline.com/doi/full/10.1080/08941920.2013.820813" TargetMode="External"/><Relationship Id="rId83" Type="http://schemas.openxmlformats.org/officeDocument/2006/relationships/hyperlink" Target="https://www.tandfonline.com/doi/full/10.1080/08941920.2013.820813" TargetMode="External"/><Relationship Id="rId179" Type="http://schemas.openxmlformats.org/officeDocument/2006/relationships/hyperlink" Target="https://www.jstor.org/stable/26265996" TargetMode="External"/><Relationship Id="rId365" Type="http://schemas.openxmlformats.org/officeDocument/2006/relationships/hyperlink" Target="https://link.springer.com/article/10.1023/A:1021970021670" TargetMode="External"/><Relationship Id="rId386" Type="http://schemas.openxmlformats.org/officeDocument/2006/relationships/hyperlink" Target="http://www.pcu.uct.ac.za/sites/default/files/image_tool/images/192/GHumphrey_PhDThesis.pdf" TargetMode="External"/><Relationship Id="rId190" Type="http://schemas.openxmlformats.org/officeDocument/2006/relationships/hyperlink" Target="https://onlinelibrary.wiley.com/doi/abs/10.1111/1467-8373.00072" TargetMode="External"/><Relationship Id="rId204" Type="http://schemas.openxmlformats.org/officeDocument/2006/relationships/hyperlink" Target="http://lad.nafri.org.la/fulltext/231-0.pdf" TargetMode="External"/><Relationship Id="rId225" Type="http://schemas.openxmlformats.org/officeDocument/2006/relationships/hyperlink" Target="http://www.bio-nica.info/Biblioteca/Vosti2002Deforestation.pdf" TargetMode="External"/><Relationship Id="rId246" Type="http://schemas.openxmlformats.org/officeDocument/2006/relationships/hyperlink" Target="https://www.sciencedirect.com/science/article/pii/S0143622817307403" TargetMode="External"/><Relationship Id="rId267" Type="http://schemas.openxmlformats.org/officeDocument/2006/relationships/hyperlink" Target="https://books.google.co.uk/books?hl=en&amp;lr=&amp;id=j4AvOb_R9h8C&amp;oi=fnd&amp;pg=PR9&amp;dq=rudel+2005+tropical+forests&amp;ots=w-PptzOWIV&amp;sig=gNGGYgyd9j5pF6hkCcsIbZaS0hE&amp;redir_esc=y" TargetMode="External"/><Relationship Id="rId288" Type="http://schemas.openxmlformats.org/officeDocument/2006/relationships/hyperlink" Target="https://www.tandfonline.com/doi/full/10.1080/03066150.2016.1243531" TargetMode="External"/><Relationship Id="rId411" Type="http://schemas.openxmlformats.org/officeDocument/2006/relationships/hyperlink" Target="https://www.researchgate.net/publication/262725053_Evaluation_of_Mbororo_Transhumance_Routes_in_the_Tchabal_Mbabo-Dodeo_Region_of_Cameroon" TargetMode="External"/><Relationship Id="rId432" Type="http://schemas.openxmlformats.org/officeDocument/2006/relationships/hyperlink" Target="https://www.scirp.org/journal/paperinformation.aspx?paperid=27362" TargetMode="External"/><Relationship Id="rId453" Type="http://schemas.openxmlformats.org/officeDocument/2006/relationships/hyperlink" Target="https://journals.uair.arizona.edu/index.php/rangelands/article/download/15883/15858" TargetMode="External"/><Relationship Id="rId474" Type="http://schemas.openxmlformats.org/officeDocument/2006/relationships/hyperlink" Target="https://onlinelibrary.wiley.com/doi/abs/10.1002/ldr.777" TargetMode="External"/><Relationship Id="rId509" Type="http://schemas.openxmlformats.org/officeDocument/2006/relationships/hyperlink" Target="https://www.sciencedirect.com/science/article/pii/S0301479711004701?via%3Dihub" TargetMode="External"/><Relationship Id="rId106" Type="http://schemas.openxmlformats.org/officeDocument/2006/relationships/hyperlink" Target="https://www.tandfonline.com/doi/full/10.1080/08941920.2013.820813" TargetMode="External"/><Relationship Id="rId127" Type="http://schemas.openxmlformats.org/officeDocument/2006/relationships/hyperlink" Target="http://oar.icrisat.org/6779/1/EPW_33_39_A163-A168_1998.pdf" TargetMode="External"/><Relationship Id="rId313" Type="http://schemas.openxmlformats.org/officeDocument/2006/relationships/hyperlink" Target="https://era.ed.ac.uk/handle/1842/36538?show=full" TargetMode="External"/><Relationship Id="rId495" Type="http://schemas.openxmlformats.org/officeDocument/2006/relationships/hyperlink" Target="https://link.springer.com/article/10.1007/s10021-013-9673-0" TargetMode="External"/><Relationship Id="rId10" Type="http://schemas.openxmlformats.org/officeDocument/2006/relationships/hyperlink" Target="https://doi.org/10.14989/68482" TargetMode="External"/><Relationship Id="rId31" Type="http://schemas.openxmlformats.org/officeDocument/2006/relationships/hyperlink" Target="https://doi.org/10.14989/68482" TargetMode="External"/><Relationship Id="rId52" Type="http://schemas.openxmlformats.org/officeDocument/2006/relationships/hyperlink" Target="https://www.jstage.jst.go.jp/article/tak/41/4/41_KJ00000434320/_pdf" TargetMode="External"/><Relationship Id="rId73" Type="http://schemas.openxmlformats.org/officeDocument/2006/relationships/hyperlink" Target="https://www.tandfonline.com/doi/full/10.1080/08941920.2013.820813" TargetMode="External"/><Relationship Id="rId94" Type="http://schemas.openxmlformats.org/officeDocument/2006/relationships/hyperlink" Target="https://www.tandfonline.com/doi/full/10.1080/08941920.2013.820813" TargetMode="External"/><Relationship Id="rId148" Type="http://schemas.openxmlformats.org/officeDocument/2006/relationships/hyperlink" Target="https://link.springer.com/chapter/10.1007/978-3-540-77381-8_1" TargetMode="External"/><Relationship Id="rId169" Type="http://schemas.openxmlformats.org/officeDocument/2006/relationships/hyperlink" Target="https://onlinelibrary.wiley.com/doi/abs/10.1111/1467-8306.00281" TargetMode="External"/><Relationship Id="rId334"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55" Type="http://schemas.openxmlformats.org/officeDocument/2006/relationships/hyperlink" Target="https://www.semanticscholar.org/paper/Resource-selection-by-grazing-herbivores-on-in-a-Klop-Goethem/87f0b0b9a1b27a79a455e37ad410a2f710efa0e0" TargetMode="External"/><Relationship Id="rId376" Type="http://schemas.openxmlformats.org/officeDocument/2006/relationships/hyperlink" Target="https://www.mdpi.com/2076-3298/2/1/1" TargetMode="External"/><Relationship Id="rId397" Type="http://schemas.openxmlformats.org/officeDocument/2006/relationships/hyperlink" Target="https://link.springer.com/article/10.1023/A:1013285910650" TargetMode="External"/><Relationship Id="rId520" Type="http://schemas.openxmlformats.org/officeDocument/2006/relationships/hyperlink" Target="https://www.sciencedirect.com/science/article/pii/S0301479711004701?via%3Dihub" TargetMode="External"/><Relationship Id="rId4" Type="http://schemas.openxmlformats.org/officeDocument/2006/relationships/hyperlink" Target="https://doi.org/10.14989/68482" TargetMode="External"/><Relationship Id="rId180" Type="http://schemas.openxmlformats.org/officeDocument/2006/relationships/hyperlink" Target="http://www.africa.kyoto-u.ac.jp/kiroku/asm_normal/abstracts/pdf/ASM%20%20Vol.17%20No.3%201996/Shuichi%20OYAMA.pdf" TargetMode="External"/><Relationship Id="rId215" Type="http://schemas.openxmlformats.org/officeDocument/2006/relationships/hyperlink" Target="https://onlinelibrary.wiley.com/doi/abs/10.2307/1242114" TargetMode="External"/><Relationship Id="rId236" Type="http://schemas.openxmlformats.org/officeDocument/2006/relationships/hyperlink" Target="https://www.academia.edu/32394422/Animal_traction_and_market_conditions_a_case_study_from_south-western_Tanzania_and_northern_Zambia" TargetMode="External"/><Relationship Id="rId257" Type="http://schemas.openxmlformats.org/officeDocument/2006/relationships/hyperlink" Target="https://link.springer.com/article/10.1007/s10745-013-9600-1" TargetMode="External"/><Relationship Id="rId278" Type="http://schemas.openxmlformats.org/officeDocument/2006/relationships/hyperlink" Target="https://iopscience.iop.org/article/10.1088/1748-9326/10/9/094009/meta" TargetMode="External"/><Relationship Id="rId401" Type="http://schemas.openxmlformats.org/officeDocument/2006/relationships/hyperlink" Target="https://www.semanticscholar.org/paper/PASTORALISM-AND-VIOLENCE-IN-NORTHERN-GHANA%3A-AND-Abubakari/bd1bbba241bc9ad9c82a37d1e9a8aba8e67de9c8" TargetMode="External"/><Relationship Id="rId422" Type="http://schemas.openxmlformats.org/officeDocument/2006/relationships/hyperlink" Target="https://pastoralismjournal.springeropen.com/articles/10.1186/2041-7136-1-24" TargetMode="External"/><Relationship Id="rId443" Type="http://schemas.openxmlformats.org/officeDocument/2006/relationships/hyperlink" Target="https://www.sciencedirect.com/science/article/pii/S0167880911000405" TargetMode="External"/><Relationship Id="rId464" Type="http://schemas.openxmlformats.org/officeDocument/2006/relationships/hyperlink" Target="https://besjournals.onlinelibrary.wiley.com/doi/pdf/10.1046/j.1365-2664.2001.00567.x" TargetMode="External"/><Relationship Id="rId303" Type="http://schemas.openxmlformats.org/officeDocument/2006/relationships/hyperlink" Target="https://www.sciencedirect.com/science/article/pii/S0301479706000557" TargetMode="External"/><Relationship Id="rId485" Type="http://schemas.openxmlformats.org/officeDocument/2006/relationships/hyperlink" Target="https://link.springer.com/article/10.1007/s10806-016-9613-z" TargetMode="External"/><Relationship Id="rId42" Type="http://schemas.openxmlformats.org/officeDocument/2006/relationships/hyperlink" Target="https://doi.org/10.14989/68482" TargetMode="External"/><Relationship Id="rId84" Type="http://schemas.openxmlformats.org/officeDocument/2006/relationships/hyperlink" Target="https://www.tandfonline.com/doi/full/10.1080/08941920.2013.820813" TargetMode="External"/><Relationship Id="rId138" Type="http://schemas.openxmlformats.org/officeDocument/2006/relationships/hyperlink" Target="https://www.eastwestcenter.org/publications/farming-fire-and-water-human-ecology-composite-swiddening-community-vietnams-northern-m" TargetMode="External"/><Relationship Id="rId345"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87" Type="http://schemas.openxmlformats.org/officeDocument/2006/relationships/hyperlink" Target="https://www.ecologyandsociety.org/vol17/iss3/art19/" TargetMode="External"/><Relationship Id="rId510" Type="http://schemas.openxmlformats.org/officeDocument/2006/relationships/hyperlink" Target="https://www.sciencedirect.com/science/article/pii/S0301479711004701?via%3Dihub" TargetMode="External"/><Relationship Id="rId191" Type="http://schemas.openxmlformats.org/officeDocument/2006/relationships/hyperlink" Target="https://doi.org/10.1080/00167223.1997.10649396" TargetMode="External"/><Relationship Id="rId205" Type="http://schemas.openxmlformats.org/officeDocument/2006/relationships/hyperlink" Target="http://www.mekonginfo.org/assets/midocs/0002876-environment-land-policy-and-farming-practices-in-laos.pdf" TargetMode="External"/><Relationship Id="rId247" Type="http://schemas.openxmlformats.org/officeDocument/2006/relationships/hyperlink" Target="https://www.sciencedirect.com/science/article/pii/S0143622817307403" TargetMode="External"/><Relationship Id="rId412" Type="http://schemas.openxmlformats.org/officeDocument/2006/relationships/hyperlink" Target="https://esajournals.onlinelibrary.wiley.com/doi/abs/10.1890/1051-0761(2000)010%5B1318:TROMNP%5D2.0.CO%3B2" TargetMode="External"/><Relationship Id="rId107" Type="http://schemas.openxmlformats.org/officeDocument/2006/relationships/hyperlink" Target="https://www.tandfonline.com/doi/full/10.1080/08941920.2013.820813" TargetMode="External"/><Relationship Id="rId289" Type="http://schemas.openxmlformats.org/officeDocument/2006/relationships/hyperlink" Target="https://rgs-ibg.onlinelibrary.wiley.com/doi/abs/10.1111/geoj.12255" TargetMode="External"/><Relationship Id="rId454" Type="http://schemas.openxmlformats.org/officeDocument/2006/relationships/hyperlink" Target="https://gouritz.com/wp-content/uploads/2019/02/Carbon-in-ecosystems_Effects-of-goat-pastoralism-on-ecosystem-carbon-storage-in-semiarid-thicket-Eastern-Cape-SA_Mills-etal-2005-compressed.pdf" TargetMode="External"/><Relationship Id="rId496" Type="http://schemas.openxmlformats.org/officeDocument/2006/relationships/hyperlink" Target="https://link.springer.com/article/10.1007/s10021-013-9673-0" TargetMode="External"/><Relationship Id="rId11" Type="http://schemas.openxmlformats.org/officeDocument/2006/relationships/hyperlink" Target="https://doi.org/10.14989/68482" TargetMode="External"/><Relationship Id="rId53" Type="http://schemas.openxmlformats.org/officeDocument/2006/relationships/hyperlink" Target="http://lad.nafri.org.la/fulltext/231-0.pdf" TargetMode="External"/><Relationship Id="rId149" Type="http://schemas.openxmlformats.org/officeDocument/2006/relationships/hyperlink" Target="https://link.springer.com/chapter/10.1007/978-3-540-77381-8_1" TargetMode="External"/><Relationship Id="rId314" Type="http://schemas.openxmlformats.org/officeDocument/2006/relationships/hyperlink" Target="https://www.sciencedirect.com/science/article/pii/S0743016716305022" TargetMode="External"/><Relationship Id="rId356" Type="http://schemas.openxmlformats.org/officeDocument/2006/relationships/hyperlink" Target="https://pubmed.ncbi.nlm.nih.gov/15748801/" TargetMode="External"/><Relationship Id="rId398" Type="http://schemas.openxmlformats.org/officeDocument/2006/relationships/hyperlink" Target="https://www.sciencedirect.com/science/article/pii/S0305750X08001265" TargetMode="External"/><Relationship Id="rId521" Type="http://schemas.openxmlformats.org/officeDocument/2006/relationships/hyperlink" Target="https://www.sciencedirect.com/science/article/pii/S0301479711004701?via%3Dihub" TargetMode="External"/><Relationship Id="rId95" Type="http://schemas.openxmlformats.org/officeDocument/2006/relationships/hyperlink" Target="https://www.tandfonline.com/doi/full/10.1080/08941920.2013.820813" TargetMode="External"/><Relationship Id="rId160" Type="http://schemas.openxmlformats.org/officeDocument/2006/relationships/hyperlink" Target="https://bioone.org/journals/Mountain-Research-and-Development/volume-25/issue-4/0276-4741(2005)025%5b0365:FADASD%5d2.0.CO;2/Fallow-Agroecosystem-Dynamics-and-Socioeconomic-Development-in-China/10.1659/0276-4741(2005)025%5b0365:FADASD%5d2.0.CO;2.full" TargetMode="External"/><Relationship Id="rId216" Type="http://schemas.openxmlformats.org/officeDocument/2006/relationships/hyperlink" Target="https://onlinelibrary.wiley.com/doi/abs/10.2307/1242114" TargetMode="External"/><Relationship Id="rId423" Type="http://schemas.openxmlformats.org/officeDocument/2006/relationships/hyperlink" Target="doi:10.1002/%202016GL069059." TargetMode="External"/><Relationship Id="rId258" Type="http://schemas.openxmlformats.org/officeDocument/2006/relationships/hyperlink" Target="https://www.sciencedirect.com/science/article/pii/S1352231007011326?via%3Dihub" TargetMode="External"/><Relationship Id="rId465" Type="http://schemas.openxmlformats.org/officeDocument/2006/relationships/hyperlink" Target="https://fireecology.springeropen.com/articles/10.4996/fireecology.0701057" TargetMode="External"/><Relationship Id="rId22" Type="http://schemas.openxmlformats.org/officeDocument/2006/relationships/hyperlink" Target="https://doi.org/10.14989/68482" TargetMode="External"/><Relationship Id="rId64" Type="http://schemas.openxmlformats.org/officeDocument/2006/relationships/hyperlink" Target="https://www.tandfonline.com/doi/full/10.1080/08941920.2013.820813" TargetMode="External"/><Relationship Id="rId118" Type="http://schemas.openxmlformats.org/officeDocument/2006/relationships/hyperlink" Target="https://www.sciencedirect.com/science/article/pii/S0921800919305191" TargetMode="External"/><Relationship Id="rId325" Type="http://schemas.openxmlformats.org/officeDocument/2006/relationships/hyperlink" Target="https://doi.org/10.1007/s13280-018-1118-8" TargetMode="External"/><Relationship Id="rId367" Type="http://schemas.openxmlformats.org/officeDocument/2006/relationships/hyperlink" Target="http://digilib.buse.ac.zw:8080/xmlui/handle/11196/1853" TargetMode="External"/><Relationship Id="rId532" Type="http://schemas.openxmlformats.org/officeDocument/2006/relationships/hyperlink" Target="http://www.jstor.com/stable/41236635" TargetMode="External"/><Relationship Id="rId171" Type="http://schemas.openxmlformats.org/officeDocument/2006/relationships/hyperlink" Target="http://www.ecologyandsociety.org/vol13/iss2/art2/" TargetMode="External"/><Relationship Id="rId227" Type="http://schemas.openxmlformats.org/officeDocument/2006/relationships/hyperlink" Target="https://doi.org/%2010.1371/journal.pone.0181092" TargetMode="External"/><Relationship Id="rId269" Type="http://schemas.openxmlformats.org/officeDocument/2006/relationships/hyperlink" Target="https://link.springer.com/article/10.1007/s11027-006-9038-5" TargetMode="External"/><Relationship Id="rId434" Type="http://schemas.openxmlformats.org/officeDocument/2006/relationships/hyperlink" Target="https://www.scirp.org/journal/paperinformation.aspx?paperid=27362" TargetMode="External"/><Relationship Id="rId476" Type="http://schemas.openxmlformats.org/officeDocument/2006/relationships/hyperlink" Target="https://www.jstor.org/stable/43123720" TargetMode="External"/><Relationship Id="rId33" Type="http://schemas.openxmlformats.org/officeDocument/2006/relationships/hyperlink" Target="https://doi.org/10.14989/68482" TargetMode="External"/><Relationship Id="rId129" Type="http://schemas.openxmlformats.org/officeDocument/2006/relationships/hyperlink" Target="http://oar.icrisat.org/6779/1/EPW_33_39_A163-A168_1998.pdf" TargetMode="External"/><Relationship Id="rId280" Type="http://schemas.openxmlformats.org/officeDocument/2006/relationships/hyperlink" Target="https://www.researchgate.net/publication/328162058_innovations_in_shifting_cultivation_land_use_and_Land_Cover_Change_in_Higher_Elevations_of_Meghalaya_India" TargetMode="External"/><Relationship Id="rId336"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501" Type="http://schemas.openxmlformats.org/officeDocument/2006/relationships/hyperlink" Target="https://www.sciencedirect.com/science/article/pii/S0301479711004701?via%3Dihub" TargetMode="External"/><Relationship Id="rId75" Type="http://schemas.openxmlformats.org/officeDocument/2006/relationships/hyperlink" Target="https://www.tandfonline.com/doi/full/10.1080/08941920.2013.820813" TargetMode="External"/><Relationship Id="rId140" Type="http://schemas.openxmlformats.org/officeDocument/2006/relationships/hyperlink" Target="https://books.google.co.uk/books?hl=en&amp;lr=&amp;id=M4C-AwAAQBAJ&amp;oi=fnd&amp;pg=PR1&amp;dq=human+impacts+on+amazonia+2006&amp;ots=Vb_sS0C6kh&amp;sig=FfyfTTtb6BYObJ8hmtwa0m1qf14" TargetMode="External"/><Relationship Id="rId182" Type="http://schemas.openxmlformats.org/officeDocument/2006/relationships/hyperlink" Target="https://onlinelibrary.wiley.com/doi/full/10.1111/j.1365-2028.2005.00603.x" TargetMode="External"/><Relationship Id="rId378" Type="http://schemas.openxmlformats.org/officeDocument/2006/relationships/hyperlink" Target="https://rgs-ibg.onlinelibrary.wiley.com/doi/abs/10.1111/geoj.12245" TargetMode="External"/><Relationship Id="rId403" Type="http://schemas.openxmlformats.org/officeDocument/2006/relationships/hyperlink" Target="https://link.springer.com/article/10.1007%2Fs10668-014-9515-z" TargetMode="External"/><Relationship Id="rId6" Type="http://schemas.openxmlformats.org/officeDocument/2006/relationships/hyperlink" Target="https://doi.org/10.14989/68482" TargetMode="External"/><Relationship Id="rId238" Type="http://schemas.openxmlformats.org/officeDocument/2006/relationships/hyperlink" Target="https://doi.org/10.14989/68483" TargetMode="External"/><Relationship Id="rId445" Type="http://schemas.openxmlformats.org/officeDocument/2006/relationships/hyperlink" Target="https://www.sciencedirect.com/science/article/pii/S0167880911000405" TargetMode="External"/><Relationship Id="rId487" Type="http://schemas.openxmlformats.org/officeDocument/2006/relationships/hyperlink" Target="https://onlinelibrary.wiley.com/doi/abs/10.1111/j.1365-2028.2008.01051.x" TargetMode="External"/><Relationship Id="rId291" Type="http://schemas.openxmlformats.org/officeDocument/2006/relationships/hyperlink" Target="https://rgs-ibg.onlinelibrary.wiley.com/doi/abs/10.1111/geoj.12255" TargetMode="External"/><Relationship Id="rId305" Type="http://schemas.openxmlformats.org/officeDocument/2006/relationships/hyperlink" Target="https://www.sciencedirect.com/science/article/pii/S0301479706000557" TargetMode="External"/><Relationship Id="rId347" Type="http://schemas.openxmlformats.org/officeDocument/2006/relationships/hyperlink" Target="https://doi.org/10.1080/08941920.2012.713087" TargetMode="External"/><Relationship Id="rId512" Type="http://schemas.openxmlformats.org/officeDocument/2006/relationships/hyperlink" Target="https://www.sciencedirect.com/science/article/pii/S0301479711004701?via%3Dihub" TargetMode="External"/><Relationship Id="rId44" Type="http://schemas.openxmlformats.org/officeDocument/2006/relationships/hyperlink" Target="https://doi.org/10.14989/68482" TargetMode="External"/><Relationship Id="rId86" Type="http://schemas.openxmlformats.org/officeDocument/2006/relationships/hyperlink" Target="https://www.tandfonline.com/doi/full/10.1080/08941920.2013.820813" TargetMode="External"/><Relationship Id="rId151" Type="http://schemas.openxmlformats.org/officeDocument/2006/relationships/hyperlink" Target="https://www.ecologyandsociety.org/vol14/iss2/art20/" TargetMode="External"/><Relationship Id="rId389" Type="http://schemas.openxmlformats.org/officeDocument/2006/relationships/hyperlink" Target="http://www.conservationandsociety.org/article.asp?issn=0972-4923;year=2006;volume=4;issue=2;spage=231;epage=261;aulast=Kaufmann" TargetMode="External"/><Relationship Id="rId193" Type="http://schemas.openxmlformats.org/officeDocument/2006/relationships/hyperlink" Target="../../../../Downloads/A_socio-economic_analysis_of_rice_produc%20(1).pdf" TargetMode="External"/><Relationship Id="rId207" Type="http://schemas.openxmlformats.org/officeDocument/2006/relationships/hyperlink" Target="https://onlinelibrary.wiley.com/doi/pdf/10.1046/j.1365-3180.1996.d01-6.x" TargetMode="External"/><Relationship Id="rId249" Type="http://schemas.openxmlformats.org/officeDocument/2006/relationships/hyperlink" Target="https://iopscience.iop.org/article/10.1088/2515-7620/ab056c" TargetMode="External"/><Relationship Id="rId414" Type="http://schemas.openxmlformats.org/officeDocument/2006/relationships/hyperlink" Target="https://esajournals.onlinelibrary.wiley.com/doi/abs/10.1890/1051-0761(2000)010%5B1318:TROMNP%5D2.0.CO%3B2" TargetMode="External"/><Relationship Id="rId456" Type="http://schemas.openxmlformats.org/officeDocument/2006/relationships/hyperlink" Target="https://esajournals.onlinelibrary.wiley.com/doi/full/10.1890/120344" TargetMode="External"/><Relationship Id="rId498" Type="http://schemas.openxmlformats.org/officeDocument/2006/relationships/hyperlink" Target="https://www.mdpi.com/1999-4907/9/8/464" TargetMode="External"/><Relationship Id="rId13" Type="http://schemas.openxmlformats.org/officeDocument/2006/relationships/hyperlink" Target="https://doi.org/10.14989/68482" TargetMode="External"/><Relationship Id="rId109" Type="http://schemas.openxmlformats.org/officeDocument/2006/relationships/hyperlink" Target="https://www.nature.com/articles/19066" TargetMode="External"/><Relationship Id="rId260" Type="http://schemas.openxmlformats.org/officeDocument/2006/relationships/hyperlink" Target="https://link.springer.com/article/10.1007/s12524-019-01093-4" TargetMode="External"/><Relationship Id="rId316" Type="http://schemas.openxmlformats.org/officeDocument/2006/relationships/hyperlink" Target="https://link.springer.com/content/pdf/10.1007/BF00889079.pdf" TargetMode="External"/><Relationship Id="rId523" Type="http://schemas.openxmlformats.org/officeDocument/2006/relationships/hyperlink" Target="https://www.sciencedirect.com/science/article/pii/S0301479711004701?via%3Dihub" TargetMode="External"/><Relationship Id="rId55" Type="http://schemas.openxmlformats.org/officeDocument/2006/relationships/hyperlink" Target="https://bioone.org/journals/mountain-research-and-development/volume-27/issue-1/0276-4741(2007)27%5b40%3aMPRDAE%5d2.0.CO%3b2/Montane-Paddy-Rice--Development-and-Effects-on-Food-Security/10.1659/0276-4741(2007)27%5b40:MPRDAE%5d2.0.CO;2.full" TargetMode="External"/><Relationship Id="rId97" Type="http://schemas.openxmlformats.org/officeDocument/2006/relationships/hyperlink" Target="https://www.tandfonline.com/doi/full/10.1080/08941920.2013.820813" TargetMode="External"/><Relationship Id="rId120" Type="http://schemas.openxmlformats.org/officeDocument/2006/relationships/hyperlink" Target="https://www.sciencedirect.com/science/article/pii/S0921800919305191" TargetMode="External"/><Relationship Id="rId358" Type="http://schemas.openxmlformats.org/officeDocument/2006/relationships/hyperlink" Target="https://link.springer.com/article/10.1007/s10745-007-9156-z" TargetMode="External"/><Relationship Id="rId162" Type="http://schemas.openxmlformats.org/officeDocument/2006/relationships/hyperlink" Target="https://www.researchgate.net/publication/275523335_Land_for_My_Grandchildren_Land_Use_and_Tenure_Change_in_Ratanakiri_1989-2007" TargetMode="External"/><Relationship Id="rId218" Type="http://schemas.openxmlformats.org/officeDocument/2006/relationships/hyperlink" Target="https://onlinelibrary.wiley.com/doi/abs/10.2307/1242114" TargetMode="External"/><Relationship Id="rId425" Type="http://schemas.openxmlformats.org/officeDocument/2006/relationships/hyperlink" Target="https://www.researchgate.net/publication/228459327_Transhumance_and_pastoralist_resilience_in_the_western_United_States" TargetMode="External"/><Relationship Id="rId467" Type="http://schemas.openxmlformats.org/officeDocument/2006/relationships/hyperlink" Target="https://fireecology.springeropen.com/articles/10.4996/fireecology.0701057" TargetMode="External"/><Relationship Id="rId271" Type="http://schemas.openxmlformats.org/officeDocument/2006/relationships/hyperlink" Target="https://link.springer.com/article/10.1007/s10457-011-9469-1" TargetMode="External"/><Relationship Id="rId24" Type="http://schemas.openxmlformats.org/officeDocument/2006/relationships/hyperlink" Target="https://doi.org/10.14989/68482" TargetMode="External"/><Relationship Id="rId66" Type="http://schemas.openxmlformats.org/officeDocument/2006/relationships/hyperlink" Target="https://www.tandfonline.com/doi/full/10.1080/08941920.2013.820813" TargetMode="External"/><Relationship Id="rId131" Type="http://schemas.openxmlformats.org/officeDocument/2006/relationships/hyperlink" Target="http://oar.icrisat.org/6779/1/EPW_33_39_A163-A168_1998.pdf" TargetMode="External"/><Relationship Id="rId327" Type="http://schemas.openxmlformats.org/officeDocument/2006/relationships/hyperlink" Target="https://www.researchgate.net/publication/257015511_Agrobiodiversity_performance_in_contrasting_island_environments_The_case_of_shifting_cultivation_in_Vanuatu_Pacific" TargetMode="External"/><Relationship Id="rId369" Type="http://schemas.openxmlformats.org/officeDocument/2006/relationships/hyperlink" Target="https://www.publish.csiro.au/wf/wf07067" TargetMode="External"/><Relationship Id="rId534" Type="http://schemas.openxmlformats.org/officeDocument/2006/relationships/printerSettings" Target="../printerSettings/printerSettings1.bin"/><Relationship Id="rId173" Type="http://schemas.openxmlformats.org/officeDocument/2006/relationships/hyperlink" Target="http://www.ecologyandsociety.org/vol13/iss2/art2/" TargetMode="External"/><Relationship Id="rId229" Type="http://schemas.openxmlformats.org/officeDocument/2006/relationships/hyperlink" Target="https://www.sciencedirect.com/science/article/pii/S0167880914003284?via%3Dihub" TargetMode="External"/><Relationship Id="rId380" Type="http://schemas.openxmlformats.org/officeDocument/2006/relationships/hyperlink" Target="https://rgs-ibg.onlinelibrary.wiley.com/doi/abs/10.1111/geoj.12245" TargetMode="External"/><Relationship Id="rId436" Type="http://schemas.openxmlformats.org/officeDocument/2006/relationships/hyperlink" Target="https://www.sciencedirect.com/science/article/pii/S0167880911000405" TargetMode="External"/><Relationship Id="rId240" Type="http://schemas.openxmlformats.org/officeDocument/2006/relationships/hyperlink" Target="https://www.sciencedirect.com/science/article/pii/S0378112710007292" TargetMode="External"/><Relationship Id="rId478" Type="http://schemas.openxmlformats.org/officeDocument/2006/relationships/hyperlink" Target="https://savory.global/rangeland-management-for-improved-pastoralist-livelihoods-the-borana-of-southern-ethiopia/" TargetMode="External"/><Relationship Id="rId35" Type="http://schemas.openxmlformats.org/officeDocument/2006/relationships/hyperlink" Target="https://doi.org/10.14989/68482" TargetMode="External"/><Relationship Id="rId77" Type="http://schemas.openxmlformats.org/officeDocument/2006/relationships/hyperlink" Target="https://www.tandfonline.com/doi/full/10.1080/08941920.2013.820813" TargetMode="External"/><Relationship Id="rId100" Type="http://schemas.openxmlformats.org/officeDocument/2006/relationships/hyperlink" Target="https://www.tandfonline.com/doi/full/10.1080/08941920.2013.820813" TargetMode="External"/><Relationship Id="rId282" Type="http://schemas.openxmlformats.org/officeDocument/2006/relationships/hyperlink" Target="https://link.springer.com/article/10.1007/s10745-014-9672-6" TargetMode="External"/><Relationship Id="rId338"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503" Type="http://schemas.openxmlformats.org/officeDocument/2006/relationships/hyperlink" Target="https://www.sciencedirect.com/science/article/pii/S0301479711004701?via%3Dihub" TargetMode="External"/><Relationship Id="rId8" Type="http://schemas.openxmlformats.org/officeDocument/2006/relationships/hyperlink" Target="https://doi.org/10.14989/68482" TargetMode="External"/><Relationship Id="rId142" Type="http://schemas.openxmlformats.org/officeDocument/2006/relationships/hyperlink" Target="https://science.sciencemag.org/content/292/5518/859.full" TargetMode="External"/><Relationship Id="rId184" Type="http://schemas.openxmlformats.org/officeDocument/2006/relationships/hyperlink" Target="https://www.sciencedirect.com/science/article/pii/S0143622807000252" TargetMode="External"/><Relationship Id="rId391" Type="http://schemas.openxmlformats.org/officeDocument/2006/relationships/hyperlink" Target="https://doi.org/10.1080/03736245.2005.9713821" TargetMode="External"/><Relationship Id="rId405" Type="http://schemas.openxmlformats.org/officeDocument/2006/relationships/hyperlink" Target="http://www.cifor.org/publications/corporate/cd-roms/bonn-proc/pdfs/papers/T3_FINAL_Barrow.pdf" TargetMode="External"/><Relationship Id="rId447" Type="http://schemas.openxmlformats.org/officeDocument/2006/relationships/hyperlink" Target="https://link.springer.com/article/10.1007/s00267-020-01265-w"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dpi.com/2071-1050/10/1/123/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06D87-AC0D-4BE4-9C13-9486D894B213}">
  <dimension ref="A1:T819"/>
  <sheetViews>
    <sheetView zoomScale="55" zoomScaleNormal="55" workbookViewId="0">
      <pane ySplit="1" topLeftCell="A101" activePane="bottomLeft" state="frozen"/>
      <selection activeCell="I1" sqref="I1"/>
      <selection pane="bottomLeft" activeCell="B104" sqref="B104"/>
    </sheetView>
  </sheetViews>
  <sheetFormatPr defaultRowHeight="14.5"/>
  <cols>
    <col min="1" max="1" width="14.26953125" customWidth="1"/>
    <col min="2" max="2" width="23.81640625" customWidth="1"/>
    <col min="3" max="4" width="20.26953125" customWidth="1"/>
    <col min="5" max="5" width="35.36328125" customWidth="1"/>
    <col min="6" max="6" width="29.08984375" customWidth="1"/>
    <col min="7" max="7" width="29.7265625" customWidth="1"/>
    <col min="8" max="8" width="21.81640625" customWidth="1"/>
    <col min="9" max="9" width="17.7265625" style="15" customWidth="1"/>
    <col min="10" max="11" width="16.453125" style="15" customWidth="1"/>
    <col min="12" max="13" width="20.90625" customWidth="1"/>
    <col min="14" max="14" width="26.26953125" customWidth="1"/>
    <col min="15" max="15" width="25.54296875" customWidth="1"/>
    <col min="16" max="16" width="40.08984375" customWidth="1"/>
    <col min="17" max="17" width="19.08984375" customWidth="1"/>
    <col min="18" max="18" width="21.453125" customWidth="1"/>
    <col min="19" max="19" width="24.90625" customWidth="1"/>
    <col min="20" max="20" width="25.6328125" customWidth="1"/>
    <col min="21" max="21" width="22.36328125" customWidth="1"/>
    <col min="22" max="22" width="18.54296875" customWidth="1"/>
    <col min="23" max="23" width="19.08984375" customWidth="1"/>
  </cols>
  <sheetData>
    <row r="1" spans="1:20" ht="43.5" customHeight="1" thickBot="1">
      <c r="A1" s="74" t="s">
        <v>2295</v>
      </c>
      <c r="B1" s="16" t="s">
        <v>3</v>
      </c>
      <c r="C1" s="16" t="s">
        <v>2296</v>
      </c>
      <c r="D1" s="16" t="s">
        <v>97</v>
      </c>
      <c r="E1" s="16" t="s">
        <v>2385</v>
      </c>
      <c r="F1" s="16" t="s">
        <v>4</v>
      </c>
      <c r="G1" s="16" t="s">
        <v>447</v>
      </c>
      <c r="H1" s="16" t="s">
        <v>59</v>
      </c>
      <c r="I1" s="76" t="s">
        <v>5</v>
      </c>
      <c r="J1" s="76" t="s">
        <v>6</v>
      </c>
      <c r="K1" s="76" t="s">
        <v>2469</v>
      </c>
      <c r="L1" s="16" t="s">
        <v>159</v>
      </c>
      <c r="M1" s="16" t="s">
        <v>949</v>
      </c>
      <c r="N1" s="16" t="s">
        <v>188</v>
      </c>
      <c r="O1" s="28" t="s">
        <v>66</v>
      </c>
      <c r="P1" s="73" t="s">
        <v>0</v>
      </c>
    </row>
    <row r="2" spans="1:20">
      <c r="A2" s="75">
        <v>1</v>
      </c>
      <c r="B2" s="8" t="s">
        <v>11</v>
      </c>
      <c r="C2" s="6" t="s">
        <v>15</v>
      </c>
      <c r="D2" s="6" t="s">
        <v>2430</v>
      </c>
      <c r="E2" s="43" t="s">
        <v>2431</v>
      </c>
      <c r="F2" s="6" t="s">
        <v>57</v>
      </c>
      <c r="G2" s="85" t="s">
        <v>2308</v>
      </c>
      <c r="H2" s="6" t="s">
        <v>58</v>
      </c>
      <c r="I2" s="26">
        <v>-20.100000000000001</v>
      </c>
      <c r="J2" s="26">
        <v>46.89</v>
      </c>
      <c r="K2" s="26">
        <v>18</v>
      </c>
      <c r="L2" s="6">
        <v>1998</v>
      </c>
      <c r="M2" s="6">
        <v>1998</v>
      </c>
      <c r="N2" s="6">
        <v>97</v>
      </c>
      <c r="O2" s="6" t="s">
        <v>67</v>
      </c>
      <c r="P2" s="6"/>
    </row>
    <row r="3" spans="1:20">
      <c r="A3" s="32">
        <v>1</v>
      </c>
      <c r="B3" s="41" t="s">
        <v>11</v>
      </c>
      <c r="C3" s="4" t="s">
        <v>16</v>
      </c>
      <c r="D3" s="6" t="s">
        <v>2430</v>
      </c>
      <c r="E3" s="43" t="s">
        <v>2431</v>
      </c>
      <c r="F3" s="4" t="s">
        <v>20</v>
      </c>
      <c r="G3" s="45" t="s">
        <v>2308</v>
      </c>
      <c r="H3" s="4" t="s">
        <v>58</v>
      </c>
      <c r="I3" s="22">
        <v>-18.61</v>
      </c>
      <c r="J3" s="22">
        <v>45.83</v>
      </c>
      <c r="K3" s="22" t="s">
        <v>2308</v>
      </c>
      <c r="L3" s="4">
        <v>1998</v>
      </c>
      <c r="M3" s="4">
        <v>1998</v>
      </c>
      <c r="N3" s="4">
        <v>20</v>
      </c>
      <c r="O3" s="4" t="s">
        <v>67</v>
      </c>
      <c r="P3" s="4"/>
    </row>
    <row r="4" spans="1:20">
      <c r="A4" s="32">
        <v>1</v>
      </c>
      <c r="B4" s="41" t="s">
        <v>11</v>
      </c>
      <c r="C4" s="4" t="s">
        <v>17</v>
      </c>
      <c r="D4" s="6" t="s">
        <v>2430</v>
      </c>
      <c r="E4" s="43" t="s">
        <v>2431</v>
      </c>
      <c r="F4" s="4" t="s">
        <v>21</v>
      </c>
      <c r="G4" s="45" t="s">
        <v>2308</v>
      </c>
      <c r="H4" s="4" t="s">
        <v>58</v>
      </c>
      <c r="I4" s="22">
        <v>-19.39</v>
      </c>
      <c r="J4" s="22">
        <v>47.04</v>
      </c>
      <c r="K4" s="22" t="s">
        <v>2308</v>
      </c>
      <c r="L4" s="4">
        <v>1998</v>
      </c>
      <c r="M4" s="4">
        <v>1998</v>
      </c>
      <c r="N4" s="4">
        <v>116</v>
      </c>
      <c r="O4" s="4" t="s">
        <v>67</v>
      </c>
      <c r="P4" s="4"/>
    </row>
    <row r="5" spans="1:20">
      <c r="A5" s="32">
        <v>1</v>
      </c>
      <c r="B5" s="41" t="s">
        <v>11</v>
      </c>
      <c r="C5" s="4" t="s">
        <v>18</v>
      </c>
      <c r="D5" s="6" t="s">
        <v>2430</v>
      </c>
      <c r="E5" s="43" t="s">
        <v>2431</v>
      </c>
      <c r="F5" s="4" t="s">
        <v>22</v>
      </c>
      <c r="G5" s="45" t="s">
        <v>2308</v>
      </c>
      <c r="H5" s="4" t="s">
        <v>58</v>
      </c>
      <c r="I5" s="22">
        <v>-20.54</v>
      </c>
      <c r="J5" s="22">
        <v>46.65</v>
      </c>
      <c r="K5" s="22" t="s">
        <v>2308</v>
      </c>
      <c r="L5" s="4">
        <v>1998</v>
      </c>
      <c r="M5" s="4">
        <v>1998</v>
      </c>
      <c r="N5" s="4">
        <v>200</v>
      </c>
      <c r="O5" s="4" t="s">
        <v>67</v>
      </c>
      <c r="P5" s="4"/>
    </row>
    <row r="6" spans="1:20">
      <c r="A6" s="32">
        <v>1</v>
      </c>
      <c r="B6" s="41" t="s">
        <v>11</v>
      </c>
      <c r="C6" s="4" t="s">
        <v>19</v>
      </c>
      <c r="D6" s="6" t="s">
        <v>2430</v>
      </c>
      <c r="E6" s="43" t="s">
        <v>2431</v>
      </c>
      <c r="F6" s="4" t="s">
        <v>23</v>
      </c>
      <c r="G6" s="45" t="s">
        <v>2308</v>
      </c>
      <c r="H6" s="4" t="s">
        <v>58</v>
      </c>
      <c r="I6" s="22">
        <v>-22.11</v>
      </c>
      <c r="J6" s="22">
        <v>46.9</v>
      </c>
      <c r="K6" s="22" t="s">
        <v>2308</v>
      </c>
      <c r="L6" s="4">
        <v>1998</v>
      </c>
      <c r="M6" s="4">
        <v>1998</v>
      </c>
      <c r="N6" s="4">
        <v>28</v>
      </c>
      <c r="O6" s="4" t="s">
        <v>67</v>
      </c>
      <c r="P6" s="4"/>
    </row>
    <row r="7" spans="1:20" ht="16.5" customHeight="1">
      <c r="A7" s="103">
        <v>1</v>
      </c>
      <c r="B7" s="104" t="s">
        <v>11</v>
      </c>
      <c r="C7" s="105" t="s">
        <v>71</v>
      </c>
      <c r="D7" s="85" t="s">
        <v>2430</v>
      </c>
      <c r="E7" s="108" t="s">
        <v>2431</v>
      </c>
      <c r="F7" s="86" t="s">
        <v>79</v>
      </c>
      <c r="G7" s="86" t="s">
        <v>2308</v>
      </c>
      <c r="H7" s="105" t="s">
        <v>72</v>
      </c>
      <c r="I7" s="106" t="s">
        <v>2</v>
      </c>
      <c r="J7" s="106" t="s">
        <v>2</v>
      </c>
      <c r="K7" s="106" t="s">
        <v>2308</v>
      </c>
      <c r="L7" s="105">
        <v>1998</v>
      </c>
      <c r="M7" s="105">
        <v>1998</v>
      </c>
      <c r="N7" s="105" t="s">
        <v>2308</v>
      </c>
      <c r="O7" s="105" t="s">
        <v>67</v>
      </c>
      <c r="P7" s="105"/>
      <c r="T7" s="15"/>
    </row>
    <row r="8" spans="1:20">
      <c r="A8" s="32">
        <v>2</v>
      </c>
      <c r="B8" s="41" t="s">
        <v>80</v>
      </c>
      <c r="C8" s="32" t="s">
        <v>81</v>
      </c>
      <c r="D8" s="32" t="s">
        <v>2430</v>
      </c>
      <c r="E8" s="29" t="s">
        <v>2432</v>
      </c>
      <c r="F8" s="4" t="s">
        <v>87</v>
      </c>
      <c r="G8" s="4" t="s">
        <v>87</v>
      </c>
      <c r="H8" s="4" t="s">
        <v>88</v>
      </c>
      <c r="I8" s="22">
        <v>30.7741833715288</v>
      </c>
      <c r="J8" s="22">
        <v>75.160195001733896</v>
      </c>
      <c r="K8" s="22" t="s">
        <v>2308</v>
      </c>
      <c r="L8" s="4">
        <v>2016</v>
      </c>
      <c r="M8" s="4">
        <v>2016</v>
      </c>
      <c r="N8" s="4" t="s">
        <v>2308</v>
      </c>
      <c r="O8" s="4" t="s">
        <v>67</v>
      </c>
      <c r="P8" s="4" t="s">
        <v>2294</v>
      </c>
      <c r="T8" s="15"/>
    </row>
    <row r="9" spans="1:20">
      <c r="A9" s="32">
        <v>2</v>
      </c>
      <c r="B9" s="41" t="s">
        <v>80</v>
      </c>
      <c r="C9" s="32" t="s">
        <v>227</v>
      </c>
      <c r="D9" s="32" t="s">
        <v>2430</v>
      </c>
      <c r="E9" s="29" t="s">
        <v>2432</v>
      </c>
      <c r="F9" s="4" t="s">
        <v>197</v>
      </c>
      <c r="G9" s="4" t="s">
        <v>87</v>
      </c>
      <c r="H9" s="4" t="s">
        <v>88</v>
      </c>
      <c r="I9" s="22">
        <v>31.806079678960199</v>
      </c>
      <c r="J9" s="22">
        <v>74.857274427412904</v>
      </c>
      <c r="K9" s="22">
        <v>0.57692310000000002</v>
      </c>
      <c r="L9" s="4">
        <v>2016</v>
      </c>
      <c r="M9" s="4">
        <v>2016</v>
      </c>
      <c r="N9" s="4" t="s">
        <v>2308</v>
      </c>
      <c r="O9" s="4" t="s">
        <v>67</v>
      </c>
      <c r="P9" s="4"/>
      <c r="T9" s="15"/>
    </row>
    <row r="10" spans="1:20">
      <c r="A10" s="32">
        <v>2</v>
      </c>
      <c r="B10" s="41" t="s">
        <v>80</v>
      </c>
      <c r="C10" s="32" t="s">
        <v>228</v>
      </c>
      <c r="D10" s="32" t="s">
        <v>2430</v>
      </c>
      <c r="E10" s="29" t="s">
        <v>2432</v>
      </c>
      <c r="F10" s="4" t="s">
        <v>198</v>
      </c>
      <c r="G10" s="4" t="s">
        <v>87</v>
      </c>
      <c r="H10" s="4" t="s">
        <v>88</v>
      </c>
      <c r="I10" s="22">
        <v>31.773750763335801</v>
      </c>
      <c r="J10" s="22">
        <v>74.825405747756193</v>
      </c>
      <c r="K10" s="22">
        <v>0.74291499999999999</v>
      </c>
      <c r="L10" s="4">
        <v>2016</v>
      </c>
      <c r="M10" s="4">
        <v>2016</v>
      </c>
      <c r="N10" s="4" t="s">
        <v>2308</v>
      </c>
      <c r="O10" s="4" t="s">
        <v>67</v>
      </c>
      <c r="P10" s="4"/>
      <c r="T10" s="15"/>
    </row>
    <row r="11" spans="1:20">
      <c r="A11" s="32">
        <v>2</v>
      </c>
      <c r="B11" s="41" t="s">
        <v>80</v>
      </c>
      <c r="C11" s="32" t="s">
        <v>229</v>
      </c>
      <c r="D11" s="32" t="s">
        <v>2430</v>
      </c>
      <c r="E11" s="29" t="s">
        <v>2432</v>
      </c>
      <c r="F11" s="4" t="s">
        <v>199</v>
      </c>
      <c r="G11" s="4" t="s">
        <v>87</v>
      </c>
      <c r="H11" s="4" t="s">
        <v>88</v>
      </c>
      <c r="I11" s="22">
        <v>31.7706358661579</v>
      </c>
      <c r="J11" s="22">
        <v>75.010733646819205</v>
      </c>
      <c r="K11" s="22">
        <v>0.47823890000000002</v>
      </c>
      <c r="L11" s="4">
        <v>2016</v>
      </c>
      <c r="M11" s="4">
        <v>2016</v>
      </c>
      <c r="N11" s="4" t="s">
        <v>2308</v>
      </c>
      <c r="O11" s="4" t="s">
        <v>67</v>
      </c>
      <c r="P11" s="4"/>
      <c r="T11" s="15"/>
    </row>
    <row r="12" spans="1:20">
      <c r="A12" s="32">
        <v>2</v>
      </c>
      <c r="B12" s="41" t="s">
        <v>80</v>
      </c>
      <c r="C12" s="32" t="s">
        <v>230</v>
      </c>
      <c r="D12" s="32" t="s">
        <v>2430</v>
      </c>
      <c r="E12" s="29" t="s">
        <v>2432</v>
      </c>
      <c r="F12" s="4" t="s">
        <v>200</v>
      </c>
      <c r="G12" s="4" t="s">
        <v>87</v>
      </c>
      <c r="H12" s="4" t="s">
        <v>88</v>
      </c>
      <c r="I12" s="22">
        <v>31.743130427735998</v>
      </c>
      <c r="J12" s="22">
        <v>75.085087608463198</v>
      </c>
      <c r="K12" s="22">
        <v>0.59979760000000004</v>
      </c>
      <c r="L12" s="4">
        <v>2016</v>
      </c>
      <c r="M12" s="4">
        <v>2016</v>
      </c>
      <c r="N12" s="4" t="s">
        <v>2308</v>
      </c>
      <c r="O12" s="4" t="s">
        <v>67</v>
      </c>
      <c r="P12" s="4"/>
      <c r="T12" s="15"/>
    </row>
    <row r="13" spans="1:20">
      <c r="A13" s="32">
        <v>2</v>
      </c>
      <c r="B13" s="41" t="s">
        <v>80</v>
      </c>
      <c r="C13" s="32" t="s">
        <v>231</v>
      </c>
      <c r="D13" s="32" t="s">
        <v>2430</v>
      </c>
      <c r="E13" s="29" t="s">
        <v>2432</v>
      </c>
      <c r="F13" s="4" t="s">
        <v>201</v>
      </c>
      <c r="G13" s="4" t="s">
        <v>87</v>
      </c>
      <c r="H13" s="4" t="s">
        <v>88</v>
      </c>
      <c r="I13" s="22">
        <v>31.6895568868383</v>
      </c>
      <c r="J13" s="22">
        <v>74.946363875020296</v>
      </c>
      <c r="K13" s="22">
        <v>0.78643719999999995</v>
      </c>
      <c r="L13" s="4">
        <v>2016</v>
      </c>
      <c r="M13" s="4">
        <v>2016</v>
      </c>
      <c r="N13" s="4" t="s">
        <v>2308</v>
      </c>
      <c r="O13" s="4" t="s">
        <v>67</v>
      </c>
      <c r="P13" s="4"/>
      <c r="T13" s="15"/>
    </row>
    <row r="14" spans="1:20">
      <c r="A14" s="32">
        <v>2</v>
      </c>
      <c r="B14" s="41" t="s">
        <v>80</v>
      </c>
      <c r="C14" s="32" t="s">
        <v>263</v>
      </c>
      <c r="D14" s="32" t="s">
        <v>2430</v>
      </c>
      <c r="E14" s="29" t="s">
        <v>2432</v>
      </c>
      <c r="F14" s="4" t="s">
        <v>202</v>
      </c>
      <c r="G14" s="4" t="s">
        <v>87</v>
      </c>
      <c r="H14" s="4" t="s">
        <v>88</v>
      </c>
      <c r="I14" s="22">
        <v>31.652058720007201</v>
      </c>
      <c r="J14" s="22">
        <v>75.016924434195204</v>
      </c>
      <c r="K14" s="22">
        <v>0.61336029999999997</v>
      </c>
      <c r="L14" s="4">
        <v>2016</v>
      </c>
      <c r="M14" s="4">
        <v>2016</v>
      </c>
      <c r="N14" s="4" t="s">
        <v>2308</v>
      </c>
      <c r="O14" s="4" t="s">
        <v>67</v>
      </c>
      <c r="P14" s="4"/>
      <c r="T14" s="15"/>
    </row>
    <row r="15" spans="1:20">
      <c r="A15" s="32">
        <v>2</v>
      </c>
      <c r="B15" s="41" t="s">
        <v>80</v>
      </c>
      <c r="C15" s="32" t="s">
        <v>264</v>
      </c>
      <c r="D15" s="32" t="s">
        <v>2430</v>
      </c>
      <c r="E15" s="29" t="s">
        <v>2432</v>
      </c>
      <c r="F15" s="4" t="s">
        <v>203</v>
      </c>
      <c r="G15" s="4" t="s">
        <v>87</v>
      </c>
      <c r="H15" s="4" t="s">
        <v>88</v>
      </c>
      <c r="I15" s="22">
        <v>31.626553913577801</v>
      </c>
      <c r="J15" s="22">
        <v>74.970795330643099</v>
      </c>
      <c r="K15" s="22">
        <v>0.60576920000000001</v>
      </c>
      <c r="L15" s="4">
        <v>2016</v>
      </c>
      <c r="M15" s="4">
        <v>2016</v>
      </c>
      <c r="N15" s="4" t="s">
        <v>2308</v>
      </c>
      <c r="O15" s="4" t="s">
        <v>67</v>
      </c>
      <c r="P15" s="4"/>
      <c r="T15" s="15"/>
    </row>
    <row r="16" spans="1:20">
      <c r="A16" s="32">
        <v>2</v>
      </c>
      <c r="B16" s="41" t="s">
        <v>80</v>
      </c>
      <c r="C16" s="32" t="s">
        <v>265</v>
      </c>
      <c r="D16" s="32" t="s">
        <v>2430</v>
      </c>
      <c r="E16" s="29" t="s">
        <v>2432</v>
      </c>
      <c r="F16" s="4" t="s">
        <v>204</v>
      </c>
      <c r="G16" s="4" t="s">
        <v>87</v>
      </c>
      <c r="H16" s="4" t="s">
        <v>88</v>
      </c>
      <c r="I16" s="22">
        <v>31.6139956753082</v>
      </c>
      <c r="J16" s="22">
        <v>75.114598950032502</v>
      </c>
      <c r="K16" s="22">
        <v>0.444332</v>
      </c>
      <c r="L16" s="4">
        <v>2016</v>
      </c>
      <c r="M16" s="4">
        <v>2016</v>
      </c>
      <c r="N16" s="4" t="s">
        <v>2308</v>
      </c>
      <c r="O16" s="4" t="s">
        <v>67</v>
      </c>
      <c r="P16" s="4"/>
      <c r="T16" s="15"/>
    </row>
    <row r="17" spans="1:20">
      <c r="A17" s="32">
        <v>2</v>
      </c>
      <c r="B17" s="41" t="s">
        <v>80</v>
      </c>
      <c r="C17" s="32" t="s">
        <v>266</v>
      </c>
      <c r="D17" s="32" t="s">
        <v>2430</v>
      </c>
      <c r="E17" s="29" t="s">
        <v>2432</v>
      </c>
      <c r="F17" s="4" t="s">
        <v>205</v>
      </c>
      <c r="G17" s="4" t="s">
        <v>87</v>
      </c>
      <c r="H17" s="4" t="s">
        <v>88</v>
      </c>
      <c r="I17" s="22">
        <v>31.596091775009999</v>
      </c>
      <c r="J17" s="22">
        <v>75.026377738499207</v>
      </c>
      <c r="K17" s="22">
        <v>0.68502019999999997</v>
      </c>
      <c r="L17" s="4">
        <v>2016</v>
      </c>
      <c r="M17" s="4">
        <v>2016</v>
      </c>
      <c r="N17" s="4" t="s">
        <v>2308</v>
      </c>
      <c r="O17" s="4" t="s">
        <v>67</v>
      </c>
      <c r="P17" s="4"/>
      <c r="T17" s="15"/>
    </row>
    <row r="18" spans="1:20">
      <c r="A18" s="32">
        <v>2</v>
      </c>
      <c r="B18" s="41" t="s">
        <v>80</v>
      </c>
      <c r="C18" s="32" t="s">
        <v>267</v>
      </c>
      <c r="D18" s="32" t="s">
        <v>2430</v>
      </c>
      <c r="E18" s="29" t="s">
        <v>2432</v>
      </c>
      <c r="F18" s="4" t="s">
        <v>206</v>
      </c>
      <c r="G18" s="4" t="s">
        <v>87</v>
      </c>
      <c r="H18" s="4" t="s">
        <v>88</v>
      </c>
      <c r="I18" s="22">
        <v>31.584350987828799</v>
      </c>
      <c r="J18" s="22">
        <v>75.105410372997198</v>
      </c>
      <c r="K18" s="22">
        <v>1.1295550000000001</v>
      </c>
      <c r="L18" s="4">
        <v>2016</v>
      </c>
      <c r="M18" s="4">
        <v>2016</v>
      </c>
      <c r="N18" s="4" t="s">
        <v>2308</v>
      </c>
      <c r="O18" s="4" t="s">
        <v>67</v>
      </c>
      <c r="P18" s="4"/>
      <c r="T18" s="15"/>
    </row>
    <row r="19" spans="1:20">
      <c r="A19" s="32">
        <v>2</v>
      </c>
      <c r="B19" s="41" t="s">
        <v>80</v>
      </c>
      <c r="C19" s="32" t="s">
        <v>268</v>
      </c>
      <c r="D19" s="32" t="s">
        <v>2430</v>
      </c>
      <c r="E19" s="29" t="s">
        <v>2432</v>
      </c>
      <c r="F19" s="4" t="s">
        <v>207</v>
      </c>
      <c r="G19" s="4" t="s">
        <v>87</v>
      </c>
      <c r="H19" s="4" t="s">
        <v>88</v>
      </c>
      <c r="I19" s="22">
        <v>30.421134700887801</v>
      </c>
      <c r="J19" s="22">
        <v>74.661359121356199</v>
      </c>
      <c r="K19" s="22">
        <v>1.234818</v>
      </c>
      <c r="L19" s="4">
        <v>2016</v>
      </c>
      <c r="M19" s="4">
        <v>2016</v>
      </c>
      <c r="N19" s="4" t="s">
        <v>2308</v>
      </c>
      <c r="O19" s="4" t="s">
        <v>67</v>
      </c>
      <c r="P19" s="4"/>
      <c r="T19" s="15"/>
    </row>
    <row r="20" spans="1:20">
      <c r="A20" s="32">
        <v>2</v>
      </c>
      <c r="B20" s="41" t="s">
        <v>80</v>
      </c>
      <c r="C20" s="32" t="s">
        <v>269</v>
      </c>
      <c r="D20" s="32" t="s">
        <v>2430</v>
      </c>
      <c r="E20" s="29" t="s">
        <v>2432</v>
      </c>
      <c r="F20" s="4" t="s">
        <v>208</v>
      </c>
      <c r="G20" s="4" t="s">
        <v>87</v>
      </c>
      <c r="H20" s="4" t="s">
        <v>88</v>
      </c>
      <c r="I20" s="22">
        <v>30.419580500828399</v>
      </c>
      <c r="J20" s="22">
        <v>75.971216213258501</v>
      </c>
      <c r="K20" s="22">
        <v>0.72874490000000003</v>
      </c>
      <c r="L20" s="4">
        <v>2016</v>
      </c>
      <c r="M20" s="4">
        <v>2016</v>
      </c>
      <c r="N20" s="4" t="s">
        <v>2308</v>
      </c>
      <c r="O20" s="4" t="s">
        <v>67</v>
      </c>
      <c r="P20" s="4"/>
      <c r="T20" s="15"/>
    </row>
    <row r="21" spans="1:20">
      <c r="A21" s="32">
        <v>2</v>
      </c>
      <c r="B21" s="41" t="s">
        <v>80</v>
      </c>
      <c r="C21" s="32" t="s">
        <v>270</v>
      </c>
      <c r="D21" s="32" t="s">
        <v>2430</v>
      </c>
      <c r="E21" s="29" t="s">
        <v>2432</v>
      </c>
      <c r="F21" s="4" t="s">
        <v>209</v>
      </c>
      <c r="G21" s="4" t="s">
        <v>87</v>
      </c>
      <c r="H21" s="4" t="s">
        <v>88</v>
      </c>
      <c r="I21" s="22">
        <v>30.381901640579301</v>
      </c>
      <c r="J21" s="22">
        <v>75.767988647637907</v>
      </c>
      <c r="K21" s="22">
        <v>0.71255060000000003</v>
      </c>
      <c r="L21" s="4">
        <v>2016</v>
      </c>
      <c r="M21" s="4">
        <v>2016</v>
      </c>
      <c r="N21" s="4" t="s">
        <v>2308</v>
      </c>
      <c r="O21" s="4" t="s">
        <v>67</v>
      </c>
      <c r="P21" s="4"/>
      <c r="T21" s="15"/>
    </row>
    <row r="22" spans="1:20">
      <c r="A22" s="32">
        <v>2</v>
      </c>
      <c r="B22" s="41" t="s">
        <v>80</v>
      </c>
      <c r="C22" s="32" t="s">
        <v>271</v>
      </c>
      <c r="D22" s="32" t="s">
        <v>2430</v>
      </c>
      <c r="E22" s="29" t="s">
        <v>2432</v>
      </c>
      <c r="F22" s="4" t="s">
        <v>210</v>
      </c>
      <c r="G22" s="4" t="s">
        <v>87</v>
      </c>
      <c r="H22" s="4" t="s">
        <v>88</v>
      </c>
      <c r="I22" s="22">
        <v>30.357994178233799</v>
      </c>
      <c r="J22" s="22">
        <v>74.817006318894499</v>
      </c>
      <c r="K22" s="22">
        <v>0.82995949999999996</v>
      </c>
      <c r="L22" s="4">
        <v>2016</v>
      </c>
      <c r="M22" s="4">
        <v>2016</v>
      </c>
      <c r="N22" s="4" t="s">
        <v>2308</v>
      </c>
      <c r="O22" s="4" t="s">
        <v>67</v>
      </c>
      <c r="P22" s="4"/>
      <c r="T22" s="15"/>
    </row>
    <row r="23" spans="1:20">
      <c r="A23" s="32">
        <v>2</v>
      </c>
      <c r="B23" s="41" t="s">
        <v>80</v>
      </c>
      <c r="C23" s="32" t="s">
        <v>272</v>
      </c>
      <c r="D23" s="32" t="s">
        <v>2430</v>
      </c>
      <c r="E23" s="29" t="s">
        <v>2432</v>
      </c>
      <c r="F23" s="4" t="s">
        <v>211</v>
      </c>
      <c r="G23" s="4" t="s">
        <v>87</v>
      </c>
      <c r="H23" s="4" t="s">
        <v>88</v>
      </c>
      <c r="I23" s="22">
        <v>30.3480102934614</v>
      </c>
      <c r="J23" s="22">
        <v>75.933439860555794</v>
      </c>
      <c r="K23" s="22">
        <v>0.73157890000000003</v>
      </c>
      <c r="L23" s="4">
        <v>2016</v>
      </c>
      <c r="M23" s="4">
        <v>2016</v>
      </c>
      <c r="N23" s="4" t="s">
        <v>2308</v>
      </c>
      <c r="O23" s="4" t="s">
        <v>67</v>
      </c>
      <c r="P23" s="4"/>
      <c r="T23" s="15"/>
    </row>
    <row r="24" spans="1:20">
      <c r="A24" s="32">
        <v>2</v>
      </c>
      <c r="B24" s="41" t="s">
        <v>80</v>
      </c>
      <c r="C24" s="32" t="s">
        <v>273</v>
      </c>
      <c r="D24" s="32" t="s">
        <v>2430</v>
      </c>
      <c r="E24" s="29" t="s">
        <v>2432</v>
      </c>
      <c r="F24" s="4" t="s">
        <v>212</v>
      </c>
      <c r="G24" s="4" t="s">
        <v>87</v>
      </c>
      <c r="H24" s="4" t="s">
        <v>88</v>
      </c>
      <c r="I24" s="22">
        <v>30.3342971040794</v>
      </c>
      <c r="J24" s="22">
        <v>74.674783908587202</v>
      </c>
      <c r="K24" s="22">
        <v>0.57287449999999995</v>
      </c>
      <c r="L24" s="4">
        <v>2016</v>
      </c>
      <c r="M24" s="4">
        <v>2016</v>
      </c>
      <c r="N24" s="4" t="s">
        <v>2308</v>
      </c>
      <c r="O24" s="4" t="s">
        <v>67</v>
      </c>
      <c r="P24" s="4"/>
      <c r="T24" s="15"/>
    </row>
    <row r="25" spans="1:20">
      <c r="A25" s="32">
        <v>2</v>
      </c>
      <c r="B25" s="41" t="s">
        <v>80</v>
      </c>
      <c r="C25" s="32" t="s">
        <v>274</v>
      </c>
      <c r="D25" s="32" t="s">
        <v>2430</v>
      </c>
      <c r="E25" s="29" t="s">
        <v>2432</v>
      </c>
      <c r="F25" s="4" t="s">
        <v>213</v>
      </c>
      <c r="G25" s="4" t="s">
        <v>87</v>
      </c>
      <c r="H25" s="4" t="s">
        <v>88</v>
      </c>
      <c r="I25" s="22">
        <v>30.332088118433202</v>
      </c>
      <c r="J25" s="22">
        <v>75.684613092155601</v>
      </c>
      <c r="K25" s="22">
        <v>0.68380569999999996</v>
      </c>
      <c r="L25" s="4">
        <v>2016</v>
      </c>
      <c r="M25" s="4">
        <v>2016</v>
      </c>
      <c r="N25" s="4" t="s">
        <v>2308</v>
      </c>
      <c r="O25" s="4" t="s">
        <v>67</v>
      </c>
      <c r="P25" s="4"/>
      <c r="T25" s="15"/>
    </row>
    <row r="26" spans="1:20">
      <c r="A26" s="32">
        <v>2</v>
      </c>
      <c r="B26" s="41" t="s">
        <v>80</v>
      </c>
      <c r="C26" s="32" t="s">
        <v>275</v>
      </c>
      <c r="D26" s="32" t="s">
        <v>2430</v>
      </c>
      <c r="E26" s="29" t="s">
        <v>2432</v>
      </c>
      <c r="F26" s="4" t="s">
        <v>214</v>
      </c>
      <c r="G26" s="4" t="s">
        <v>87</v>
      </c>
      <c r="H26" s="4" t="s">
        <v>88</v>
      </c>
      <c r="I26" s="22">
        <v>30.333561955300901</v>
      </c>
      <c r="J26" s="22">
        <v>74.530787163503405</v>
      </c>
      <c r="K26" s="22">
        <v>1.016194</v>
      </c>
      <c r="L26" s="4">
        <v>2016</v>
      </c>
      <c r="M26" s="4">
        <v>2016</v>
      </c>
      <c r="N26" s="4" t="s">
        <v>2308</v>
      </c>
      <c r="O26" s="4" t="s">
        <v>67</v>
      </c>
      <c r="P26" s="4"/>
      <c r="T26" s="15"/>
    </row>
    <row r="27" spans="1:20">
      <c r="A27" s="32">
        <v>2</v>
      </c>
      <c r="B27" s="41" t="s">
        <v>80</v>
      </c>
      <c r="C27" s="32" t="s">
        <v>276</v>
      </c>
      <c r="D27" s="32" t="s">
        <v>2430</v>
      </c>
      <c r="E27" s="29" t="s">
        <v>2432</v>
      </c>
      <c r="F27" s="4" t="s">
        <v>215</v>
      </c>
      <c r="G27" s="4" t="s">
        <v>87</v>
      </c>
      <c r="H27" s="4" t="s">
        <v>88</v>
      </c>
      <c r="I27" s="22">
        <v>30.310836140775098</v>
      </c>
      <c r="J27" s="22">
        <v>75.820666771390094</v>
      </c>
      <c r="K27" s="22">
        <v>0.70404860000000002</v>
      </c>
      <c r="L27" s="4">
        <v>2016</v>
      </c>
      <c r="M27" s="4">
        <v>2016</v>
      </c>
      <c r="N27" s="4" t="s">
        <v>2308</v>
      </c>
      <c r="O27" s="4" t="s">
        <v>67</v>
      </c>
      <c r="P27" s="4"/>
      <c r="T27" s="15"/>
    </row>
    <row r="28" spans="1:20">
      <c r="A28" s="32">
        <v>2</v>
      </c>
      <c r="B28" s="41" t="s">
        <v>80</v>
      </c>
      <c r="C28" s="32" t="s">
        <v>277</v>
      </c>
      <c r="D28" s="32" t="s">
        <v>2430</v>
      </c>
      <c r="E28" s="29" t="s">
        <v>2432</v>
      </c>
      <c r="F28" s="4" t="s">
        <v>216</v>
      </c>
      <c r="G28" s="4" t="s">
        <v>87</v>
      </c>
      <c r="H28" s="4" t="s">
        <v>88</v>
      </c>
      <c r="I28" s="22">
        <v>30.303236710750301</v>
      </c>
      <c r="J28" s="22">
        <v>74.455343292657204</v>
      </c>
      <c r="K28" s="22">
        <v>1.7069840000000001</v>
      </c>
      <c r="L28" s="4">
        <v>2016</v>
      </c>
      <c r="M28" s="4">
        <v>2016</v>
      </c>
      <c r="N28" s="4" t="s">
        <v>2308</v>
      </c>
      <c r="O28" s="4" t="s">
        <v>67</v>
      </c>
      <c r="P28" s="4"/>
      <c r="T28" s="15"/>
    </row>
    <row r="29" spans="1:20">
      <c r="A29" s="32">
        <v>2</v>
      </c>
      <c r="B29" s="41" t="s">
        <v>80</v>
      </c>
      <c r="C29" s="32" t="s">
        <v>278</v>
      </c>
      <c r="D29" s="32" t="s">
        <v>2430</v>
      </c>
      <c r="E29" s="29" t="s">
        <v>2432</v>
      </c>
      <c r="F29" s="4" t="s">
        <v>217</v>
      </c>
      <c r="G29" s="4" t="s">
        <v>87</v>
      </c>
      <c r="H29" s="4" t="s">
        <v>88</v>
      </c>
      <c r="I29" s="22">
        <v>30.267181957802801</v>
      </c>
      <c r="J29" s="22">
        <v>74.692416639093594</v>
      </c>
      <c r="K29" s="22">
        <v>0.91194330000000001</v>
      </c>
      <c r="L29" s="4">
        <v>2016</v>
      </c>
      <c r="M29" s="4">
        <v>2016</v>
      </c>
      <c r="N29" s="4" t="s">
        <v>2308</v>
      </c>
      <c r="O29" s="4" t="s">
        <v>67</v>
      </c>
      <c r="P29" s="4"/>
      <c r="T29" s="15"/>
    </row>
    <row r="30" spans="1:20">
      <c r="A30" s="32">
        <v>2</v>
      </c>
      <c r="B30" s="41" t="s">
        <v>80</v>
      </c>
      <c r="C30" s="32" t="s">
        <v>279</v>
      </c>
      <c r="D30" s="32" t="s">
        <v>2430</v>
      </c>
      <c r="E30" s="29" t="s">
        <v>2432</v>
      </c>
      <c r="F30" s="4" t="s">
        <v>218</v>
      </c>
      <c r="G30" s="4" t="s">
        <v>87</v>
      </c>
      <c r="H30" s="4" t="s">
        <v>88</v>
      </c>
      <c r="I30" s="22">
        <v>30.2793653671051</v>
      </c>
      <c r="J30" s="22">
        <v>74.588347301047307</v>
      </c>
      <c r="K30" s="22">
        <v>1.1619429999999999</v>
      </c>
      <c r="L30" s="4">
        <v>2016</v>
      </c>
      <c r="M30" s="4">
        <v>2016</v>
      </c>
      <c r="N30" s="4" t="s">
        <v>2308</v>
      </c>
      <c r="O30" s="4" t="s">
        <v>67</v>
      </c>
      <c r="P30" s="4"/>
      <c r="T30" s="15"/>
    </row>
    <row r="31" spans="1:20">
      <c r="A31" s="32">
        <v>2</v>
      </c>
      <c r="B31" s="41" t="s">
        <v>80</v>
      </c>
      <c r="C31" s="32" t="s">
        <v>280</v>
      </c>
      <c r="D31" s="32" t="s">
        <v>2430</v>
      </c>
      <c r="E31" s="29" t="s">
        <v>2432</v>
      </c>
      <c r="F31" s="4" t="s">
        <v>219</v>
      </c>
      <c r="G31" s="4" t="s">
        <v>87</v>
      </c>
      <c r="H31" s="4" t="s">
        <v>88</v>
      </c>
      <c r="I31" s="22">
        <v>30.308972307371501</v>
      </c>
      <c r="J31" s="22">
        <v>75.975085984540002</v>
      </c>
      <c r="K31" s="22">
        <v>0.43319839999999998</v>
      </c>
      <c r="L31" s="4">
        <v>2016</v>
      </c>
      <c r="M31" s="4">
        <v>2016</v>
      </c>
      <c r="N31" s="4" t="s">
        <v>2308</v>
      </c>
      <c r="O31" s="4" t="s">
        <v>67</v>
      </c>
      <c r="P31" s="4"/>
      <c r="T31" s="15"/>
    </row>
    <row r="32" spans="1:20">
      <c r="A32" s="32">
        <v>2</v>
      </c>
      <c r="B32" s="41" t="s">
        <v>80</v>
      </c>
      <c r="C32" s="32" t="s">
        <v>281</v>
      </c>
      <c r="D32" s="32" t="s">
        <v>2430</v>
      </c>
      <c r="E32" s="29" t="s">
        <v>2432</v>
      </c>
      <c r="F32" s="4" t="s">
        <v>220</v>
      </c>
      <c r="G32" s="4" t="s">
        <v>87</v>
      </c>
      <c r="H32" s="4" t="s">
        <v>88</v>
      </c>
      <c r="I32" s="22">
        <v>30.2866586000845</v>
      </c>
      <c r="J32" s="22">
        <v>75.734371331418799</v>
      </c>
      <c r="K32" s="22">
        <v>0.81174089999999999</v>
      </c>
      <c r="L32" s="4">
        <v>2016</v>
      </c>
      <c r="M32" s="4">
        <v>2016</v>
      </c>
      <c r="N32" s="4" t="s">
        <v>2308</v>
      </c>
      <c r="O32" s="4" t="s">
        <v>67</v>
      </c>
      <c r="P32" s="4"/>
      <c r="T32" s="15"/>
    </row>
    <row r="33" spans="1:20">
      <c r="A33" s="32">
        <v>2</v>
      </c>
      <c r="B33" s="41" t="s">
        <v>80</v>
      </c>
      <c r="C33" s="32" t="s">
        <v>282</v>
      </c>
      <c r="D33" s="32" t="s">
        <v>2430</v>
      </c>
      <c r="E33" s="29" t="s">
        <v>2432</v>
      </c>
      <c r="F33" s="4" t="s">
        <v>221</v>
      </c>
      <c r="G33" s="4" t="s">
        <v>87</v>
      </c>
      <c r="H33" s="4" t="s">
        <v>88</v>
      </c>
      <c r="I33" s="22">
        <v>30.239434740141601</v>
      </c>
      <c r="J33" s="22">
        <v>75.754663834013598</v>
      </c>
      <c r="K33" s="22">
        <v>0.92206480000000002</v>
      </c>
      <c r="L33" s="4">
        <v>2016</v>
      </c>
      <c r="M33" s="4">
        <v>2016</v>
      </c>
      <c r="N33" s="4" t="s">
        <v>2308</v>
      </c>
      <c r="O33" s="4" t="s">
        <v>67</v>
      </c>
      <c r="P33" s="4"/>
      <c r="T33" s="15"/>
    </row>
    <row r="34" spans="1:20">
      <c r="A34" s="32">
        <v>2</v>
      </c>
      <c r="B34" s="41" t="s">
        <v>80</v>
      </c>
      <c r="C34" s="32" t="s">
        <v>283</v>
      </c>
      <c r="D34" s="32" t="s">
        <v>2430</v>
      </c>
      <c r="E34" s="29" t="s">
        <v>2432</v>
      </c>
      <c r="F34" s="4" t="s">
        <v>222</v>
      </c>
      <c r="G34" s="4" t="s">
        <v>87</v>
      </c>
      <c r="H34" s="4" t="s">
        <v>88</v>
      </c>
      <c r="I34" s="22">
        <v>30.213243779885101</v>
      </c>
      <c r="J34" s="22">
        <v>75.628440281843595</v>
      </c>
      <c r="K34" s="22">
        <v>0.89068829999999999</v>
      </c>
      <c r="L34" s="4">
        <v>2016</v>
      </c>
      <c r="M34" s="4">
        <v>2016</v>
      </c>
      <c r="N34" s="4" t="s">
        <v>2308</v>
      </c>
      <c r="O34" s="4" t="s">
        <v>67</v>
      </c>
      <c r="P34" s="4"/>
      <c r="T34" s="15"/>
    </row>
    <row r="35" spans="1:20">
      <c r="A35" s="32">
        <v>2</v>
      </c>
      <c r="B35" s="41" t="s">
        <v>80</v>
      </c>
      <c r="C35" s="32" t="s">
        <v>296</v>
      </c>
      <c r="D35" s="32" t="s">
        <v>2430</v>
      </c>
      <c r="E35" s="29" t="s">
        <v>2432</v>
      </c>
      <c r="F35" s="4" t="s">
        <v>223</v>
      </c>
      <c r="G35" s="4" t="s">
        <v>87</v>
      </c>
      <c r="H35" s="4" t="s">
        <v>88</v>
      </c>
      <c r="I35" s="22">
        <v>30.198490370101698</v>
      </c>
      <c r="J35" s="22">
        <v>74.744110277349904</v>
      </c>
      <c r="K35" s="22">
        <v>1.1449389999999999</v>
      </c>
      <c r="L35" s="4">
        <v>2016</v>
      </c>
      <c r="M35" s="4">
        <v>2016</v>
      </c>
      <c r="N35" s="4" t="s">
        <v>2308</v>
      </c>
      <c r="O35" s="4" t="s">
        <v>67</v>
      </c>
      <c r="P35" s="4"/>
      <c r="T35" s="15"/>
    </row>
    <row r="36" spans="1:20">
      <c r="A36" s="32">
        <v>2</v>
      </c>
      <c r="B36" s="41" t="s">
        <v>80</v>
      </c>
      <c r="C36" s="32" t="s">
        <v>297</v>
      </c>
      <c r="D36" s="32" t="s">
        <v>2430</v>
      </c>
      <c r="E36" s="29" t="s">
        <v>2432</v>
      </c>
      <c r="F36" s="4" t="s">
        <v>224</v>
      </c>
      <c r="G36" s="4" t="s">
        <v>87</v>
      </c>
      <c r="H36" s="4" t="s">
        <v>88</v>
      </c>
      <c r="I36" s="22">
        <v>30.128640460784101</v>
      </c>
      <c r="J36" s="22">
        <v>74.606548409143102</v>
      </c>
      <c r="K36" s="22">
        <v>0.66700400000000004</v>
      </c>
      <c r="L36" s="4">
        <v>2016</v>
      </c>
      <c r="M36" s="4">
        <v>2016</v>
      </c>
      <c r="N36" s="4" t="s">
        <v>2308</v>
      </c>
      <c r="O36" s="4" t="s">
        <v>67</v>
      </c>
      <c r="P36" s="4"/>
      <c r="T36" s="15"/>
    </row>
    <row r="37" spans="1:20">
      <c r="A37" s="32">
        <v>2</v>
      </c>
      <c r="B37" s="41" t="s">
        <v>80</v>
      </c>
      <c r="C37" s="32" t="s">
        <v>298</v>
      </c>
      <c r="D37" s="32" t="s">
        <v>2430</v>
      </c>
      <c r="E37" s="29" t="s">
        <v>2432</v>
      </c>
      <c r="F37" s="4" t="s">
        <v>225</v>
      </c>
      <c r="G37" s="4" t="s">
        <v>87</v>
      </c>
      <c r="H37" s="4" t="s">
        <v>88</v>
      </c>
      <c r="I37" s="22">
        <v>30.1304841529683</v>
      </c>
      <c r="J37" s="22">
        <v>75.645494469996393</v>
      </c>
      <c r="K37" s="22">
        <v>0.51670039999999995</v>
      </c>
      <c r="L37" s="4">
        <v>2016</v>
      </c>
      <c r="M37" s="4">
        <v>2016</v>
      </c>
      <c r="N37" s="4" t="s">
        <v>2308</v>
      </c>
      <c r="O37" s="4" t="s">
        <v>67</v>
      </c>
      <c r="P37" s="4"/>
      <c r="T37" s="15"/>
    </row>
    <row r="38" spans="1:20">
      <c r="A38" s="32">
        <v>2</v>
      </c>
      <c r="B38" s="41" t="s">
        <v>80</v>
      </c>
      <c r="C38" s="32" t="s">
        <v>299</v>
      </c>
      <c r="D38" s="32" t="s">
        <v>2430</v>
      </c>
      <c r="E38" s="29" t="s">
        <v>2432</v>
      </c>
      <c r="F38" s="4" t="s">
        <v>226</v>
      </c>
      <c r="G38" s="4" t="s">
        <v>87</v>
      </c>
      <c r="H38" s="4" t="s">
        <v>88</v>
      </c>
      <c r="I38" s="22">
        <v>30.0894328671552</v>
      </c>
      <c r="J38" s="22">
        <v>74.703833759819403</v>
      </c>
      <c r="K38" s="22">
        <v>0.87246959999999996</v>
      </c>
      <c r="L38" s="4">
        <v>2016</v>
      </c>
      <c r="M38" s="4">
        <v>2016</v>
      </c>
      <c r="N38" s="4" t="s">
        <v>2308</v>
      </c>
      <c r="O38" s="4" t="s">
        <v>67</v>
      </c>
      <c r="P38" s="4"/>
      <c r="T38" s="15"/>
    </row>
    <row r="39" spans="1:20">
      <c r="A39" s="32">
        <v>2</v>
      </c>
      <c r="B39" s="41" t="s">
        <v>80</v>
      </c>
      <c r="C39" s="4" t="s">
        <v>89</v>
      </c>
      <c r="D39" s="32" t="s">
        <v>2430</v>
      </c>
      <c r="E39" s="29" t="s">
        <v>2432</v>
      </c>
      <c r="F39" s="4" t="s">
        <v>90</v>
      </c>
      <c r="G39" s="4" t="s">
        <v>90</v>
      </c>
      <c r="H39" s="4" t="s">
        <v>88</v>
      </c>
      <c r="I39" s="22">
        <v>29.678193861136599</v>
      </c>
      <c r="J39" s="22">
        <v>76.341552366334696</v>
      </c>
      <c r="K39" s="22" t="s">
        <v>2308</v>
      </c>
      <c r="L39" s="4">
        <v>2016</v>
      </c>
      <c r="M39" s="4">
        <v>2016</v>
      </c>
      <c r="N39" s="4" t="s">
        <v>2308</v>
      </c>
      <c r="O39" s="4" t="s">
        <v>67</v>
      </c>
      <c r="P39" s="4" t="s">
        <v>2294</v>
      </c>
      <c r="T39" s="15"/>
    </row>
    <row r="40" spans="1:20">
      <c r="A40" s="32">
        <v>2</v>
      </c>
      <c r="B40" s="41" t="s">
        <v>80</v>
      </c>
      <c r="C40" s="32" t="s">
        <v>284</v>
      </c>
      <c r="D40" s="32" t="s">
        <v>2430</v>
      </c>
      <c r="E40" s="29" t="s">
        <v>2432</v>
      </c>
      <c r="F40" s="4" t="s">
        <v>232</v>
      </c>
      <c r="G40" s="4" t="s">
        <v>90</v>
      </c>
      <c r="H40" s="4" t="s">
        <v>88</v>
      </c>
      <c r="I40" s="22">
        <v>30.1369209870827</v>
      </c>
      <c r="J40" s="22">
        <v>76.913228884142896</v>
      </c>
      <c r="K40" s="22">
        <v>0.25951419999999997</v>
      </c>
      <c r="L40" s="4">
        <v>2016</v>
      </c>
      <c r="M40" s="4">
        <v>2016</v>
      </c>
      <c r="N40" s="4" t="s">
        <v>2308</v>
      </c>
      <c r="O40" s="4" t="s">
        <v>67</v>
      </c>
      <c r="P40" s="4"/>
      <c r="T40" s="15"/>
    </row>
    <row r="41" spans="1:20">
      <c r="A41" s="32">
        <v>2</v>
      </c>
      <c r="B41" s="41" t="s">
        <v>80</v>
      </c>
      <c r="C41" s="32" t="s">
        <v>285</v>
      </c>
      <c r="D41" s="32" t="s">
        <v>2430</v>
      </c>
      <c r="E41" s="29" t="s">
        <v>2432</v>
      </c>
      <c r="F41" s="4" t="s">
        <v>233</v>
      </c>
      <c r="G41" s="4" t="s">
        <v>90</v>
      </c>
      <c r="H41" s="4" t="s">
        <v>88</v>
      </c>
      <c r="I41" s="22">
        <v>30.099961648540301</v>
      </c>
      <c r="J41" s="22">
        <v>76.693235107918099</v>
      </c>
      <c r="K41" s="22">
        <v>0.45141700000000001</v>
      </c>
      <c r="L41" s="4">
        <v>2016</v>
      </c>
      <c r="M41" s="4">
        <v>2016</v>
      </c>
      <c r="N41" s="4" t="s">
        <v>2308</v>
      </c>
      <c r="O41" s="4" t="s">
        <v>67</v>
      </c>
      <c r="P41" s="4"/>
      <c r="T41" s="15"/>
    </row>
    <row r="42" spans="1:20">
      <c r="A42" s="32">
        <v>2</v>
      </c>
      <c r="B42" s="41" t="s">
        <v>80</v>
      </c>
      <c r="C42" s="32" t="s">
        <v>286</v>
      </c>
      <c r="D42" s="32" t="s">
        <v>2430</v>
      </c>
      <c r="E42" s="29" t="s">
        <v>2432</v>
      </c>
      <c r="F42" s="4" t="s">
        <v>234</v>
      </c>
      <c r="G42" s="4" t="s">
        <v>90</v>
      </c>
      <c r="H42" s="4" t="s">
        <v>88</v>
      </c>
      <c r="I42" s="22">
        <v>30.059973529970399</v>
      </c>
      <c r="J42" s="22">
        <v>76.703495254683105</v>
      </c>
      <c r="K42" s="22">
        <v>0.51214570000000004</v>
      </c>
      <c r="L42" s="4">
        <v>2016</v>
      </c>
      <c r="M42" s="4">
        <v>2016</v>
      </c>
      <c r="N42" s="4" t="s">
        <v>2308</v>
      </c>
      <c r="O42" s="4" t="s">
        <v>67</v>
      </c>
      <c r="P42" s="4"/>
      <c r="T42" s="15"/>
    </row>
    <row r="43" spans="1:20">
      <c r="A43" s="32">
        <v>2</v>
      </c>
      <c r="B43" s="41" t="s">
        <v>80</v>
      </c>
      <c r="C43" s="32" t="s">
        <v>287</v>
      </c>
      <c r="D43" s="32" t="s">
        <v>2430</v>
      </c>
      <c r="E43" s="29" t="s">
        <v>2432</v>
      </c>
      <c r="F43" s="4" t="s">
        <v>235</v>
      </c>
      <c r="G43" s="4" t="s">
        <v>90</v>
      </c>
      <c r="H43" s="4" t="s">
        <v>88</v>
      </c>
      <c r="I43" s="22">
        <v>30.0473632934501</v>
      </c>
      <c r="J43" s="22">
        <v>76.667196487195795</v>
      </c>
      <c r="K43" s="22">
        <v>0.61538459999999995</v>
      </c>
      <c r="L43" s="4">
        <v>2016</v>
      </c>
      <c r="M43" s="4">
        <v>2016</v>
      </c>
      <c r="N43" s="4" t="s">
        <v>2308</v>
      </c>
      <c r="O43" s="4" t="s">
        <v>67</v>
      </c>
      <c r="P43" s="4"/>
      <c r="T43" s="15"/>
    </row>
    <row r="44" spans="1:20">
      <c r="A44" s="32">
        <v>2</v>
      </c>
      <c r="B44" s="41" t="s">
        <v>80</v>
      </c>
      <c r="C44" s="32" t="s">
        <v>288</v>
      </c>
      <c r="D44" s="32" t="s">
        <v>2430</v>
      </c>
      <c r="E44" s="29" t="s">
        <v>2432</v>
      </c>
      <c r="F44" s="4" t="s">
        <v>236</v>
      </c>
      <c r="G44" s="4" t="s">
        <v>90</v>
      </c>
      <c r="H44" s="4" t="s">
        <v>88</v>
      </c>
      <c r="I44" s="22">
        <v>29.951171039617499</v>
      </c>
      <c r="J44" s="22">
        <v>76.724481375172203</v>
      </c>
      <c r="K44" s="22">
        <v>0.25303639999999999</v>
      </c>
      <c r="L44" s="4">
        <v>2016</v>
      </c>
      <c r="M44" s="4">
        <v>2016</v>
      </c>
      <c r="N44" s="4" t="s">
        <v>2308</v>
      </c>
      <c r="O44" s="4" t="s">
        <v>67</v>
      </c>
      <c r="P44" s="4"/>
      <c r="T44" s="15"/>
    </row>
    <row r="45" spans="1:20">
      <c r="A45" s="32">
        <v>2</v>
      </c>
      <c r="B45" s="41" t="s">
        <v>80</v>
      </c>
      <c r="C45" s="32" t="s">
        <v>289</v>
      </c>
      <c r="D45" s="32" t="s">
        <v>2430</v>
      </c>
      <c r="E45" s="29" t="s">
        <v>2432</v>
      </c>
      <c r="F45" s="4" t="s">
        <v>237</v>
      </c>
      <c r="G45" s="4" t="s">
        <v>90</v>
      </c>
      <c r="H45" s="4" t="s">
        <v>88</v>
      </c>
      <c r="I45" s="22">
        <v>29.942875047072999</v>
      </c>
      <c r="J45" s="22">
        <v>76.915694556299499</v>
      </c>
      <c r="K45" s="22">
        <v>0.33319840000000001</v>
      </c>
      <c r="L45" s="4">
        <v>2016</v>
      </c>
      <c r="M45" s="4">
        <v>2016</v>
      </c>
      <c r="N45" s="4" t="s">
        <v>2308</v>
      </c>
      <c r="O45" s="4" t="s">
        <v>67</v>
      </c>
      <c r="P45" s="4"/>
      <c r="T45" s="15"/>
    </row>
    <row r="46" spans="1:20">
      <c r="A46" s="32">
        <v>2</v>
      </c>
      <c r="B46" s="41" t="s">
        <v>80</v>
      </c>
      <c r="C46" s="32" t="s">
        <v>290</v>
      </c>
      <c r="D46" s="32" t="s">
        <v>2430</v>
      </c>
      <c r="E46" s="29" t="s">
        <v>2432</v>
      </c>
      <c r="F46" s="4" t="s">
        <v>238</v>
      </c>
      <c r="G46" s="4" t="s">
        <v>90</v>
      </c>
      <c r="H46" s="4" t="s">
        <v>88</v>
      </c>
      <c r="I46" s="22">
        <v>29.9943696643594</v>
      </c>
      <c r="J46" s="22">
        <v>76.738785518287401</v>
      </c>
      <c r="K46" s="22">
        <v>0.86599190000000004</v>
      </c>
      <c r="L46" s="4">
        <v>2016</v>
      </c>
      <c r="M46" s="4">
        <v>2016</v>
      </c>
      <c r="N46" s="4" t="s">
        <v>2308</v>
      </c>
      <c r="O46" s="4" t="s">
        <v>67</v>
      </c>
      <c r="P46" s="4"/>
      <c r="T46" s="15"/>
    </row>
    <row r="47" spans="1:20">
      <c r="A47" s="32">
        <v>2</v>
      </c>
      <c r="B47" s="41" t="s">
        <v>80</v>
      </c>
      <c r="C47" s="32" t="s">
        <v>291</v>
      </c>
      <c r="D47" s="32" t="s">
        <v>2430</v>
      </c>
      <c r="E47" s="29" t="s">
        <v>2432</v>
      </c>
      <c r="F47" s="4" t="s">
        <v>239</v>
      </c>
      <c r="G47" s="4" t="s">
        <v>90</v>
      </c>
      <c r="H47" s="4" t="s">
        <v>88</v>
      </c>
      <c r="I47" s="22">
        <v>30.027913952654998</v>
      </c>
      <c r="J47" s="22">
        <v>76.734842690880896</v>
      </c>
      <c r="K47" s="22">
        <v>1.1943319999999999</v>
      </c>
      <c r="L47" s="4">
        <v>2016</v>
      </c>
      <c r="M47" s="4">
        <v>2016</v>
      </c>
      <c r="N47" s="4" t="s">
        <v>2308</v>
      </c>
      <c r="O47" s="4" t="s">
        <v>67</v>
      </c>
      <c r="P47" s="4"/>
      <c r="T47" s="15"/>
    </row>
    <row r="48" spans="1:20">
      <c r="A48" s="32">
        <v>2</v>
      </c>
      <c r="B48" s="41" t="s">
        <v>80</v>
      </c>
      <c r="C48" s="32" t="s">
        <v>292</v>
      </c>
      <c r="D48" s="32" t="s">
        <v>2430</v>
      </c>
      <c r="E48" s="29" t="s">
        <v>2432</v>
      </c>
      <c r="F48" s="4" t="s">
        <v>240</v>
      </c>
      <c r="G48" s="4" t="s">
        <v>90</v>
      </c>
      <c r="H48" s="4" t="s">
        <v>88</v>
      </c>
      <c r="I48" s="22">
        <v>30.019510728166399</v>
      </c>
      <c r="J48" s="22">
        <v>76.851760969488893</v>
      </c>
      <c r="K48" s="22">
        <v>0.71457490000000001</v>
      </c>
      <c r="L48" s="4">
        <v>2016</v>
      </c>
      <c r="M48" s="4">
        <v>2016</v>
      </c>
      <c r="N48" s="4" t="s">
        <v>2308</v>
      </c>
      <c r="O48" s="4" t="s">
        <v>67</v>
      </c>
      <c r="P48" s="4"/>
      <c r="T48" s="15"/>
    </row>
    <row r="49" spans="1:20">
      <c r="A49" s="32">
        <v>2</v>
      </c>
      <c r="B49" s="41" t="s">
        <v>80</v>
      </c>
      <c r="C49" s="32" t="s">
        <v>293</v>
      </c>
      <c r="D49" s="32" t="s">
        <v>2430</v>
      </c>
      <c r="E49" s="29" t="s">
        <v>2432</v>
      </c>
      <c r="F49" s="4" t="s">
        <v>241</v>
      </c>
      <c r="G49" s="4" t="s">
        <v>90</v>
      </c>
      <c r="H49" s="4" t="s">
        <v>88</v>
      </c>
      <c r="I49" s="22">
        <v>30.042620174605599</v>
      </c>
      <c r="J49" s="22">
        <v>76.851408101939498</v>
      </c>
      <c r="K49" s="22">
        <v>1.0866400000000001</v>
      </c>
      <c r="L49" s="4">
        <v>2016</v>
      </c>
      <c r="M49" s="4">
        <v>2016</v>
      </c>
      <c r="N49" s="4" t="s">
        <v>2308</v>
      </c>
      <c r="O49" s="4" t="s">
        <v>67</v>
      </c>
      <c r="P49" s="4"/>
      <c r="T49" s="15"/>
    </row>
    <row r="50" spans="1:20">
      <c r="A50" s="32">
        <v>2</v>
      </c>
      <c r="B50" s="41" t="s">
        <v>80</v>
      </c>
      <c r="C50" s="32" t="s">
        <v>294</v>
      </c>
      <c r="D50" s="32" t="s">
        <v>2430</v>
      </c>
      <c r="E50" s="29" t="s">
        <v>2432</v>
      </c>
      <c r="F50" s="4" t="s">
        <v>242</v>
      </c>
      <c r="G50" s="4" t="s">
        <v>90</v>
      </c>
      <c r="H50" s="4" t="s">
        <v>88</v>
      </c>
      <c r="I50" s="22">
        <v>30.096675523739499</v>
      </c>
      <c r="J50" s="22">
        <v>76.801926868303198</v>
      </c>
      <c r="K50" s="22">
        <v>1.0364370000000001</v>
      </c>
      <c r="L50" s="4">
        <v>2016</v>
      </c>
      <c r="M50" s="4">
        <v>2016</v>
      </c>
      <c r="N50" s="4" t="s">
        <v>2308</v>
      </c>
      <c r="O50" s="4" t="s">
        <v>67</v>
      </c>
      <c r="P50" s="4"/>
      <c r="T50" s="15"/>
    </row>
    <row r="51" spans="1:20">
      <c r="A51" s="32">
        <v>2</v>
      </c>
      <c r="B51" s="41" t="s">
        <v>80</v>
      </c>
      <c r="C51" s="32" t="s">
        <v>295</v>
      </c>
      <c r="D51" s="32" t="s">
        <v>2430</v>
      </c>
      <c r="E51" s="29" t="s">
        <v>2432</v>
      </c>
      <c r="F51" s="4" t="s">
        <v>243</v>
      </c>
      <c r="G51" s="4" t="s">
        <v>90</v>
      </c>
      <c r="H51" s="4" t="s">
        <v>88</v>
      </c>
      <c r="I51" s="22">
        <v>30.105812353328901</v>
      </c>
      <c r="J51" s="22">
        <v>76.937579425873295</v>
      </c>
      <c r="K51" s="22">
        <v>0.55222669999999996</v>
      </c>
      <c r="L51" s="4">
        <v>2016</v>
      </c>
      <c r="M51" s="4">
        <v>2016</v>
      </c>
      <c r="N51" s="4" t="s">
        <v>2308</v>
      </c>
      <c r="O51" s="4" t="s">
        <v>67</v>
      </c>
      <c r="P51" s="4"/>
      <c r="T51" s="15"/>
    </row>
    <row r="52" spans="1:20">
      <c r="A52" s="32">
        <v>2</v>
      </c>
      <c r="B52" s="41" t="s">
        <v>80</v>
      </c>
      <c r="C52" s="32" t="s">
        <v>300</v>
      </c>
      <c r="D52" s="32" t="s">
        <v>2430</v>
      </c>
      <c r="E52" s="29" t="s">
        <v>2432</v>
      </c>
      <c r="F52" s="4" t="s">
        <v>244</v>
      </c>
      <c r="G52" s="4" t="s">
        <v>90</v>
      </c>
      <c r="H52" s="4" t="s">
        <v>88</v>
      </c>
      <c r="I52" s="22">
        <v>30.1472192622184</v>
      </c>
      <c r="J52" s="22">
        <v>76.946532169023897</v>
      </c>
      <c r="K52" s="22">
        <v>0.47206480000000001</v>
      </c>
      <c r="L52" s="4">
        <v>2016</v>
      </c>
      <c r="M52" s="4">
        <v>2016</v>
      </c>
      <c r="N52" s="4" t="s">
        <v>2308</v>
      </c>
      <c r="O52" s="4" t="s">
        <v>67</v>
      </c>
      <c r="P52" s="4"/>
      <c r="T52" s="15"/>
    </row>
    <row r="53" spans="1:20">
      <c r="A53" s="32">
        <v>2</v>
      </c>
      <c r="B53" s="41" t="s">
        <v>80</v>
      </c>
      <c r="C53" s="32" t="s">
        <v>301</v>
      </c>
      <c r="D53" s="32" t="s">
        <v>2430</v>
      </c>
      <c r="E53" s="29" t="s">
        <v>2432</v>
      </c>
      <c r="F53" s="4" t="s">
        <v>245</v>
      </c>
      <c r="G53" s="4" t="s">
        <v>90</v>
      </c>
      <c r="H53" s="4" t="s">
        <v>88</v>
      </c>
      <c r="I53" s="22">
        <v>30.016530158192399</v>
      </c>
      <c r="J53" s="22">
        <v>76.942547862255296</v>
      </c>
      <c r="K53" s="22">
        <v>0.70850199999999997</v>
      </c>
      <c r="L53" s="4">
        <v>2016</v>
      </c>
      <c r="M53" s="4">
        <v>2016</v>
      </c>
      <c r="N53" s="4" t="s">
        <v>2308</v>
      </c>
      <c r="O53" s="4" t="s">
        <v>67</v>
      </c>
      <c r="P53" s="4"/>
      <c r="T53" s="15"/>
    </row>
    <row r="54" spans="1:20">
      <c r="A54" s="32">
        <v>2</v>
      </c>
      <c r="B54" s="41" t="s">
        <v>80</v>
      </c>
      <c r="C54" s="32" t="s">
        <v>302</v>
      </c>
      <c r="D54" s="32" t="s">
        <v>2430</v>
      </c>
      <c r="E54" s="29" t="s">
        <v>2432</v>
      </c>
      <c r="F54" s="4" t="s">
        <v>246</v>
      </c>
      <c r="G54" s="4" t="s">
        <v>90</v>
      </c>
      <c r="H54" s="4" t="s">
        <v>88</v>
      </c>
      <c r="I54" s="22">
        <v>29.023185012030201</v>
      </c>
      <c r="J54" s="22">
        <v>77.081907496663803</v>
      </c>
      <c r="K54" s="22">
        <v>0.38421050000000001</v>
      </c>
      <c r="L54" s="4">
        <v>2016</v>
      </c>
      <c r="M54" s="4">
        <v>2016</v>
      </c>
      <c r="N54" s="4" t="s">
        <v>2308</v>
      </c>
      <c r="O54" s="4" t="s">
        <v>67</v>
      </c>
      <c r="P54" s="4"/>
      <c r="T54" s="15"/>
    </row>
    <row r="55" spans="1:20">
      <c r="A55" s="32">
        <v>2</v>
      </c>
      <c r="B55" s="41" t="s">
        <v>80</v>
      </c>
      <c r="C55" s="32" t="s">
        <v>303</v>
      </c>
      <c r="D55" s="32" t="s">
        <v>2430</v>
      </c>
      <c r="E55" s="29" t="s">
        <v>2432</v>
      </c>
      <c r="F55" s="4" t="s">
        <v>247</v>
      </c>
      <c r="G55" s="4" t="s">
        <v>90</v>
      </c>
      <c r="H55" s="4" t="s">
        <v>88</v>
      </c>
      <c r="I55" s="22">
        <v>29.027438339907601</v>
      </c>
      <c r="J55" s="22">
        <v>77.1348024006072</v>
      </c>
      <c r="K55" s="22">
        <v>0.93522269999999996</v>
      </c>
      <c r="L55" s="4">
        <v>2016</v>
      </c>
      <c r="M55" s="4">
        <v>2016</v>
      </c>
      <c r="N55" s="4" t="s">
        <v>2308</v>
      </c>
      <c r="O55" s="4" t="s">
        <v>67</v>
      </c>
      <c r="P55" s="4"/>
      <c r="T55" s="15"/>
    </row>
    <row r="56" spans="1:20">
      <c r="A56" s="32">
        <v>2</v>
      </c>
      <c r="B56" s="41" t="s">
        <v>80</v>
      </c>
      <c r="C56" s="32" t="s">
        <v>304</v>
      </c>
      <c r="D56" s="32" t="s">
        <v>2430</v>
      </c>
      <c r="E56" s="29" t="s">
        <v>2432</v>
      </c>
      <c r="F56" s="4" t="s">
        <v>248</v>
      </c>
      <c r="G56" s="4" t="s">
        <v>90</v>
      </c>
      <c r="H56" s="4" t="s">
        <v>88</v>
      </c>
      <c r="I56" s="22">
        <v>28.989687371392002</v>
      </c>
      <c r="J56" s="22">
        <v>77.159592757102004</v>
      </c>
      <c r="K56" s="22">
        <v>0.77165989999999995</v>
      </c>
      <c r="L56" s="4">
        <v>2016</v>
      </c>
      <c r="M56" s="4">
        <v>2016</v>
      </c>
      <c r="N56" s="4" t="s">
        <v>2308</v>
      </c>
      <c r="O56" s="4" t="s">
        <v>67</v>
      </c>
      <c r="P56" s="4"/>
      <c r="T56" s="15"/>
    </row>
    <row r="57" spans="1:20">
      <c r="A57" s="32">
        <v>2</v>
      </c>
      <c r="B57" s="41" t="s">
        <v>80</v>
      </c>
      <c r="C57" s="32" t="s">
        <v>305</v>
      </c>
      <c r="D57" s="32" t="s">
        <v>2430</v>
      </c>
      <c r="E57" s="29" t="s">
        <v>2432</v>
      </c>
      <c r="F57" s="4" t="s">
        <v>249</v>
      </c>
      <c r="G57" s="4" t="s">
        <v>90</v>
      </c>
      <c r="H57" s="4" t="s">
        <v>88</v>
      </c>
      <c r="I57" s="22">
        <v>28.9781192795352</v>
      </c>
      <c r="J57" s="22">
        <v>77.176413881359593</v>
      </c>
      <c r="K57" s="22">
        <v>0.89959509999999998</v>
      </c>
      <c r="L57" s="4">
        <v>2016</v>
      </c>
      <c r="M57" s="4">
        <v>2016</v>
      </c>
      <c r="N57" s="4" t="s">
        <v>2308</v>
      </c>
      <c r="O57" s="4" t="s">
        <v>67</v>
      </c>
      <c r="P57" s="4"/>
      <c r="T57" s="15"/>
    </row>
    <row r="58" spans="1:20">
      <c r="A58" s="32">
        <v>2</v>
      </c>
      <c r="B58" s="41" t="s">
        <v>80</v>
      </c>
      <c r="C58" s="32" t="s">
        <v>306</v>
      </c>
      <c r="D58" s="32" t="s">
        <v>2430</v>
      </c>
      <c r="E58" s="29" t="s">
        <v>2432</v>
      </c>
      <c r="F58" s="4" t="s">
        <v>250</v>
      </c>
      <c r="G58" s="4" t="s">
        <v>90</v>
      </c>
      <c r="H58" s="4" t="s">
        <v>88</v>
      </c>
      <c r="I58" s="22">
        <v>28.928848618112099</v>
      </c>
      <c r="J58" s="22">
        <v>77.150910508035807</v>
      </c>
      <c r="K58" s="22">
        <v>8.9878540000000007E-2</v>
      </c>
      <c r="L58" s="4">
        <v>2016</v>
      </c>
      <c r="M58" s="4">
        <v>2016</v>
      </c>
      <c r="N58" s="4" t="s">
        <v>2308</v>
      </c>
      <c r="O58" s="4" t="s">
        <v>67</v>
      </c>
      <c r="P58" s="4"/>
      <c r="T58" s="15"/>
    </row>
    <row r="59" spans="1:20">
      <c r="A59" s="32">
        <v>2</v>
      </c>
      <c r="B59" s="41" t="s">
        <v>80</v>
      </c>
      <c r="C59" s="32" t="s">
        <v>307</v>
      </c>
      <c r="D59" s="32" t="s">
        <v>2430</v>
      </c>
      <c r="E59" s="29" t="s">
        <v>2432</v>
      </c>
      <c r="F59" s="4" t="s">
        <v>251</v>
      </c>
      <c r="G59" s="4" t="s">
        <v>90</v>
      </c>
      <c r="H59" s="4" t="s">
        <v>88</v>
      </c>
      <c r="I59" s="22">
        <v>29.610022318786001</v>
      </c>
      <c r="J59" s="22">
        <v>75.486159805774506</v>
      </c>
      <c r="K59" s="22">
        <v>0.39878540000000001</v>
      </c>
      <c r="L59" s="4">
        <v>2016</v>
      </c>
      <c r="M59" s="4">
        <v>2016</v>
      </c>
      <c r="N59" s="4" t="s">
        <v>2308</v>
      </c>
      <c r="O59" s="4" t="s">
        <v>67</v>
      </c>
      <c r="P59" s="4"/>
      <c r="T59" s="15"/>
    </row>
    <row r="60" spans="1:20">
      <c r="A60" s="32">
        <v>2</v>
      </c>
      <c r="B60" s="41" t="s">
        <v>80</v>
      </c>
      <c r="C60" s="32" t="s">
        <v>308</v>
      </c>
      <c r="D60" s="32" t="s">
        <v>2430</v>
      </c>
      <c r="E60" s="29" t="s">
        <v>2432</v>
      </c>
      <c r="F60" s="4" t="s">
        <v>252</v>
      </c>
      <c r="G60" s="4" t="s">
        <v>90</v>
      </c>
      <c r="H60" s="4" t="s">
        <v>88</v>
      </c>
      <c r="I60" s="22">
        <v>29.619918834645201</v>
      </c>
      <c r="J60" s="22">
        <v>75.647372967060605</v>
      </c>
      <c r="K60" s="22">
        <v>0.38866400000000001</v>
      </c>
      <c r="L60" s="4">
        <v>2016</v>
      </c>
      <c r="M60" s="4">
        <v>2016</v>
      </c>
      <c r="N60" s="4" t="s">
        <v>2308</v>
      </c>
      <c r="O60" s="4" t="s">
        <v>67</v>
      </c>
      <c r="P60" s="4"/>
      <c r="T60" s="15"/>
    </row>
    <row r="61" spans="1:20">
      <c r="A61" s="32">
        <v>2</v>
      </c>
      <c r="B61" s="41" t="s">
        <v>80</v>
      </c>
      <c r="C61" s="32" t="s">
        <v>309</v>
      </c>
      <c r="D61" s="32" t="s">
        <v>2430</v>
      </c>
      <c r="E61" s="29" t="s">
        <v>2432</v>
      </c>
      <c r="F61" s="4" t="s">
        <v>253</v>
      </c>
      <c r="G61" s="4" t="s">
        <v>90</v>
      </c>
      <c r="H61" s="4" t="s">
        <v>88</v>
      </c>
      <c r="I61" s="22">
        <v>29.598302799730298</v>
      </c>
      <c r="J61" s="22">
        <v>75.5832721824207</v>
      </c>
      <c r="K61" s="22">
        <v>0.44534410000000002</v>
      </c>
      <c r="L61" s="4">
        <v>2016</v>
      </c>
      <c r="M61" s="4">
        <v>2016</v>
      </c>
      <c r="N61" s="4" t="s">
        <v>2308</v>
      </c>
      <c r="O61" s="4" t="s">
        <v>67</v>
      </c>
      <c r="P61" s="4"/>
      <c r="T61" s="15"/>
    </row>
    <row r="62" spans="1:20">
      <c r="A62" s="32">
        <v>2</v>
      </c>
      <c r="B62" s="41" t="s">
        <v>80</v>
      </c>
      <c r="C62" s="32" t="s">
        <v>310</v>
      </c>
      <c r="D62" s="32" t="s">
        <v>2430</v>
      </c>
      <c r="E62" s="29" t="s">
        <v>2432</v>
      </c>
      <c r="F62" s="4" t="s">
        <v>254</v>
      </c>
      <c r="G62" s="4" t="s">
        <v>90</v>
      </c>
      <c r="H62" s="4" t="s">
        <v>88</v>
      </c>
      <c r="I62" s="22">
        <v>29.431641992700701</v>
      </c>
      <c r="J62" s="22">
        <v>75.656888245791507</v>
      </c>
      <c r="K62" s="22">
        <v>0.66194330000000001</v>
      </c>
      <c r="L62" s="4">
        <v>2016</v>
      </c>
      <c r="M62" s="4">
        <v>2016</v>
      </c>
      <c r="N62" s="4" t="s">
        <v>2308</v>
      </c>
      <c r="O62" s="4" t="s">
        <v>67</v>
      </c>
      <c r="P62" s="4"/>
      <c r="T62" s="15"/>
    </row>
    <row r="63" spans="1:20">
      <c r="A63" s="32">
        <v>2</v>
      </c>
      <c r="B63" s="41" t="s">
        <v>80</v>
      </c>
      <c r="C63" s="32" t="s">
        <v>311</v>
      </c>
      <c r="D63" s="32" t="s">
        <v>2430</v>
      </c>
      <c r="E63" s="29" t="s">
        <v>2432</v>
      </c>
      <c r="F63" s="4" t="s">
        <v>255</v>
      </c>
      <c r="G63" s="4" t="s">
        <v>90</v>
      </c>
      <c r="H63" s="4" t="s">
        <v>88</v>
      </c>
      <c r="I63" s="22">
        <v>29.569580444512201</v>
      </c>
      <c r="J63" s="22">
        <v>75.6609874166151</v>
      </c>
      <c r="K63" s="22">
        <v>0.34574899999999997</v>
      </c>
      <c r="L63" s="4">
        <v>2016</v>
      </c>
      <c r="M63" s="4">
        <v>2016</v>
      </c>
      <c r="N63" s="4" t="s">
        <v>2308</v>
      </c>
      <c r="O63" s="4" t="s">
        <v>67</v>
      </c>
      <c r="P63" s="4"/>
      <c r="T63" s="15"/>
    </row>
    <row r="64" spans="1:20">
      <c r="A64" s="32">
        <v>2</v>
      </c>
      <c r="B64" s="41" t="s">
        <v>80</v>
      </c>
      <c r="C64" s="32" t="s">
        <v>312</v>
      </c>
      <c r="D64" s="32" t="s">
        <v>2430</v>
      </c>
      <c r="E64" s="29" t="s">
        <v>2432</v>
      </c>
      <c r="F64" s="4" t="s">
        <v>256</v>
      </c>
      <c r="G64" s="4" t="s">
        <v>90</v>
      </c>
      <c r="H64" s="4" t="s">
        <v>88</v>
      </c>
      <c r="I64" s="22">
        <v>29.555842899866398</v>
      </c>
      <c r="J64" s="22">
        <v>75.502049496546803</v>
      </c>
      <c r="K64" s="22">
        <v>0.41295549999999998</v>
      </c>
      <c r="L64" s="4">
        <v>2016</v>
      </c>
      <c r="M64" s="4">
        <v>2016</v>
      </c>
      <c r="N64" s="4" t="s">
        <v>2308</v>
      </c>
      <c r="O64" s="4" t="s">
        <v>67</v>
      </c>
      <c r="P64" s="4"/>
      <c r="T64" s="15"/>
    </row>
    <row r="65" spans="1:20">
      <c r="A65" s="32">
        <v>2</v>
      </c>
      <c r="B65" s="41" t="s">
        <v>80</v>
      </c>
      <c r="C65" s="32" t="s">
        <v>313</v>
      </c>
      <c r="D65" s="32" t="s">
        <v>2430</v>
      </c>
      <c r="E65" s="29" t="s">
        <v>2432</v>
      </c>
      <c r="F65" s="4" t="s">
        <v>257</v>
      </c>
      <c r="G65" s="4" t="s">
        <v>90</v>
      </c>
      <c r="H65" s="4" t="s">
        <v>88</v>
      </c>
      <c r="I65" s="22">
        <v>29.637913812540798</v>
      </c>
      <c r="J65" s="22">
        <v>75.433375978951503</v>
      </c>
      <c r="K65" s="22">
        <v>1.23583</v>
      </c>
      <c r="L65" s="4">
        <v>2016</v>
      </c>
      <c r="M65" s="4">
        <v>2016</v>
      </c>
      <c r="N65" s="4" t="s">
        <v>2308</v>
      </c>
      <c r="O65" s="4" t="s">
        <v>67</v>
      </c>
      <c r="P65" s="4"/>
      <c r="T65" s="15"/>
    </row>
    <row r="66" spans="1:20">
      <c r="A66" s="32">
        <v>2</v>
      </c>
      <c r="B66" s="41" t="s">
        <v>80</v>
      </c>
      <c r="C66" s="32" t="s">
        <v>314</v>
      </c>
      <c r="D66" s="32" t="s">
        <v>2430</v>
      </c>
      <c r="E66" s="29" t="s">
        <v>2432</v>
      </c>
      <c r="F66" s="4" t="s">
        <v>258</v>
      </c>
      <c r="G66" s="4" t="s">
        <v>90</v>
      </c>
      <c r="H66" s="4" t="s">
        <v>88</v>
      </c>
      <c r="I66" s="22">
        <v>29.591754128692799</v>
      </c>
      <c r="J66" s="22">
        <v>75.327187445953001</v>
      </c>
      <c r="K66" s="22">
        <v>1.1052630000000001</v>
      </c>
      <c r="L66" s="4">
        <v>2016</v>
      </c>
      <c r="M66" s="4">
        <v>2016</v>
      </c>
      <c r="N66" s="4" t="s">
        <v>2308</v>
      </c>
      <c r="O66" s="4" t="s">
        <v>67</v>
      </c>
      <c r="P66" s="4"/>
      <c r="T66" s="15"/>
    </row>
    <row r="67" spans="1:20">
      <c r="A67" s="32">
        <v>2</v>
      </c>
      <c r="B67" s="41" t="s">
        <v>80</v>
      </c>
      <c r="C67" s="32" t="s">
        <v>315</v>
      </c>
      <c r="D67" s="32" t="s">
        <v>2430</v>
      </c>
      <c r="E67" s="29" t="s">
        <v>2432</v>
      </c>
      <c r="F67" s="4" t="s">
        <v>259</v>
      </c>
      <c r="G67" s="4" t="s">
        <v>90</v>
      </c>
      <c r="H67" s="4" t="s">
        <v>88</v>
      </c>
      <c r="I67" s="22">
        <v>29.445284226812699</v>
      </c>
      <c r="J67" s="22">
        <v>75.356791152061803</v>
      </c>
      <c r="K67" s="22">
        <v>0.80323889999999998</v>
      </c>
      <c r="L67" s="4">
        <v>2016</v>
      </c>
      <c r="M67" s="4">
        <v>2016</v>
      </c>
      <c r="N67" s="4" t="s">
        <v>2308</v>
      </c>
      <c r="O67" s="4" t="s">
        <v>67</v>
      </c>
      <c r="P67" s="4"/>
      <c r="T67" s="15"/>
    </row>
    <row r="68" spans="1:20">
      <c r="A68" s="32">
        <v>2</v>
      </c>
      <c r="B68" s="41" t="s">
        <v>80</v>
      </c>
      <c r="C68" s="32" t="s">
        <v>316</v>
      </c>
      <c r="D68" s="32" t="s">
        <v>2430</v>
      </c>
      <c r="E68" s="29" t="s">
        <v>2432</v>
      </c>
      <c r="F68" s="4" t="s">
        <v>260</v>
      </c>
      <c r="G68" s="4" t="s">
        <v>90</v>
      </c>
      <c r="H68" s="4" t="s">
        <v>88</v>
      </c>
      <c r="I68" s="22">
        <v>29.393440711273499</v>
      </c>
      <c r="J68" s="22">
        <v>75.457549568664604</v>
      </c>
      <c r="K68" s="22">
        <v>0.92712550000000005</v>
      </c>
      <c r="L68" s="4">
        <v>2016</v>
      </c>
      <c r="M68" s="4">
        <v>2016</v>
      </c>
      <c r="N68" s="4" t="s">
        <v>2308</v>
      </c>
      <c r="O68" s="4" t="s">
        <v>67</v>
      </c>
      <c r="P68" s="4"/>
      <c r="T68" s="15"/>
    </row>
    <row r="69" spans="1:20">
      <c r="A69" s="32">
        <v>2</v>
      </c>
      <c r="B69" s="41" t="s">
        <v>80</v>
      </c>
      <c r="C69" s="32" t="s">
        <v>317</v>
      </c>
      <c r="D69" s="32" t="s">
        <v>2430</v>
      </c>
      <c r="E69" s="29" t="s">
        <v>2432</v>
      </c>
      <c r="F69" s="4" t="s">
        <v>261</v>
      </c>
      <c r="G69" s="4" t="s">
        <v>90</v>
      </c>
      <c r="H69" s="4" t="s">
        <v>88</v>
      </c>
      <c r="I69" s="22">
        <v>29.494263674187</v>
      </c>
      <c r="J69" s="22">
        <v>75.2158340909304</v>
      </c>
      <c r="K69" s="22">
        <v>1.234413</v>
      </c>
      <c r="L69" s="4">
        <v>2016</v>
      </c>
      <c r="M69" s="4">
        <v>2016</v>
      </c>
      <c r="N69" s="4" t="s">
        <v>2308</v>
      </c>
      <c r="O69" s="4" t="s">
        <v>67</v>
      </c>
      <c r="P69" s="4"/>
      <c r="T69" s="15"/>
    </row>
    <row r="70" spans="1:20">
      <c r="A70" s="32">
        <v>2</v>
      </c>
      <c r="B70" s="41" t="s">
        <v>80</v>
      </c>
      <c r="C70" s="32" t="s">
        <v>318</v>
      </c>
      <c r="D70" s="32" t="s">
        <v>2430</v>
      </c>
      <c r="E70" s="29" t="s">
        <v>2432</v>
      </c>
      <c r="F70" s="4" t="s">
        <v>262</v>
      </c>
      <c r="G70" s="4" t="s">
        <v>90</v>
      </c>
      <c r="H70" s="4" t="s">
        <v>88</v>
      </c>
      <c r="I70" s="22">
        <v>29.439847867511698</v>
      </c>
      <c r="J70" s="22">
        <v>75.134312690372596</v>
      </c>
      <c r="K70" s="22">
        <v>1.3076920000000001</v>
      </c>
      <c r="L70" s="4">
        <v>2016</v>
      </c>
      <c r="M70" s="4">
        <v>2016</v>
      </c>
      <c r="N70" s="4" t="s">
        <v>2308</v>
      </c>
      <c r="O70" s="4" t="s">
        <v>67</v>
      </c>
      <c r="P70" s="4"/>
      <c r="T70" s="15"/>
    </row>
    <row r="71" spans="1:20">
      <c r="A71" s="32">
        <v>3</v>
      </c>
      <c r="B71" s="41" t="s">
        <v>93</v>
      </c>
      <c r="C71" s="4" t="s">
        <v>94</v>
      </c>
      <c r="D71" s="32" t="s">
        <v>2430</v>
      </c>
      <c r="E71" s="29" t="s">
        <v>2431</v>
      </c>
      <c r="F71" s="34" t="s">
        <v>1277</v>
      </c>
      <c r="G71" s="4" t="s">
        <v>87</v>
      </c>
      <c r="H71" s="4" t="s">
        <v>88</v>
      </c>
      <c r="I71" s="22">
        <v>30.153421300000002</v>
      </c>
      <c r="J71" s="22">
        <v>76.276552699999996</v>
      </c>
      <c r="K71" s="22" t="s">
        <v>2308</v>
      </c>
      <c r="L71" s="4">
        <v>2009</v>
      </c>
      <c r="M71" s="4">
        <v>2009</v>
      </c>
      <c r="N71" s="4" t="s">
        <v>2308</v>
      </c>
      <c r="O71" s="4" t="s">
        <v>67</v>
      </c>
      <c r="P71" s="4"/>
      <c r="T71" s="15"/>
    </row>
    <row r="72" spans="1:20">
      <c r="A72" s="32">
        <v>3</v>
      </c>
      <c r="B72" s="41" t="s">
        <v>93</v>
      </c>
      <c r="C72" s="4" t="s">
        <v>1275</v>
      </c>
      <c r="D72" s="32" t="s">
        <v>2430</v>
      </c>
      <c r="E72" s="29" t="s">
        <v>2431</v>
      </c>
      <c r="F72" s="4" t="s">
        <v>1278</v>
      </c>
      <c r="G72" s="4" t="s">
        <v>87</v>
      </c>
      <c r="H72" s="4" t="s">
        <v>88</v>
      </c>
      <c r="I72" s="22">
        <v>30.421217200000001</v>
      </c>
      <c r="J72" s="22">
        <v>76.255839300000005</v>
      </c>
      <c r="K72" s="22" t="s">
        <v>2308</v>
      </c>
      <c r="L72" s="4">
        <v>2009</v>
      </c>
      <c r="M72" s="4">
        <v>2009</v>
      </c>
      <c r="N72" s="4" t="s">
        <v>2308</v>
      </c>
      <c r="O72" s="4" t="s">
        <v>67</v>
      </c>
      <c r="P72" s="4"/>
      <c r="T72" s="15"/>
    </row>
    <row r="73" spans="1:20">
      <c r="A73" s="32">
        <v>3</v>
      </c>
      <c r="B73" s="41" t="s">
        <v>93</v>
      </c>
      <c r="C73" s="4" t="s">
        <v>1276</v>
      </c>
      <c r="D73" s="32" t="s">
        <v>2430</v>
      </c>
      <c r="E73" s="29" t="s">
        <v>2431</v>
      </c>
      <c r="F73" s="4" t="s">
        <v>1315</v>
      </c>
      <c r="G73" s="4" t="s">
        <v>87</v>
      </c>
      <c r="H73" s="4" t="s">
        <v>88</v>
      </c>
      <c r="I73" s="22">
        <v>30.420780100000002</v>
      </c>
      <c r="J73" s="22">
        <v>76.291645099999997</v>
      </c>
      <c r="K73" s="22" t="s">
        <v>2308</v>
      </c>
      <c r="L73" s="4">
        <v>2009</v>
      </c>
      <c r="M73" s="4">
        <v>2009</v>
      </c>
      <c r="N73" s="4" t="s">
        <v>2308</v>
      </c>
      <c r="O73" s="4" t="s">
        <v>67</v>
      </c>
      <c r="P73" s="5"/>
      <c r="T73" s="15"/>
    </row>
    <row r="74" spans="1:20">
      <c r="A74" s="32">
        <v>4</v>
      </c>
      <c r="B74" s="41" t="s">
        <v>99</v>
      </c>
      <c r="C74" s="4" t="s">
        <v>98</v>
      </c>
      <c r="D74" s="32" t="s">
        <v>2430</v>
      </c>
      <c r="E74" s="29" t="s">
        <v>2431</v>
      </c>
      <c r="F74" s="4" t="s">
        <v>1304</v>
      </c>
      <c r="G74" s="4" t="s">
        <v>87</v>
      </c>
      <c r="H74" s="4" t="s">
        <v>88</v>
      </c>
      <c r="I74" s="22">
        <v>31.633544199999999</v>
      </c>
      <c r="J74" s="22">
        <v>74.870120299999996</v>
      </c>
      <c r="K74" s="22" t="s">
        <v>2308</v>
      </c>
      <c r="L74" s="4">
        <v>1996</v>
      </c>
      <c r="M74" s="4">
        <v>1996</v>
      </c>
      <c r="N74" s="4" t="s">
        <v>2308</v>
      </c>
      <c r="O74" s="4" t="s">
        <v>67</v>
      </c>
      <c r="P74" s="5"/>
      <c r="T74" s="15"/>
    </row>
    <row r="75" spans="1:20">
      <c r="A75" s="32">
        <v>4</v>
      </c>
      <c r="B75" s="41" t="s">
        <v>99</v>
      </c>
      <c r="C75" s="4" t="s">
        <v>1294</v>
      </c>
      <c r="D75" s="32" t="s">
        <v>2430</v>
      </c>
      <c r="E75" s="29" t="s">
        <v>2431</v>
      </c>
      <c r="F75" s="4" t="s">
        <v>1305</v>
      </c>
      <c r="G75" s="4" t="s">
        <v>87</v>
      </c>
      <c r="H75" s="4" t="s">
        <v>88</v>
      </c>
      <c r="I75" s="22">
        <v>30.2087702</v>
      </c>
      <c r="J75" s="22">
        <v>74.958686900000004</v>
      </c>
      <c r="K75" s="22" t="s">
        <v>2308</v>
      </c>
      <c r="L75" s="4">
        <v>1996</v>
      </c>
      <c r="M75" s="4">
        <v>1996</v>
      </c>
      <c r="N75" s="4" t="s">
        <v>2308</v>
      </c>
      <c r="O75" s="4" t="s">
        <v>67</v>
      </c>
      <c r="P75" s="5"/>
      <c r="T75" s="15"/>
    </row>
    <row r="76" spans="1:20">
      <c r="A76" s="32">
        <v>4</v>
      </c>
      <c r="B76" s="41" t="s">
        <v>99</v>
      </c>
      <c r="C76" s="4" t="s">
        <v>1295</v>
      </c>
      <c r="D76" s="32" t="s">
        <v>2430</v>
      </c>
      <c r="E76" s="29" t="s">
        <v>2431</v>
      </c>
      <c r="F76" s="4" t="s">
        <v>1306</v>
      </c>
      <c r="G76" s="4" t="s">
        <v>87</v>
      </c>
      <c r="H76" s="4" t="s">
        <v>88</v>
      </c>
      <c r="I76" s="22">
        <v>30.599855000000002</v>
      </c>
      <c r="J76" s="22">
        <v>74.762310099999993</v>
      </c>
      <c r="K76" s="22" t="s">
        <v>2308</v>
      </c>
      <c r="L76" s="4">
        <v>1996</v>
      </c>
      <c r="M76" s="4">
        <v>1996</v>
      </c>
      <c r="N76" s="4" t="s">
        <v>2308</v>
      </c>
      <c r="O76" s="4" t="s">
        <v>67</v>
      </c>
      <c r="P76" s="5"/>
      <c r="T76" s="15"/>
    </row>
    <row r="77" spans="1:20">
      <c r="A77" s="32">
        <v>4</v>
      </c>
      <c r="B77" s="41" t="s">
        <v>99</v>
      </c>
      <c r="C77" s="4" t="s">
        <v>1296</v>
      </c>
      <c r="D77" s="32" t="s">
        <v>2430</v>
      </c>
      <c r="E77" s="29" t="s">
        <v>2431</v>
      </c>
      <c r="F77" s="4" t="s">
        <v>1307</v>
      </c>
      <c r="G77" s="4" t="s">
        <v>87</v>
      </c>
      <c r="H77" s="4" t="s">
        <v>88</v>
      </c>
      <c r="I77" s="22">
        <v>30.652760000000001</v>
      </c>
      <c r="J77" s="22">
        <v>76.355230000000006</v>
      </c>
      <c r="K77" s="22" t="s">
        <v>2308</v>
      </c>
      <c r="L77" s="4">
        <v>1996</v>
      </c>
      <c r="M77" s="4">
        <v>1996</v>
      </c>
      <c r="N77" s="4" t="s">
        <v>2308</v>
      </c>
      <c r="O77" s="4" t="s">
        <v>67</v>
      </c>
      <c r="P77" s="5"/>
      <c r="T77" s="15"/>
    </row>
    <row r="78" spans="1:20">
      <c r="A78" s="32">
        <v>4</v>
      </c>
      <c r="B78" s="41" t="s">
        <v>99</v>
      </c>
      <c r="C78" s="4" t="s">
        <v>1297</v>
      </c>
      <c r="D78" s="32" t="s">
        <v>2430</v>
      </c>
      <c r="E78" s="29" t="s">
        <v>2431</v>
      </c>
      <c r="F78" s="4" t="s">
        <v>1308</v>
      </c>
      <c r="G78" s="4" t="s">
        <v>87</v>
      </c>
      <c r="H78" s="4" t="s">
        <v>88</v>
      </c>
      <c r="I78" s="22">
        <v>30.931942200000002</v>
      </c>
      <c r="J78" s="22">
        <v>74.624271300000004</v>
      </c>
      <c r="K78" s="22" t="s">
        <v>2308</v>
      </c>
      <c r="L78" s="4">
        <v>1996</v>
      </c>
      <c r="M78" s="4">
        <v>1996</v>
      </c>
      <c r="N78" s="4" t="s">
        <v>2308</v>
      </c>
      <c r="O78" s="4" t="s">
        <v>67</v>
      </c>
      <c r="P78" s="5"/>
      <c r="T78" s="15"/>
    </row>
    <row r="79" spans="1:20">
      <c r="A79" s="32">
        <v>4</v>
      </c>
      <c r="B79" s="41" t="s">
        <v>99</v>
      </c>
      <c r="C79" s="4" t="s">
        <v>1298</v>
      </c>
      <c r="D79" s="32" t="s">
        <v>2430</v>
      </c>
      <c r="E79" s="29" t="s">
        <v>2431</v>
      </c>
      <c r="F79" s="4" t="s">
        <v>1309</v>
      </c>
      <c r="G79" s="4" t="s">
        <v>87</v>
      </c>
      <c r="H79" s="4" t="s">
        <v>88</v>
      </c>
      <c r="I79" s="22">
        <v>32.042656999999998</v>
      </c>
      <c r="J79" s="22">
        <v>75.408415599999998</v>
      </c>
      <c r="K79" s="22" t="s">
        <v>2308</v>
      </c>
      <c r="L79" s="4">
        <v>1996</v>
      </c>
      <c r="M79" s="4">
        <v>1996</v>
      </c>
      <c r="N79" s="4" t="s">
        <v>2308</v>
      </c>
      <c r="O79" s="4" t="s">
        <v>67</v>
      </c>
      <c r="P79" s="5"/>
      <c r="T79" s="15"/>
    </row>
    <row r="80" spans="1:20">
      <c r="A80" s="32">
        <v>4</v>
      </c>
      <c r="B80" s="41" t="s">
        <v>99</v>
      </c>
      <c r="C80" s="4" t="s">
        <v>1299</v>
      </c>
      <c r="D80" s="32" t="s">
        <v>2430</v>
      </c>
      <c r="E80" s="29" t="s">
        <v>2431</v>
      </c>
      <c r="F80" s="34" t="s">
        <v>1310</v>
      </c>
      <c r="G80" s="4" t="s">
        <v>87</v>
      </c>
      <c r="H80" s="4" t="s">
        <v>88</v>
      </c>
      <c r="I80" s="22">
        <v>31.322397800000001</v>
      </c>
      <c r="J80" s="22">
        <v>75.573419299999998</v>
      </c>
      <c r="K80" s="22" t="s">
        <v>2308</v>
      </c>
      <c r="L80" s="4">
        <v>1996</v>
      </c>
      <c r="M80" s="4">
        <v>1996</v>
      </c>
      <c r="N80" s="4" t="s">
        <v>2308</v>
      </c>
      <c r="O80" s="4" t="s">
        <v>67</v>
      </c>
      <c r="P80" s="4"/>
      <c r="T80" s="15"/>
    </row>
    <row r="81" spans="1:20">
      <c r="A81" s="32">
        <v>4</v>
      </c>
      <c r="B81" s="41" t="s">
        <v>99</v>
      </c>
      <c r="C81" s="4" t="s">
        <v>1300</v>
      </c>
      <c r="D81" s="32" t="s">
        <v>2430</v>
      </c>
      <c r="E81" s="29" t="s">
        <v>2431</v>
      </c>
      <c r="F81" s="4" t="s">
        <v>1311</v>
      </c>
      <c r="G81" s="4" t="s">
        <v>87</v>
      </c>
      <c r="H81" s="4" t="s">
        <v>88</v>
      </c>
      <c r="I81" s="22">
        <v>31.375614800000001</v>
      </c>
      <c r="J81" s="22">
        <v>75.391874400000006</v>
      </c>
      <c r="K81" s="22" t="s">
        <v>2308</v>
      </c>
      <c r="L81" s="4">
        <v>1996</v>
      </c>
      <c r="M81" s="4">
        <v>1996</v>
      </c>
      <c r="N81" s="4" t="s">
        <v>2308</v>
      </c>
      <c r="O81" s="4" t="s">
        <v>67</v>
      </c>
      <c r="P81" s="4"/>
      <c r="T81" s="15"/>
    </row>
    <row r="82" spans="1:20">
      <c r="A82" s="32">
        <v>4</v>
      </c>
      <c r="B82" s="41" t="s">
        <v>99</v>
      </c>
      <c r="C82" s="4" t="s">
        <v>1301</v>
      </c>
      <c r="D82" s="32" t="s">
        <v>2430</v>
      </c>
      <c r="E82" s="29" t="s">
        <v>2431</v>
      </c>
      <c r="F82" s="4" t="s">
        <v>1312</v>
      </c>
      <c r="G82" s="4" t="s">
        <v>87</v>
      </c>
      <c r="H82" s="4" t="s">
        <v>88</v>
      </c>
      <c r="I82" s="22">
        <v>30.9003452</v>
      </c>
      <c r="J82" s="22">
        <v>75.856673299999997</v>
      </c>
      <c r="K82" s="22" t="s">
        <v>2308</v>
      </c>
      <c r="L82" s="4">
        <v>1996</v>
      </c>
      <c r="M82" s="4">
        <v>1996</v>
      </c>
      <c r="N82" s="4" t="s">
        <v>2308</v>
      </c>
      <c r="O82" s="4" t="s">
        <v>67</v>
      </c>
      <c r="P82" s="4"/>
      <c r="T82" s="15"/>
    </row>
    <row r="83" spans="1:20">
      <c r="A83" s="32">
        <v>4</v>
      </c>
      <c r="B83" s="41" t="s">
        <v>99</v>
      </c>
      <c r="C83" s="4" t="s">
        <v>1302</v>
      </c>
      <c r="D83" s="32" t="s">
        <v>2430</v>
      </c>
      <c r="E83" s="29" t="s">
        <v>2431</v>
      </c>
      <c r="F83" s="4" t="s">
        <v>1313</v>
      </c>
      <c r="G83" s="4" t="s">
        <v>87</v>
      </c>
      <c r="H83" s="4" t="s">
        <v>88</v>
      </c>
      <c r="I83" s="22">
        <v>30.21387</v>
      </c>
      <c r="J83" s="22">
        <v>76.370175000000003</v>
      </c>
      <c r="K83" s="22" t="s">
        <v>2308</v>
      </c>
      <c r="L83" s="4">
        <v>1996</v>
      </c>
      <c r="M83" s="4">
        <v>1996</v>
      </c>
      <c r="N83" s="4" t="s">
        <v>2308</v>
      </c>
      <c r="O83" s="4" t="s">
        <v>67</v>
      </c>
      <c r="P83" s="4"/>
      <c r="T83" s="15"/>
    </row>
    <row r="84" spans="1:20">
      <c r="A84" s="32">
        <v>4</v>
      </c>
      <c r="B84" s="41" t="s">
        <v>99</v>
      </c>
      <c r="C84" s="4" t="s">
        <v>1303</v>
      </c>
      <c r="D84" s="32" t="s">
        <v>2430</v>
      </c>
      <c r="E84" s="29" t="s">
        <v>2431</v>
      </c>
      <c r="F84" s="4" t="s">
        <v>1314</v>
      </c>
      <c r="G84" s="4" t="s">
        <v>87</v>
      </c>
      <c r="H84" s="4" t="s">
        <v>88</v>
      </c>
      <c r="I84" s="22">
        <v>30.242213199999998</v>
      </c>
      <c r="J84" s="22">
        <v>75.842785899999996</v>
      </c>
      <c r="K84" s="22" t="s">
        <v>2308</v>
      </c>
      <c r="L84" s="4">
        <v>1996</v>
      </c>
      <c r="M84" s="4">
        <v>1996</v>
      </c>
      <c r="N84" s="4" t="s">
        <v>2308</v>
      </c>
      <c r="O84" s="4" t="s">
        <v>67</v>
      </c>
      <c r="P84" s="4"/>
      <c r="T84" s="15"/>
    </row>
    <row r="85" spans="1:20" ht="38" customHeight="1">
      <c r="A85" s="32">
        <v>5</v>
      </c>
      <c r="B85" s="41" t="s">
        <v>106</v>
      </c>
      <c r="C85" s="4" t="s">
        <v>103</v>
      </c>
      <c r="D85" s="32" t="s">
        <v>2430</v>
      </c>
      <c r="E85" s="30" t="s">
        <v>2432</v>
      </c>
      <c r="F85" s="23" t="s">
        <v>102</v>
      </c>
      <c r="G85" s="23" t="s">
        <v>2308</v>
      </c>
      <c r="H85" s="4" t="s">
        <v>88</v>
      </c>
      <c r="I85" s="22">
        <v>30.43</v>
      </c>
      <c r="J85" s="22">
        <v>76.09</v>
      </c>
      <c r="K85" s="22">
        <v>901</v>
      </c>
      <c r="L85" s="4">
        <v>2018</v>
      </c>
      <c r="M85" s="4">
        <v>2018</v>
      </c>
      <c r="N85" s="4" t="s">
        <v>2308</v>
      </c>
      <c r="O85" s="4" t="s">
        <v>67</v>
      </c>
      <c r="P85" s="4"/>
      <c r="T85" s="15"/>
    </row>
    <row r="86" spans="1:20" ht="43.5">
      <c r="A86" s="32">
        <v>6</v>
      </c>
      <c r="B86" s="41" t="s">
        <v>108</v>
      </c>
      <c r="C86" s="4" t="s">
        <v>107</v>
      </c>
      <c r="D86" s="32" t="s">
        <v>2430</v>
      </c>
      <c r="E86" s="29" t="s">
        <v>2431</v>
      </c>
      <c r="F86" s="29" t="s">
        <v>1352</v>
      </c>
      <c r="G86" s="29" t="s">
        <v>109</v>
      </c>
      <c r="H86" s="29" t="s">
        <v>88</v>
      </c>
      <c r="I86" s="22">
        <v>29.690674900000001</v>
      </c>
      <c r="J86" s="22">
        <v>76.837599999999995</v>
      </c>
      <c r="K86" s="22" t="s">
        <v>2308</v>
      </c>
      <c r="L86" s="4">
        <v>2018</v>
      </c>
      <c r="M86" s="4">
        <v>2018</v>
      </c>
      <c r="N86" s="4" t="s">
        <v>2308</v>
      </c>
      <c r="O86" s="4" t="s">
        <v>67</v>
      </c>
      <c r="P86" s="5" t="s">
        <v>1521</v>
      </c>
      <c r="T86" s="15"/>
    </row>
    <row r="87" spans="1:20" ht="43.5">
      <c r="A87" s="32">
        <v>6</v>
      </c>
      <c r="B87" s="41" t="s">
        <v>108</v>
      </c>
      <c r="C87" s="4" t="s">
        <v>1340</v>
      </c>
      <c r="D87" s="32" t="s">
        <v>2430</v>
      </c>
      <c r="E87" s="29" t="s">
        <v>2431</v>
      </c>
      <c r="F87" s="29" t="s">
        <v>1353</v>
      </c>
      <c r="G87" s="29" t="s">
        <v>109</v>
      </c>
      <c r="H87" s="29" t="s">
        <v>88</v>
      </c>
      <c r="I87" s="22">
        <v>29.690674900000001</v>
      </c>
      <c r="J87" s="22">
        <v>76.837599999999995</v>
      </c>
      <c r="K87" s="22" t="s">
        <v>2308</v>
      </c>
      <c r="L87" s="4">
        <v>2018</v>
      </c>
      <c r="M87" s="4">
        <v>2018</v>
      </c>
      <c r="N87" s="4" t="s">
        <v>2308</v>
      </c>
      <c r="O87" s="4" t="s">
        <v>67</v>
      </c>
      <c r="P87" s="5" t="s">
        <v>1521</v>
      </c>
      <c r="T87" s="15"/>
    </row>
    <row r="88" spans="1:20" ht="43.5">
      <c r="A88" s="32">
        <v>6</v>
      </c>
      <c r="B88" s="41" t="s">
        <v>108</v>
      </c>
      <c r="C88" s="4" t="s">
        <v>1341</v>
      </c>
      <c r="D88" s="32" t="s">
        <v>2430</v>
      </c>
      <c r="E88" s="29" t="s">
        <v>2431</v>
      </c>
      <c r="F88" s="29" t="s">
        <v>1354</v>
      </c>
      <c r="G88" s="29" t="s">
        <v>109</v>
      </c>
      <c r="H88" s="29" t="s">
        <v>88</v>
      </c>
      <c r="I88" s="22">
        <v>29.690674900000001</v>
      </c>
      <c r="J88" s="22">
        <v>76.837599999999995</v>
      </c>
      <c r="K88" s="22" t="s">
        <v>2308</v>
      </c>
      <c r="L88" s="4">
        <v>2018</v>
      </c>
      <c r="M88" s="4">
        <v>2018</v>
      </c>
      <c r="N88" s="4" t="s">
        <v>2308</v>
      </c>
      <c r="O88" s="4" t="s">
        <v>67</v>
      </c>
      <c r="P88" s="5" t="s">
        <v>1521</v>
      </c>
      <c r="T88" s="15"/>
    </row>
    <row r="89" spans="1:20" ht="43.5">
      <c r="A89" s="32">
        <v>6</v>
      </c>
      <c r="B89" s="41" t="s">
        <v>108</v>
      </c>
      <c r="C89" s="4" t="s">
        <v>1342</v>
      </c>
      <c r="D89" s="32" t="s">
        <v>2430</v>
      </c>
      <c r="E89" s="29" t="s">
        <v>2431</v>
      </c>
      <c r="F89" s="29" t="s">
        <v>1355</v>
      </c>
      <c r="G89" s="29" t="s">
        <v>109</v>
      </c>
      <c r="H89" s="29" t="s">
        <v>88</v>
      </c>
      <c r="I89" s="22">
        <v>29.690674900000001</v>
      </c>
      <c r="J89" s="22">
        <v>76.837599999999995</v>
      </c>
      <c r="K89" s="22" t="s">
        <v>2308</v>
      </c>
      <c r="L89" s="4">
        <v>2018</v>
      </c>
      <c r="M89" s="4">
        <v>2018</v>
      </c>
      <c r="N89" s="4" t="s">
        <v>2308</v>
      </c>
      <c r="O89" s="4" t="s">
        <v>67</v>
      </c>
      <c r="P89" s="5" t="s">
        <v>1521</v>
      </c>
      <c r="T89" s="15"/>
    </row>
    <row r="90" spans="1:20" ht="43.5">
      <c r="A90" s="32">
        <v>6</v>
      </c>
      <c r="B90" s="41" t="s">
        <v>108</v>
      </c>
      <c r="C90" s="4" t="s">
        <v>1343</v>
      </c>
      <c r="D90" s="32" t="s">
        <v>2430</v>
      </c>
      <c r="E90" s="29" t="s">
        <v>2431</v>
      </c>
      <c r="F90" s="29" t="s">
        <v>1356</v>
      </c>
      <c r="G90" s="29" t="s">
        <v>109</v>
      </c>
      <c r="H90" s="29" t="s">
        <v>88</v>
      </c>
      <c r="I90" s="22">
        <v>29.690674900000001</v>
      </c>
      <c r="J90" s="22">
        <v>76.837599999999995</v>
      </c>
      <c r="K90" s="22" t="s">
        <v>2308</v>
      </c>
      <c r="L90" s="4">
        <v>2018</v>
      </c>
      <c r="M90" s="4">
        <v>2018</v>
      </c>
      <c r="N90" s="4" t="s">
        <v>2308</v>
      </c>
      <c r="O90" s="4" t="s">
        <v>67</v>
      </c>
      <c r="P90" s="5" t="s">
        <v>1521</v>
      </c>
      <c r="T90" s="15"/>
    </row>
    <row r="91" spans="1:20" ht="43.5">
      <c r="A91" s="32">
        <v>6</v>
      </c>
      <c r="B91" s="41" t="s">
        <v>108</v>
      </c>
      <c r="C91" s="4" t="s">
        <v>1344</v>
      </c>
      <c r="D91" s="32" t="s">
        <v>2430</v>
      </c>
      <c r="E91" s="29" t="s">
        <v>2431</v>
      </c>
      <c r="F91" s="29" t="s">
        <v>1357</v>
      </c>
      <c r="G91" s="29" t="s">
        <v>109</v>
      </c>
      <c r="H91" s="29" t="s">
        <v>88</v>
      </c>
      <c r="I91" s="22">
        <v>29.690674900000001</v>
      </c>
      <c r="J91" s="22">
        <v>76.837599999999995</v>
      </c>
      <c r="K91" s="22" t="s">
        <v>2308</v>
      </c>
      <c r="L91" s="4">
        <v>2018</v>
      </c>
      <c r="M91" s="4">
        <v>2018</v>
      </c>
      <c r="N91" s="4" t="s">
        <v>2308</v>
      </c>
      <c r="O91" s="4" t="s">
        <v>67</v>
      </c>
      <c r="P91" s="5" t="s">
        <v>1521</v>
      </c>
      <c r="T91" s="15"/>
    </row>
    <row r="92" spans="1:20" ht="43.5">
      <c r="A92" s="32">
        <v>6</v>
      </c>
      <c r="B92" s="41" t="s">
        <v>108</v>
      </c>
      <c r="C92" s="4" t="s">
        <v>1345</v>
      </c>
      <c r="D92" s="32" t="s">
        <v>2430</v>
      </c>
      <c r="E92" s="29" t="s">
        <v>2431</v>
      </c>
      <c r="F92" s="29" t="s">
        <v>1358</v>
      </c>
      <c r="G92" s="29" t="s">
        <v>109</v>
      </c>
      <c r="H92" s="29" t="s">
        <v>88</v>
      </c>
      <c r="I92" s="22">
        <v>29.690674900000001</v>
      </c>
      <c r="J92" s="22">
        <v>76.837599999999995</v>
      </c>
      <c r="K92" s="22" t="s">
        <v>2308</v>
      </c>
      <c r="L92" s="4">
        <v>2018</v>
      </c>
      <c r="M92" s="4">
        <v>2018</v>
      </c>
      <c r="N92" s="4" t="s">
        <v>2308</v>
      </c>
      <c r="O92" s="4" t="s">
        <v>67</v>
      </c>
      <c r="P92" s="5" t="s">
        <v>1521</v>
      </c>
      <c r="T92" s="15"/>
    </row>
    <row r="93" spans="1:20" ht="43.5">
      <c r="A93" s="32">
        <v>6</v>
      </c>
      <c r="B93" s="41" t="s">
        <v>108</v>
      </c>
      <c r="C93" s="4" t="s">
        <v>1346</v>
      </c>
      <c r="D93" s="32" t="s">
        <v>2430</v>
      </c>
      <c r="E93" s="29" t="s">
        <v>2431</v>
      </c>
      <c r="F93" s="29" t="s">
        <v>1359</v>
      </c>
      <c r="G93" s="29" t="s">
        <v>109</v>
      </c>
      <c r="H93" s="29" t="s">
        <v>88</v>
      </c>
      <c r="I93" s="22">
        <v>29.690674900000001</v>
      </c>
      <c r="J93" s="22">
        <v>76.837599999999995</v>
      </c>
      <c r="K93" s="22" t="s">
        <v>2308</v>
      </c>
      <c r="L93" s="4">
        <v>2018</v>
      </c>
      <c r="M93" s="4">
        <v>2018</v>
      </c>
      <c r="N93" s="4" t="s">
        <v>2308</v>
      </c>
      <c r="O93" s="4" t="s">
        <v>67</v>
      </c>
      <c r="P93" s="5" t="s">
        <v>1521</v>
      </c>
      <c r="T93" s="15"/>
    </row>
    <row r="94" spans="1:20" ht="43.5">
      <c r="A94" s="32">
        <v>6</v>
      </c>
      <c r="B94" s="41" t="s">
        <v>108</v>
      </c>
      <c r="C94" s="4" t="s">
        <v>1347</v>
      </c>
      <c r="D94" s="32" t="s">
        <v>2430</v>
      </c>
      <c r="E94" s="29" t="s">
        <v>2431</v>
      </c>
      <c r="F94" s="29" t="s">
        <v>1360</v>
      </c>
      <c r="G94" s="29" t="s">
        <v>109</v>
      </c>
      <c r="H94" s="29" t="s">
        <v>88</v>
      </c>
      <c r="I94" s="22">
        <v>29.690674900000001</v>
      </c>
      <c r="J94" s="22">
        <v>76.837599999999995</v>
      </c>
      <c r="K94" s="22" t="s">
        <v>2308</v>
      </c>
      <c r="L94" s="4">
        <v>2018</v>
      </c>
      <c r="M94" s="4">
        <v>2018</v>
      </c>
      <c r="N94" s="4" t="s">
        <v>2308</v>
      </c>
      <c r="O94" s="4" t="s">
        <v>67</v>
      </c>
      <c r="P94" s="5" t="s">
        <v>1521</v>
      </c>
      <c r="T94" s="15"/>
    </row>
    <row r="95" spans="1:20" ht="43.5">
      <c r="A95" s="32">
        <v>6</v>
      </c>
      <c r="B95" s="41" t="s">
        <v>108</v>
      </c>
      <c r="C95" s="4" t="s">
        <v>1348</v>
      </c>
      <c r="D95" s="32" t="s">
        <v>2430</v>
      </c>
      <c r="E95" s="29" t="s">
        <v>2431</v>
      </c>
      <c r="F95" s="29" t="s">
        <v>1361</v>
      </c>
      <c r="G95" s="29" t="s">
        <v>109</v>
      </c>
      <c r="H95" s="29" t="s">
        <v>88</v>
      </c>
      <c r="I95" s="22">
        <v>29.690674900000001</v>
      </c>
      <c r="J95" s="22">
        <v>76.837599999999995</v>
      </c>
      <c r="K95" s="22" t="s">
        <v>2308</v>
      </c>
      <c r="L95" s="4">
        <v>2018</v>
      </c>
      <c r="M95" s="4">
        <v>2018</v>
      </c>
      <c r="N95" s="4" t="s">
        <v>2308</v>
      </c>
      <c r="O95" s="4" t="s">
        <v>67</v>
      </c>
      <c r="P95" s="5" t="s">
        <v>1521</v>
      </c>
      <c r="T95" s="15"/>
    </row>
    <row r="96" spans="1:20" ht="43.5">
      <c r="A96" s="32">
        <v>6</v>
      </c>
      <c r="B96" s="41" t="s">
        <v>108</v>
      </c>
      <c r="C96" s="4" t="s">
        <v>1349</v>
      </c>
      <c r="D96" s="32" t="s">
        <v>2430</v>
      </c>
      <c r="E96" s="29" t="s">
        <v>2431</v>
      </c>
      <c r="F96" s="29" t="s">
        <v>1362</v>
      </c>
      <c r="G96" s="29" t="s">
        <v>109</v>
      </c>
      <c r="H96" s="29" t="s">
        <v>88</v>
      </c>
      <c r="I96" s="22">
        <v>29.690674900000001</v>
      </c>
      <c r="J96" s="22">
        <v>76.837599999999995</v>
      </c>
      <c r="K96" s="22" t="s">
        <v>2308</v>
      </c>
      <c r="L96" s="4">
        <v>2018</v>
      </c>
      <c r="M96" s="4">
        <v>2018</v>
      </c>
      <c r="N96" s="4" t="s">
        <v>2308</v>
      </c>
      <c r="O96" s="4" t="s">
        <v>67</v>
      </c>
      <c r="P96" s="5" t="s">
        <v>1521</v>
      </c>
      <c r="T96" s="15"/>
    </row>
    <row r="97" spans="1:20" ht="43.5">
      <c r="A97" s="32">
        <v>6</v>
      </c>
      <c r="B97" s="41" t="s">
        <v>108</v>
      </c>
      <c r="C97" s="4" t="s">
        <v>1384</v>
      </c>
      <c r="D97" s="32" t="s">
        <v>2430</v>
      </c>
      <c r="E97" s="29" t="s">
        <v>2431</v>
      </c>
      <c r="F97" s="29" t="s">
        <v>1385</v>
      </c>
      <c r="G97" s="29" t="s">
        <v>109</v>
      </c>
      <c r="H97" s="29" t="s">
        <v>88</v>
      </c>
      <c r="I97" s="22">
        <v>29.690674900000001</v>
      </c>
      <c r="J97" s="22">
        <v>76.837599999999995</v>
      </c>
      <c r="K97" s="22" t="s">
        <v>2308</v>
      </c>
      <c r="L97" s="4">
        <v>2018</v>
      </c>
      <c r="M97" s="4">
        <v>2018</v>
      </c>
      <c r="N97" s="4" t="s">
        <v>2308</v>
      </c>
      <c r="O97" s="4" t="s">
        <v>67</v>
      </c>
      <c r="P97" s="5" t="s">
        <v>1521</v>
      </c>
      <c r="T97" s="15"/>
    </row>
    <row r="98" spans="1:20" ht="40" customHeight="1">
      <c r="A98" s="32">
        <v>7</v>
      </c>
      <c r="B98" s="41" t="s">
        <v>113</v>
      </c>
      <c r="C98" s="4" t="s">
        <v>112</v>
      </c>
      <c r="D98" s="32" t="s">
        <v>2430</v>
      </c>
      <c r="E98" s="29" t="s">
        <v>2431</v>
      </c>
      <c r="F98" s="29" t="s">
        <v>2308</v>
      </c>
      <c r="G98" s="29" t="s">
        <v>1405</v>
      </c>
      <c r="H98" s="29" t="s">
        <v>114</v>
      </c>
      <c r="I98" s="22">
        <v>33.950000000000003</v>
      </c>
      <c r="J98" s="22">
        <v>118.29</v>
      </c>
      <c r="K98" s="22" t="s">
        <v>2308</v>
      </c>
      <c r="L98" s="4">
        <v>2006</v>
      </c>
      <c r="M98" s="4">
        <v>2006</v>
      </c>
      <c r="N98" s="4" t="s">
        <v>2308</v>
      </c>
      <c r="O98" s="4" t="s">
        <v>67</v>
      </c>
      <c r="P98" s="4" t="s">
        <v>1406</v>
      </c>
      <c r="T98" s="15"/>
    </row>
    <row r="99" spans="1:20" ht="45.5" customHeight="1">
      <c r="A99" s="32">
        <v>8</v>
      </c>
      <c r="B99" s="41" t="s">
        <v>128</v>
      </c>
      <c r="C99" s="4" t="s">
        <v>126</v>
      </c>
      <c r="D99" s="32" t="s">
        <v>2430</v>
      </c>
      <c r="E99" s="29" t="s">
        <v>2431</v>
      </c>
      <c r="F99" s="25" t="s">
        <v>2308</v>
      </c>
      <c r="G99" s="25" t="s">
        <v>5088</v>
      </c>
      <c r="H99" s="29" t="s">
        <v>127</v>
      </c>
      <c r="I99" s="22">
        <v>-3.0722933000000001</v>
      </c>
      <c r="J99" s="22">
        <v>-55.513213499999999</v>
      </c>
      <c r="K99" s="22" t="s">
        <v>2308</v>
      </c>
      <c r="L99" s="4">
        <v>2010</v>
      </c>
      <c r="M99" s="4">
        <v>2010</v>
      </c>
      <c r="N99" s="4" t="s">
        <v>2308</v>
      </c>
      <c r="O99" s="4" t="s">
        <v>67</v>
      </c>
      <c r="P99" s="4" t="s">
        <v>1406</v>
      </c>
      <c r="T99" s="14"/>
    </row>
    <row r="100" spans="1:20" ht="48.5" customHeight="1">
      <c r="A100" s="32">
        <v>9</v>
      </c>
      <c r="B100" s="41" t="s">
        <v>160</v>
      </c>
      <c r="C100" s="4" t="s">
        <v>139</v>
      </c>
      <c r="D100" s="32" t="s">
        <v>2430</v>
      </c>
      <c r="E100" s="29" t="s">
        <v>2438</v>
      </c>
      <c r="F100" s="30" t="s">
        <v>2308</v>
      </c>
      <c r="G100" s="30" t="s">
        <v>141</v>
      </c>
      <c r="H100" s="29" t="s">
        <v>140</v>
      </c>
      <c r="I100" s="22">
        <v>-9.37635E-2</v>
      </c>
      <c r="J100" s="22">
        <v>-72.040356399999993</v>
      </c>
      <c r="K100" s="22">
        <v>280000</v>
      </c>
      <c r="L100" s="4">
        <v>2005</v>
      </c>
      <c r="M100" s="4">
        <v>2005</v>
      </c>
      <c r="N100" s="4" t="s">
        <v>2308</v>
      </c>
      <c r="O100" s="4" t="s">
        <v>67</v>
      </c>
      <c r="P100" s="5" t="s">
        <v>1407</v>
      </c>
      <c r="T100" s="14"/>
    </row>
    <row r="101" spans="1:20" ht="34" customHeight="1">
      <c r="A101" s="32">
        <v>9</v>
      </c>
      <c r="B101" s="41" t="s">
        <v>160</v>
      </c>
      <c r="C101" s="4" t="s">
        <v>142</v>
      </c>
      <c r="D101" s="32" t="s">
        <v>2430</v>
      </c>
      <c r="E101" s="29" t="s">
        <v>2438</v>
      </c>
      <c r="F101" s="30" t="s">
        <v>2308</v>
      </c>
      <c r="G101" s="30" t="s">
        <v>405</v>
      </c>
      <c r="H101" s="29" t="s">
        <v>140</v>
      </c>
      <c r="I101" s="22">
        <v>-9.37635E-2</v>
      </c>
      <c r="J101" s="22">
        <v>-72.040356399999993</v>
      </c>
      <c r="K101" s="22">
        <v>177800</v>
      </c>
      <c r="L101" s="4">
        <v>2005</v>
      </c>
      <c r="M101" s="4">
        <v>2005</v>
      </c>
      <c r="N101" s="4" t="s">
        <v>2308</v>
      </c>
      <c r="O101" s="4" t="s">
        <v>67</v>
      </c>
      <c r="P101" s="4" t="s">
        <v>1406</v>
      </c>
    </row>
    <row r="102" spans="1:20" ht="48" customHeight="1">
      <c r="A102" s="32">
        <v>10</v>
      </c>
      <c r="B102" s="58" t="s">
        <v>2329</v>
      </c>
      <c r="C102" s="12" t="s">
        <v>151</v>
      </c>
      <c r="D102" s="32" t="s">
        <v>2430</v>
      </c>
      <c r="E102" s="29" t="s">
        <v>2431</v>
      </c>
      <c r="F102" s="31" t="s">
        <v>2330</v>
      </c>
      <c r="G102" s="31" t="s">
        <v>2331</v>
      </c>
      <c r="H102" s="44" t="s">
        <v>910</v>
      </c>
      <c r="I102" s="80">
        <v>-0.25</v>
      </c>
      <c r="J102" s="80">
        <v>116.5</v>
      </c>
      <c r="K102" s="80" t="s">
        <v>2308</v>
      </c>
      <c r="L102" s="101">
        <v>2001</v>
      </c>
      <c r="M102" s="101">
        <v>2001</v>
      </c>
      <c r="N102" s="80" t="s">
        <v>2308</v>
      </c>
      <c r="O102" s="4" t="s">
        <v>67</v>
      </c>
      <c r="P102" s="20" t="s">
        <v>2338</v>
      </c>
    </row>
    <row r="103" spans="1:20" ht="64" customHeight="1">
      <c r="A103" s="32">
        <v>11</v>
      </c>
      <c r="B103" s="41" t="s">
        <v>157</v>
      </c>
      <c r="C103" s="4" t="s">
        <v>156</v>
      </c>
      <c r="D103" s="32" t="s">
        <v>2430</v>
      </c>
      <c r="E103" s="30" t="s">
        <v>2439</v>
      </c>
      <c r="F103" s="30" t="s">
        <v>158</v>
      </c>
      <c r="G103" s="30" t="s">
        <v>1404</v>
      </c>
      <c r="H103" s="29" t="s">
        <v>140</v>
      </c>
      <c r="I103" s="22">
        <v>2</v>
      </c>
      <c r="J103" s="22">
        <v>-72.5</v>
      </c>
      <c r="K103" s="22">
        <v>54136</v>
      </c>
      <c r="L103" s="4">
        <v>2001</v>
      </c>
      <c r="M103" s="4">
        <v>2009</v>
      </c>
      <c r="N103" s="4" t="s">
        <v>2308</v>
      </c>
      <c r="O103" s="4" t="s">
        <v>67</v>
      </c>
      <c r="P103" s="5" t="s">
        <v>1408</v>
      </c>
    </row>
    <row r="104" spans="1:20" ht="94.5" customHeight="1">
      <c r="A104" s="32">
        <v>12</v>
      </c>
      <c r="B104" s="41" t="s">
        <v>170</v>
      </c>
      <c r="C104" s="4" t="s">
        <v>168</v>
      </c>
      <c r="D104" s="32" t="s">
        <v>2430</v>
      </c>
      <c r="E104" s="30" t="s">
        <v>2439</v>
      </c>
      <c r="F104" s="30" t="s">
        <v>2308</v>
      </c>
      <c r="G104" s="30" t="s">
        <v>171</v>
      </c>
      <c r="H104" s="29" t="s">
        <v>127</v>
      </c>
      <c r="I104" s="22" t="s">
        <v>2</v>
      </c>
      <c r="J104" s="22" t="s">
        <v>2</v>
      </c>
      <c r="K104" s="22">
        <v>900000</v>
      </c>
      <c r="L104" s="4">
        <v>2002</v>
      </c>
      <c r="M104" s="4">
        <v>2012</v>
      </c>
      <c r="N104" s="4" t="s">
        <v>2308</v>
      </c>
      <c r="O104" s="4" t="s">
        <v>155</v>
      </c>
      <c r="P104" s="5" t="s">
        <v>1411</v>
      </c>
    </row>
    <row r="105" spans="1:20" ht="31" customHeight="1">
      <c r="A105" s="32">
        <v>12</v>
      </c>
      <c r="B105" s="41" t="s">
        <v>170</v>
      </c>
      <c r="C105" s="4" t="s">
        <v>169</v>
      </c>
      <c r="D105" s="32" t="s">
        <v>2430</v>
      </c>
      <c r="E105" s="30" t="s">
        <v>2439</v>
      </c>
      <c r="F105" s="30" t="s">
        <v>2308</v>
      </c>
      <c r="G105" s="30" t="s">
        <v>172</v>
      </c>
      <c r="H105" s="29" t="s">
        <v>127</v>
      </c>
      <c r="I105" s="22" t="s">
        <v>2</v>
      </c>
      <c r="J105" s="22" t="s">
        <v>2</v>
      </c>
      <c r="K105" s="22">
        <v>1200000</v>
      </c>
      <c r="L105" s="4">
        <v>2002</v>
      </c>
      <c r="M105" s="4">
        <v>2012</v>
      </c>
      <c r="N105" s="4" t="s">
        <v>2308</v>
      </c>
      <c r="O105" s="4" t="s">
        <v>155</v>
      </c>
      <c r="P105" s="4"/>
    </row>
    <row r="106" spans="1:20">
      <c r="A106" s="32">
        <v>13</v>
      </c>
      <c r="B106" s="41" t="s">
        <v>183</v>
      </c>
      <c r="C106" s="4" t="s">
        <v>180</v>
      </c>
      <c r="D106" s="32" t="s">
        <v>2430</v>
      </c>
      <c r="E106" s="29" t="s">
        <v>2431</v>
      </c>
      <c r="F106" s="30" t="s">
        <v>184</v>
      </c>
      <c r="G106" s="30" t="s">
        <v>2308</v>
      </c>
      <c r="H106" s="29" t="s">
        <v>187</v>
      </c>
      <c r="I106" s="22">
        <v>4.05</v>
      </c>
      <c r="J106" s="22">
        <v>11.55</v>
      </c>
      <c r="K106" s="22" t="s">
        <v>2308</v>
      </c>
      <c r="L106" s="4">
        <v>2003</v>
      </c>
      <c r="M106" s="4">
        <v>2003</v>
      </c>
      <c r="N106" s="23">
        <v>85.3</v>
      </c>
      <c r="O106" s="4" t="s">
        <v>189</v>
      </c>
      <c r="P106" s="4"/>
    </row>
    <row r="107" spans="1:20">
      <c r="A107" s="32">
        <v>13</v>
      </c>
      <c r="B107" s="41" t="s">
        <v>183</v>
      </c>
      <c r="C107" s="4" t="s">
        <v>181</v>
      </c>
      <c r="D107" s="32" t="s">
        <v>2430</v>
      </c>
      <c r="E107" s="29" t="s">
        <v>2431</v>
      </c>
      <c r="F107" s="30" t="s">
        <v>185</v>
      </c>
      <c r="G107" s="30" t="s">
        <v>2308</v>
      </c>
      <c r="H107" s="29" t="s">
        <v>187</v>
      </c>
      <c r="I107" s="22">
        <v>3.91</v>
      </c>
      <c r="J107" s="22">
        <v>11.87</v>
      </c>
      <c r="K107" s="22" t="s">
        <v>2308</v>
      </c>
      <c r="L107" s="4">
        <v>2003</v>
      </c>
      <c r="M107" s="4">
        <v>2003</v>
      </c>
      <c r="N107" s="23">
        <v>35.9</v>
      </c>
      <c r="O107" s="4" t="s">
        <v>189</v>
      </c>
      <c r="P107" s="4"/>
    </row>
    <row r="108" spans="1:20">
      <c r="A108" s="32">
        <v>13</v>
      </c>
      <c r="B108" s="41" t="s">
        <v>183</v>
      </c>
      <c r="C108" s="4" t="s">
        <v>182</v>
      </c>
      <c r="D108" s="32" t="s">
        <v>2430</v>
      </c>
      <c r="E108" s="29" t="s">
        <v>2431</v>
      </c>
      <c r="F108" s="30" t="s">
        <v>186</v>
      </c>
      <c r="G108" s="30" t="s">
        <v>2308</v>
      </c>
      <c r="H108" s="29" t="s">
        <v>187</v>
      </c>
      <c r="I108" s="22">
        <v>2.81</v>
      </c>
      <c r="J108" s="22">
        <v>10.31</v>
      </c>
      <c r="K108" s="22" t="s">
        <v>2308</v>
      </c>
      <c r="L108" s="4">
        <v>2003</v>
      </c>
      <c r="M108" s="4">
        <v>2003</v>
      </c>
      <c r="N108" s="23">
        <v>7.8</v>
      </c>
      <c r="O108" s="4" t="s">
        <v>189</v>
      </c>
      <c r="P108" s="4"/>
    </row>
    <row r="109" spans="1:20">
      <c r="A109" s="32">
        <v>14</v>
      </c>
      <c r="B109" s="41" t="s">
        <v>380</v>
      </c>
      <c r="C109" s="4" t="s">
        <v>379</v>
      </c>
      <c r="D109" s="32" t="s">
        <v>2430</v>
      </c>
      <c r="E109" s="29" t="s">
        <v>2431</v>
      </c>
      <c r="F109" s="30" t="s">
        <v>381</v>
      </c>
      <c r="G109" s="30" t="s">
        <v>2308</v>
      </c>
      <c r="H109" s="29" t="s">
        <v>382</v>
      </c>
      <c r="I109" s="22">
        <v>8.91</v>
      </c>
      <c r="J109" s="22">
        <v>-78.5</v>
      </c>
      <c r="K109" s="22">
        <v>32</v>
      </c>
      <c r="L109" s="4">
        <v>2004</v>
      </c>
      <c r="M109" s="4">
        <v>2004</v>
      </c>
      <c r="N109" s="4" t="s">
        <v>2308</v>
      </c>
      <c r="O109" s="4" t="s">
        <v>189</v>
      </c>
      <c r="P109" s="4"/>
    </row>
    <row r="110" spans="1:20" ht="40" customHeight="1">
      <c r="A110" s="32">
        <v>15</v>
      </c>
      <c r="B110" s="41" t="s">
        <v>390</v>
      </c>
      <c r="C110" s="4" t="s">
        <v>388</v>
      </c>
      <c r="D110" s="32" t="s">
        <v>2430</v>
      </c>
      <c r="E110" s="29" t="s">
        <v>2431</v>
      </c>
      <c r="F110" s="30" t="s">
        <v>392</v>
      </c>
      <c r="G110" s="30" t="s">
        <v>2308</v>
      </c>
      <c r="H110" s="29" t="s">
        <v>391</v>
      </c>
      <c r="I110" s="22">
        <v>-6.1333333333333302</v>
      </c>
      <c r="J110" s="22">
        <v>37.116666666666703</v>
      </c>
      <c r="K110" s="22">
        <v>125.3</v>
      </c>
      <c r="L110" s="4">
        <v>1995</v>
      </c>
      <c r="M110" s="4">
        <v>1995</v>
      </c>
      <c r="N110" s="4" t="s">
        <v>2308</v>
      </c>
      <c r="O110" s="4" t="s">
        <v>189</v>
      </c>
      <c r="P110" s="4"/>
    </row>
    <row r="111" spans="1:20" ht="41" customHeight="1">
      <c r="A111" s="32">
        <v>15</v>
      </c>
      <c r="B111" s="41" t="s">
        <v>390</v>
      </c>
      <c r="C111" s="4" t="s">
        <v>389</v>
      </c>
      <c r="D111" s="32" t="s">
        <v>2430</v>
      </c>
      <c r="E111" s="29" t="s">
        <v>2431</v>
      </c>
      <c r="F111" s="30" t="s">
        <v>393</v>
      </c>
      <c r="G111" s="30" t="s">
        <v>2308</v>
      </c>
      <c r="H111" s="29" t="s">
        <v>391</v>
      </c>
      <c r="I111" s="22">
        <v>-7.0333333333333297</v>
      </c>
      <c r="J111" s="22">
        <v>36.15</v>
      </c>
      <c r="K111" s="22">
        <v>42.77</v>
      </c>
      <c r="L111" s="4">
        <v>1995</v>
      </c>
      <c r="M111" s="4">
        <v>1995</v>
      </c>
      <c r="N111" s="4" t="s">
        <v>2308</v>
      </c>
      <c r="O111" s="4" t="s">
        <v>189</v>
      </c>
      <c r="P111" s="4"/>
    </row>
    <row r="112" spans="1:20" ht="32.5" customHeight="1">
      <c r="A112" s="32">
        <v>15</v>
      </c>
      <c r="B112" s="41" t="s">
        <v>390</v>
      </c>
      <c r="C112" s="4" t="s">
        <v>395</v>
      </c>
      <c r="D112" s="32" t="s">
        <v>2430</v>
      </c>
      <c r="E112" s="29" t="s">
        <v>2431</v>
      </c>
      <c r="F112" s="30" t="s">
        <v>392</v>
      </c>
      <c r="G112" s="30" t="s">
        <v>2308</v>
      </c>
      <c r="H112" s="29" t="s">
        <v>391</v>
      </c>
      <c r="I112" s="22">
        <v>-6.1333333333333302</v>
      </c>
      <c r="J112" s="22">
        <v>37.116666666666703</v>
      </c>
      <c r="K112" s="22">
        <v>72</v>
      </c>
      <c r="L112" s="4">
        <v>2014</v>
      </c>
      <c r="M112" s="4">
        <v>2014</v>
      </c>
      <c r="N112" s="23">
        <v>18.180555600000002</v>
      </c>
      <c r="O112" s="4" t="s">
        <v>189</v>
      </c>
      <c r="P112" s="4"/>
    </row>
    <row r="113" spans="1:16" ht="40.5" customHeight="1">
      <c r="A113" s="32">
        <v>15</v>
      </c>
      <c r="B113" s="41" t="s">
        <v>390</v>
      </c>
      <c r="C113" s="4" t="s">
        <v>396</v>
      </c>
      <c r="D113" s="32" t="s">
        <v>2430</v>
      </c>
      <c r="E113" s="29" t="s">
        <v>2431</v>
      </c>
      <c r="F113" s="30" t="s">
        <v>393</v>
      </c>
      <c r="G113" s="30" t="s">
        <v>2308</v>
      </c>
      <c r="H113" s="29" t="s">
        <v>391</v>
      </c>
      <c r="I113" s="22">
        <v>-7.0333333333333297</v>
      </c>
      <c r="J113" s="22">
        <v>36.15</v>
      </c>
      <c r="K113" s="22">
        <v>42.77</v>
      </c>
      <c r="L113" s="4">
        <v>2014</v>
      </c>
      <c r="M113" s="4">
        <v>2014</v>
      </c>
      <c r="N113" s="23">
        <v>55.7400047</v>
      </c>
      <c r="O113" s="4" t="s">
        <v>189</v>
      </c>
      <c r="P113" s="4"/>
    </row>
    <row r="114" spans="1:16" ht="48" customHeight="1">
      <c r="A114" s="32">
        <v>16</v>
      </c>
      <c r="B114" s="41" t="s">
        <v>424</v>
      </c>
      <c r="C114" s="4" t="s">
        <v>423</v>
      </c>
      <c r="D114" s="32" t="s">
        <v>2430</v>
      </c>
      <c r="E114" s="29" t="s">
        <v>2431</v>
      </c>
      <c r="F114" s="30" t="s">
        <v>425</v>
      </c>
      <c r="G114" s="30" t="s">
        <v>2308</v>
      </c>
      <c r="H114" s="29" t="s">
        <v>391</v>
      </c>
      <c r="I114" s="22">
        <v>-6.56666666666667</v>
      </c>
      <c r="J114" s="22">
        <v>37.883333333333297</v>
      </c>
      <c r="K114" s="22">
        <v>26.4</v>
      </c>
      <c r="L114" s="4">
        <v>1997</v>
      </c>
      <c r="M114" s="4">
        <v>1997</v>
      </c>
      <c r="N114" s="4">
        <v>22</v>
      </c>
      <c r="O114" s="4" t="s">
        <v>189</v>
      </c>
      <c r="P114" s="4"/>
    </row>
    <row r="115" spans="1:16" ht="40" customHeight="1">
      <c r="A115" s="32">
        <v>17</v>
      </c>
      <c r="B115" s="41" t="s">
        <v>428</v>
      </c>
      <c r="C115" s="4" t="s">
        <v>427</v>
      </c>
      <c r="D115" s="32" t="s">
        <v>2430</v>
      </c>
      <c r="E115" s="29" t="s">
        <v>2431</v>
      </c>
      <c r="F115" s="4" t="s">
        <v>2308</v>
      </c>
      <c r="G115" s="30" t="s">
        <v>430</v>
      </c>
      <c r="H115" s="29" t="s">
        <v>429</v>
      </c>
      <c r="I115" s="22">
        <v>-10.343518400000001</v>
      </c>
      <c r="J115" s="22">
        <v>30.486528799999999</v>
      </c>
      <c r="K115" s="22">
        <v>142087</v>
      </c>
      <c r="L115" s="4">
        <v>1984</v>
      </c>
      <c r="M115" s="4">
        <v>1984</v>
      </c>
      <c r="N115" s="4">
        <v>4.5</v>
      </c>
      <c r="O115" s="4" t="s">
        <v>189</v>
      </c>
      <c r="P115" s="4"/>
    </row>
    <row r="116" spans="1:16" ht="36.5" customHeight="1">
      <c r="A116" s="32">
        <v>17</v>
      </c>
      <c r="B116" s="42" t="s">
        <v>436</v>
      </c>
      <c r="C116" s="4" t="s">
        <v>434</v>
      </c>
      <c r="D116" s="32" t="s">
        <v>2430</v>
      </c>
      <c r="E116" s="29" t="s">
        <v>2431</v>
      </c>
      <c r="F116" s="4" t="s">
        <v>2308</v>
      </c>
      <c r="G116" s="30" t="s">
        <v>430</v>
      </c>
      <c r="H116" s="29" t="s">
        <v>429</v>
      </c>
      <c r="I116" s="22">
        <v>-10.343518400000001</v>
      </c>
      <c r="J116" s="22">
        <v>30.486528799999999</v>
      </c>
      <c r="K116" s="22">
        <v>142087</v>
      </c>
      <c r="L116" s="4">
        <v>1949</v>
      </c>
      <c r="M116" s="4">
        <v>1949</v>
      </c>
      <c r="N116" s="4">
        <v>2.4</v>
      </c>
      <c r="O116" s="4" t="s">
        <v>189</v>
      </c>
      <c r="P116" s="4"/>
    </row>
    <row r="117" spans="1:16" ht="42.5" customHeight="1">
      <c r="A117" s="32">
        <v>18</v>
      </c>
      <c r="B117" s="42" t="s">
        <v>2443</v>
      </c>
      <c r="C117" s="4" t="s">
        <v>437</v>
      </c>
      <c r="D117" s="32" t="s">
        <v>2430</v>
      </c>
      <c r="E117" s="29" t="s">
        <v>2431</v>
      </c>
      <c r="F117" s="30" t="s">
        <v>2308</v>
      </c>
      <c r="G117" s="30" t="s">
        <v>438</v>
      </c>
      <c r="H117" s="29" t="s">
        <v>391</v>
      </c>
      <c r="I117" s="22">
        <v>-5.1100000000000003</v>
      </c>
      <c r="J117" s="22">
        <v>26.05</v>
      </c>
      <c r="K117" s="22">
        <v>142500</v>
      </c>
      <c r="L117" s="4">
        <v>2006</v>
      </c>
      <c r="M117" s="4">
        <v>2007</v>
      </c>
      <c r="N117" s="4" t="s">
        <v>2308</v>
      </c>
      <c r="O117" s="4" t="s">
        <v>67</v>
      </c>
      <c r="P117" s="4"/>
    </row>
    <row r="118" spans="1:16" ht="43.5" customHeight="1">
      <c r="A118" s="32">
        <v>19</v>
      </c>
      <c r="B118" s="41" t="s">
        <v>2444</v>
      </c>
      <c r="C118" s="4" t="s">
        <v>445</v>
      </c>
      <c r="D118" s="32" t="s">
        <v>2430</v>
      </c>
      <c r="E118" s="29" t="s">
        <v>2431</v>
      </c>
      <c r="F118" s="30" t="s">
        <v>446</v>
      </c>
      <c r="G118" s="30" t="s">
        <v>448</v>
      </c>
      <c r="H118" s="29" t="s">
        <v>391</v>
      </c>
      <c r="I118" s="22">
        <v>-7.25</v>
      </c>
      <c r="J118" s="22">
        <v>36.75</v>
      </c>
      <c r="K118" s="22" t="s">
        <v>2308</v>
      </c>
      <c r="L118" s="4">
        <v>2004</v>
      </c>
      <c r="M118" s="4">
        <v>2004</v>
      </c>
      <c r="N118" s="4" t="s">
        <v>2308</v>
      </c>
      <c r="O118" s="4" t="s">
        <v>67</v>
      </c>
      <c r="P118" s="4"/>
    </row>
    <row r="119" spans="1:16" ht="47.5" customHeight="1">
      <c r="A119" s="32">
        <v>20</v>
      </c>
      <c r="B119" s="41" t="s">
        <v>451</v>
      </c>
      <c r="C119" s="4" t="s">
        <v>450</v>
      </c>
      <c r="D119" s="32" t="s">
        <v>2430</v>
      </c>
      <c r="E119" s="29" t="s">
        <v>2431</v>
      </c>
      <c r="F119" s="30" t="s">
        <v>452</v>
      </c>
      <c r="G119" s="4" t="s">
        <v>453</v>
      </c>
      <c r="H119" s="29" t="s">
        <v>391</v>
      </c>
      <c r="I119" s="22">
        <v>-8.68333333333333</v>
      </c>
      <c r="J119" s="22">
        <v>32.299999999999997</v>
      </c>
      <c r="K119" s="22" t="s">
        <v>2308</v>
      </c>
      <c r="L119" s="4">
        <v>2001</v>
      </c>
      <c r="M119" s="4">
        <v>2006</v>
      </c>
      <c r="N119" s="4" t="s">
        <v>2308</v>
      </c>
      <c r="O119" s="4" t="s">
        <v>67</v>
      </c>
      <c r="P119" s="4"/>
    </row>
    <row r="120" spans="1:16" ht="71" customHeight="1">
      <c r="A120" s="32">
        <v>21</v>
      </c>
      <c r="B120" s="41" t="s">
        <v>467</v>
      </c>
      <c r="C120" s="4" t="s">
        <v>462</v>
      </c>
      <c r="D120" s="32" t="s">
        <v>2430</v>
      </c>
      <c r="E120" s="29" t="s">
        <v>2431</v>
      </c>
      <c r="F120" s="30" t="s">
        <v>464</v>
      </c>
      <c r="G120" s="4" t="s">
        <v>465</v>
      </c>
      <c r="H120" s="29" t="s">
        <v>391</v>
      </c>
      <c r="I120" s="22">
        <v>-8.0569529000000006</v>
      </c>
      <c r="J120" s="22">
        <v>31.752707600000001</v>
      </c>
      <c r="K120" s="22" t="s">
        <v>2308</v>
      </c>
      <c r="L120" s="4">
        <v>1991</v>
      </c>
      <c r="M120" s="4">
        <v>1993</v>
      </c>
      <c r="N120" s="4">
        <v>47</v>
      </c>
      <c r="O120" s="4" t="s">
        <v>67</v>
      </c>
      <c r="P120" s="4"/>
    </row>
    <row r="121" spans="1:16" ht="56.5" customHeight="1">
      <c r="A121" s="32">
        <v>21</v>
      </c>
      <c r="B121" s="41" t="s">
        <v>467</v>
      </c>
      <c r="C121" s="4" t="s">
        <v>463</v>
      </c>
      <c r="D121" s="32" t="s">
        <v>2430</v>
      </c>
      <c r="E121" s="29" t="s">
        <v>2431</v>
      </c>
      <c r="F121" s="30" t="s">
        <v>466</v>
      </c>
      <c r="G121" s="30" t="s">
        <v>473</v>
      </c>
      <c r="H121" s="29" t="s">
        <v>429</v>
      </c>
      <c r="I121" s="22">
        <v>-8.9023839000000002</v>
      </c>
      <c r="J121" s="22">
        <v>32.0330455</v>
      </c>
      <c r="K121" s="22" t="s">
        <v>2308</v>
      </c>
      <c r="L121" s="4">
        <v>1991</v>
      </c>
      <c r="M121" s="4">
        <v>1993</v>
      </c>
      <c r="N121" s="4">
        <v>28</v>
      </c>
      <c r="O121" s="4" t="s">
        <v>67</v>
      </c>
      <c r="P121" s="4"/>
    </row>
    <row r="122" spans="1:16" ht="34.5" customHeight="1">
      <c r="A122" s="32">
        <v>22</v>
      </c>
      <c r="B122" s="41" t="s">
        <v>478</v>
      </c>
      <c r="C122" s="4" t="s">
        <v>474</v>
      </c>
      <c r="D122" s="32" t="s">
        <v>2430</v>
      </c>
      <c r="E122" s="29" t="s">
        <v>2431</v>
      </c>
      <c r="F122" s="30" t="s">
        <v>479</v>
      </c>
      <c r="G122" s="4" t="s">
        <v>465</v>
      </c>
      <c r="H122" s="29" t="s">
        <v>391</v>
      </c>
      <c r="I122" s="22">
        <v>-8.7279999999999998</v>
      </c>
      <c r="J122" s="22">
        <v>31.725999999999999</v>
      </c>
      <c r="K122" s="22" t="s">
        <v>2308</v>
      </c>
      <c r="L122" s="4">
        <v>2010</v>
      </c>
      <c r="M122" s="4">
        <v>2010</v>
      </c>
      <c r="N122" s="4">
        <v>86</v>
      </c>
      <c r="O122" s="4" t="s">
        <v>67</v>
      </c>
      <c r="P122" s="4"/>
    </row>
    <row r="123" spans="1:16" ht="40" customHeight="1">
      <c r="A123" s="32">
        <v>22</v>
      </c>
      <c r="B123" s="41" t="s">
        <v>478</v>
      </c>
      <c r="C123" s="4" t="s">
        <v>475</v>
      </c>
      <c r="D123" s="32" t="s">
        <v>2430</v>
      </c>
      <c r="E123" s="29" t="s">
        <v>2431</v>
      </c>
      <c r="F123" s="30" t="s">
        <v>480</v>
      </c>
      <c r="G123" s="4" t="s">
        <v>465</v>
      </c>
      <c r="H123" s="29" t="s">
        <v>391</v>
      </c>
      <c r="I123" s="22">
        <v>-7.4089999999999998</v>
      </c>
      <c r="J123" s="22">
        <v>31.14</v>
      </c>
      <c r="K123" s="22" t="s">
        <v>2308</v>
      </c>
      <c r="L123" s="4">
        <v>2010</v>
      </c>
      <c r="M123" s="4">
        <v>2010</v>
      </c>
      <c r="N123" s="4">
        <v>13.5</v>
      </c>
      <c r="O123" s="4" t="s">
        <v>67</v>
      </c>
      <c r="P123" s="4"/>
    </row>
    <row r="124" spans="1:16" ht="119.5" customHeight="1">
      <c r="A124" s="32">
        <v>22</v>
      </c>
      <c r="B124" s="41" t="s">
        <v>478</v>
      </c>
      <c r="C124" s="4" t="s">
        <v>476</v>
      </c>
      <c r="D124" s="32" t="s">
        <v>2430</v>
      </c>
      <c r="E124" s="29" t="s">
        <v>2431</v>
      </c>
      <c r="F124" s="30" t="s">
        <v>481</v>
      </c>
      <c r="G124" s="4" t="s">
        <v>483</v>
      </c>
      <c r="H124" s="29" t="s">
        <v>429</v>
      </c>
      <c r="I124" s="22">
        <v>-10.436999999999999</v>
      </c>
      <c r="J124" s="22">
        <v>31.257000000000001</v>
      </c>
      <c r="K124" s="22" t="s">
        <v>2308</v>
      </c>
      <c r="L124" s="4">
        <v>2010</v>
      </c>
      <c r="M124" s="4">
        <v>2010</v>
      </c>
      <c r="N124" s="4">
        <v>24</v>
      </c>
      <c r="O124" s="4" t="s">
        <v>67</v>
      </c>
      <c r="P124" s="5" t="s">
        <v>1509</v>
      </c>
    </row>
    <row r="125" spans="1:16" ht="38.5" customHeight="1">
      <c r="A125" s="32">
        <v>22</v>
      </c>
      <c r="B125" s="41" t="s">
        <v>478</v>
      </c>
      <c r="C125" s="4" t="s">
        <v>477</v>
      </c>
      <c r="D125" s="32" t="s">
        <v>2430</v>
      </c>
      <c r="E125" s="29" t="s">
        <v>2431</v>
      </c>
      <c r="F125" s="30" t="s">
        <v>482</v>
      </c>
      <c r="G125" s="4" t="s">
        <v>483</v>
      </c>
      <c r="H125" s="29" t="s">
        <v>429</v>
      </c>
      <c r="I125" s="22">
        <v>-15.913</v>
      </c>
      <c r="J125" s="22">
        <v>25.952999999999999</v>
      </c>
      <c r="K125" s="22" t="s">
        <v>2308</v>
      </c>
      <c r="L125" s="4">
        <v>2010</v>
      </c>
      <c r="M125" s="4">
        <v>2010</v>
      </c>
      <c r="N125" s="4">
        <v>25</v>
      </c>
      <c r="O125" s="4" t="s">
        <v>67</v>
      </c>
      <c r="P125" s="4"/>
    </row>
    <row r="126" spans="1:16" ht="36" customHeight="1">
      <c r="A126" s="32">
        <v>22</v>
      </c>
      <c r="B126" s="41" t="s">
        <v>478</v>
      </c>
      <c r="C126" s="4" t="s">
        <v>505</v>
      </c>
      <c r="D126" s="32" t="s">
        <v>2430</v>
      </c>
      <c r="E126" s="29" t="s">
        <v>2431</v>
      </c>
      <c r="F126" s="30" t="s">
        <v>479</v>
      </c>
      <c r="G126" s="4" t="s">
        <v>465</v>
      </c>
      <c r="H126" s="29" t="s">
        <v>391</v>
      </c>
      <c r="I126" s="22">
        <v>-8.7279999999999998</v>
      </c>
      <c r="J126" s="22">
        <v>31.725999999999999</v>
      </c>
      <c r="K126" s="22" t="s">
        <v>2308</v>
      </c>
      <c r="L126" s="4">
        <v>1990</v>
      </c>
      <c r="M126" s="4">
        <v>1990</v>
      </c>
      <c r="N126" s="4" t="s">
        <v>2308</v>
      </c>
      <c r="O126" s="4" t="s">
        <v>189</v>
      </c>
      <c r="P126" s="4"/>
    </row>
    <row r="127" spans="1:16" ht="28" customHeight="1">
      <c r="A127" s="32">
        <v>22</v>
      </c>
      <c r="B127" s="41" t="s">
        <v>478</v>
      </c>
      <c r="C127" s="4" t="s">
        <v>506</v>
      </c>
      <c r="D127" s="32" t="s">
        <v>2430</v>
      </c>
      <c r="E127" s="29" t="s">
        <v>2431</v>
      </c>
      <c r="F127" s="30" t="s">
        <v>480</v>
      </c>
      <c r="G127" s="4" t="s">
        <v>465</v>
      </c>
      <c r="H127" s="29" t="s">
        <v>391</v>
      </c>
      <c r="I127" s="22">
        <v>-7.4089999999999998</v>
      </c>
      <c r="J127" s="22">
        <v>31.14</v>
      </c>
      <c r="K127" s="22" t="s">
        <v>2308</v>
      </c>
      <c r="L127" s="4">
        <v>1997</v>
      </c>
      <c r="M127" s="4">
        <v>1997</v>
      </c>
      <c r="N127" s="4" t="s">
        <v>2308</v>
      </c>
      <c r="O127" s="4" t="s">
        <v>189</v>
      </c>
      <c r="P127" s="4"/>
    </row>
    <row r="128" spans="1:16" ht="32" customHeight="1">
      <c r="A128" s="32">
        <v>22</v>
      </c>
      <c r="B128" s="41" t="s">
        <v>478</v>
      </c>
      <c r="C128" s="4" t="s">
        <v>507</v>
      </c>
      <c r="D128" s="32" t="s">
        <v>2430</v>
      </c>
      <c r="E128" s="29" t="s">
        <v>2431</v>
      </c>
      <c r="F128" s="30" t="s">
        <v>481</v>
      </c>
      <c r="G128" s="4" t="s">
        <v>483</v>
      </c>
      <c r="H128" s="29" t="s">
        <v>429</v>
      </c>
      <c r="I128" s="22">
        <v>-10.436999999999999</v>
      </c>
      <c r="J128" s="22">
        <v>31.257000000000001</v>
      </c>
      <c r="K128" s="22" t="s">
        <v>2308</v>
      </c>
      <c r="L128" s="102">
        <v>1990</v>
      </c>
      <c r="M128" s="102">
        <v>1990</v>
      </c>
      <c r="N128" s="4" t="s">
        <v>2308</v>
      </c>
      <c r="O128" s="4" t="s">
        <v>189</v>
      </c>
      <c r="P128" s="4"/>
    </row>
    <row r="129" spans="1:16" ht="32" customHeight="1">
      <c r="A129" s="32">
        <v>23</v>
      </c>
      <c r="B129" s="58" t="s">
        <v>2339</v>
      </c>
      <c r="C129" s="12" t="s">
        <v>517</v>
      </c>
      <c r="D129" s="32" t="s">
        <v>2430</v>
      </c>
      <c r="E129" s="44" t="s">
        <v>2432</v>
      </c>
      <c r="F129" s="31" t="s">
        <v>2330</v>
      </c>
      <c r="G129" s="31" t="s">
        <v>2331</v>
      </c>
      <c r="H129" s="44" t="s">
        <v>910</v>
      </c>
      <c r="I129" s="80">
        <v>-0.25</v>
      </c>
      <c r="J129" s="80">
        <v>116.5</v>
      </c>
      <c r="K129" s="80">
        <f>226342/100</f>
        <v>2263.42</v>
      </c>
      <c r="L129" s="101">
        <v>1987</v>
      </c>
      <c r="M129" s="101">
        <v>1992</v>
      </c>
      <c r="N129" s="80" t="s">
        <v>2308</v>
      </c>
      <c r="O129" s="80" t="s">
        <v>67</v>
      </c>
      <c r="P129" s="12"/>
    </row>
    <row r="130" spans="1:16" ht="32" customHeight="1">
      <c r="A130" s="32">
        <v>23</v>
      </c>
      <c r="B130" s="58" t="s">
        <v>2339</v>
      </c>
      <c r="C130" s="12" t="s">
        <v>2347</v>
      </c>
      <c r="D130" s="32" t="s">
        <v>2430</v>
      </c>
      <c r="E130" s="44" t="s">
        <v>2432</v>
      </c>
      <c r="F130" s="31" t="s">
        <v>2330</v>
      </c>
      <c r="G130" s="31" t="s">
        <v>2331</v>
      </c>
      <c r="H130" s="44" t="s">
        <v>910</v>
      </c>
      <c r="I130" s="80">
        <v>-0.25</v>
      </c>
      <c r="J130" s="80">
        <v>116.5</v>
      </c>
      <c r="K130" s="80">
        <f t="shared" ref="K130:K131" si="0">226342/100</f>
        <v>2263.42</v>
      </c>
      <c r="L130" s="101">
        <v>1992</v>
      </c>
      <c r="M130" s="101">
        <v>1997</v>
      </c>
      <c r="N130" s="80" t="s">
        <v>2308</v>
      </c>
      <c r="O130" s="80" t="s">
        <v>67</v>
      </c>
      <c r="P130" s="12"/>
    </row>
    <row r="131" spans="1:16" ht="32" customHeight="1">
      <c r="A131" s="32">
        <v>23</v>
      </c>
      <c r="B131" s="58" t="s">
        <v>2339</v>
      </c>
      <c r="C131" s="12" t="s">
        <v>2348</v>
      </c>
      <c r="D131" s="32" t="s">
        <v>2430</v>
      </c>
      <c r="E131" s="44" t="s">
        <v>2432</v>
      </c>
      <c r="F131" s="31" t="s">
        <v>2330</v>
      </c>
      <c r="G131" s="31" t="s">
        <v>2331</v>
      </c>
      <c r="H131" s="44" t="s">
        <v>910</v>
      </c>
      <c r="I131" s="80">
        <v>-0.25</v>
      </c>
      <c r="J131" s="80">
        <v>116.5</v>
      </c>
      <c r="K131" s="80">
        <f t="shared" si="0"/>
        <v>2263.42</v>
      </c>
      <c r="L131" s="101">
        <v>1997</v>
      </c>
      <c r="M131" s="101">
        <v>2000</v>
      </c>
      <c r="N131" s="80" t="s">
        <v>2308</v>
      </c>
      <c r="O131" s="80" t="s">
        <v>67</v>
      </c>
      <c r="P131" s="12"/>
    </row>
    <row r="132" spans="1:16" ht="41" customHeight="1">
      <c r="A132" s="32">
        <v>24</v>
      </c>
      <c r="B132" s="41" t="s">
        <v>519</v>
      </c>
      <c r="C132" s="4" t="s">
        <v>518</v>
      </c>
      <c r="D132" s="32" t="s">
        <v>2430</v>
      </c>
      <c r="E132" s="29" t="s">
        <v>2431</v>
      </c>
      <c r="F132" s="30" t="s">
        <v>520</v>
      </c>
      <c r="G132" s="30" t="s">
        <v>520</v>
      </c>
      <c r="H132" s="29" t="s">
        <v>72</v>
      </c>
      <c r="I132" s="22">
        <v>-18.936</v>
      </c>
      <c r="J132" s="22">
        <v>48.143999999999998</v>
      </c>
      <c r="K132" s="22" t="s">
        <v>2308</v>
      </c>
      <c r="L132" s="102">
        <v>2003</v>
      </c>
      <c r="M132" s="102">
        <v>2004</v>
      </c>
      <c r="N132" s="4" t="s">
        <v>2308</v>
      </c>
      <c r="O132" s="4" t="s">
        <v>67</v>
      </c>
      <c r="P132" s="4"/>
    </row>
    <row r="133" spans="1:16" ht="43.5" customHeight="1">
      <c r="A133" s="32">
        <v>25</v>
      </c>
      <c r="B133" s="41" t="s">
        <v>529</v>
      </c>
      <c r="C133" s="4" t="s">
        <v>528</v>
      </c>
      <c r="D133" s="32" t="s">
        <v>2430</v>
      </c>
      <c r="E133" s="29" t="s">
        <v>2431</v>
      </c>
      <c r="F133" s="30" t="s">
        <v>2308</v>
      </c>
      <c r="G133" s="30" t="s">
        <v>1522</v>
      </c>
      <c r="H133" s="29" t="s">
        <v>72</v>
      </c>
      <c r="I133" s="22">
        <v>-24.289283000000001</v>
      </c>
      <c r="J133" s="22">
        <v>44.203907100000002</v>
      </c>
      <c r="K133" s="22">
        <v>10000</v>
      </c>
      <c r="L133" s="102">
        <v>2013</v>
      </c>
      <c r="M133" s="102">
        <v>2013</v>
      </c>
      <c r="N133" s="4">
        <v>75</v>
      </c>
      <c r="O133" s="4" t="s">
        <v>67</v>
      </c>
      <c r="P133" s="4"/>
    </row>
    <row r="134" spans="1:16" ht="39" customHeight="1">
      <c r="A134" s="32">
        <v>26</v>
      </c>
      <c r="B134" s="41" t="s">
        <v>553</v>
      </c>
      <c r="C134" s="4" t="s">
        <v>552</v>
      </c>
      <c r="D134" s="32" t="s">
        <v>2430</v>
      </c>
      <c r="E134" s="29" t="s">
        <v>2432</v>
      </c>
      <c r="F134" s="4" t="s">
        <v>2308</v>
      </c>
      <c r="G134" s="4" t="s">
        <v>554</v>
      </c>
      <c r="H134" s="29" t="s">
        <v>127</v>
      </c>
      <c r="I134" s="22">
        <v>-3.2707711000000002</v>
      </c>
      <c r="J134" s="22">
        <v>-64.653319800000006</v>
      </c>
      <c r="K134" s="22">
        <v>7850</v>
      </c>
      <c r="L134" s="4">
        <v>1987</v>
      </c>
      <c r="M134" s="4">
        <v>1987</v>
      </c>
      <c r="N134" s="4">
        <v>0.7525965</v>
      </c>
      <c r="O134" s="4" t="s">
        <v>189</v>
      </c>
      <c r="P134" s="4"/>
    </row>
    <row r="135" spans="1:16" ht="36.5" customHeight="1">
      <c r="A135" s="32">
        <v>26</v>
      </c>
      <c r="B135" s="41" t="s">
        <v>553</v>
      </c>
      <c r="C135" s="4" t="s">
        <v>556</v>
      </c>
      <c r="D135" s="32" t="s">
        <v>2430</v>
      </c>
      <c r="E135" s="29" t="s">
        <v>2432</v>
      </c>
      <c r="F135" s="4" t="s">
        <v>2308</v>
      </c>
      <c r="G135" s="4" t="s">
        <v>554</v>
      </c>
      <c r="H135" s="29" t="s">
        <v>127</v>
      </c>
      <c r="I135" s="22">
        <v>-3.2707711000000002</v>
      </c>
      <c r="J135" s="22">
        <v>-64.653319800000006</v>
      </c>
      <c r="K135" s="22">
        <v>7850</v>
      </c>
      <c r="L135" s="4">
        <v>2014</v>
      </c>
      <c r="M135" s="4">
        <v>2014</v>
      </c>
      <c r="N135" s="4">
        <v>2.6</v>
      </c>
      <c r="O135" s="4" t="s">
        <v>189</v>
      </c>
      <c r="P135" s="4"/>
    </row>
    <row r="136" spans="1:16" ht="82" customHeight="1">
      <c r="A136" s="32">
        <v>27</v>
      </c>
      <c r="B136" s="62" t="s">
        <v>563</v>
      </c>
      <c r="C136" s="25" t="s">
        <v>1751</v>
      </c>
      <c r="D136" s="32" t="s">
        <v>2430</v>
      </c>
      <c r="E136" s="63" t="s">
        <v>2447</v>
      </c>
      <c r="F136" s="64" t="s">
        <v>2308</v>
      </c>
      <c r="G136" s="64" t="s">
        <v>562</v>
      </c>
      <c r="H136" s="63" t="s">
        <v>127</v>
      </c>
      <c r="I136" s="22">
        <v>-9.5613574678780395</v>
      </c>
      <c r="J136" s="22">
        <v>-72.146726164833694</v>
      </c>
      <c r="K136" s="22" t="s">
        <v>2308</v>
      </c>
      <c r="L136" s="64">
        <v>2013</v>
      </c>
      <c r="M136" s="64">
        <v>2013</v>
      </c>
      <c r="N136" s="23" t="s">
        <v>2308</v>
      </c>
      <c r="O136" s="23" t="s">
        <v>67</v>
      </c>
      <c r="P136" s="25" t="s">
        <v>2448</v>
      </c>
    </row>
    <row r="137" spans="1:16" ht="82" customHeight="1">
      <c r="A137" s="32">
        <v>27</v>
      </c>
      <c r="B137" s="62" t="s">
        <v>563</v>
      </c>
      <c r="C137" s="25" t="s">
        <v>1750</v>
      </c>
      <c r="D137" s="32" t="s">
        <v>2430</v>
      </c>
      <c r="E137" s="63" t="s">
        <v>2447</v>
      </c>
      <c r="F137" s="64" t="s">
        <v>2308</v>
      </c>
      <c r="G137" s="64" t="s">
        <v>562</v>
      </c>
      <c r="H137" s="63" t="s">
        <v>127</v>
      </c>
      <c r="I137" s="22">
        <v>-10.0178741847118</v>
      </c>
      <c r="J137" s="22">
        <v>-66.789736696113494</v>
      </c>
      <c r="K137" s="22" t="s">
        <v>2308</v>
      </c>
      <c r="L137" s="64">
        <v>2013</v>
      </c>
      <c r="M137" s="64">
        <v>2013</v>
      </c>
      <c r="N137" s="23" t="s">
        <v>2308</v>
      </c>
      <c r="O137" s="23" t="s">
        <v>67</v>
      </c>
      <c r="P137" s="25" t="s">
        <v>2448</v>
      </c>
    </row>
    <row r="138" spans="1:16" ht="82" customHeight="1">
      <c r="A138" s="32">
        <v>27</v>
      </c>
      <c r="B138" s="62" t="s">
        <v>563</v>
      </c>
      <c r="C138" s="25" t="s">
        <v>1752</v>
      </c>
      <c r="D138" s="32" t="s">
        <v>2430</v>
      </c>
      <c r="E138" s="63" t="s">
        <v>2447</v>
      </c>
      <c r="F138" s="64" t="s">
        <v>2308</v>
      </c>
      <c r="G138" s="64" t="s">
        <v>562</v>
      </c>
      <c r="H138" s="63" t="s">
        <v>127</v>
      </c>
      <c r="I138" s="22">
        <v>-10.134021327849601</v>
      </c>
      <c r="J138" s="22">
        <v>-67.760082002684399</v>
      </c>
      <c r="K138" s="22" t="s">
        <v>2308</v>
      </c>
      <c r="L138" s="64">
        <v>2013</v>
      </c>
      <c r="M138" s="64">
        <v>2013</v>
      </c>
      <c r="N138" s="23" t="s">
        <v>2308</v>
      </c>
      <c r="O138" s="23" t="s">
        <v>67</v>
      </c>
      <c r="P138" s="25" t="s">
        <v>2448</v>
      </c>
    </row>
    <row r="139" spans="1:16" ht="82" customHeight="1">
      <c r="A139" s="32">
        <v>27</v>
      </c>
      <c r="B139" s="62" t="s">
        <v>563</v>
      </c>
      <c r="C139" s="25" t="s">
        <v>1753</v>
      </c>
      <c r="D139" s="32" t="s">
        <v>2430</v>
      </c>
      <c r="E139" s="63" t="s">
        <v>2447</v>
      </c>
      <c r="F139" s="64" t="s">
        <v>2308</v>
      </c>
      <c r="G139" s="64" t="s">
        <v>562</v>
      </c>
      <c r="H139" s="63" t="s">
        <v>127</v>
      </c>
      <c r="I139" s="22">
        <v>-10.5748970950303</v>
      </c>
      <c r="J139" s="22">
        <v>-67.721638571044593</v>
      </c>
      <c r="K139" s="22" t="s">
        <v>2308</v>
      </c>
      <c r="L139" s="64">
        <v>2013</v>
      </c>
      <c r="M139" s="64">
        <v>2013</v>
      </c>
      <c r="N139" s="23" t="s">
        <v>2308</v>
      </c>
      <c r="O139" s="23" t="s">
        <v>67</v>
      </c>
      <c r="P139" s="25" t="s">
        <v>2448</v>
      </c>
    </row>
    <row r="140" spans="1:16" ht="82" customHeight="1">
      <c r="A140" s="32">
        <v>27</v>
      </c>
      <c r="B140" s="62" t="s">
        <v>563</v>
      </c>
      <c r="C140" s="25" t="s">
        <v>1754</v>
      </c>
      <c r="D140" s="32" t="s">
        <v>2430</v>
      </c>
      <c r="E140" s="63" t="s">
        <v>2447</v>
      </c>
      <c r="F140" s="64" t="s">
        <v>2308</v>
      </c>
      <c r="G140" s="64" t="s">
        <v>562</v>
      </c>
      <c r="H140" s="63" t="s">
        <v>127</v>
      </c>
      <c r="I140" s="22">
        <v>-10.2610180632664</v>
      </c>
      <c r="J140" s="22">
        <v>-67.144257961522896</v>
      </c>
      <c r="K140" s="22" t="s">
        <v>2308</v>
      </c>
      <c r="L140" s="64">
        <v>2013</v>
      </c>
      <c r="M140" s="64">
        <v>2013</v>
      </c>
      <c r="N140" s="23" t="s">
        <v>2308</v>
      </c>
      <c r="O140" s="23" t="s">
        <v>67</v>
      </c>
      <c r="P140" s="25" t="s">
        <v>2448</v>
      </c>
    </row>
    <row r="141" spans="1:16" ht="82" customHeight="1">
      <c r="A141" s="32">
        <v>27</v>
      </c>
      <c r="B141" s="62" t="s">
        <v>563</v>
      </c>
      <c r="C141" s="25" t="s">
        <v>1757</v>
      </c>
      <c r="D141" s="32" t="s">
        <v>2430</v>
      </c>
      <c r="E141" s="63" t="s">
        <v>2447</v>
      </c>
      <c r="F141" s="64" t="s">
        <v>2308</v>
      </c>
      <c r="G141" s="64" t="s">
        <v>562</v>
      </c>
      <c r="H141" s="63" t="s">
        <v>127</v>
      </c>
      <c r="I141" s="22">
        <v>-9.0983561319372601</v>
      </c>
      <c r="J141" s="22">
        <v>-68.708961155312096</v>
      </c>
      <c r="K141" s="22" t="s">
        <v>2308</v>
      </c>
      <c r="L141" s="64">
        <v>2013</v>
      </c>
      <c r="M141" s="64">
        <v>2013</v>
      </c>
      <c r="N141" s="23" t="s">
        <v>2308</v>
      </c>
      <c r="O141" s="23" t="s">
        <v>67</v>
      </c>
      <c r="P141" s="25" t="s">
        <v>2448</v>
      </c>
    </row>
    <row r="142" spans="1:16" ht="82" customHeight="1">
      <c r="A142" s="32">
        <v>27</v>
      </c>
      <c r="B142" s="62" t="s">
        <v>563</v>
      </c>
      <c r="C142" s="25" t="s">
        <v>1758</v>
      </c>
      <c r="D142" s="32" t="s">
        <v>2430</v>
      </c>
      <c r="E142" s="63" t="s">
        <v>2447</v>
      </c>
      <c r="F142" s="64" t="s">
        <v>2308</v>
      </c>
      <c r="G142" s="64" t="s">
        <v>562</v>
      </c>
      <c r="H142" s="63" t="s">
        <v>127</v>
      </c>
      <c r="I142" s="22">
        <v>-6.4239667922074499</v>
      </c>
      <c r="J142" s="22">
        <v>-68.264657652830493</v>
      </c>
      <c r="K142" s="22" t="s">
        <v>2308</v>
      </c>
      <c r="L142" s="64">
        <v>2013</v>
      </c>
      <c r="M142" s="64">
        <v>2013</v>
      </c>
      <c r="N142" s="23" t="s">
        <v>2308</v>
      </c>
      <c r="O142" s="23" t="s">
        <v>67</v>
      </c>
      <c r="P142" s="25" t="s">
        <v>2448</v>
      </c>
    </row>
    <row r="143" spans="1:16" ht="82" customHeight="1">
      <c r="A143" s="32">
        <v>27</v>
      </c>
      <c r="B143" s="62" t="s">
        <v>563</v>
      </c>
      <c r="C143" s="25" t="s">
        <v>1755</v>
      </c>
      <c r="D143" s="32" t="s">
        <v>2430</v>
      </c>
      <c r="E143" s="63" t="s">
        <v>2447</v>
      </c>
      <c r="F143" s="64" t="s">
        <v>2308</v>
      </c>
      <c r="G143" s="64" t="s">
        <v>562</v>
      </c>
      <c r="H143" s="63" t="s">
        <v>127</v>
      </c>
      <c r="I143" s="22">
        <v>1.04573330617113</v>
      </c>
      <c r="J143" s="22">
        <v>-66.938947787509605</v>
      </c>
      <c r="K143" s="22" t="s">
        <v>2308</v>
      </c>
      <c r="L143" s="64">
        <v>2013</v>
      </c>
      <c r="M143" s="64">
        <v>2013</v>
      </c>
      <c r="N143" s="23" t="s">
        <v>2308</v>
      </c>
      <c r="O143" s="23" t="s">
        <v>67</v>
      </c>
      <c r="P143" s="25" t="s">
        <v>2448</v>
      </c>
    </row>
    <row r="144" spans="1:16" ht="82" customHeight="1">
      <c r="A144" s="32">
        <v>27</v>
      </c>
      <c r="B144" s="62" t="s">
        <v>563</v>
      </c>
      <c r="C144" s="25" t="s">
        <v>1756</v>
      </c>
      <c r="D144" s="32" t="s">
        <v>2430</v>
      </c>
      <c r="E144" s="63" t="s">
        <v>2447</v>
      </c>
      <c r="F144" s="64" t="s">
        <v>2308</v>
      </c>
      <c r="G144" s="64" t="s">
        <v>562</v>
      </c>
      <c r="H144" s="63" t="s">
        <v>127</v>
      </c>
      <c r="I144" s="22">
        <v>-0.379556690268325</v>
      </c>
      <c r="J144" s="22">
        <v>-64.947348495189104</v>
      </c>
      <c r="K144" s="22" t="s">
        <v>2308</v>
      </c>
      <c r="L144" s="64">
        <v>2013</v>
      </c>
      <c r="M144" s="64">
        <v>2013</v>
      </c>
      <c r="N144" s="23" t="s">
        <v>2308</v>
      </c>
      <c r="O144" s="23" t="s">
        <v>67</v>
      </c>
      <c r="P144" s="25" t="s">
        <v>2448</v>
      </c>
    </row>
    <row r="145" spans="1:16" ht="82" customHeight="1">
      <c r="A145" s="32">
        <v>27</v>
      </c>
      <c r="B145" s="62" t="s">
        <v>563</v>
      </c>
      <c r="C145" s="25" t="s">
        <v>1759</v>
      </c>
      <c r="D145" s="32" t="s">
        <v>2430</v>
      </c>
      <c r="E145" s="63" t="s">
        <v>2447</v>
      </c>
      <c r="F145" s="64" t="s">
        <v>2308</v>
      </c>
      <c r="G145" s="64" t="s">
        <v>562</v>
      </c>
      <c r="H145" s="63" t="s">
        <v>127</v>
      </c>
      <c r="I145" s="22">
        <v>-1.62905389506969</v>
      </c>
      <c r="J145" s="22">
        <v>-65.792490922185706</v>
      </c>
      <c r="K145" s="22" t="s">
        <v>2308</v>
      </c>
      <c r="L145" s="64">
        <v>2013</v>
      </c>
      <c r="M145" s="64">
        <v>2013</v>
      </c>
      <c r="N145" s="23" t="s">
        <v>2308</v>
      </c>
      <c r="O145" s="23" t="s">
        <v>67</v>
      </c>
      <c r="P145" s="25" t="s">
        <v>2448</v>
      </c>
    </row>
    <row r="146" spans="1:16" ht="82" customHeight="1">
      <c r="A146" s="32">
        <v>27</v>
      </c>
      <c r="B146" s="62" t="s">
        <v>563</v>
      </c>
      <c r="C146" s="25" t="s">
        <v>1760</v>
      </c>
      <c r="D146" s="32" t="s">
        <v>2430</v>
      </c>
      <c r="E146" s="63" t="s">
        <v>2447</v>
      </c>
      <c r="F146" s="64" t="s">
        <v>2308</v>
      </c>
      <c r="G146" s="64" t="s">
        <v>562</v>
      </c>
      <c r="H146" s="63" t="s">
        <v>127</v>
      </c>
      <c r="I146" s="22">
        <v>-3.1894407519560599</v>
      </c>
      <c r="J146" s="22">
        <v>-60.259330326162001</v>
      </c>
      <c r="K146" s="22" t="s">
        <v>2308</v>
      </c>
      <c r="L146" s="64">
        <v>2013</v>
      </c>
      <c r="M146" s="64">
        <v>2013</v>
      </c>
      <c r="N146" s="23" t="s">
        <v>2308</v>
      </c>
      <c r="O146" s="23" t="s">
        <v>67</v>
      </c>
      <c r="P146" s="25" t="s">
        <v>2448</v>
      </c>
    </row>
    <row r="147" spans="1:16" ht="82" customHeight="1">
      <c r="A147" s="32">
        <v>27</v>
      </c>
      <c r="B147" s="62" t="s">
        <v>563</v>
      </c>
      <c r="C147" s="25" t="s">
        <v>1761</v>
      </c>
      <c r="D147" s="32" t="s">
        <v>2430</v>
      </c>
      <c r="E147" s="63" t="s">
        <v>2447</v>
      </c>
      <c r="F147" s="64" t="s">
        <v>2308</v>
      </c>
      <c r="G147" s="64" t="s">
        <v>562</v>
      </c>
      <c r="H147" s="63" t="s">
        <v>127</v>
      </c>
      <c r="I147" s="22">
        <v>-2.7128890286808498</v>
      </c>
      <c r="J147" s="22">
        <v>-59.697903775910198</v>
      </c>
      <c r="K147" s="22" t="s">
        <v>2308</v>
      </c>
      <c r="L147" s="64">
        <v>2013</v>
      </c>
      <c r="M147" s="64">
        <v>2013</v>
      </c>
      <c r="N147" s="23" t="s">
        <v>2308</v>
      </c>
      <c r="O147" s="23" t="s">
        <v>67</v>
      </c>
      <c r="P147" s="25" t="s">
        <v>2448</v>
      </c>
    </row>
    <row r="148" spans="1:16" ht="82" customHeight="1">
      <c r="A148" s="32">
        <v>27</v>
      </c>
      <c r="B148" s="62" t="s">
        <v>563</v>
      </c>
      <c r="C148" s="25" t="s">
        <v>1762</v>
      </c>
      <c r="D148" s="32" t="s">
        <v>2430</v>
      </c>
      <c r="E148" s="63" t="s">
        <v>2447</v>
      </c>
      <c r="F148" s="64" t="s">
        <v>2308</v>
      </c>
      <c r="G148" s="64" t="s">
        <v>562</v>
      </c>
      <c r="H148" s="63" t="s">
        <v>127</v>
      </c>
      <c r="I148" s="22">
        <v>-2.5004455209047798</v>
      </c>
      <c r="J148" s="22">
        <v>-54.810507429964801</v>
      </c>
      <c r="K148" s="22" t="s">
        <v>2308</v>
      </c>
      <c r="L148" s="64">
        <v>2013</v>
      </c>
      <c r="M148" s="64">
        <v>2013</v>
      </c>
      <c r="N148" s="23" t="s">
        <v>2308</v>
      </c>
      <c r="O148" s="23" t="s">
        <v>67</v>
      </c>
      <c r="P148" s="25" t="s">
        <v>2448</v>
      </c>
    </row>
    <row r="149" spans="1:16" ht="82" customHeight="1">
      <c r="A149" s="32">
        <v>27</v>
      </c>
      <c r="B149" s="62" t="s">
        <v>563</v>
      </c>
      <c r="C149" s="25" t="s">
        <v>1763</v>
      </c>
      <c r="D149" s="32" t="s">
        <v>2430</v>
      </c>
      <c r="E149" s="63" t="s">
        <v>2447</v>
      </c>
      <c r="F149" s="64" t="s">
        <v>2308</v>
      </c>
      <c r="G149" s="64" t="s">
        <v>562</v>
      </c>
      <c r="H149" s="63" t="s">
        <v>127</v>
      </c>
      <c r="I149" s="22">
        <v>-2.1105943215507499</v>
      </c>
      <c r="J149" s="22">
        <v>-53.725391238420997</v>
      </c>
      <c r="K149" s="22" t="s">
        <v>2308</v>
      </c>
      <c r="L149" s="64">
        <v>2013</v>
      </c>
      <c r="M149" s="64">
        <v>2013</v>
      </c>
      <c r="N149" s="23" t="s">
        <v>2308</v>
      </c>
      <c r="O149" s="23" t="s">
        <v>67</v>
      </c>
      <c r="P149" s="25" t="s">
        <v>2448</v>
      </c>
    </row>
    <row r="150" spans="1:16" ht="82" customHeight="1">
      <c r="A150" s="32">
        <v>27</v>
      </c>
      <c r="B150" s="62" t="s">
        <v>563</v>
      </c>
      <c r="C150" s="25" t="s">
        <v>1764</v>
      </c>
      <c r="D150" s="32" t="s">
        <v>2430</v>
      </c>
      <c r="E150" s="63" t="s">
        <v>2447</v>
      </c>
      <c r="F150" s="64" t="s">
        <v>2308</v>
      </c>
      <c r="G150" s="64" t="s">
        <v>562</v>
      </c>
      <c r="H150" s="63" t="s">
        <v>127</v>
      </c>
      <c r="I150" s="22">
        <v>-10.975694674970599</v>
      </c>
      <c r="J150" s="22">
        <v>-68.609640143045496</v>
      </c>
      <c r="K150" s="22" t="s">
        <v>2308</v>
      </c>
      <c r="L150" s="64">
        <v>2013</v>
      </c>
      <c r="M150" s="64">
        <v>2013</v>
      </c>
      <c r="N150" s="23" t="s">
        <v>2308</v>
      </c>
      <c r="O150" s="23" t="s">
        <v>67</v>
      </c>
      <c r="P150" s="25" t="s">
        <v>2448</v>
      </c>
    </row>
    <row r="151" spans="1:16" ht="82" customHeight="1">
      <c r="A151" s="32">
        <v>27</v>
      </c>
      <c r="B151" s="62" t="s">
        <v>563</v>
      </c>
      <c r="C151" s="25" t="s">
        <v>1765</v>
      </c>
      <c r="D151" s="32" t="s">
        <v>2430</v>
      </c>
      <c r="E151" s="63" t="s">
        <v>2447</v>
      </c>
      <c r="F151" s="64" t="s">
        <v>2308</v>
      </c>
      <c r="G151" s="64" t="s">
        <v>562</v>
      </c>
      <c r="H151" s="63" t="s">
        <v>127</v>
      </c>
      <c r="I151" s="22">
        <v>-10.864270837572001</v>
      </c>
      <c r="J151" s="22">
        <v>-69.009507405147303</v>
      </c>
      <c r="K151" s="22" t="s">
        <v>2308</v>
      </c>
      <c r="L151" s="64">
        <v>2013</v>
      </c>
      <c r="M151" s="64">
        <v>2013</v>
      </c>
      <c r="N151" s="23" t="s">
        <v>2308</v>
      </c>
      <c r="O151" s="23" t="s">
        <v>67</v>
      </c>
      <c r="P151" s="25" t="s">
        <v>2448</v>
      </c>
    </row>
    <row r="152" spans="1:16" ht="82" customHeight="1">
      <c r="A152" s="32">
        <v>27</v>
      </c>
      <c r="B152" s="62" t="s">
        <v>563</v>
      </c>
      <c r="C152" s="25" t="s">
        <v>1766</v>
      </c>
      <c r="D152" s="32" t="s">
        <v>2430</v>
      </c>
      <c r="E152" s="63" t="s">
        <v>2447</v>
      </c>
      <c r="F152" s="64" t="s">
        <v>2308</v>
      </c>
      <c r="G152" s="64" t="s">
        <v>562</v>
      </c>
      <c r="H152" s="63" t="s">
        <v>127</v>
      </c>
      <c r="I152" s="22">
        <v>-4.0137928139320902</v>
      </c>
      <c r="J152" s="22">
        <v>-55.441524644168503</v>
      </c>
      <c r="K152" s="22" t="s">
        <v>2308</v>
      </c>
      <c r="L152" s="64">
        <v>2013</v>
      </c>
      <c r="M152" s="64">
        <v>2013</v>
      </c>
      <c r="N152" s="23" t="s">
        <v>2308</v>
      </c>
      <c r="O152" s="23" t="s">
        <v>67</v>
      </c>
      <c r="P152" s="25" t="s">
        <v>2448</v>
      </c>
    </row>
    <row r="153" spans="1:16" ht="82" customHeight="1">
      <c r="A153" s="32">
        <v>27</v>
      </c>
      <c r="B153" s="62" t="s">
        <v>563</v>
      </c>
      <c r="C153" s="25" t="s">
        <v>1767</v>
      </c>
      <c r="D153" s="32" t="s">
        <v>2430</v>
      </c>
      <c r="E153" s="63" t="s">
        <v>2447</v>
      </c>
      <c r="F153" s="64" t="s">
        <v>2308</v>
      </c>
      <c r="G153" s="64" t="s">
        <v>562</v>
      </c>
      <c r="H153" s="63" t="s">
        <v>127</v>
      </c>
      <c r="I153" s="22">
        <v>-4.2542802096062502</v>
      </c>
      <c r="J153" s="22">
        <v>-55.173616881827698</v>
      </c>
      <c r="K153" s="22" t="s">
        <v>2308</v>
      </c>
      <c r="L153" s="64">
        <v>2013</v>
      </c>
      <c r="M153" s="64">
        <v>2013</v>
      </c>
      <c r="N153" s="23" t="s">
        <v>2308</v>
      </c>
      <c r="O153" s="23" t="s">
        <v>67</v>
      </c>
      <c r="P153" s="25" t="s">
        <v>2448</v>
      </c>
    </row>
    <row r="154" spans="1:16" ht="82" customHeight="1">
      <c r="A154" s="32">
        <v>27</v>
      </c>
      <c r="B154" s="62" t="s">
        <v>563</v>
      </c>
      <c r="C154" s="25" t="s">
        <v>1768</v>
      </c>
      <c r="D154" s="32" t="s">
        <v>2430</v>
      </c>
      <c r="E154" s="63" t="s">
        <v>2447</v>
      </c>
      <c r="F154" s="64" t="s">
        <v>2308</v>
      </c>
      <c r="G154" s="64" t="s">
        <v>562</v>
      </c>
      <c r="H154" s="63" t="s">
        <v>127</v>
      </c>
      <c r="I154" s="22">
        <v>-3.77440714575134</v>
      </c>
      <c r="J154" s="22">
        <v>-53.385328409585</v>
      </c>
      <c r="K154" s="22" t="s">
        <v>2308</v>
      </c>
      <c r="L154" s="64">
        <v>2013</v>
      </c>
      <c r="M154" s="64">
        <v>2013</v>
      </c>
      <c r="N154" s="23" t="s">
        <v>2308</v>
      </c>
      <c r="O154" s="23" t="s">
        <v>67</v>
      </c>
      <c r="P154" s="25" t="s">
        <v>2448</v>
      </c>
    </row>
    <row r="155" spans="1:16" ht="82" customHeight="1">
      <c r="A155" s="32">
        <v>27</v>
      </c>
      <c r="B155" s="62" t="s">
        <v>563</v>
      </c>
      <c r="C155" s="25" t="s">
        <v>1769</v>
      </c>
      <c r="D155" s="32" t="s">
        <v>2430</v>
      </c>
      <c r="E155" s="63" t="s">
        <v>2447</v>
      </c>
      <c r="F155" s="64" t="s">
        <v>2308</v>
      </c>
      <c r="G155" s="64" t="s">
        <v>562</v>
      </c>
      <c r="H155" s="63" t="s">
        <v>127</v>
      </c>
      <c r="I155" s="22">
        <v>-0.93638944272485802</v>
      </c>
      <c r="J155" s="22">
        <v>-52.315722027779998</v>
      </c>
      <c r="K155" s="22" t="s">
        <v>2308</v>
      </c>
      <c r="L155" s="64">
        <v>2013</v>
      </c>
      <c r="M155" s="64">
        <v>2013</v>
      </c>
      <c r="N155" s="23" t="s">
        <v>2308</v>
      </c>
      <c r="O155" s="23" t="s">
        <v>67</v>
      </c>
      <c r="P155" s="25" t="s">
        <v>2448</v>
      </c>
    </row>
    <row r="156" spans="1:16" ht="82" customHeight="1">
      <c r="A156" s="32">
        <v>27</v>
      </c>
      <c r="B156" s="62" t="s">
        <v>563</v>
      </c>
      <c r="C156" s="25" t="s">
        <v>1770</v>
      </c>
      <c r="D156" s="32" t="s">
        <v>2430</v>
      </c>
      <c r="E156" s="63" t="s">
        <v>2447</v>
      </c>
      <c r="F156" s="64" t="s">
        <v>2308</v>
      </c>
      <c r="G156" s="64" t="s">
        <v>562</v>
      </c>
      <c r="H156" s="63" t="s">
        <v>127</v>
      </c>
      <c r="I156" s="22">
        <v>-3.0591397000514098</v>
      </c>
      <c r="J156" s="22">
        <v>-52.214124001360403</v>
      </c>
      <c r="K156" s="22" t="s">
        <v>2308</v>
      </c>
      <c r="L156" s="64">
        <v>2013</v>
      </c>
      <c r="M156" s="64">
        <v>2013</v>
      </c>
      <c r="N156" s="23" t="s">
        <v>2308</v>
      </c>
      <c r="O156" s="23" t="s">
        <v>67</v>
      </c>
      <c r="P156" s="25" t="s">
        <v>2448</v>
      </c>
    </row>
    <row r="157" spans="1:16" ht="82" customHeight="1">
      <c r="A157" s="32">
        <v>27</v>
      </c>
      <c r="B157" s="62" t="s">
        <v>563</v>
      </c>
      <c r="C157" s="25" t="s">
        <v>1771</v>
      </c>
      <c r="D157" s="32" t="s">
        <v>2430</v>
      </c>
      <c r="E157" s="63" t="s">
        <v>2447</v>
      </c>
      <c r="F157" s="64" t="s">
        <v>2308</v>
      </c>
      <c r="G157" s="64" t="s">
        <v>562</v>
      </c>
      <c r="H157" s="63" t="s">
        <v>127</v>
      </c>
      <c r="I157" s="22">
        <v>-3.18124783150297</v>
      </c>
      <c r="J157" s="22">
        <v>-51.468963253373801</v>
      </c>
      <c r="K157" s="22" t="s">
        <v>2308</v>
      </c>
      <c r="L157" s="64">
        <v>2013</v>
      </c>
      <c r="M157" s="64">
        <v>2013</v>
      </c>
      <c r="N157" s="23" t="s">
        <v>2308</v>
      </c>
      <c r="O157" s="23" t="s">
        <v>67</v>
      </c>
      <c r="P157" s="25" t="s">
        <v>2448</v>
      </c>
    </row>
    <row r="158" spans="1:16" ht="82" customHeight="1">
      <c r="A158" s="32">
        <v>27</v>
      </c>
      <c r="B158" s="62" t="s">
        <v>563</v>
      </c>
      <c r="C158" s="25" t="s">
        <v>1772</v>
      </c>
      <c r="D158" s="32" t="s">
        <v>2430</v>
      </c>
      <c r="E158" s="63" t="s">
        <v>2447</v>
      </c>
      <c r="F158" s="64" t="s">
        <v>2308</v>
      </c>
      <c r="G158" s="64" t="s">
        <v>562</v>
      </c>
      <c r="H158" s="63" t="s">
        <v>127</v>
      </c>
      <c r="I158" s="22">
        <v>-3.3826514302898398</v>
      </c>
      <c r="J158" s="22">
        <v>-51.052026611523303</v>
      </c>
      <c r="K158" s="22" t="s">
        <v>2308</v>
      </c>
      <c r="L158" s="64">
        <v>2013</v>
      </c>
      <c r="M158" s="64">
        <v>2013</v>
      </c>
      <c r="N158" s="23" t="s">
        <v>2308</v>
      </c>
      <c r="O158" s="23" t="s">
        <v>67</v>
      </c>
      <c r="P158" s="25" t="s">
        <v>2448</v>
      </c>
    </row>
    <row r="159" spans="1:16" ht="82" customHeight="1">
      <c r="A159" s="32">
        <v>27</v>
      </c>
      <c r="B159" s="62" t="s">
        <v>563</v>
      </c>
      <c r="C159" s="25" t="s">
        <v>1773</v>
      </c>
      <c r="D159" s="32" t="s">
        <v>2430</v>
      </c>
      <c r="E159" s="63" t="s">
        <v>2447</v>
      </c>
      <c r="F159" s="64" t="s">
        <v>2308</v>
      </c>
      <c r="G159" s="64" t="s">
        <v>562</v>
      </c>
      <c r="H159" s="63" t="s">
        <v>127</v>
      </c>
      <c r="I159" s="22">
        <v>1.0400138675181301</v>
      </c>
      <c r="J159" s="22">
        <v>-52.005825843251799</v>
      </c>
      <c r="K159" s="22" t="s">
        <v>2308</v>
      </c>
      <c r="L159" s="64">
        <v>2013</v>
      </c>
      <c r="M159" s="64">
        <v>2013</v>
      </c>
      <c r="N159" s="23" t="s">
        <v>2308</v>
      </c>
      <c r="O159" s="23" t="s">
        <v>67</v>
      </c>
      <c r="P159" s="25" t="s">
        <v>2448</v>
      </c>
    </row>
    <row r="160" spans="1:16" ht="82" customHeight="1">
      <c r="A160" s="32">
        <v>27</v>
      </c>
      <c r="B160" s="62" t="s">
        <v>563</v>
      </c>
      <c r="C160" s="25" t="s">
        <v>1774</v>
      </c>
      <c r="D160" s="32" t="s">
        <v>2430</v>
      </c>
      <c r="E160" s="63" t="s">
        <v>2447</v>
      </c>
      <c r="F160" s="64" t="s">
        <v>2308</v>
      </c>
      <c r="G160" s="64" t="s">
        <v>562</v>
      </c>
      <c r="H160" s="63" t="s">
        <v>127</v>
      </c>
      <c r="I160" s="22">
        <v>0.84945155392632599</v>
      </c>
      <c r="J160" s="22">
        <v>-51.607090785769799</v>
      </c>
      <c r="K160" s="22" t="s">
        <v>2308</v>
      </c>
      <c r="L160" s="64">
        <v>2013</v>
      </c>
      <c r="M160" s="64">
        <v>2013</v>
      </c>
      <c r="N160" s="23" t="s">
        <v>2308</v>
      </c>
      <c r="O160" s="23" t="s">
        <v>67</v>
      </c>
      <c r="P160" s="25" t="s">
        <v>2448</v>
      </c>
    </row>
    <row r="161" spans="1:16" ht="82" customHeight="1">
      <c r="A161" s="32">
        <v>27</v>
      </c>
      <c r="B161" s="62" t="s">
        <v>563</v>
      </c>
      <c r="C161" s="25" t="s">
        <v>1775</v>
      </c>
      <c r="D161" s="32" t="s">
        <v>2430</v>
      </c>
      <c r="E161" s="63" t="s">
        <v>2447</v>
      </c>
      <c r="F161" s="64" t="s">
        <v>2308</v>
      </c>
      <c r="G161" s="64" t="s">
        <v>562</v>
      </c>
      <c r="H161" s="63" t="s">
        <v>127</v>
      </c>
      <c r="I161" s="22">
        <v>-0.25394354846828998</v>
      </c>
      <c r="J161" s="22">
        <v>-51.5147030606838</v>
      </c>
      <c r="K161" s="22" t="s">
        <v>2308</v>
      </c>
      <c r="L161" s="64">
        <v>2013</v>
      </c>
      <c r="M161" s="64">
        <v>2013</v>
      </c>
      <c r="N161" s="23" t="s">
        <v>2308</v>
      </c>
      <c r="O161" s="23" t="s">
        <v>67</v>
      </c>
      <c r="P161" s="25" t="s">
        <v>2448</v>
      </c>
    </row>
    <row r="162" spans="1:16" ht="82" customHeight="1">
      <c r="A162" s="32">
        <v>27</v>
      </c>
      <c r="B162" s="62" t="s">
        <v>563</v>
      </c>
      <c r="C162" s="25" t="s">
        <v>1776</v>
      </c>
      <c r="D162" s="32" t="s">
        <v>2430</v>
      </c>
      <c r="E162" s="63" t="s">
        <v>2447</v>
      </c>
      <c r="F162" s="64" t="s">
        <v>2308</v>
      </c>
      <c r="G162" s="64" t="s">
        <v>562</v>
      </c>
      <c r="H162" s="63" t="s">
        <v>127</v>
      </c>
      <c r="I162" s="22">
        <v>-0.14102194500985801</v>
      </c>
      <c r="J162" s="22">
        <v>-51.420931333601501</v>
      </c>
      <c r="K162" s="22" t="s">
        <v>2308</v>
      </c>
      <c r="L162" s="64">
        <v>2013</v>
      </c>
      <c r="M162" s="64">
        <v>2013</v>
      </c>
      <c r="N162" s="23" t="s">
        <v>2308</v>
      </c>
      <c r="O162" s="23" t="s">
        <v>67</v>
      </c>
      <c r="P162" s="25" t="s">
        <v>2448</v>
      </c>
    </row>
    <row r="163" spans="1:16" ht="82" customHeight="1">
      <c r="A163" s="32">
        <v>27</v>
      </c>
      <c r="B163" s="62" t="s">
        <v>563</v>
      </c>
      <c r="C163" s="25" t="s">
        <v>1777</v>
      </c>
      <c r="D163" s="32" t="s">
        <v>2430</v>
      </c>
      <c r="E163" s="63" t="s">
        <v>2447</v>
      </c>
      <c r="F163" s="64" t="s">
        <v>2308</v>
      </c>
      <c r="G163" s="64" t="s">
        <v>562</v>
      </c>
      <c r="H163" s="63" t="s">
        <v>127</v>
      </c>
      <c r="I163" s="22">
        <v>-2.03525697417244</v>
      </c>
      <c r="J163" s="22">
        <v>-50.9419192022741</v>
      </c>
      <c r="K163" s="22" t="s">
        <v>2308</v>
      </c>
      <c r="L163" s="64">
        <v>2013</v>
      </c>
      <c r="M163" s="64">
        <v>2013</v>
      </c>
      <c r="N163" s="23" t="s">
        <v>2308</v>
      </c>
      <c r="O163" s="23" t="s">
        <v>67</v>
      </c>
      <c r="P163" s="25" t="s">
        <v>2448</v>
      </c>
    </row>
    <row r="164" spans="1:16" ht="82" customHeight="1">
      <c r="A164" s="32">
        <v>27</v>
      </c>
      <c r="B164" s="62" t="s">
        <v>563</v>
      </c>
      <c r="C164" s="25" t="s">
        <v>1778</v>
      </c>
      <c r="D164" s="32" t="s">
        <v>2430</v>
      </c>
      <c r="E164" s="63" t="s">
        <v>2447</v>
      </c>
      <c r="F164" s="64" t="s">
        <v>2308</v>
      </c>
      <c r="G164" s="64" t="s">
        <v>562</v>
      </c>
      <c r="H164" s="63" t="s">
        <v>127</v>
      </c>
      <c r="I164" s="22">
        <v>-1.9634013085656801</v>
      </c>
      <c r="J164" s="22">
        <v>-50.890630922426702</v>
      </c>
      <c r="K164" s="22" t="s">
        <v>2308</v>
      </c>
      <c r="L164" s="64">
        <v>2013</v>
      </c>
      <c r="M164" s="64">
        <v>2013</v>
      </c>
      <c r="N164" s="23" t="s">
        <v>2308</v>
      </c>
      <c r="O164" s="23" t="s">
        <v>67</v>
      </c>
      <c r="P164" s="25" t="s">
        <v>2448</v>
      </c>
    </row>
    <row r="165" spans="1:16" ht="82" customHeight="1">
      <c r="A165" s="32">
        <v>27</v>
      </c>
      <c r="B165" s="62" t="s">
        <v>563</v>
      </c>
      <c r="C165" s="25" t="s">
        <v>1779</v>
      </c>
      <c r="D165" s="32" t="s">
        <v>2430</v>
      </c>
      <c r="E165" s="63" t="s">
        <v>2447</v>
      </c>
      <c r="F165" s="64" t="s">
        <v>2308</v>
      </c>
      <c r="G165" s="64" t="s">
        <v>562</v>
      </c>
      <c r="H165" s="63" t="s">
        <v>127</v>
      </c>
      <c r="I165" s="22">
        <v>-6.2830614759706904</v>
      </c>
      <c r="J165" s="22">
        <v>-51.647410398917401</v>
      </c>
      <c r="K165" s="22" t="s">
        <v>2308</v>
      </c>
      <c r="L165" s="64">
        <v>2013</v>
      </c>
      <c r="M165" s="64">
        <v>2013</v>
      </c>
      <c r="N165" s="23" t="s">
        <v>2308</v>
      </c>
      <c r="O165" s="23" t="s">
        <v>67</v>
      </c>
      <c r="P165" s="25" t="s">
        <v>2448</v>
      </c>
    </row>
    <row r="166" spans="1:16" ht="82" customHeight="1">
      <c r="A166" s="32">
        <v>27</v>
      </c>
      <c r="B166" s="62" t="s">
        <v>563</v>
      </c>
      <c r="C166" s="25" t="s">
        <v>1780</v>
      </c>
      <c r="D166" s="32" t="s">
        <v>2430</v>
      </c>
      <c r="E166" s="63" t="s">
        <v>2447</v>
      </c>
      <c r="F166" s="64" t="s">
        <v>2308</v>
      </c>
      <c r="G166" s="64" t="s">
        <v>562</v>
      </c>
      <c r="H166" s="63" t="s">
        <v>127</v>
      </c>
      <c r="I166" s="22">
        <v>-4.7845497118208096</v>
      </c>
      <c r="J166" s="22">
        <v>-49.305165772932298</v>
      </c>
      <c r="K166" s="22" t="s">
        <v>2308</v>
      </c>
      <c r="L166" s="64">
        <v>2013</v>
      </c>
      <c r="M166" s="64">
        <v>2013</v>
      </c>
      <c r="N166" s="23" t="s">
        <v>2308</v>
      </c>
      <c r="O166" s="23" t="s">
        <v>67</v>
      </c>
      <c r="P166" s="25" t="s">
        <v>2448</v>
      </c>
    </row>
    <row r="167" spans="1:16" ht="82" customHeight="1">
      <c r="A167" s="32">
        <v>27</v>
      </c>
      <c r="B167" s="62" t="s">
        <v>563</v>
      </c>
      <c r="C167" s="25" t="s">
        <v>1781</v>
      </c>
      <c r="D167" s="32" t="s">
        <v>2430</v>
      </c>
      <c r="E167" s="63" t="s">
        <v>2447</v>
      </c>
      <c r="F167" s="64" t="s">
        <v>2308</v>
      </c>
      <c r="G167" s="64" t="s">
        <v>562</v>
      </c>
      <c r="H167" s="63" t="s">
        <v>127</v>
      </c>
      <c r="I167" s="22">
        <v>-5.43361237687167</v>
      </c>
      <c r="J167" s="22">
        <v>-49.093104877413701</v>
      </c>
      <c r="K167" s="22" t="s">
        <v>2308</v>
      </c>
      <c r="L167" s="64">
        <v>2013</v>
      </c>
      <c r="M167" s="64">
        <v>2013</v>
      </c>
      <c r="N167" s="23" t="s">
        <v>2308</v>
      </c>
      <c r="O167" s="23" t="s">
        <v>67</v>
      </c>
      <c r="P167" s="25" t="s">
        <v>2448</v>
      </c>
    </row>
    <row r="168" spans="1:16" ht="82" customHeight="1">
      <c r="A168" s="32">
        <v>27</v>
      </c>
      <c r="B168" s="62" t="s">
        <v>563</v>
      </c>
      <c r="C168" s="25" t="s">
        <v>1782</v>
      </c>
      <c r="D168" s="32" t="s">
        <v>2430</v>
      </c>
      <c r="E168" s="63" t="s">
        <v>2447</v>
      </c>
      <c r="F168" s="64" t="s">
        <v>2308</v>
      </c>
      <c r="G168" s="64" t="s">
        <v>562</v>
      </c>
      <c r="H168" s="63" t="s">
        <v>127</v>
      </c>
      <c r="I168" s="22">
        <v>-5.27892003048078</v>
      </c>
      <c r="J168" s="22">
        <v>-49.395325111684102</v>
      </c>
      <c r="K168" s="22" t="s">
        <v>2308</v>
      </c>
      <c r="L168" s="64">
        <v>2013</v>
      </c>
      <c r="M168" s="64">
        <v>2013</v>
      </c>
      <c r="N168" s="23" t="s">
        <v>2308</v>
      </c>
      <c r="O168" s="23" t="s">
        <v>67</v>
      </c>
      <c r="P168" s="25" t="s">
        <v>2448</v>
      </c>
    </row>
    <row r="169" spans="1:16" ht="82" customHeight="1">
      <c r="A169" s="32">
        <v>27</v>
      </c>
      <c r="B169" s="62" t="s">
        <v>563</v>
      </c>
      <c r="C169" s="25" t="s">
        <v>1783</v>
      </c>
      <c r="D169" s="32" t="s">
        <v>2430</v>
      </c>
      <c r="E169" s="63" t="s">
        <v>2447</v>
      </c>
      <c r="F169" s="64" t="s">
        <v>2308</v>
      </c>
      <c r="G169" s="64" t="s">
        <v>562</v>
      </c>
      <c r="H169" s="63" t="s">
        <v>127</v>
      </c>
      <c r="I169" s="22">
        <v>-5.1200070287159702</v>
      </c>
      <c r="J169" s="22">
        <v>-48.434942762262303</v>
      </c>
      <c r="K169" s="22" t="s">
        <v>2308</v>
      </c>
      <c r="L169" s="64">
        <v>2013</v>
      </c>
      <c r="M169" s="64">
        <v>2013</v>
      </c>
      <c r="N169" s="23" t="s">
        <v>2308</v>
      </c>
      <c r="O169" s="23" t="s">
        <v>67</v>
      </c>
      <c r="P169" s="25" t="s">
        <v>2448</v>
      </c>
    </row>
    <row r="170" spans="1:16" ht="82" customHeight="1">
      <c r="A170" s="32">
        <v>27</v>
      </c>
      <c r="B170" s="62" t="s">
        <v>563</v>
      </c>
      <c r="C170" s="25" t="s">
        <v>1784</v>
      </c>
      <c r="D170" s="32" t="s">
        <v>2430</v>
      </c>
      <c r="E170" s="63" t="s">
        <v>2447</v>
      </c>
      <c r="F170" s="64" t="s">
        <v>2308</v>
      </c>
      <c r="G170" s="64" t="s">
        <v>562</v>
      </c>
      <c r="H170" s="63" t="s">
        <v>127</v>
      </c>
      <c r="I170" s="22">
        <v>-5.1857602038248602</v>
      </c>
      <c r="J170" s="22">
        <v>-47.9609711232319</v>
      </c>
      <c r="K170" s="22" t="s">
        <v>2308</v>
      </c>
      <c r="L170" s="64">
        <v>2013</v>
      </c>
      <c r="M170" s="64">
        <v>2013</v>
      </c>
      <c r="N170" s="23" t="s">
        <v>2308</v>
      </c>
      <c r="O170" s="23" t="s">
        <v>67</v>
      </c>
      <c r="P170" s="25" t="s">
        <v>2448</v>
      </c>
    </row>
    <row r="171" spans="1:16" ht="82" customHeight="1">
      <c r="A171" s="32">
        <v>27</v>
      </c>
      <c r="B171" s="62" t="s">
        <v>563</v>
      </c>
      <c r="C171" s="25" t="s">
        <v>1785</v>
      </c>
      <c r="D171" s="32" t="s">
        <v>2430</v>
      </c>
      <c r="E171" s="63" t="s">
        <v>2447</v>
      </c>
      <c r="F171" s="64" t="s">
        <v>2308</v>
      </c>
      <c r="G171" s="64" t="s">
        <v>562</v>
      </c>
      <c r="H171" s="63" t="s">
        <v>127</v>
      </c>
      <c r="I171" s="22">
        <v>-3.02736403086393</v>
      </c>
      <c r="J171" s="22">
        <v>-42.361579646213897</v>
      </c>
      <c r="K171" s="22" t="s">
        <v>2308</v>
      </c>
      <c r="L171" s="64">
        <v>2013</v>
      </c>
      <c r="M171" s="64">
        <v>2013</v>
      </c>
      <c r="N171" s="23" t="s">
        <v>2308</v>
      </c>
      <c r="O171" s="23" t="s">
        <v>67</v>
      </c>
      <c r="P171" s="25" t="s">
        <v>2448</v>
      </c>
    </row>
    <row r="172" spans="1:16" ht="82" customHeight="1">
      <c r="A172" s="32">
        <v>27</v>
      </c>
      <c r="B172" s="62" t="s">
        <v>563</v>
      </c>
      <c r="C172" s="25" t="s">
        <v>1786</v>
      </c>
      <c r="D172" s="32" t="s">
        <v>2430</v>
      </c>
      <c r="E172" s="63" t="s">
        <v>2447</v>
      </c>
      <c r="F172" s="64" t="s">
        <v>2308</v>
      </c>
      <c r="G172" s="64" t="s">
        <v>562</v>
      </c>
      <c r="H172" s="63" t="s">
        <v>127</v>
      </c>
      <c r="I172" s="22">
        <v>-3.1535418016516301</v>
      </c>
      <c r="J172" s="22">
        <v>-43.823853367904903</v>
      </c>
      <c r="K172" s="22" t="s">
        <v>2308</v>
      </c>
      <c r="L172" s="64">
        <v>2013</v>
      </c>
      <c r="M172" s="64">
        <v>2013</v>
      </c>
      <c r="N172" s="23" t="s">
        <v>2308</v>
      </c>
      <c r="O172" s="23" t="s">
        <v>67</v>
      </c>
      <c r="P172" s="25" t="s">
        <v>2448</v>
      </c>
    </row>
    <row r="173" spans="1:16" ht="82" customHeight="1">
      <c r="A173" s="32">
        <v>27</v>
      </c>
      <c r="B173" s="62" t="s">
        <v>563</v>
      </c>
      <c r="C173" s="25" t="s">
        <v>1787</v>
      </c>
      <c r="D173" s="32" t="s">
        <v>2430</v>
      </c>
      <c r="E173" s="63" t="s">
        <v>2447</v>
      </c>
      <c r="F173" s="64" t="s">
        <v>2308</v>
      </c>
      <c r="G173" s="64" t="s">
        <v>562</v>
      </c>
      <c r="H173" s="63" t="s">
        <v>127</v>
      </c>
      <c r="I173" s="22">
        <v>-4.4320868520059999</v>
      </c>
      <c r="J173" s="22">
        <v>-44.780033182653902</v>
      </c>
      <c r="K173" s="22" t="s">
        <v>2308</v>
      </c>
      <c r="L173" s="64">
        <v>2013</v>
      </c>
      <c r="M173" s="64">
        <v>2013</v>
      </c>
      <c r="N173" s="23" t="s">
        <v>2308</v>
      </c>
      <c r="O173" s="23" t="s">
        <v>67</v>
      </c>
      <c r="P173" s="25" t="s">
        <v>2448</v>
      </c>
    </row>
    <row r="174" spans="1:16" ht="82" customHeight="1">
      <c r="A174" s="32">
        <v>27</v>
      </c>
      <c r="B174" s="62" t="s">
        <v>563</v>
      </c>
      <c r="C174" s="25" t="s">
        <v>1788</v>
      </c>
      <c r="D174" s="32" t="s">
        <v>2430</v>
      </c>
      <c r="E174" s="63" t="s">
        <v>2447</v>
      </c>
      <c r="F174" s="64" t="s">
        <v>2308</v>
      </c>
      <c r="G174" s="64" t="s">
        <v>562</v>
      </c>
      <c r="H174" s="63" t="s">
        <v>127</v>
      </c>
      <c r="I174" s="22">
        <v>-1.7699796122715801</v>
      </c>
      <c r="J174" s="22">
        <v>-48.725603836775001</v>
      </c>
      <c r="K174" s="22" t="s">
        <v>2308</v>
      </c>
      <c r="L174" s="64">
        <v>2013</v>
      </c>
      <c r="M174" s="64">
        <v>2013</v>
      </c>
      <c r="N174" s="23" t="s">
        <v>2308</v>
      </c>
      <c r="O174" s="23" t="s">
        <v>67</v>
      </c>
      <c r="P174" s="25" t="s">
        <v>2448</v>
      </c>
    </row>
    <row r="175" spans="1:16" ht="82" customHeight="1">
      <c r="A175" s="32">
        <v>27</v>
      </c>
      <c r="B175" s="62" t="s">
        <v>563</v>
      </c>
      <c r="C175" s="25" t="s">
        <v>1789</v>
      </c>
      <c r="D175" s="32" t="s">
        <v>2430</v>
      </c>
      <c r="E175" s="63" t="s">
        <v>2447</v>
      </c>
      <c r="F175" s="64" t="s">
        <v>2308</v>
      </c>
      <c r="G175" s="64" t="s">
        <v>562</v>
      </c>
      <c r="H175" s="63" t="s">
        <v>127</v>
      </c>
      <c r="I175" s="22">
        <v>-1.7555566896342101</v>
      </c>
      <c r="J175" s="22">
        <v>-48.771873216568601</v>
      </c>
      <c r="K175" s="22" t="s">
        <v>2308</v>
      </c>
      <c r="L175" s="64">
        <v>2013</v>
      </c>
      <c r="M175" s="64">
        <v>2013</v>
      </c>
      <c r="N175" s="23" t="s">
        <v>2308</v>
      </c>
      <c r="O175" s="23" t="s">
        <v>67</v>
      </c>
      <c r="P175" s="25" t="s">
        <v>2448</v>
      </c>
    </row>
    <row r="176" spans="1:16" ht="82" customHeight="1">
      <c r="A176" s="32">
        <v>27</v>
      </c>
      <c r="B176" s="62" t="s">
        <v>563</v>
      </c>
      <c r="C176" s="25" t="s">
        <v>1790</v>
      </c>
      <c r="D176" s="32" t="s">
        <v>2430</v>
      </c>
      <c r="E176" s="63" t="s">
        <v>2447</v>
      </c>
      <c r="F176" s="64" t="s">
        <v>2308</v>
      </c>
      <c r="G176" s="64" t="s">
        <v>562</v>
      </c>
      <c r="H176" s="63" t="s">
        <v>127</v>
      </c>
      <c r="I176" s="22">
        <v>-1.17899017828899</v>
      </c>
      <c r="J176" s="22">
        <v>-47.876652321925697</v>
      </c>
      <c r="K176" s="22" t="s">
        <v>2308</v>
      </c>
      <c r="L176" s="64">
        <v>2013</v>
      </c>
      <c r="M176" s="64">
        <v>2013</v>
      </c>
      <c r="N176" s="23" t="s">
        <v>2308</v>
      </c>
      <c r="O176" s="23" t="s">
        <v>67</v>
      </c>
      <c r="P176" s="25" t="s">
        <v>2448</v>
      </c>
    </row>
    <row r="177" spans="1:16" ht="82" customHeight="1">
      <c r="A177" s="32">
        <v>27</v>
      </c>
      <c r="B177" s="62" t="s">
        <v>563</v>
      </c>
      <c r="C177" s="25" t="s">
        <v>1791</v>
      </c>
      <c r="D177" s="32" t="s">
        <v>2430</v>
      </c>
      <c r="E177" s="63" t="s">
        <v>2447</v>
      </c>
      <c r="F177" s="64" t="s">
        <v>2308</v>
      </c>
      <c r="G177" s="64" t="s">
        <v>562</v>
      </c>
      <c r="H177" s="63" t="s">
        <v>127</v>
      </c>
      <c r="I177" s="22">
        <v>-2.15594860867354</v>
      </c>
      <c r="J177" s="22">
        <v>-47.7743226649592</v>
      </c>
      <c r="K177" s="22" t="s">
        <v>2308</v>
      </c>
      <c r="L177" s="64">
        <v>2013</v>
      </c>
      <c r="M177" s="64">
        <v>2013</v>
      </c>
      <c r="N177" s="23" t="s">
        <v>2308</v>
      </c>
      <c r="O177" s="23" t="s">
        <v>67</v>
      </c>
      <c r="P177" s="25" t="s">
        <v>2448</v>
      </c>
    </row>
    <row r="178" spans="1:16" ht="82" customHeight="1">
      <c r="A178" s="32">
        <v>27</v>
      </c>
      <c r="B178" s="62" t="s">
        <v>563</v>
      </c>
      <c r="C178" s="25" t="s">
        <v>1792</v>
      </c>
      <c r="D178" s="32" t="s">
        <v>2430</v>
      </c>
      <c r="E178" s="63" t="s">
        <v>2447</v>
      </c>
      <c r="F178" s="64" t="s">
        <v>2308</v>
      </c>
      <c r="G178" s="64" t="s">
        <v>562</v>
      </c>
      <c r="H178" s="63" t="s">
        <v>127</v>
      </c>
      <c r="I178" s="22">
        <v>-1.0871119621162599</v>
      </c>
      <c r="J178" s="22">
        <v>-47.002492607475801</v>
      </c>
      <c r="K178" s="22" t="s">
        <v>2308</v>
      </c>
      <c r="L178" s="64">
        <v>2013</v>
      </c>
      <c r="M178" s="64">
        <v>2013</v>
      </c>
      <c r="N178" s="23" t="s">
        <v>2308</v>
      </c>
      <c r="O178" s="23" t="s">
        <v>67</v>
      </c>
      <c r="P178" s="25" t="s">
        <v>2448</v>
      </c>
    </row>
    <row r="179" spans="1:16" ht="82" customHeight="1">
      <c r="A179" s="32">
        <v>27</v>
      </c>
      <c r="B179" s="62" t="s">
        <v>563</v>
      </c>
      <c r="C179" s="25" t="s">
        <v>1793</v>
      </c>
      <c r="D179" s="32" t="s">
        <v>2430</v>
      </c>
      <c r="E179" s="63" t="s">
        <v>2447</v>
      </c>
      <c r="F179" s="64" t="s">
        <v>2308</v>
      </c>
      <c r="G179" s="64" t="s">
        <v>562</v>
      </c>
      <c r="H179" s="63" t="s">
        <v>127</v>
      </c>
      <c r="I179" s="22">
        <v>-1.7919956882308301</v>
      </c>
      <c r="J179" s="22">
        <v>-47.148373173231001</v>
      </c>
      <c r="K179" s="22" t="s">
        <v>2308</v>
      </c>
      <c r="L179" s="64">
        <v>2013</v>
      </c>
      <c r="M179" s="64">
        <v>2013</v>
      </c>
      <c r="N179" s="23" t="s">
        <v>2308</v>
      </c>
      <c r="O179" s="23" t="s">
        <v>67</v>
      </c>
      <c r="P179" s="25" t="s">
        <v>2448</v>
      </c>
    </row>
    <row r="180" spans="1:16" ht="82" customHeight="1">
      <c r="A180" s="32">
        <v>27</v>
      </c>
      <c r="B180" s="62" t="s">
        <v>563</v>
      </c>
      <c r="C180" s="25" t="s">
        <v>1794</v>
      </c>
      <c r="D180" s="32" t="s">
        <v>2430</v>
      </c>
      <c r="E180" s="63" t="s">
        <v>2447</v>
      </c>
      <c r="F180" s="64" t="s">
        <v>2308</v>
      </c>
      <c r="G180" s="64" t="s">
        <v>562</v>
      </c>
      <c r="H180" s="63" t="s">
        <v>127</v>
      </c>
      <c r="I180" s="22">
        <v>-9.4327043589160091</v>
      </c>
      <c r="J180" s="22">
        <v>-62.861690333039199</v>
      </c>
      <c r="K180" s="22" t="s">
        <v>2308</v>
      </c>
      <c r="L180" s="64">
        <v>2013</v>
      </c>
      <c r="M180" s="64">
        <v>2013</v>
      </c>
      <c r="N180" s="23" t="s">
        <v>2308</v>
      </c>
      <c r="O180" s="23" t="s">
        <v>67</v>
      </c>
      <c r="P180" s="25" t="s">
        <v>2448</v>
      </c>
    </row>
    <row r="181" spans="1:16" ht="82" customHeight="1">
      <c r="A181" s="32">
        <v>27</v>
      </c>
      <c r="B181" s="62" t="s">
        <v>563</v>
      </c>
      <c r="C181" s="25" t="s">
        <v>1795</v>
      </c>
      <c r="D181" s="32" t="s">
        <v>2430</v>
      </c>
      <c r="E181" s="63" t="s">
        <v>2447</v>
      </c>
      <c r="F181" s="64" t="s">
        <v>2308</v>
      </c>
      <c r="G181" s="64" t="s">
        <v>562</v>
      </c>
      <c r="H181" s="63" t="s">
        <v>127</v>
      </c>
      <c r="I181" s="22">
        <v>-10.6578776365489</v>
      </c>
      <c r="J181" s="22">
        <v>-63.082704064583403</v>
      </c>
      <c r="K181" s="22" t="s">
        <v>2308</v>
      </c>
      <c r="L181" s="64">
        <v>2013</v>
      </c>
      <c r="M181" s="64">
        <v>2013</v>
      </c>
      <c r="N181" s="23" t="s">
        <v>2308</v>
      </c>
      <c r="O181" s="23" t="s">
        <v>67</v>
      </c>
      <c r="P181" s="25" t="s">
        <v>2448</v>
      </c>
    </row>
    <row r="182" spans="1:16" ht="82" customHeight="1">
      <c r="A182" s="32">
        <v>27</v>
      </c>
      <c r="B182" s="62" t="s">
        <v>563</v>
      </c>
      <c r="C182" s="25" t="s">
        <v>1796</v>
      </c>
      <c r="D182" s="32" t="s">
        <v>2430</v>
      </c>
      <c r="E182" s="63" t="s">
        <v>2447</v>
      </c>
      <c r="F182" s="64" t="s">
        <v>2308</v>
      </c>
      <c r="G182" s="64" t="s">
        <v>562</v>
      </c>
      <c r="H182" s="63" t="s">
        <v>127</v>
      </c>
      <c r="I182" s="22">
        <v>-13.596579223026</v>
      </c>
      <c r="J182" s="22">
        <v>-59.614161000066503</v>
      </c>
      <c r="K182" s="22" t="s">
        <v>2308</v>
      </c>
      <c r="L182" s="64">
        <v>2013</v>
      </c>
      <c r="M182" s="64">
        <v>2013</v>
      </c>
      <c r="N182" s="23" t="s">
        <v>2308</v>
      </c>
      <c r="O182" s="23" t="s">
        <v>67</v>
      </c>
      <c r="P182" s="25" t="s">
        <v>2448</v>
      </c>
    </row>
    <row r="183" spans="1:16" ht="82" customHeight="1">
      <c r="A183" s="32">
        <v>27</v>
      </c>
      <c r="B183" s="62" t="s">
        <v>563</v>
      </c>
      <c r="C183" s="25" t="s">
        <v>1797</v>
      </c>
      <c r="D183" s="32" t="s">
        <v>2430</v>
      </c>
      <c r="E183" s="63" t="s">
        <v>2447</v>
      </c>
      <c r="F183" s="64" t="s">
        <v>2308</v>
      </c>
      <c r="G183" s="64" t="s">
        <v>562</v>
      </c>
      <c r="H183" s="63" t="s">
        <v>127</v>
      </c>
      <c r="I183" s="22">
        <v>-14.7496545101748</v>
      </c>
      <c r="J183" s="22">
        <v>-59.235153189501901</v>
      </c>
      <c r="K183" s="22" t="s">
        <v>2308</v>
      </c>
      <c r="L183" s="64">
        <v>2013</v>
      </c>
      <c r="M183" s="64">
        <v>2013</v>
      </c>
      <c r="N183" s="23" t="s">
        <v>2308</v>
      </c>
      <c r="O183" s="23" t="s">
        <v>67</v>
      </c>
      <c r="P183" s="25" t="s">
        <v>2448</v>
      </c>
    </row>
    <row r="184" spans="1:16" ht="59" customHeight="1">
      <c r="A184" s="32">
        <v>28</v>
      </c>
      <c r="B184" s="41" t="s">
        <v>570</v>
      </c>
      <c r="C184" s="4" t="s">
        <v>564</v>
      </c>
      <c r="D184" s="32" t="s">
        <v>2449</v>
      </c>
      <c r="E184" s="29" t="s">
        <v>2431</v>
      </c>
      <c r="F184" s="4" t="s">
        <v>569</v>
      </c>
      <c r="G184" s="4" t="s">
        <v>568</v>
      </c>
      <c r="H184" s="29" t="s">
        <v>127</v>
      </c>
      <c r="I184" s="22">
        <v>-10.592850800000001</v>
      </c>
      <c r="J184" s="22">
        <v>-67.837599299999994</v>
      </c>
      <c r="K184" s="22">
        <v>3176</v>
      </c>
      <c r="L184" s="4">
        <v>1996</v>
      </c>
      <c r="M184" s="4">
        <v>1996</v>
      </c>
      <c r="N184" s="4" t="s">
        <v>2308</v>
      </c>
      <c r="O184" s="4" t="s">
        <v>189</v>
      </c>
      <c r="P184" s="4"/>
    </row>
    <row r="185" spans="1:16" ht="62.5" customHeight="1">
      <c r="A185" s="32">
        <v>28</v>
      </c>
      <c r="B185" s="41" t="s">
        <v>570</v>
      </c>
      <c r="C185" s="4" t="s">
        <v>565</v>
      </c>
      <c r="D185" s="32" t="s">
        <v>2449</v>
      </c>
      <c r="E185" s="29" t="s">
        <v>2431</v>
      </c>
      <c r="F185" s="4" t="s">
        <v>567</v>
      </c>
      <c r="G185" s="4" t="s">
        <v>566</v>
      </c>
      <c r="H185" s="29" t="s">
        <v>127</v>
      </c>
      <c r="I185" s="22">
        <v>-10.6615097</v>
      </c>
      <c r="J185" s="22">
        <v>-62.162539299999999</v>
      </c>
      <c r="K185" s="22">
        <v>3000</v>
      </c>
      <c r="L185" s="4">
        <v>1996</v>
      </c>
      <c r="M185" s="4">
        <v>1996</v>
      </c>
      <c r="N185" s="4" t="s">
        <v>2308</v>
      </c>
      <c r="O185" s="4" t="s">
        <v>189</v>
      </c>
      <c r="P185" s="4"/>
    </row>
    <row r="186" spans="1:16" ht="62.5" customHeight="1">
      <c r="A186" s="32">
        <v>29</v>
      </c>
      <c r="B186" s="41" t="s">
        <v>598</v>
      </c>
      <c r="C186" s="4" t="s">
        <v>580</v>
      </c>
      <c r="D186" s="4" t="s">
        <v>2430</v>
      </c>
      <c r="E186" s="29" t="s">
        <v>2431</v>
      </c>
      <c r="F186" s="4" t="s">
        <v>2308</v>
      </c>
      <c r="G186" s="4" t="s">
        <v>1935</v>
      </c>
      <c r="H186" s="29" t="s">
        <v>1971</v>
      </c>
      <c r="I186" s="22">
        <v>-19.1550036118843</v>
      </c>
      <c r="J186" s="22">
        <v>23.576400374991898</v>
      </c>
      <c r="K186" s="22" t="s">
        <v>2308</v>
      </c>
      <c r="L186" s="4">
        <v>1985</v>
      </c>
      <c r="M186" s="4">
        <v>1985</v>
      </c>
      <c r="N186" s="4" t="s">
        <v>2308</v>
      </c>
      <c r="O186" s="4" t="s">
        <v>67</v>
      </c>
      <c r="P186" s="5" t="s">
        <v>1976</v>
      </c>
    </row>
    <row r="187" spans="1:16" ht="62.5" customHeight="1">
      <c r="A187" s="32">
        <v>29</v>
      </c>
      <c r="B187" s="41" t="s">
        <v>598</v>
      </c>
      <c r="C187" s="4" t="s">
        <v>581</v>
      </c>
      <c r="D187" s="4" t="s">
        <v>2430</v>
      </c>
      <c r="E187" s="29" t="s">
        <v>2431</v>
      </c>
      <c r="F187" s="4" t="s">
        <v>1936</v>
      </c>
      <c r="G187" s="4" t="s">
        <v>2308</v>
      </c>
      <c r="H187" s="29" t="s">
        <v>1971</v>
      </c>
      <c r="I187" s="22">
        <v>-20.027692239804701</v>
      </c>
      <c r="J187" s="22">
        <v>21.535794259086799</v>
      </c>
      <c r="K187" s="22" t="s">
        <v>2308</v>
      </c>
      <c r="L187" s="4">
        <v>1985</v>
      </c>
      <c r="M187" s="4">
        <v>1985</v>
      </c>
      <c r="N187" s="4" t="s">
        <v>2308</v>
      </c>
      <c r="O187" s="4" t="s">
        <v>67</v>
      </c>
      <c r="P187" s="5" t="s">
        <v>1976</v>
      </c>
    </row>
    <row r="188" spans="1:16" ht="62.5" customHeight="1">
      <c r="A188" s="32">
        <v>29</v>
      </c>
      <c r="B188" s="41" t="s">
        <v>598</v>
      </c>
      <c r="C188" s="4" t="s">
        <v>582</v>
      </c>
      <c r="D188" s="4" t="s">
        <v>2430</v>
      </c>
      <c r="E188" s="29" t="s">
        <v>2431</v>
      </c>
      <c r="F188" s="4" t="s">
        <v>1937</v>
      </c>
      <c r="G188" s="4" t="s">
        <v>2308</v>
      </c>
      <c r="H188" s="29" t="s">
        <v>1971</v>
      </c>
      <c r="I188" s="22">
        <v>-22.177074171542799</v>
      </c>
      <c r="J188" s="22">
        <v>22.9406037306229</v>
      </c>
      <c r="K188" s="22" t="s">
        <v>2308</v>
      </c>
      <c r="L188" s="4">
        <v>1985</v>
      </c>
      <c r="M188" s="4">
        <v>1985</v>
      </c>
      <c r="N188" s="4" t="s">
        <v>2308</v>
      </c>
      <c r="O188" s="4" t="s">
        <v>67</v>
      </c>
      <c r="P188" s="5" t="s">
        <v>1976</v>
      </c>
    </row>
    <row r="189" spans="1:16" ht="62.5" customHeight="1">
      <c r="A189" s="32">
        <v>29</v>
      </c>
      <c r="B189" s="41" t="s">
        <v>598</v>
      </c>
      <c r="C189" s="4" t="s">
        <v>583</v>
      </c>
      <c r="D189" s="4" t="s">
        <v>2430</v>
      </c>
      <c r="E189" s="29" t="s">
        <v>2431</v>
      </c>
      <c r="F189" s="4" t="s">
        <v>2308</v>
      </c>
      <c r="G189" s="4" t="s">
        <v>1938</v>
      </c>
      <c r="H189" s="29" t="s">
        <v>1971</v>
      </c>
      <c r="I189" s="22">
        <v>-24.155826383108899</v>
      </c>
      <c r="J189" s="22">
        <v>25.641106096813001</v>
      </c>
      <c r="K189" s="22" t="s">
        <v>2308</v>
      </c>
      <c r="L189" s="4">
        <v>1985</v>
      </c>
      <c r="M189" s="4">
        <v>1985</v>
      </c>
      <c r="N189" s="4" t="s">
        <v>2308</v>
      </c>
      <c r="O189" s="4" t="s">
        <v>67</v>
      </c>
      <c r="P189" s="5" t="s">
        <v>1976</v>
      </c>
    </row>
    <row r="190" spans="1:16" ht="62.5" customHeight="1">
      <c r="A190" s="32">
        <v>29</v>
      </c>
      <c r="B190" s="41" t="s">
        <v>598</v>
      </c>
      <c r="C190" s="4" t="s">
        <v>584</v>
      </c>
      <c r="D190" s="4" t="s">
        <v>2430</v>
      </c>
      <c r="E190" s="29" t="s">
        <v>2431</v>
      </c>
      <c r="F190" s="4" t="s">
        <v>2308</v>
      </c>
      <c r="G190" s="4" t="s">
        <v>1939</v>
      </c>
      <c r="H190" s="29" t="s">
        <v>1972</v>
      </c>
      <c r="I190" s="22">
        <v>11.7625316349495</v>
      </c>
      <c r="J190" s="22">
        <v>-2.9505707368399201</v>
      </c>
      <c r="K190" s="22" t="s">
        <v>2308</v>
      </c>
      <c r="L190" s="4">
        <v>1985</v>
      </c>
      <c r="M190" s="4">
        <v>1985</v>
      </c>
      <c r="N190" s="4">
        <v>40</v>
      </c>
      <c r="O190" s="4" t="s">
        <v>67</v>
      </c>
      <c r="P190" s="5" t="s">
        <v>1976</v>
      </c>
    </row>
    <row r="191" spans="1:16" ht="62.5" customHeight="1">
      <c r="A191" s="32">
        <v>29</v>
      </c>
      <c r="B191" s="41" t="s">
        <v>598</v>
      </c>
      <c r="C191" s="4" t="s">
        <v>585</v>
      </c>
      <c r="D191" s="4" t="s">
        <v>2430</v>
      </c>
      <c r="E191" s="29" t="s">
        <v>2431</v>
      </c>
      <c r="F191" s="4" t="s">
        <v>1940</v>
      </c>
      <c r="G191" s="4" t="s">
        <v>2308</v>
      </c>
      <c r="H191" s="29" t="s">
        <v>1972</v>
      </c>
      <c r="I191" s="22">
        <v>10.879954780908401</v>
      </c>
      <c r="J191" s="22">
        <v>-4.8309661266719202</v>
      </c>
      <c r="K191" s="22" t="s">
        <v>2308</v>
      </c>
      <c r="L191" s="4">
        <v>1985</v>
      </c>
      <c r="M191" s="4">
        <v>1985</v>
      </c>
      <c r="N191" s="4">
        <v>35</v>
      </c>
      <c r="O191" s="4" t="s">
        <v>67</v>
      </c>
      <c r="P191" s="5" t="s">
        <v>1976</v>
      </c>
    </row>
    <row r="192" spans="1:16" ht="62.5" customHeight="1">
      <c r="A192" s="32">
        <v>29</v>
      </c>
      <c r="B192" s="41" t="s">
        <v>598</v>
      </c>
      <c r="C192" s="4" t="s">
        <v>586</v>
      </c>
      <c r="D192" s="4" t="s">
        <v>2430</v>
      </c>
      <c r="E192" s="29" t="s">
        <v>2431</v>
      </c>
      <c r="F192" s="4" t="s">
        <v>2308</v>
      </c>
      <c r="G192" s="4" t="s">
        <v>1941</v>
      </c>
      <c r="H192" s="29" t="s">
        <v>1972</v>
      </c>
      <c r="I192" s="22">
        <v>12.611229274703099</v>
      </c>
      <c r="J192" s="22">
        <v>-0.64660085477323204</v>
      </c>
      <c r="K192" s="22" t="s">
        <v>2308</v>
      </c>
      <c r="L192" s="4">
        <v>1985</v>
      </c>
      <c r="M192" s="4">
        <v>1985</v>
      </c>
      <c r="N192" s="4">
        <v>80</v>
      </c>
      <c r="O192" s="4" t="s">
        <v>67</v>
      </c>
      <c r="P192" s="5" t="s">
        <v>1976</v>
      </c>
    </row>
    <row r="193" spans="1:16" ht="62.5" customHeight="1">
      <c r="A193" s="32">
        <v>29</v>
      </c>
      <c r="B193" s="41" t="s">
        <v>598</v>
      </c>
      <c r="C193" s="4" t="s">
        <v>587</v>
      </c>
      <c r="D193" s="4" t="s">
        <v>2430</v>
      </c>
      <c r="E193" s="29" t="s">
        <v>2431</v>
      </c>
      <c r="F193" s="4" t="s">
        <v>1942</v>
      </c>
      <c r="G193" s="4" t="s">
        <v>2308</v>
      </c>
      <c r="H193" s="29" t="s">
        <v>1972</v>
      </c>
      <c r="I193" s="22">
        <v>13.624934400000001</v>
      </c>
      <c r="J193" s="22">
        <v>-2.3813621</v>
      </c>
      <c r="K193" s="22" t="s">
        <v>2308</v>
      </c>
      <c r="L193" s="4">
        <v>1985</v>
      </c>
      <c r="M193" s="4">
        <v>1985</v>
      </c>
      <c r="N193" s="4">
        <v>50</v>
      </c>
      <c r="O193" s="4" t="s">
        <v>67</v>
      </c>
      <c r="P193" s="5" t="s">
        <v>1976</v>
      </c>
    </row>
    <row r="194" spans="1:16" ht="62.5" customHeight="1">
      <c r="A194" s="32">
        <v>29</v>
      </c>
      <c r="B194" s="41" t="s">
        <v>598</v>
      </c>
      <c r="C194" s="4" t="s">
        <v>588</v>
      </c>
      <c r="D194" s="4" t="s">
        <v>2430</v>
      </c>
      <c r="E194" s="29" t="s">
        <v>2431</v>
      </c>
      <c r="F194" s="4" t="s">
        <v>2308</v>
      </c>
      <c r="G194" s="4" t="s">
        <v>1943</v>
      </c>
      <c r="H194" s="29" t="s">
        <v>187</v>
      </c>
      <c r="I194" s="22">
        <v>10.7540723034762</v>
      </c>
      <c r="J194" s="22">
        <v>13.8139047147715</v>
      </c>
      <c r="K194" s="22" t="s">
        <v>2308</v>
      </c>
      <c r="L194" s="4">
        <v>1985</v>
      </c>
      <c r="M194" s="4">
        <v>1985</v>
      </c>
      <c r="N194" s="4">
        <v>80</v>
      </c>
      <c r="O194" s="4" t="s">
        <v>67</v>
      </c>
      <c r="P194" s="5" t="s">
        <v>1976</v>
      </c>
    </row>
    <row r="195" spans="1:16" ht="62.5" customHeight="1">
      <c r="A195" s="32">
        <v>29</v>
      </c>
      <c r="B195" s="41" t="s">
        <v>598</v>
      </c>
      <c r="C195" s="4" t="s">
        <v>1898</v>
      </c>
      <c r="D195" s="4" t="s">
        <v>2430</v>
      </c>
      <c r="E195" s="29" t="s">
        <v>2431</v>
      </c>
      <c r="F195" s="4" t="s">
        <v>2308</v>
      </c>
      <c r="G195" s="4" t="s">
        <v>1944</v>
      </c>
      <c r="H195" s="29" t="s">
        <v>187</v>
      </c>
      <c r="I195" s="22">
        <v>9.9535292565250302</v>
      </c>
      <c r="J195" s="22">
        <v>13.610720350500401</v>
      </c>
      <c r="K195" s="22" t="s">
        <v>2308</v>
      </c>
      <c r="L195" s="4">
        <v>1985</v>
      </c>
      <c r="M195" s="4">
        <v>1985</v>
      </c>
      <c r="N195" s="4">
        <v>40</v>
      </c>
      <c r="O195" s="4" t="s">
        <v>67</v>
      </c>
      <c r="P195" s="5" t="s">
        <v>1976</v>
      </c>
    </row>
    <row r="196" spans="1:16" ht="62.5" customHeight="1">
      <c r="A196" s="32">
        <v>29</v>
      </c>
      <c r="B196" s="41" t="s">
        <v>598</v>
      </c>
      <c r="C196" s="4" t="s">
        <v>1899</v>
      </c>
      <c r="D196" s="4" t="s">
        <v>2430</v>
      </c>
      <c r="E196" s="29" t="s">
        <v>2431</v>
      </c>
      <c r="F196" s="4" t="s">
        <v>1945</v>
      </c>
      <c r="G196" s="4" t="s">
        <v>2308</v>
      </c>
      <c r="H196" s="29" t="s">
        <v>187</v>
      </c>
      <c r="I196" s="22">
        <v>7.6463651053823902</v>
      </c>
      <c r="J196" s="22">
        <v>13.904896788598201</v>
      </c>
      <c r="K196" s="22" t="s">
        <v>2308</v>
      </c>
      <c r="L196" s="4">
        <v>1985</v>
      </c>
      <c r="M196" s="4">
        <v>1985</v>
      </c>
      <c r="N196" s="4">
        <v>80</v>
      </c>
      <c r="O196" s="4" t="s">
        <v>67</v>
      </c>
      <c r="P196" s="5" t="s">
        <v>1976</v>
      </c>
    </row>
    <row r="197" spans="1:16" ht="62.5" customHeight="1">
      <c r="A197" s="32">
        <v>29</v>
      </c>
      <c r="B197" s="41" t="s">
        <v>598</v>
      </c>
      <c r="C197" s="4" t="s">
        <v>1900</v>
      </c>
      <c r="D197" s="4" t="s">
        <v>2430</v>
      </c>
      <c r="E197" s="29" t="s">
        <v>2431</v>
      </c>
      <c r="F197" s="4" t="s">
        <v>2308</v>
      </c>
      <c r="G197" s="4" t="s">
        <v>2297</v>
      </c>
      <c r="H197" s="29" t="s">
        <v>187</v>
      </c>
      <c r="I197" s="22">
        <v>10.478421277062999</v>
      </c>
      <c r="J197" s="22">
        <v>14.254079002415599</v>
      </c>
      <c r="K197" s="22" t="s">
        <v>2308</v>
      </c>
      <c r="L197" s="4">
        <v>1985</v>
      </c>
      <c r="M197" s="4">
        <v>1985</v>
      </c>
      <c r="N197" s="4">
        <v>100</v>
      </c>
      <c r="O197" s="4" t="s">
        <v>67</v>
      </c>
      <c r="P197" s="5" t="s">
        <v>1976</v>
      </c>
    </row>
    <row r="198" spans="1:16" ht="62.5" customHeight="1">
      <c r="A198" s="32">
        <v>29</v>
      </c>
      <c r="B198" s="41" t="s">
        <v>598</v>
      </c>
      <c r="C198" s="4" t="s">
        <v>1901</v>
      </c>
      <c r="D198" s="4" t="s">
        <v>2430</v>
      </c>
      <c r="E198" s="29" t="s">
        <v>2431</v>
      </c>
      <c r="F198" s="4" t="s">
        <v>1946</v>
      </c>
      <c r="G198" s="4" t="s">
        <v>2308</v>
      </c>
      <c r="H198" s="29" t="s">
        <v>187</v>
      </c>
      <c r="I198" s="22">
        <v>6.19295809572984</v>
      </c>
      <c r="J198" s="22">
        <v>12.562541729679101</v>
      </c>
      <c r="K198" s="22" t="s">
        <v>2308</v>
      </c>
      <c r="L198" s="4">
        <v>1985</v>
      </c>
      <c r="M198" s="4">
        <v>1985</v>
      </c>
      <c r="N198" s="4">
        <v>40</v>
      </c>
      <c r="O198" s="4" t="s">
        <v>67</v>
      </c>
      <c r="P198" s="5" t="s">
        <v>1976</v>
      </c>
    </row>
    <row r="199" spans="1:16" ht="62.5" customHeight="1">
      <c r="A199" s="32">
        <v>29</v>
      </c>
      <c r="B199" s="41" t="s">
        <v>598</v>
      </c>
      <c r="C199" s="4" t="s">
        <v>1902</v>
      </c>
      <c r="D199" s="4" t="s">
        <v>2430</v>
      </c>
      <c r="E199" s="29" t="s">
        <v>2431</v>
      </c>
      <c r="F199" s="4" t="s">
        <v>2308</v>
      </c>
      <c r="G199" s="4" t="s">
        <v>1947</v>
      </c>
      <c r="H199" s="29" t="s">
        <v>187</v>
      </c>
      <c r="I199" s="22">
        <v>5.85743574413838</v>
      </c>
      <c r="J199" s="22">
        <v>10.287874022904401</v>
      </c>
      <c r="K199" s="22" t="s">
        <v>2308</v>
      </c>
      <c r="L199" s="4">
        <v>1985</v>
      </c>
      <c r="M199" s="4">
        <v>1985</v>
      </c>
      <c r="N199" s="4">
        <v>40</v>
      </c>
      <c r="O199" s="4" t="s">
        <v>67</v>
      </c>
      <c r="P199" s="5" t="s">
        <v>1976</v>
      </c>
    </row>
    <row r="200" spans="1:16" ht="53" customHeight="1">
      <c r="A200" s="32">
        <v>29</v>
      </c>
      <c r="B200" s="41" t="s">
        <v>598</v>
      </c>
      <c r="C200" s="4" t="s">
        <v>1903</v>
      </c>
      <c r="D200" s="4" t="s">
        <v>2430</v>
      </c>
      <c r="E200" s="29" t="s">
        <v>2431</v>
      </c>
      <c r="F200" s="4" t="s">
        <v>2308</v>
      </c>
      <c r="G200" s="4" t="s">
        <v>2298</v>
      </c>
      <c r="H200" s="4" t="s">
        <v>599</v>
      </c>
      <c r="I200" s="22">
        <v>8.9565306545839896</v>
      </c>
      <c r="J200" s="22">
        <v>-6.7699408234470502</v>
      </c>
      <c r="K200" s="22" t="s">
        <v>2308</v>
      </c>
      <c r="L200" s="4">
        <v>1985</v>
      </c>
      <c r="M200" s="4">
        <v>1985</v>
      </c>
      <c r="N200" s="4">
        <v>5</v>
      </c>
      <c r="O200" s="4" t="s">
        <v>67</v>
      </c>
      <c r="P200" s="5" t="s">
        <v>1976</v>
      </c>
    </row>
    <row r="201" spans="1:16" ht="54" customHeight="1">
      <c r="A201" s="32">
        <v>29</v>
      </c>
      <c r="B201" s="41" t="s">
        <v>598</v>
      </c>
      <c r="C201" s="4" t="s">
        <v>1906</v>
      </c>
      <c r="D201" s="4" t="s">
        <v>2430</v>
      </c>
      <c r="E201" s="29" t="s">
        <v>2431</v>
      </c>
      <c r="F201" s="4" t="s">
        <v>2308</v>
      </c>
      <c r="G201" s="4" t="s">
        <v>2299</v>
      </c>
      <c r="H201" s="4" t="s">
        <v>599</v>
      </c>
      <c r="I201" s="22">
        <v>9.2805623820391894</v>
      </c>
      <c r="J201" s="22">
        <v>-5.1582710783539101</v>
      </c>
      <c r="K201" s="22" t="s">
        <v>2308</v>
      </c>
      <c r="L201" s="4">
        <v>1985</v>
      </c>
      <c r="M201" s="4">
        <v>1985</v>
      </c>
      <c r="N201" s="4">
        <v>15</v>
      </c>
      <c r="O201" s="4" t="s">
        <v>67</v>
      </c>
      <c r="P201" s="5" t="s">
        <v>1976</v>
      </c>
    </row>
    <row r="202" spans="1:16" ht="42.5" customHeight="1">
      <c r="A202" s="32">
        <v>29</v>
      </c>
      <c r="B202" s="41" t="s">
        <v>598</v>
      </c>
      <c r="C202" s="4" t="s">
        <v>1907</v>
      </c>
      <c r="D202" s="4" t="s">
        <v>2430</v>
      </c>
      <c r="E202" s="29" t="s">
        <v>2431</v>
      </c>
      <c r="F202" s="4" t="s">
        <v>2308</v>
      </c>
      <c r="G202" s="4" t="s">
        <v>2300</v>
      </c>
      <c r="H202" s="4" t="s">
        <v>1973</v>
      </c>
      <c r="I202" s="22">
        <v>9.7010633278366498</v>
      </c>
      <c r="J202" s="22">
        <v>39.511526716167502</v>
      </c>
      <c r="K202" s="22" t="s">
        <v>2308</v>
      </c>
      <c r="L202" s="4">
        <v>1985</v>
      </c>
      <c r="M202" s="4">
        <v>1985</v>
      </c>
      <c r="N202" s="4">
        <v>38</v>
      </c>
      <c r="O202" s="4" t="s">
        <v>67</v>
      </c>
      <c r="P202" s="5" t="s">
        <v>1976</v>
      </c>
    </row>
    <row r="203" spans="1:16" ht="42.5" customHeight="1">
      <c r="A203" s="32">
        <v>29</v>
      </c>
      <c r="B203" s="41" t="s">
        <v>598</v>
      </c>
      <c r="C203" s="4" t="s">
        <v>1904</v>
      </c>
      <c r="D203" s="4" t="s">
        <v>2430</v>
      </c>
      <c r="E203" s="29" t="s">
        <v>2431</v>
      </c>
      <c r="F203" s="4" t="s">
        <v>1948</v>
      </c>
      <c r="G203" s="4" t="s">
        <v>2308</v>
      </c>
      <c r="H203" s="4" t="s">
        <v>1973</v>
      </c>
      <c r="I203" s="22">
        <v>9.5371298000000007</v>
      </c>
      <c r="J203" s="22">
        <v>38.298010499999997</v>
      </c>
      <c r="K203" s="22" t="s">
        <v>2308</v>
      </c>
      <c r="L203" s="4">
        <v>1985</v>
      </c>
      <c r="M203" s="4">
        <v>1985</v>
      </c>
      <c r="N203" s="4">
        <v>73</v>
      </c>
      <c r="O203" s="4" t="s">
        <v>67</v>
      </c>
      <c r="P203" s="5" t="s">
        <v>1976</v>
      </c>
    </row>
    <row r="204" spans="1:16" ht="42.5" customHeight="1">
      <c r="A204" s="32">
        <v>29</v>
      </c>
      <c r="B204" s="41" t="s">
        <v>598</v>
      </c>
      <c r="C204" s="4" t="s">
        <v>1905</v>
      </c>
      <c r="D204" s="4" t="s">
        <v>2430</v>
      </c>
      <c r="E204" s="29" t="s">
        <v>2431</v>
      </c>
      <c r="F204" s="4" t="s">
        <v>1949</v>
      </c>
      <c r="G204" s="4" t="s">
        <v>2308</v>
      </c>
      <c r="H204" s="4" t="s">
        <v>1973</v>
      </c>
      <c r="I204" s="22">
        <v>8.5412740581124407</v>
      </c>
      <c r="J204" s="22">
        <v>39.240746538084103</v>
      </c>
      <c r="K204" s="22" t="s">
        <v>2308</v>
      </c>
      <c r="L204" s="4">
        <v>1985</v>
      </c>
      <c r="M204" s="4">
        <v>1985</v>
      </c>
      <c r="N204" s="4">
        <v>48</v>
      </c>
      <c r="O204" s="4" t="s">
        <v>67</v>
      </c>
      <c r="P204" s="5" t="s">
        <v>1976</v>
      </c>
    </row>
    <row r="205" spans="1:16" ht="42.5" customHeight="1">
      <c r="A205" s="32">
        <v>29</v>
      </c>
      <c r="B205" s="41" t="s">
        <v>598</v>
      </c>
      <c r="C205" s="4" t="s">
        <v>1908</v>
      </c>
      <c r="D205" s="4" t="s">
        <v>2430</v>
      </c>
      <c r="E205" s="29" t="s">
        <v>2431</v>
      </c>
      <c r="F205" s="4" t="s">
        <v>1950</v>
      </c>
      <c r="G205" s="4" t="s">
        <v>2308</v>
      </c>
      <c r="H205" s="4" t="s">
        <v>1973</v>
      </c>
      <c r="I205" s="22">
        <v>8.9109453314877207</v>
      </c>
      <c r="J205" s="22">
        <v>39.778849259040399</v>
      </c>
      <c r="K205" s="22" t="s">
        <v>2308</v>
      </c>
      <c r="L205" s="4">
        <v>1985</v>
      </c>
      <c r="M205" s="4">
        <v>1985</v>
      </c>
      <c r="N205" s="4">
        <v>56</v>
      </c>
      <c r="O205" s="4" t="s">
        <v>67</v>
      </c>
      <c r="P205" s="5" t="s">
        <v>1976</v>
      </c>
    </row>
    <row r="206" spans="1:16" ht="42.5" customHeight="1">
      <c r="A206" s="32">
        <v>29</v>
      </c>
      <c r="B206" s="41" t="s">
        <v>598</v>
      </c>
      <c r="C206" s="4" t="s">
        <v>1909</v>
      </c>
      <c r="D206" s="4" t="s">
        <v>2430</v>
      </c>
      <c r="E206" s="29" t="s">
        <v>2431</v>
      </c>
      <c r="F206" s="4" t="s">
        <v>2308</v>
      </c>
      <c r="G206" s="4" t="s">
        <v>1951</v>
      </c>
      <c r="H206" s="4" t="s">
        <v>1973</v>
      </c>
      <c r="I206" s="22">
        <v>8.9563244356202603</v>
      </c>
      <c r="J206" s="22">
        <v>38.635089337677897</v>
      </c>
      <c r="K206" s="22" t="s">
        <v>2308</v>
      </c>
      <c r="L206" s="4">
        <v>1985</v>
      </c>
      <c r="M206" s="4">
        <v>1985</v>
      </c>
      <c r="N206" s="4">
        <v>62</v>
      </c>
      <c r="O206" s="4" t="s">
        <v>67</v>
      </c>
      <c r="P206" s="5" t="s">
        <v>1976</v>
      </c>
    </row>
    <row r="207" spans="1:16" ht="35.5" customHeight="1">
      <c r="A207" s="32">
        <v>29</v>
      </c>
      <c r="B207" s="41" t="s">
        <v>598</v>
      </c>
      <c r="C207" s="4" t="s">
        <v>1910</v>
      </c>
      <c r="D207" s="4" t="s">
        <v>2430</v>
      </c>
      <c r="E207" s="29" t="s">
        <v>2431</v>
      </c>
      <c r="F207" s="4" t="s">
        <v>2308</v>
      </c>
      <c r="G207" s="4" t="s">
        <v>2301</v>
      </c>
      <c r="H207" s="4" t="s">
        <v>604</v>
      </c>
      <c r="I207" s="22">
        <v>8.5819159467874293</v>
      </c>
      <c r="J207" s="22">
        <v>-10.130781904648501</v>
      </c>
      <c r="K207" s="22" t="s">
        <v>2308</v>
      </c>
      <c r="L207" s="4">
        <v>1985</v>
      </c>
      <c r="M207" s="4">
        <v>1985</v>
      </c>
      <c r="N207" s="4">
        <v>40</v>
      </c>
      <c r="O207" s="4" t="s">
        <v>67</v>
      </c>
      <c r="P207" s="5" t="s">
        <v>1976</v>
      </c>
    </row>
    <row r="208" spans="1:16" ht="43.5">
      <c r="A208" s="32">
        <v>29</v>
      </c>
      <c r="B208" s="41" t="s">
        <v>598</v>
      </c>
      <c r="C208" s="4" t="s">
        <v>1911</v>
      </c>
      <c r="D208" s="4" t="s">
        <v>2430</v>
      </c>
      <c r="E208" s="29" t="s">
        <v>2431</v>
      </c>
      <c r="F208" s="4" t="s">
        <v>1952</v>
      </c>
      <c r="G208" s="4" t="s">
        <v>2308</v>
      </c>
      <c r="H208" s="4" t="s">
        <v>604</v>
      </c>
      <c r="I208" s="22">
        <v>9.1926133141272608</v>
      </c>
      <c r="J208" s="22">
        <v>-10.1270234863621</v>
      </c>
      <c r="K208" s="22" t="s">
        <v>2308</v>
      </c>
      <c r="L208" s="4">
        <v>1985</v>
      </c>
      <c r="M208" s="4">
        <v>1985</v>
      </c>
      <c r="N208" s="4">
        <v>10</v>
      </c>
      <c r="O208" s="4" t="s">
        <v>67</v>
      </c>
      <c r="P208" s="5" t="s">
        <v>1976</v>
      </c>
    </row>
    <row r="209" spans="1:16" ht="43.5">
      <c r="A209" s="32">
        <v>29</v>
      </c>
      <c r="B209" s="41" t="s">
        <v>598</v>
      </c>
      <c r="C209" s="4" t="s">
        <v>1912</v>
      </c>
      <c r="D209" s="4" t="s">
        <v>2430</v>
      </c>
      <c r="E209" s="29" t="s">
        <v>2431</v>
      </c>
      <c r="F209" s="4" t="s">
        <v>1953</v>
      </c>
      <c r="G209" s="4" t="s">
        <v>2308</v>
      </c>
      <c r="H209" s="4" t="s">
        <v>604</v>
      </c>
      <c r="I209" s="22">
        <v>10.3780704523846</v>
      </c>
      <c r="J209" s="22">
        <v>-9.3436712934814103</v>
      </c>
      <c r="K209" s="22" t="s">
        <v>2308</v>
      </c>
      <c r="L209" s="4">
        <v>1985</v>
      </c>
      <c r="M209" s="4">
        <v>1985</v>
      </c>
      <c r="N209" s="4">
        <v>20</v>
      </c>
      <c r="O209" s="4" t="s">
        <v>67</v>
      </c>
      <c r="P209" s="5" t="s">
        <v>1976</v>
      </c>
    </row>
    <row r="210" spans="1:16" ht="43.5">
      <c r="A210" s="32">
        <v>29</v>
      </c>
      <c r="B210" s="41" t="s">
        <v>598</v>
      </c>
      <c r="C210" s="4" t="s">
        <v>1913</v>
      </c>
      <c r="D210" s="4" t="s">
        <v>2430</v>
      </c>
      <c r="E210" s="29" t="s">
        <v>2431</v>
      </c>
      <c r="F210" s="4" t="s">
        <v>1954</v>
      </c>
      <c r="G210" s="4" t="s">
        <v>2308</v>
      </c>
      <c r="H210" s="4" t="s">
        <v>604</v>
      </c>
      <c r="I210" s="22">
        <v>9.7581678869289892</v>
      </c>
      <c r="J210" s="22">
        <v>-8.3894311210800598</v>
      </c>
      <c r="K210" s="22" t="s">
        <v>2308</v>
      </c>
      <c r="L210" s="4">
        <v>1985</v>
      </c>
      <c r="M210" s="4">
        <v>1985</v>
      </c>
      <c r="N210" s="4">
        <v>5</v>
      </c>
      <c r="O210" s="4" t="s">
        <v>67</v>
      </c>
      <c r="P210" s="5" t="s">
        <v>1976</v>
      </c>
    </row>
    <row r="211" spans="1:16" ht="43.5">
      <c r="A211" s="32">
        <v>29</v>
      </c>
      <c r="B211" s="41" t="s">
        <v>598</v>
      </c>
      <c r="C211" s="4" t="s">
        <v>1914</v>
      </c>
      <c r="D211" s="4" t="s">
        <v>2430</v>
      </c>
      <c r="E211" s="29" t="s">
        <v>2431</v>
      </c>
      <c r="F211" s="4" t="s">
        <v>1955</v>
      </c>
      <c r="G211" s="4" t="s">
        <v>2308</v>
      </c>
      <c r="H211" s="4" t="s">
        <v>1974</v>
      </c>
      <c r="I211" s="22">
        <v>-1.05326535882621</v>
      </c>
      <c r="J211" s="22">
        <v>34.233128203218499</v>
      </c>
      <c r="K211" s="22" t="s">
        <v>2308</v>
      </c>
      <c r="L211" s="4">
        <v>1985</v>
      </c>
      <c r="M211" s="4">
        <v>1985</v>
      </c>
      <c r="N211" s="4">
        <v>114</v>
      </c>
      <c r="O211" s="4" t="s">
        <v>67</v>
      </c>
      <c r="P211" s="5" t="s">
        <v>1976</v>
      </c>
    </row>
    <row r="212" spans="1:16" ht="43.5">
      <c r="A212" s="32">
        <v>29</v>
      </c>
      <c r="B212" s="41" t="s">
        <v>598</v>
      </c>
      <c r="C212" s="4" t="s">
        <v>1915</v>
      </c>
      <c r="D212" s="4" t="s">
        <v>2430</v>
      </c>
      <c r="E212" s="29" t="s">
        <v>2431</v>
      </c>
      <c r="F212" s="4" t="s">
        <v>2308</v>
      </c>
      <c r="G212" s="4" t="s">
        <v>2302</v>
      </c>
      <c r="H212" s="4" t="s">
        <v>1974</v>
      </c>
      <c r="I212" s="22">
        <v>0.45486420025156998</v>
      </c>
      <c r="J212" s="22">
        <v>34.151681286482699</v>
      </c>
      <c r="K212" s="22" t="s">
        <v>2308</v>
      </c>
      <c r="L212" s="4">
        <v>1985</v>
      </c>
      <c r="M212" s="4">
        <v>1985</v>
      </c>
      <c r="N212" s="4">
        <v>140</v>
      </c>
      <c r="O212" s="4" t="s">
        <v>67</v>
      </c>
      <c r="P212" s="5" t="s">
        <v>1976</v>
      </c>
    </row>
    <row r="213" spans="1:16" ht="43.5">
      <c r="A213" s="32">
        <v>29</v>
      </c>
      <c r="B213" s="41" t="s">
        <v>598</v>
      </c>
      <c r="C213" s="4" t="s">
        <v>1916</v>
      </c>
      <c r="D213" s="4" t="s">
        <v>2430</v>
      </c>
      <c r="E213" s="29" t="s">
        <v>2431</v>
      </c>
      <c r="F213" s="4" t="s">
        <v>1956</v>
      </c>
      <c r="G213" s="4" t="s">
        <v>2308</v>
      </c>
      <c r="H213" s="4" t="s">
        <v>1974</v>
      </c>
      <c r="I213" s="22">
        <v>0.80842829999999999</v>
      </c>
      <c r="J213" s="22">
        <v>34.597132000000002</v>
      </c>
      <c r="K213" s="22" t="s">
        <v>2308</v>
      </c>
      <c r="L213" s="4">
        <v>1985</v>
      </c>
      <c r="M213" s="4">
        <v>1985</v>
      </c>
      <c r="N213" s="4">
        <v>290</v>
      </c>
      <c r="O213" s="4" t="s">
        <v>67</v>
      </c>
      <c r="P213" s="5" t="s">
        <v>1976</v>
      </c>
    </row>
    <row r="214" spans="1:16" ht="43.5">
      <c r="A214" s="32">
        <v>29</v>
      </c>
      <c r="B214" s="41" t="s">
        <v>598</v>
      </c>
      <c r="C214" s="4" t="s">
        <v>1917</v>
      </c>
      <c r="D214" s="4" t="s">
        <v>2430</v>
      </c>
      <c r="E214" s="29" t="s">
        <v>2431</v>
      </c>
      <c r="F214" s="4" t="s">
        <v>1957</v>
      </c>
      <c r="G214" s="4" t="s">
        <v>2308</v>
      </c>
      <c r="H214" s="4" t="s">
        <v>1974</v>
      </c>
      <c r="I214" s="22">
        <v>0.291596674258286</v>
      </c>
      <c r="J214" s="22">
        <v>34.744010615011298</v>
      </c>
      <c r="K214" s="22" t="s">
        <v>2308</v>
      </c>
      <c r="L214" s="4">
        <v>1985</v>
      </c>
      <c r="M214" s="4">
        <v>1985</v>
      </c>
      <c r="N214" s="4">
        <v>294</v>
      </c>
      <c r="O214" s="4" t="s">
        <v>67</v>
      </c>
      <c r="P214" s="5" t="s">
        <v>1976</v>
      </c>
    </row>
    <row r="215" spans="1:16" ht="43.5">
      <c r="A215" s="32">
        <v>29</v>
      </c>
      <c r="B215" s="41" t="s">
        <v>598</v>
      </c>
      <c r="C215" s="4" t="s">
        <v>1918</v>
      </c>
      <c r="D215" s="4" t="s">
        <v>2430</v>
      </c>
      <c r="E215" s="29" t="s">
        <v>2431</v>
      </c>
      <c r="F215" s="4" t="s">
        <v>1958</v>
      </c>
      <c r="G215" s="4" t="s">
        <v>2308</v>
      </c>
      <c r="H215" s="4" t="s">
        <v>1974</v>
      </c>
      <c r="I215" s="22">
        <v>-6.1732799999999997E-2</v>
      </c>
      <c r="J215" s="22">
        <v>34.242159700000002</v>
      </c>
      <c r="K215" s="22" t="s">
        <v>2308</v>
      </c>
      <c r="L215" s="4">
        <v>1985</v>
      </c>
      <c r="M215" s="4">
        <v>1985</v>
      </c>
      <c r="N215" s="4">
        <v>186</v>
      </c>
      <c r="O215" s="4" t="s">
        <v>67</v>
      </c>
      <c r="P215" s="5" t="s">
        <v>1976</v>
      </c>
    </row>
    <row r="216" spans="1:16" ht="43.5">
      <c r="A216" s="32">
        <v>29</v>
      </c>
      <c r="B216" s="41" t="s">
        <v>598</v>
      </c>
      <c r="C216" s="4" t="s">
        <v>1919</v>
      </c>
      <c r="D216" s="4" t="s">
        <v>2430</v>
      </c>
      <c r="E216" s="29" t="s">
        <v>2431</v>
      </c>
      <c r="F216" s="4" t="s">
        <v>1959</v>
      </c>
      <c r="G216" s="4" t="s">
        <v>2308</v>
      </c>
      <c r="H216" s="4" t="s">
        <v>1974</v>
      </c>
      <c r="I216" s="22">
        <v>-0.65604770000000001</v>
      </c>
      <c r="J216" s="22">
        <v>37.723767799999997</v>
      </c>
      <c r="K216" s="22" t="s">
        <v>2308</v>
      </c>
      <c r="L216" s="4">
        <v>1985</v>
      </c>
      <c r="M216" s="4">
        <v>1985</v>
      </c>
      <c r="N216" s="4">
        <v>50</v>
      </c>
      <c r="O216" s="4" t="s">
        <v>67</v>
      </c>
      <c r="P216" s="5" t="s">
        <v>1976</v>
      </c>
    </row>
    <row r="217" spans="1:16" ht="43.5">
      <c r="A217" s="32">
        <v>29</v>
      </c>
      <c r="B217" s="41" t="s">
        <v>598</v>
      </c>
      <c r="C217" s="4" t="s">
        <v>1920</v>
      </c>
      <c r="D217" s="4" t="s">
        <v>2430</v>
      </c>
      <c r="E217" s="29" t="s">
        <v>2431</v>
      </c>
      <c r="F217" s="4" t="s">
        <v>1960</v>
      </c>
      <c r="G217" s="4" t="s">
        <v>2308</v>
      </c>
      <c r="H217" s="4" t="s">
        <v>1974</v>
      </c>
      <c r="I217" s="22">
        <v>-1.49466613675008</v>
      </c>
      <c r="J217" s="22">
        <v>37.309466507023103</v>
      </c>
      <c r="K217" s="22" t="s">
        <v>2308</v>
      </c>
      <c r="L217" s="4">
        <v>1985</v>
      </c>
      <c r="M217" s="4">
        <v>1985</v>
      </c>
      <c r="N217" s="4">
        <v>50</v>
      </c>
      <c r="O217" s="4" t="s">
        <v>67</v>
      </c>
      <c r="P217" s="5" t="s">
        <v>1976</v>
      </c>
    </row>
    <row r="218" spans="1:16" ht="43.5">
      <c r="A218" s="32">
        <v>29</v>
      </c>
      <c r="B218" s="41" t="s">
        <v>598</v>
      </c>
      <c r="C218" s="4" t="s">
        <v>1921</v>
      </c>
      <c r="D218" s="4" t="s">
        <v>2430</v>
      </c>
      <c r="E218" s="29" t="s">
        <v>2431</v>
      </c>
      <c r="F218" s="4" t="s">
        <v>1961</v>
      </c>
      <c r="G218" s="4" t="s">
        <v>2308</v>
      </c>
      <c r="H218" s="4" t="s">
        <v>1975</v>
      </c>
      <c r="I218" s="22">
        <v>10.184846260740899</v>
      </c>
      <c r="J218" s="22">
        <v>10.087467265941401</v>
      </c>
      <c r="K218" s="22" t="s">
        <v>2308</v>
      </c>
      <c r="L218" s="4">
        <v>1985</v>
      </c>
      <c r="M218" s="4">
        <v>1985</v>
      </c>
      <c r="N218" s="4">
        <v>56</v>
      </c>
      <c r="O218" s="4" t="s">
        <v>67</v>
      </c>
      <c r="P218" s="5" t="s">
        <v>1976</v>
      </c>
    </row>
    <row r="219" spans="1:16" ht="43.5">
      <c r="A219" s="32">
        <v>29</v>
      </c>
      <c r="B219" s="41" t="s">
        <v>598</v>
      </c>
      <c r="C219" s="4" t="s">
        <v>1922</v>
      </c>
      <c r="D219" s="4" t="s">
        <v>2430</v>
      </c>
      <c r="E219" s="29" t="s">
        <v>2431</v>
      </c>
      <c r="F219" s="4" t="s">
        <v>1962</v>
      </c>
      <c r="G219" s="4" t="s">
        <v>2308</v>
      </c>
      <c r="H219" s="4" t="s">
        <v>1975</v>
      </c>
      <c r="I219" s="22">
        <v>11.7470698</v>
      </c>
      <c r="J219" s="22">
        <v>8.5247107</v>
      </c>
      <c r="K219" s="22" t="s">
        <v>2308</v>
      </c>
      <c r="L219" s="4">
        <v>1985</v>
      </c>
      <c r="M219" s="4">
        <v>1985</v>
      </c>
      <c r="N219" s="4">
        <v>120</v>
      </c>
      <c r="O219" s="4" t="s">
        <v>67</v>
      </c>
      <c r="P219" s="5" t="s">
        <v>1976</v>
      </c>
    </row>
    <row r="220" spans="1:16" ht="43.5">
      <c r="A220" s="32">
        <v>29</v>
      </c>
      <c r="B220" s="41" t="s">
        <v>598</v>
      </c>
      <c r="C220" s="4" t="s">
        <v>1923</v>
      </c>
      <c r="D220" s="4" t="s">
        <v>2430</v>
      </c>
      <c r="E220" s="29" t="s">
        <v>2431</v>
      </c>
      <c r="F220" s="4" t="s">
        <v>2308</v>
      </c>
      <c r="G220" s="4" t="s">
        <v>1963</v>
      </c>
      <c r="H220" s="4" t="s">
        <v>1975</v>
      </c>
      <c r="I220" s="22">
        <v>10.9346742196129</v>
      </c>
      <c r="J220" s="22">
        <v>6.4864121272305297</v>
      </c>
      <c r="K220" s="22" t="s">
        <v>2308</v>
      </c>
      <c r="L220" s="4">
        <v>1985</v>
      </c>
      <c r="M220" s="4">
        <v>1985</v>
      </c>
      <c r="N220" s="4">
        <v>75</v>
      </c>
      <c r="O220" s="4" t="s">
        <v>67</v>
      </c>
      <c r="P220" s="5" t="s">
        <v>1976</v>
      </c>
    </row>
    <row r="221" spans="1:16" ht="43.5">
      <c r="A221" s="32">
        <v>29</v>
      </c>
      <c r="B221" s="41" t="s">
        <v>598</v>
      </c>
      <c r="C221" s="4" t="s">
        <v>1925</v>
      </c>
      <c r="D221" s="4" t="s">
        <v>2430</v>
      </c>
      <c r="E221" s="29" t="s">
        <v>2431</v>
      </c>
      <c r="F221" s="4" t="s">
        <v>2308</v>
      </c>
      <c r="G221" s="4" t="s">
        <v>1964</v>
      </c>
      <c r="H221" s="4" t="s">
        <v>1975</v>
      </c>
      <c r="I221" s="22">
        <v>8.1573808999999997</v>
      </c>
      <c r="J221" s="22">
        <v>3.6146533999999999</v>
      </c>
      <c r="K221" s="22" t="s">
        <v>2308</v>
      </c>
      <c r="L221" s="4">
        <v>1985</v>
      </c>
      <c r="M221" s="4">
        <v>1985</v>
      </c>
      <c r="N221" s="4">
        <v>75</v>
      </c>
      <c r="O221" s="4" t="s">
        <v>67</v>
      </c>
      <c r="P221" s="5" t="s">
        <v>1976</v>
      </c>
    </row>
    <row r="222" spans="1:16" ht="43.5">
      <c r="A222" s="32">
        <v>29</v>
      </c>
      <c r="B222" s="41" t="s">
        <v>598</v>
      </c>
      <c r="C222" s="4" t="s">
        <v>1924</v>
      </c>
      <c r="D222" s="4" t="s">
        <v>2430</v>
      </c>
      <c r="E222" s="29" t="s">
        <v>2431</v>
      </c>
      <c r="F222" s="4" t="s">
        <v>1965</v>
      </c>
      <c r="G222" s="4" t="s">
        <v>2308</v>
      </c>
      <c r="H222" s="4" t="s">
        <v>391</v>
      </c>
      <c r="I222" s="22">
        <v>-2.58248307797657</v>
      </c>
      <c r="J222" s="22">
        <v>32.933062434046398</v>
      </c>
      <c r="K222" s="22" t="s">
        <v>2308</v>
      </c>
      <c r="L222" s="4">
        <v>1985</v>
      </c>
      <c r="M222" s="4">
        <v>1985</v>
      </c>
      <c r="N222" s="4">
        <v>93</v>
      </c>
      <c r="O222" s="4" t="s">
        <v>67</v>
      </c>
      <c r="P222" s="5" t="s">
        <v>1976</v>
      </c>
    </row>
    <row r="223" spans="1:16" ht="43.5">
      <c r="A223" s="32">
        <v>29</v>
      </c>
      <c r="B223" s="41" t="s">
        <v>598</v>
      </c>
      <c r="C223" s="4" t="s">
        <v>1926</v>
      </c>
      <c r="D223" s="4" t="s">
        <v>2430</v>
      </c>
      <c r="E223" s="29" t="s">
        <v>2431</v>
      </c>
      <c r="F223" s="4" t="s">
        <v>1966</v>
      </c>
      <c r="G223" s="4" t="s">
        <v>2308</v>
      </c>
      <c r="H223" s="4" t="s">
        <v>391</v>
      </c>
      <c r="I223" s="22">
        <v>-2.5477856192488799</v>
      </c>
      <c r="J223" s="22">
        <v>33.131996822341598</v>
      </c>
      <c r="K223" s="22" t="s">
        <v>2308</v>
      </c>
      <c r="L223" s="4">
        <v>1985</v>
      </c>
      <c r="M223" s="4">
        <v>1985</v>
      </c>
      <c r="N223" s="4">
        <v>93</v>
      </c>
      <c r="O223" s="4" t="s">
        <v>67</v>
      </c>
      <c r="P223" s="5" t="s">
        <v>1976</v>
      </c>
    </row>
    <row r="224" spans="1:16" ht="43.5">
      <c r="A224" s="32">
        <v>29</v>
      </c>
      <c r="B224" s="41" t="s">
        <v>598</v>
      </c>
      <c r="C224" s="4" t="s">
        <v>1927</v>
      </c>
      <c r="D224" s="4" t="s">
        <v>2430</v>
      </c>
      <c r="E224" s="29" t="s">
        <v>2431</v>
      </c>
      <c r="F224" s="4" t="s">
        <v>2308</v>
      </c>
      <c r="G224" s="4" t="s">
        <v>2303</v>
      </c>
      <c r="H224" s="4" t="s">
        <v>391</v>
      </c>
      <c r="I224" s="22">
        <v>-2.7583633999999999</v>
      </c>
      <c r="J224" s="22">
        <v>36.263084599999999</v>
      </c>
      <c r="K224" s="22" t="s">
        <v>2308</v>
      </c>
      <c r="L224" s="4">
        <v>1985</v>
      </c>
      <c r="M224" s="4">
        <v>1985</v>
      </c>
      <c r="N224" s="4">
        <v>82</v>
      </c>
      <c r="O224" s="4" t="s">
        <v>67</v>
      </c>
      <c r="P224" s="5" t="s">
        <v>1976</v>
      </c>
    </row>
    <row r="225" spans="1:16" ht="43.5">
      <c r="A225" s="32">
        <v>29</v>
      </c>
      <c r="B225" s="41" t="s">
        <v>598</v>
      </c>
      <c r="C225" s="4" t="s">
        <v>1928</v>
      </c>
      <c r="D225" s="4" t="s">
        <v>2430</v>
      </c>
      <c r="E225" s="29" t="s">
        <v>2431</v>
      </c>
      <c r="F225" s="4" t="s">
        <v>1967</v>
      </c>
      <c r="G225" s="4" t="s">
        <v>2308</v>
      </c>
      <c r="H225" s="4" t="s">
        <v>391</v>
      </c>
      <c r="I225" s="22">
        <v>-6.6839193130463297</v>
      </c>
      <c r="J225" s="22">
        <v>36.9300452709182</v>
      </c>
      <c r="K225" s="22" t="s">
        <v>2308</v>
      </c>
      <c r="L225" s="4">
        <v>1985</v>
      </c>
      <c r="M225" s="4">
        <v>1985</v>
      </c>
      <c r="N225" s="4">
        <v>11</v>
      </c>
      <c r="O225" s="4" t="s">
        <v>67</v>
      </c>
      <c r="P225" s="5" t="s">
        <v>1976</v>
      </c>
    </row>
    <row r="226" spans="1:16" ht="43.5">
      <c r="A226" s="32">
        <v>29</v>
      </c>
      <c r="B226" s="41" t="s">
        <v>598</v>
      </c>
      <c r="C226" s="4" t="s">
        <v>1929</v>
      </c>
      <c r="D226" s="4" t="s">
        <v>2430</v>
      </c>
      <c r="E226" s="29" t="s">
        <v>2431</v>
      </c>
      <c r="F226" s="4" t="s">
        <v>1968</v>
      </c>
      <c r="G226" s="4" t="s">
        <v>2308</v>
      </c>
      <c r="H226" s="4" t="s">
        <v>391</v>
      </c>
      <c r="I226" s="22">
        <v>-7.2303392056484297</v>
      </c>
      <c r="J226" s="22">
        <v>37.137819629899198</v>
      </c>
      <c r="K226" s="22" t="s">
        <v>2308</v>
      </c>
      <c r="L226" s="4">
        <v>1985</v>
      </c>
      <c r="M226" s="4">
        <v>1985</v>
      </c>
      <c r="N226" s="4">
        <v>11</v>
      </c>
      <c r="O226" s="4" t="s">
        <v>67</v>
      </c>
      <c r="P226" s="5" t="s">
        <v>1976</v>
      </c>
    </row>
    <row r="227" spans="1:16" ht="43.5">
      <c r="A227" s="32">
        <v>29</v>
      </c>
      <c r="B227" s="41" t="s">
        <v>598</v>
      </c>
      <c r="C227" s="4" t="s">
        <v>1930</v>
      </c>
      <c r="D227" s="4" t="s">
        <v>2430</v>
      </c>
      <c r="E227" s="29" t="s">
        <v>2431</v>
      </c>
      <c r="F227" s="4" t="s">
        <v>2308</v>
      </c>
      <c r="G227" s="4" t="s">
        <v>2304</v>
      </c>
      <c r="H227" s="4" t="s">
        <v>429</v>
      </c>
      <c r="I227" s="22">
        <v>-12.444365636971501</v>
      </c>
      <c r="J227" s="22">
        <v>31.8403551771199</v>
      </c>
      <c r="K227" s="22" t="s">
        <v>2308</v>
      </c>
      <c r="L227" s="4">
        <v>1985</v>
      </c>
      <c r="M227" s="4">
        <v>1985</v>
      </c>
      <c r="N227" s="4">
        <v>14</v>
      </c>
      <c r="O227" s="4" t="s">
        <v>67</v>
      </c>
      <c r="P227" s="5" t="s">
        <v>1976</v>
      </c>
    </row>
    <row r="228" spans="1:16" ht="43.5">
      <c r="A228" s="32">
        <v>29</v>
      </c>
      <c r="B228" s="41" t="s">
        <v>598</v>
      </c>
      <c r="C228" s="4" t="s">
        <v>1931</v>
      </c>
      <c r="D228" s="4" t="s">
        <v>2430</v>
      </c>
      <c r="E228" s="29" t="s">
        <v>2431</v>
      </c>
      <c r="F228" s="4" t="s">
        <v>1969</v>
      </c>
      <c r="G228" s="4" t="s">
        <v>2308</v>
      </c>
      <c r="H228" s="4" t="s">
        <v>429</v>
      </c>
      <c r="I228" s="22">
        <v>-14.0584127</v>
      </c>
      <c r="J228" s="22">
        <v>32.043968999999997</v>
      </c>
      <c r="K228" s="22" t="s">
        <v>2308</v>
      </c>
      <c r="L228" s="4">
        <v>1985</v>
      </c>
      <c r="M228" s="4">
        <v>1985</v>
      </c>
      <c r="N228" s="4">
        <v>8</v>
      </c>
      <c r="O228" s="4" t="s">
        <v>67</v>
      </c>
      <c r="P228" s="5" t="s">
        <v>1976</v>
      </c>
    </row>
    <row r="229" spans="1:16" ht="43.5">
      <c r="A229" s="32">
        <v>29</v>
      </c>
      <c r="B229" s="41" t="s">
        <v>598</v>
      </c>
      <c r="C229" s="4" t="s">
        <v>1932</v>
      </c>
      <c r="D229" s="4" t="s">
        <v>2430</v>
      </c>
      <c r="E229" s="29" t="s">
        <v>2431</v>
      </c>
      <c r="F229" s="4" t="s">
        <v>1970</v>
      </c>
      <c r="G229" s="4" t="s">
        <v>2308</v>
      </c>
      <c r="H229" s="4" t="s">
        <v>429</v>
      </c>
      <c r="I229" s="22">
        <v>-15.066667000000001</v>
      </c>
      <c r="J229" s="22">
        <v>26.7</v>
      </c>
      <c r="K229" s="22" t="s">
        <v>2308</v>
      </c>
      <c r="L229" s="4">
        <v>1985</v>
      </c>
      <c r="M229" s="4">
        <v>1985</v>
      </c>
      <c r="N229" s="4">
        <v>4</v>
      </c>
      <c r="O229" s="4" t="s">
        <v>67</v>
      </c>
      <c r="P229" s="5" t="s">
        <v>1976</v>
      </c>
    </row>
    <row r="230" spans="1:16" ht="43.5">
      <c r="A230" s="32">
        <v>29</v>
      </c>
      <c r="B230" s="41" t="s">
        <v>598</v>
      </c>
      <c r="C230" s="4" t="s">
        <v>1933</v>
      </c>
      <c r="D230" s="4" t="s">
        <v>2430</v>
      </c>
      <c r="E230" s="29" t="s">
        <v>2431</v>
      </c>
      <c r="F230" s="4" t="s">
        <v>2308</v>
      </c>
      <c r="G230" s="4" t="s">
        <v>2305</v>
      </c>
      <c r="H230" s="4" t="s">
        <v>429</v>
      </c>
      <c r="I230" s="22">
        <v>-13.655516303036601</v>
      </c>
      <c r="J230" s="22">
        <v>29.3866042032402</v>
      </c>
      <c r="K230" s="22" t="s">
        <v>2308</v>
      </c>
      <c r="L230" s="4">
        <v>1985</v>
      </c>
      <c r="M230" s="4">
        <v>1985</v>
      </c>
      <c r="N230" s="4">
        <v>4</v>
      </c>
      <c r="O230" s="4" t="s">
        <v>67</v>
      </c>
      <c r="P230" s="5" t="s">
        <v>1976</v>
      </c>
    </row>
    <row r="231" spans="1:16" ht="33" customHeight="1">
      <c r="A231" s="32">
        <v>29</v>
      </c>
      <c r="B231" s="41" t="s">
        <v>598</v>
      </c>
      <c r="C231" s="4" t="s">
        <v>1934</v>
      </c>
      <c r="D231" s="4"/>
      <c r="E231" s="4" t="s">
        <v>2431</v>
      </c>
      <c r="F231" s="4" t="s">
        <v>2308</v>
      </c>
      <c r="G231" s="4" t="s">
        <v>2306</v>
      </c>
      <c r="H231" s="4" t="s">
        <v>429</v>
      </c>
      <c r="I231" s="22">
        <v>-15.880079042101301</v>
      </c>
      <c r="J231" s="22">
        <v>27.7193537803699</v>
      </c>
      <c r="K231" s="22" t="s">
        <v>2308</v>
      </c>
      <c r="L231" s="4">
        <v>1985</v>
      </c>
      <c r="M231" s="4">
        <v>1985</v>
      </c>
      <c r="N231" s="4">
        <v>18</v>
      </c>
      <c r="O231" s="5" t="s">
        <v>2</v>
      </c>
      <c r="P231" s="5"/>
    </row>
    <row r="232" spans="1:16" ht="29">
      <c r="A232" s="32">
        <v>30</v>
      </c>
      <c r="B232" s="41" t="s">
        <v>613</v>
      </c>
      <c r="C232" s="4" t="s">
        <v>597</v>
      </c>
      <c r="D232" s="4" t="s">
        <v>2449</v>
      </c>
      <c r="E232" s="4" t="s">
        <v>2431</v>
      </c>
      <c r="F232" s="23" t="s">
        <v>621</v>
      </c>
      <c r="G232" s="23" t="s">
        <v>520</v>
      </c>
      <c r="H232" s="4" t="s">
        <v>612</v>
      </c>
      <c r="I232" s="22">
        <v>-18.8333327</v>
      </c>
      <c r="J232" s="22">
        <v>48.433332999999998</v>
      </c>
      <c r="K232" s="22" t="s">
        <v>2308</v>
      </c>
      <c r="L232" s="4">
        <v>1993</v>
      </c>
      <c r="M232" s="4">
        <v>1993</v>
      </c>
      <c r="N232" s="4">
        <v>15</v>
      </c>
      <c r="O232" s="5" t="s">
        <v>620</v>
      </c>
      <c r="P232" s="4"/>
    </row>
    <row r="233" spans="1:16" ht="29">
      <c r="A233" s="32">
        <v>30</v>
      </c>
      <c r="B233" s="41" t="s">
        <v>613</v>
      </c>
      <c r="C233" s="4" t="s">
        <v>601</v>
      </c>
      <c r="D233" s="4" t="s">
        <v>2449</v>
      </c>
      <c r="E233" s="4" t="s">
        <v>2431</v>
      </c>
      <c r="F233" s="23" t="s">
        <v>622</v>
      </c>
      <c r="G233" s="23" t="s">
        <v>520</v>
      </c>
      <c r="H233" s="4" t="s">
        <v>612</v>
      </c>
      <c r="I233" s="22">
        <v>-18.917000000000002</v>
      </c>
      <c r="J233" s="22">
        <v>48.567</v>
      </c>
      <c r="K233" s="22" t="s">
        <v>2308</v>
      </c>
      <c r="L233" s="4">
        <v>1993</v>
      </c>
      <c r="M233" s="4">
        <v>1993</v>
      </c>
      <c r="N233" s="4">
        <v>15</v>
      </c>
      <c r="O233" s="5" t="s">
        <v>620</v>
      </c>
      <c r="P233" s="4"/>
    </row>
    <row r="234" spans="1:16" ht="29">
      <c r="A234" s="32">
        <v>30</v>
      </c>
      <c r="B234" s="41" t="s">
        <v>613</v>
      </c>
      <c r="C234" s="4" t="s">
        <v>603</v>
      </c>
      <c r="D234" s="4" t="s">
        <v>2449</v>
      </c>
      <c r="E234" s="4" t="s">
        <v>2431</v>
      </c>
      <c r="F234" s="23" t="s">
        <v>623</v>
      </c>
      <c r="G234" s="23" t="s">
        <v>520</v>
      </c>
      <c r="H234" s="4" t="s">
        <v>612</v>
      </c>
      <c r="I234" s="22" t="s">
        <v>2</v>
      </c>
      <c r="J234" s="22" t="s">
        <v>2</v>
      </c>
      <c r="K234" s="22" t="s">
        <v>2308</v>
      </c>
      <c r="L234" s="4">
        <v>1993</v>
      </c>
      <c r="M234" s="4">
        <v>1993</v>
      </c>
      <c r="N234" s="4">
        <v>15</v>
      </c>
      <c r="O234" s="5" t="s">
        <v>620</v>
      </c>
      <c r="P234" s="5" t="s">
        <v>626</v>
      </c>
    </row>
    <row r="235" spans="1:16" ht="29">
      <c r="A235" s="32">
        <v>30</v>
      </c>
      <c r="B235" s="41" t="s">
        <v>613</v>
      </c>
      <c r="C235" s="4" t="s">
        <v>606</v>
      </c>
      <c r="D235" s="4" t="s">
        <v>2449</v>
      </c>
      <c r="E235" s="4" t="s">
        <v>2431</v>
      </c>
      <c r="F235" s="23" t="s">
        <v>624</v>
      </c>
      <c r="G235" s="23" t="s">
        <v>520</v>
      </c>
      <c r="H235" s="4" t="s">
        <v>612</v>
      </c>
      <c r="I235" s="22" t="s">
        <v>2</v>
      </c>
      <c r="J235" s="22" t="s">
        <v>2</v>
      </c>
      <c r="K235" s="22" t="s">
        <v>2308</v>
      </c>
      <c r="L235" s="4">
        <v>1993</v>
      </c>
      <c r="M235" s="4">
        <v>1993</v>
      </c>
      <c r="N235" s="4">
        <v>15</v>
      </c>
      <c r="O235" s="5" t="s">
        <v>620</v>
      </c>
      <c r="P235" s="5" t="s">
        <v>626</v>
      </c>
    </row>
    <row r="236" spans="1:16" ht="29">
      <c r="A236" s="32">
        <v>30</v>
      </c>
      <c r="B236" s="41" t="s">
        <v>613</v>
      </c>
      <c r="C236" s="4" t="s">
        <v>609</v>
      </c>
      <c r="D236" s="4" t="s">
        <v>2449</v>
      </c>
      <c r="E236" s="4" t="s">
        <v>2431</v>
      </c>
      <c r="F236" s="23" t="s">
        <v>625</v>
      </c>
      <c r="G236" s="23" t="s">
        <v>520</v>
      </c>
      <c r="H236" s="4" t="s">
        <v>612</v>
      </c>
      <c r="I236" s="22">
        <v>-18.885459600000001</v>
      </c>
      <c r="J236" s="22">
        <v>48.370021999999999</v>
      </c>
      <c r="K236" s="22" t="s">
        <v>2308</v>
      </c>
      <c r="L236" s="4">
        <v>1993</v>
      </c>
      <c r="M236" s="4">
        <v>1993</v>
      </c>
      <c r="N236" s="4">
        <v>15</v>
      </c>
      <c r="O236" s="5" t="s">
        <v>620</v>
      </c>
      <c r="P236" s="4"/>
    </row>
    <row r="237" spans="1:16" ht="34.5" customHeight="1">
      <c r="A237" s="163">
        <v>31</v>
      </c>
      <c r="B237" s="164" t="s">
        <v>3255</v>
      </c>
      <c r="C237" s="23" t="s">
        <v>611</v>
      </c>
      <c r="D237" s="23" t="s">
        <v>2430</v>
      </c>
      <c r="E237" s="4" t="s">
        <v>2431</v>
      </c>
      <c r="F237" s="23" t="s">
        <v>2308</v>
      </c>
      <c r="G237" s="23" t="s">
        <v>2308</v>
      </c>
      <c r="H237" s="29" t="s">
        <v>589</v>
      </c>
      <c r="I237" s="84">
        <v>7.5</v>
      </c>
      <c r="J237" s="84">
        <v>81</v>
      </c>
      <c r="K237" s="84" t="s">
        <v>2308</v>
      </c>
      <c r="L237" s="9">
        <v>1990</v>
      </c>
      <c r="M237" s="9">
        <v>1990</v>
      </c>
      <c r="N237" s="23" t="s">
        <v>2308</v>
      </c>
      <c r="O237" s="23" t="s">
        <v>2</v>
      </c>
      <c r="P237" s="25" t="s">
        <v>3254</v>
      </c>
    </row>
    <row r="238" spans="1:16" ht="30" customHeight="1">
      <c r="A238" s="163">
        <v>32</v>
      </c>
      <c r="B238" s="167" t="s">
        <v>3256</v>
      </c>
      <c r="C238" s="23" t="s">
        <v>631</v>
      </c>
      <c r="D238" s="23" t="s">
        <v>2430</v>
      </c>
      <c r="E238" s="4" t="s">
        <v>2431</v>
      </c>
      <c r="F238" s="23" t="s">
        <v>594</v>
      </c>
      <c r="G238" s="25" t="s">
        <v>592</v>
      </c>
      <c r="H238" s="29" t="s">
        <v>593</v>
      </c>
      <c r="I238" s="84">
        <v>9</v>
      </c>
      <c r="J238" s="84">
        <v>-73</v>
      </c>
      <c r="K238" s="84">
        <v>1500</v>
      </c>
      <c r="L238" s="23">
        <v>1991</v>
      </c>
      <c r="M238" s="23">
        <v>1991</v>
      </c>
      <c r="N238" s="23">
        <v>0.8</v>
      </c>
      <c r="O238" s="23" t="s">
        <v>2</v>
      </c>
      <c r="P238" s="23"/>
    </row>
    <row r="239" spans="1:16" ht="29" customHeight="1">
      <c r="A239" s="32">
        <v>33</v>
      </c>
      <c r="B239" s="41" t="s">
        <v>633</v>
      </c>
      <c r="C239" s="4" t="s">
        <v>632</v>
      </c>
      <c r="D239" s="4" t="s">
        <v>2430</v>
      </c>
      <c r="E239" s="29" t="s">
        <v>2431</v>
      </c>
      <c r="F239" s="4" t="s">
        <v>634</v>
      </c>
      <c r="G239" s="23" t="s">
        <v>635</v>
      </c>
      <c r="H239" s="29" t="s">
        <v>636</v>
      </c>
      <c r="I239" s="22">
        <v>17.121307999999999</v>
      </c>
      <c r="J239" s="22">
        <v>121.0828161</v>
      </c>
      <c r="K239" s="22" t="s">
        <v>2308</v>
      </c>
      <c r="L239" s="4">
        <v>1981</v>
      </c>
      <c r="M239" s="4">
        <v>1983</v>
      </c>
      <c r="N239" s="4" t="s">
        <v>2308</v>
      </c>
      <c r="O239" s="4" t="s">
        <v>189</v>
      </c>
      <c r="P239" s="4"/>
    </row>
    <row r="240" spans="1:16" ht="25.5" customHeight="1">
      <c r="A240" s="32">
        <v>34</v>
      </c>
      <c r="B240" s="41" t="s">
        <v>652</v>
      </c>
      <c r="C240" s="4" t="s">
        <v>651</v>
      </c>
      <c r="D240" s="4" t="s">
        <v>2430</v>
      </c>
      <c r="E240" s="29" t="s">
        <v>2431</v>
      </c>
      <c r="F240" s="4" t="s">
        <v>2308</v>
      </c>
      <c r="G240" s="4" t="s">
        <v>2308</v>
      </c>
      <c r="H240" s="29" t="s">
        <v>653</v>
      </c>
      <c r="I240" s="22">
        <v>0.77375859999999996</v>
      </c>
      <c r="J240" s="22">
        <v>111.5774689</v>
      </c>
      <c r="K240" s="22" t="s">
        <v>2308</v>
      </c>
      <c r="L240" s="4">
        <v>1975</v>
      </c>
      <c r="M240" s="4">
        <v>1975</v>
      </c>
      <c r="N240" s="4" t="s">
        <v>2308</v>
      </c>
      <c r="O240" s="4" t="s">
        <v>2</v>
      </c>
      <c r="P240" s="4"/>
    </row>
    <row r="241" spans="1:16" ht="29" customHeight="1">
      <c r="A241" s="32">
        <v>35</v>
      </c>
      <c r="B241" s="41" t="s">
        <v>658</v>
      </c>
      <c r="C241" s="4" t="s">
        <v>657</v>
      </c>
      <c r="D241" s="4" t="s">
        <v>2430</v>
      </c>
      <c r="E241" s="29" t="s">
        <v>2432</v>
      </c>
      <c r="F241" s="4" t="s">
        <v>659</v>
      </c>
      <c r="G241" s="4" t="s">
        <v>660</v>
      </c>
      <c r="H241" s="29" t="s">
        <v>661</v>
      </c>
      <c r="I241" s="22">
        <v>-1.733333</v>
      </c>
      <c r="J241" s="22">
        <v>-77.483333000000002</v>
      </c>
      <c r="K241" s="22">
        <v>3533</v>
      </c>
      <c r="L241" s="4">
        <v>1999</v>
      </c>
      <c r="M241" s="4">
        <v>2001</v>
      </c>
      <c r="N241" s="4">
        <v>0.27200679999999999</v>
      </c>
      <c r="O241" s="4" t="s">
        <v>189</v>
      </c>
      <c r="P241" s="4"/>
    </row>
    <row r="242" spans="1:16" ht="46.5" customHeight="1">
      <c r="A242" s="32">
        <v>36</v>
      </c>
      <c r="B242" s="41" t="s">
        <v>666</v>
      </c>
      <c r="C242" s="4" t="s">
        <v>665</v>
      </c>
      <c r="D242" s="4" t="s">
        <v>2430</v>
      </c>
      <c r="E242" s="29" t="s">
        <v>2431</v>
      </c>
      <c r="F242" s="40" t="s">
        <v>3250</v>
      </c>
      <c r="G242" s="4" t="s">
        <v>668</v>
      </c>
      <c r="H242" s="29" t="s">
        <v>669</v>
      </c>
      <c r="I242" s="22">
        <v>-4.95</v>
      </c>
      <c r="J242" s="22">
        <v>-73.25</v>
      </c>
      <c r="K242" s="22">
        <v>2.2999999999999998</v>
      </c>
      <c r="L242" s="4">
        <v>1994</v>
      </c>
      <c r="M242" s="4">
        <v>1995</v>
      </c>
      <c r="N242" s="4" t="s">
        <v>2308</v>
      </c>
      <c r="O242" s="4" t="s">
        <v>189</v>
      </c>
      <c r="P242" s="5" t="s">
        <v>2040</v>
      </c>
    </row>
    <row r="243" spans="1:16" ht="47" customHeight="1">
      <c r="A243" s="32">
        <v>37</v>
      </c>
      <c r="B243" s="41" t="s">
        <v>2042</v>
      </c>
      <c r="C243" s="4" t="s">
        <v>671</v>
      </c>
      <c r="D243" s="4" t="s">
        <v>2430</v>
      </c>
      <c r="E243" s="29" t="s">
        <v>2431</v>
      </c>
      <c r="F243" s="4" t="s">
        <v>673</v>
      </c>
      <c r="G243" s="4" t="s">
        <v>672</v>
      </c>
      <c r="H243" s="29" t="s">
        <v>599</v>
      </c>
      <c r="I243" s="22">
        <v>5.6666666000000001</v>
      </c>
      <c r="J243" s="22">
        <v>-7.3333329999999997</v>
      </c>
      <c r="K243" s="22" t="s">
        <v>2308</v>
      </c>
      <c r="L243" s="4">
        <v>1990</v>
      </c>
      <c r="M243" s="4">
        <v>1990</v>
      </c>
      <c r="N243" s="4" t="s">
        <v>2308</v>
      </c>
      <c r="O243" s="4" t="s">
        <v>67</v>
      </c>
      <c r="P243" s="4"/>
    </row>
    <row r="244" spans="1:16" ht="51.5" customHeight="1">
      <c r="A244" s="32">
        <v>38</v>
      </c>
      <c r="B244" s="41" t="s">
        <v>678</v>
      </c>
      <c r="C244" s="4" t="s">
        <v>677</v>
      </c>
      <c r="D244" s="4" t="s">
        <v>2430</v>
      </c>
      <c r="E244" s="29" t="s">
        <v>2431</v>
      </c>
      <c r="F244" s="4" t="s">
        <v>2308</v>
      </c>
      <c r="G244" s="4" t="s">
        <v>680</v>
      </c>
      <c r="H244" s="29" t="s">
        <v>743</v>
      </c>
      <c r="I244" s="22">
        <v>19.8333333</v>
      </c>
      <c r="J244" s="22">
        <v>102.16666666666001</v>
      </c>
      <c r="K244" s="22" t="s">
        <v>2308</v>
      </c>
      <c r="L244" s="4">
        <v>2004</v>
      </c>
      <c r="M244" s="4">
        <v>2004</v>
      </c>
      <c r="N244" s="4" t="s">
        <v>2308</v>
      </c>
      <c r="O244" s="4" t="s">
        <v>67</v>
      </c>
      <c r="P244" s="5" t="s">
        <v>2047</v>
      </c>
    </row>
    <row r="245" spans="1:16" ht="73.5" customHeight="1">
      <c r="A245" s="32">
        <v>39</v>
      </c>
      <c r="B245" s="41" t="s">
        <v>685</v>
      </c>
      <c r="C245" s="4" t="s">
        <v>684</v>
      </c>
      <c r="D245" s="4" t="s">
        <v>2430</v>
      </c>
      <c r="E245" s="29" t="s">
        <v>2431</v>
      </c>
      <c r="F245" s="4" t="s">
        <v>2308</v>
      </c>
      <c r="G245" s="4" t="s">
        <v>686</v>
      </c>
      <c r="H245" s="29" t="s">
        <v>743</v>
      </c>
      <c r="I245" s="22">
        <v>20.07</v>
      </c>
      <c r="J245" s="22">
        <v>102.62</v>
      </c>
      <c r="K245" s="22" t="s">
        <v>2308</v>
      </c>
      <c r="L245" s="4">
        <v>1991</v>
      </c>
      <c r="M245" s="4">
        <v>1992</v>
      </c>
      <c r="N245" s="4" t="s">
        <v>2308</v>
      </c>
      <c r="O245" s="4" t="s">
        <v>189</v>
      </c>
      <c r="P245" s="5" t="s">
        <v>2307</v>
      </c>
    </row>
    <row r="246" spans="1:16" ht="56" customHeight="1">
      <c r="A246" s="32">
        <v>40</v>
      </c>
      <c r="B246" s="41" t="s">
        <v>688</v>
      </c>
      <c r="C246" s="4" t="s">
        <v>687</v>
      </c>
      <c r="D246" s="4" t="s">
        <v>2430</v>
      </c>
      <c r="E246" s="29" t="s">
        <v>2431</v>
      </c>
      <c r="F246" s="4" t="s">
        <v>2308</v>
      </c>
      <c r="G246" s="4" t="s">
        <v>689</v>
      </c>
      <c r="H246" s="29" t="s">
        <v>743</v>
      </c>
      <c r="I246" s="22">
        <v>21.791531500000001</v>
      </c>
      <c r="J246" s="22">
        <v>102.102801</v>
      </c>
      <c r="K246" s="22" t="s">
        <v>2308</v>
      </c>
      <c r="L246" s="4">
        <v>2001</v>
      </c>
      <c r="M246" s="4">
        <v>2002</v>
      </c>
      <c r="N246" s="4">
        <v>8</v>
      </c>
      <c r="O246" s="4" t="s">
        <v>189</v>
      </c>
      <c r="P246" s="5" t="s">
        <v>2309</v>
      </c>
    </row>
    <row r="247" spans="1:16" ht="86" customHeight="1">
      <c r="A247" s="32">
        <v>40</v>
      </c>
      <c r="B247" s="41" t="s">
        <v>688</v>
      </c>
      <c r="C247" s="4" t="s">
        <v>690</v>
      </c>
      <c r="D247" s="4" t="s">
        <v>2430</v>
      </c>
      <c r="E247" s="29" t="s">
        <v>2431</v>
      </c>
      <c r="F247" s="4" t="s">
        <v>2308</v>
      </c>
      <c r="G247" s="4" t="s">
        <v>689</v>
      </c>
      <c r="H247" s="29" t="s">
        <v>743</v>
      </c>
      <c r="I247" s="22">
        <v>21.791531500000001</v>
      </c>
      <c r="J247" s="22">
        <v>102.102801</v>
      </c>
      <c r="K247" s="22" t="s">
        <v>2308</v>
      </c>
      <c r="L247" s="4">
        <v>1996</v>
      </c>
      <c r="M247" s="4">
        <v>1996</v>
      </c>
      <c r="N247" s="4">
        <v>8</v>
      </c>
      <c r="O247" s="4" t="s">
        <v>189</v>
      </c>
      <c r="P247" s="5" t="s">
        <v>2310</v>
      </c>
    </row>
    <row r="248" spans="1:16" ht="82.5" customHeight="1">
      <c r="A248" s="32">
        <v>41</v>
      </c>
      <c r="B248" s="41" t="s">
        <v>697</v>
      </c>
      <c r="C248" s="4" t="s">
        <v>694</v>
      </c>
      <c r="D248" s="4" t="s">
        <v>2430</v>
      </c>
      <c r="E248" s="29" t="s">
        <v>2431</v>
      </c>
      <c r="F248" s="4" t="s">
        <v>2308</v>
      </c>
      <c r="G248" s="4" t="s">
        <v>680</v>
      </c>
      <c r="H248" s="29" t="s">
        <v>743</v>
      </c>
      <c r="I248" s="22">
        <v>20.098929099999999</v>
      </c>
      <c r="J248" s="22">
        <v>102.556566</v>
      </c>
      <c r="K248" s="22" t="s">
        <v>2308</v>
      </c>
      <c r="L248" s="4">
        <v>1991</v>
      </c>
      <c r="M248" s="4">
        <v>1993</v>
      </c>
      <c r="N248" s="4" t="s">
        <v>2308</v>
      </c>
      <c r="O248" s="4" t="s">
        <v>189</v>
      </c>
      <c r="P248" s="5" t="s">
        <v>2073</v>
      </c>
    </row>
    <row r="249" spans="1:16" ht="93.5" customHeight="1">
      <c r="A249" s="32">
        <v>41</v>
      </c>
      <c r="B249" s="41" t="s">
        <v>697</v>
      </c>
      <c r="C249" s="4" t="s">
        <v>695</v>
      </c>
      <c r="D249" s="4" t="s">
        <v>2430</v>
      </c>
      <c r="E249" s="29" t="s">
        <v>2431</v>
      </c>
      <c r="F249" s="4" t="s">
        <v>2308</v>
      </c>
      <c r="G249" s="4" t="s">
        <v>680</v>
      </c>
      <c r="H249" s="29" t="s">
        <v>743</v>
      </c>
      <c r="I249" s="22">
        <v>20.098929099999999</v>
      </c>
      <c r="J249" s="22">
        <v>102.556566</v>
      </c>
      <c r="K249" s="22" t="s">
        <v>2308</v>
      </c>
      <c r="L249" s="4">
        <v>1991</v>
      </c>
      <c r="M249" s="4">
        <v>1993</v>
      </c>
      <c r="N249" s="4" t="s">
        <v>2308</v>
      </c>
      <c r="O249" s="4" t="s">
        <v>189</v>
      </c>
      <c r="P249" s="5" t="s">
        <v>2073</v>
      </c>
    </row>
    <row r="250" spans="1:16" ht="89" customHeight="1">
      <c r="A250" s="32">
        <v>41</v>
      </c>
      <c r="B250" s="41" t="s">
        <v>697</v>
      </c>
      <c r="C250" s="4" t="s">
        <v>696</v>
      </c>
      <c r="D250" s="4" t="s">
        <v>2430</v>
      </c>
      <c r="E250" s="29" t="s">
        <v>2431</v>
      </c>
      <c r="F250" s="4" t="s">
        <v>2308</v>
      </c>
      <c r="G250" s="4" t="s">
        <v>680</v>
      </c>
      <c r="H250" s="29" t="s">
        <v>743</v>
      </c>
      <c r="I250" s="22">
        <v>20.098929099999999</v>
      </c>
      <c r="J250" s="22">
        <v>102.556566</v>
      </c>
      <c r="K250" s="22" t="s">
        <v>2308</v>
      </c>
      <c r="L250" s="4">
        <v>1991</v>
      </c>
      <c r="M250" s="4">
        <v>1993</v>
      </c>
      <c r="N250" s="4" t="s">
        <v>2308</v>
      </c>
      <c r="O250" s="4" t="s">
        <v>189</v>
      </c>
      <c r="P250" s="5" t="s">
        <v>2073</v>
      </c>
    </row>
    <row r="251" spans="1:16" ht="66" customHeight="1">
      <c r="A251" s="32">
        <v>41</v>
      </c>
      <c r="B251" s="41" t="s">
        <v>697</v>
      </c>
      <c r="C251" s="4" t="s">
        <v>704</v>
      </c>
      <c r="D251" s="4" t="s">
        <v>2430</v>
      </c>
      <c r="E251" s="29" t="s">
        <v>2431</v>
      </c>
      <c r="F251" s="4" t="s">
        <v>2308</v>
      </c>
      <c r="G251" s="4" t="s">
        <v>707</v>
      </c>
      <c r="H251" s="29" t="s">
        <v>743</v>
      </c>
      <c r="I251" s="22">
        <v>20.306200400000002</v>
      </c>
      <c r="J251" s="22">
        <v>100.6674939</v>
      </c>
      <c r="K251" s="22" t="s">
        <v>2308</v>
      </c>
      <c r="L251" s="4">
        <v>1991</v>
      </c>
      <c r="M251" s="4">
        <v>1993</v>
      </c>
      <c r="N251" s="4" t="s">
        <v>2308</v>
      </c>
      <c r="O251" s="4" t="s">
        <v>189</v>
      </c>
      <c r="P251" s="5" t="s">
        <v>2073</v>
      </c>
    </row>
    <row r="252" spans="1:16" ht="80" customHeight="1">
      <c r="A252" s="32">
        <v>41</v>
      </c>
      <c r="B252" s="41" t="s">
        <v>697</v>
      </c>
      <c r="C252" s="4" t="s">
        <v>705</v>
      </c>
      <c r="D252" s="4" t="s">
        <v>2430</v>
      </c>
      <c r="E252" s="29" t="s">
        <v>2431</v>
      </c>
      <c r="F252" s="4" t="s">
        <v>2308</v>
      </c>
      <c r="G252" s="4" t="s">
        <v>707</v>
      </c>
      <c r="H252" s="29" t="s">
        <v>743</v>
      </c>
      <c r="I252" s="22">
        <v>20.306200400000002</v>
      </c>
      <c r="J252" s="22">
        <v>100.6674939</v>
      </c>
      <c r="K252" s="22" t="s">
        <v>2308</v>
      </c>
      <c r="L252" s="4">
        <v>1991</v>
      </c>
      <c r="M252" s="4">
        <v>1993</v>
      </c>
      <c r="N252" s="4" t="s">
        <v>2308</v>
      </c>
      <c r="O252" s="4" t="s">
        <v>189</v>
      </c>
      <c r="P252" s="5" t="s">
        <v>2073</v>
      </c>
    </row>
    <row r="253" spans="1:16" ht="73.5" customHeight="1">
      <c r="A253" s="32">
        <v>41</v>
      </c>
      <c r="B253" s="41" t="s">
        <v>697</v>
      </c>
      <c r="C253" s="4" t="s">
        <v>706</v>
      </c>
      <c r="D253" s="4" t="s">
        <v>2430</v>
      </c>
      <c r="E253" s="29" t="s">
        <v>2431</v>
      </c>
      <c r="F253" s="4" t="s">
        <v>2308</v>
      </c>
      <c r="G253" s="4" t="s">
        <v>707</v>
      </c>
      <c r="H253" s="29" t="s">
        <v>743</v>
      </c>
      <c r="I253" s="22">
        <v>20.306200400000002</v>
      </c>
      <c r="J253" s="22">
        <v>100.6674939</v>
      </c>
      <c r="K253" s="22" t="s">
        <v>2308</v>
      </c>
      <c r="L253" s="4">
        <v>1991</v>
      </c>
      <c r="M253" s="4">
        <v>1993</v>
      </c>
      <c r="N253" s="4" t="s">
        <v>2308</v>
      </c>
      <c r="O253" s="4" t="s">
        <v>189</v>
      </c>
      <c r="P253" s="5" t="s">
        <v>2073</v>
      </c>
    </row>
    <row r="254" spans="1:16" ht="73.5" customHeight="1">
      <c r="A254" s="32">
        <v>41</v>
      </c>
      <c r="B254" s="41" t="s">
        <v>697</v>
      </c>
      <c r="C254" s="4" t="s">
        <v>2058</v>
      </c>
      <c r="D254" s="4" t="s">
        <v>2430</v>
      </c>
      <c r="E254" s="29" t="s">
        <v>2431</v>
      </c>
      <c r="F254" s="4" t="s">
        <v>2308</v>
      </c>
      <c r="G254" s="4" t="s">
        <v>714</v>
      </c>
      <c r="H254" s="29" t="s">
        <v>743</v>
      </c>
      <c r="I254" s="22">
        <v>20.515810500000001</v>
      </c>
      <c r="J254" s="22">
        <v>101.540317</v>
      </c>
      <c r="K254" s="22" t="s">
        <v>2308</v>
      </c>
      <c r="L254" s="4">
        <v>1991</v>
      </c>
      <c r="M254" s="4">
        <v>1993</v>
      </c>
      <c r="N254" s="4" t="s">
        <v>2308</v>
      </c>
      <c r="O254" s="4" t="s">
        <v>189</v>
      </c>
      <c r="P254" s="5" t="s">
        <v>2073</v>
      </c>
    </row>
    <row r="255" spans="1:16" ht="73.5" customHeight="1">
      <c r="A255" s="32">
        <v>41</v>
      </c>
      <c r="B255" s="41" t="s">
        <v>697</v>
      </c>
      <c r="C255" s="4" t="s">
        <v>2059</v>
      </c>
      <c r="D255" s="4" t="s">
        <v>2430</v>
      </c>
      <c r="E255" s="29" t="s">
        <v>2431</v>
      </c>
      <c r="F255" s="4" t="s">
        <v>2308</v>
      </c>
      <c r="G255" s="4" t="s">
        <v>714</v>
      </c>
      <c r="H255" s="29" t="s">
        <v>743</v>
      </c>
      <c r="I255" s="22">
        <v>20.515810500000001</v>
      </c>
      <c r="J255" s="22">
        <v>101.540317</v>
      </c>
      <c r="K255" s="22" t="s">
        <v>2308</v>
      </c>
      <c r="L255" s="4">
        <v>1991</v>
      </c>
      <c r="M255" s="4">
        <v>1993</v>
      </c>
      <c r="N255" s="4" t="s">
        <v>2308</v>
      </c>
      <c r="O255" s="4" t="s">
        <v>189</v>
      </c>
      <c r="P255" s="5" t="s">
        <v>2073</v>
      </c>
    </row>
    <row r="256" spans="1:16" ht="80" customHeight="1">
      <c r="A256" s="32">
        <v>41</v>
      </c>
      <c r="B256" s="41" t="s">
        <v>697</v>
      </c>
      <c r="C256" s="4" t="s">
        <v>2060</v>
      </c>
      <c r="D256" s="4" t="s">
        <v>2430</v>
      </c>
      <c r="E256" s="29" t="s">
        <v>2431</v>
      </c>
      <c r="F256" s="4" t="s">
        <v>2308</v>
      </c>
      <c r="G256" s="4" t="s">
        <v>714</v>
      </c>
      <c r="H256" s="29" t="s">
        <v>743</v>
      </c>
      <c r="I256" s="22">
        <v>20.515810500000001</v>
      </c>
      <c r="J256" s="22">
        <v>101.540317</v>
      </c>
      <c r="K256" s="22" t="s">
        <v>2308</v>
      </c>
      <c r="L256" s="4">
        <v>1991</v>
      </c>
      <c r="M256" s="4">
        <v>1993</v>
      </c>
      <c r="N256" s="4" t="s">
        <v>2308</v>
      </c>
      <c r="O256" s="4" t="s">
        <v>189</v>
      </c>
      <c r="P256" s="5" t="s">
        <v>2073</v>
      </c>
    </row>
    <row r="257" spans="1:16" ht="45.5" customHeight="1">
      <c r="A257" s="32">
        <v>42</v>
      </c>
      <c r="B257" s="41" t="s">
        <v>712</v>
      </c>
      <c r="C257" s="4" t="s">
        <v>708</v>
      </c>
      <c r="D257" s="4" t="s">
        <v>2430</v>
      </c>
      <c r="E257" s="29" t="s">
        <v>2431</v>
      </c>
      <c r="F257" s="4" t="s">
        <v>2056</v>
      </c>
      <c r="G257" s="4" t="s">
        <v>680</v>
      </c>
      <c r="H257" s="29" t="s">
        <v>743</v>
      </c>
      <c r="I257" s="22">
        <v>19.839105199999999</v>
      </c>
      <c r="J257" s="22">
        <v>102.33638139999999</v>
      </c>
      <c r="K257" s="22" t="s">
        <v>2308</v>
      </c>
      <c r="L257" s="4">
        <v>2003</v>
      </c>
      <c r="M257" s="4">
        <v>2003</v>
      </c>
      <c r="N257" s="4" t="s">
        <v>2308</v>
      </c>
      <c r="O257" s="4" t="s">
        <v>189</v>
      </c>
      <c r="P257" s="4" t="s">
        <v>2055</v>
      </c>
    </row>
    <row r="258" spans="1:16" ht="46.5" customHeight="1">
      <c r="A258" s="32">
        <v>42</v>
      </c>
      <c r="B258" s="41" t="s">
        <v>712</v>
      </c>
      <c r="C258" s="4" t="s">
        <v>709</v>
      </c>
      <c r="D258" s="4" t="s">
        <v>2430</v>
      </c>
      <c r="E258" s="29" t="s">
        <v>2431</v>
      </c>
      <c r="F258" s="4" t="s">
        <v>713</v>
      </c>
      <c r="G258" s="4" t="s">
        <v>714</v>
      </c>
      <c r="H258" s="29" t="s">
        <v>743</v>
      </c>
      <c r="I258" s="22">
        <v>20.515810500000001</v>
      </c>
      <c r="J258" s="22">
        <v>101.540317</v>
      </c>
      <c r="K258" s="22" t="s">
        <v>2308</v>
      </c>
      <c r="L258" s="4">
        <v>2003</v>
      </c>
      <c r="M258" s="4">
        <v>2003</v>
      </c>
      <c r="N258" s="4" t="s">
        <v>2308</v>
      </c>
      <c r="O258" s="4" t="s">
        <v>189</v>
      </c>
      <c r="P258" s="4" t="s">
        <v>2055</v>
      </c>
    </row>
    <row r="259" spans="1:16" ht="39" customHeight="1">
      <c r="A259" s="32">
        <v>42</v>
      </c>
      <c r="B259" s="41" t="s">
        <v>712</v>
      </c>
      <c r="C259" s="4" t="s">
        <v>710</v>
      </c>
      <c r="D259" s="4" t="s">
        <v>2430</v>
      </c>
      <c r="E259" s="29" t="s">
        <v>2431</v>
      </c>
      <c r="F259" s="4" t="s">
        <v>2056</v>
      </c>
      <c r="G259" s="4" t="s">
        <v>680</v>
      </c>
      <c r="H259" s="29" t="s">
        <v>743</v>
      </c>
      <c r="I259" s="22">
        <v>19.839105199999999</v>
      </c>
      <c r="J259" s="22">
        <v>102.33638139999999</v>
      </c>
      <c r="K259" s="22" t="s">
        <v>2308</v>
      </c>
      <c r="L259" s="4">
        <v>2003</v>
      </c>
      <c r="M259" s="4">
        <v>2003</v>
      </c>
      <c r="N259" s="4" t="s">
        <v>2308</v>
      </c>
      <c r="O259" s="4" t="s">
        <v>189</v>
      </c>
      <c r="P259" s="4" t="s">
        <v>2055</v>
      </c>
    </row>
    <row r="260" spans="1:16" ht="54.5" customHeight="1">
      <c r="A260" s="32">
        <v>42</v>
      </c>
      <c r="B260" s="41" t="s">
        <v>712</v>
      </c>
      <c r="C260" s="4" t="s">
        <v>711</v>
      </c>
      <c r="D260" s="4" t="s">
        <v>2430</v>
      </c>
      <c r="E260" s="29" t="s">
        <v>2431</v>
      </c>
      <c r="F260" s="4" t="s">
        <v>2056</v>
      </c>
      <c r="G260" s="4" t="s">
        <v>680</v>
      </c>
      <c r="H260" s="29" t="s">
        <v>743</v>
      </c>
      <c r="I260" s="22">
        <v>19.839105199999999</v>
      </c>
      <c r="J260" s="22">
        <v>102.33638139999999</v>
      </c>
      <c r="K260" s="22" t="s">
        <v>2308</v>
      </c>
      <c r="L260" s="4">
        <v>1970</v>
      </c>
      <c r="M260" s="4">
        <v>1970</v>
      </c>
      <c r="N260" s="4" t="s">
        <v>2308</v>
      </c>
      <c r="O260" s="4" t="s">
        <v>189</v>
      </c>
      <c r="P260" s="5" t="s">
        <v>2057</v>
      </c>
    </row>
    <row r="261" spans="1:16" ht="51" customHeight="1">
      <c r="A261" s="32">
        <v>42</v>
      </c>
      <c r="B261" s="41" t="s">
        <v>712</v>
      </c>
      <c r="C261" s="12" t="s">
        <v>715</v>
      </c>
      <c r="D261" s="4" t="s">
        <v>2430</v>
      </c>
      <c r="E261" s="29" t="s">
        <v>2431</v>
      </c>
      <c r="F261" s="4" t="s">
        <v>713</v>
      </c>
      <c r="G261" s="4" t="s">
        <v>714</v>
      </c>
      <c r="H261" s="29" t="s">
        <v>743</v>
      </c>
      <c r="I261" s="22">
        <v>20.515810500000001</v>
      </c>
      <c r="J261" s="22">
        <v>101.540317</v>
      </c>
      <c r="K261" s="22" t="s">
        <v>2308</v>
      </c>
      <c r="L261" s="4">
        <v>1970</v>
      </c>
      <c r="M261" s="4">
        <v>1970</v>
      </c>
      <c r="N261" s="4" t="s">
        <v>2308</v>
      </c>
      <c r="O261" s="4" t="s">
        <v>189</v>
      </c>
      <c r="P261" s="5" t="s">
        <v>2057</v>
      </c>
    </row>
    <row r="262" spans="1:16" ht="58.5" customHeight="1">
      <c r="A262" s="32">
        <v>42</v>
      </c>
      <c r="B262" s="41" t="s">
        <v>712</v>
      </c>
      <c r="C262" s="12" t="s">
        <v>716</v>
      </c>
      <c r="D262" s="4" t="s">
        <v>2430</v>
      </c>
      <c r="E262" s="29" t="s">
        <v>2431</v>
      </c>
      <c r="F262" s="4" t="s">
        <v>2056</v>
      </c>
      <c r="G262" s="4" t="s">
        <v>680</v>
      </c>
      <c r="H262" s="29" t="s">
        <v>743</v>
      </c>
      <c r="I262" s="22">
        <v>19.839105199999999</v>
      </c>
      <c r="J262" s="22">
        <v>102.33638139999999</v>
      </c>
      <c r="K262" s="22" t="s">
        <v>2308</v>
      </c>
      <c r="L262" s="4">
        <v>1970</v>
      </c>
      <c r="M262" s="4">
        <v>1970</v>
      </c>
      <c r="N262" s="4" t="s">
        <v>2308</v>
      </c>
      <c r="O262" s="4" t="s">
        <v>189</v>
      </c>
      <c r="P262" s="5" t="s">
        <v>2057</v>
      </c>
    </row>
    <row r="263" spans="1:16" ht="58.5" customHeight="1">
      <c r="A263" s="103"/>
      <c r="B263" s="122"/>
      <c r="C263" s="45"/>
      <c r="D263" s="45"/>
      <c r="E263" s="123"/>
      <c r="F263" s="45"/>
      <c r="G263" s="45"/>
      <c r="H263" s="123"/>
      <c r="I263" s="78"/>
      <c r="J263" s="78"/>
      <c r="K263" s="78"/>
      <c r="L263" s="45"/>
      <c r="M263" s="45"/>
      <c r="N263" s="45"/>
      <c r="O263" s="45"/>
      <c r="P263" s="59"/>
    </row>
    <row r="264" spans="1:16" ht="58.5" customHeight="1">
      <c r="A264" s="103"/>
      <c r="B264" s="122"/>
      <c r="C264" s="45"/>
      <c r="D264" s="45"/>
      <c r="E264" s="123"/>
      <c r="F264" s="45"/>
      <c r="G264" s="45"/>
      <c r="H264" s="123"/>
      <c r="I264" s="78"/>
      <c r="J264" s="78"/>
      <c r="K264" s="78"/>
      <c r="L264" s="45"/>
      <c r="M264" s="45"/>
      <c r="N264" s="45"/>
      <c r="O264" s="45"/>
      <c r="P264" s="59"/>
    </row>
    <row r="265" spans="1:16" ht="58.5" customHeight="1">
      <c r="A265" s="103"/>
      <c r="B265" s="122"/>
      <c r="C265" s="45"/>
      <c r="D265" s="45"/>
      <c r="E265" s="123"/>
      <c r="F265" s="45"/>
      <c r="G265" s="45"/>
      <c r="H265" s="123"/>
      <c r="I265" s="78"/>
      <c r="J265" s="78"/>
      <c r="K265" s="78"/>
      <c r="L265" s="45"/>
      <c r="M265" s="45"/>
      <c r="N265" s="45"/>
      <c r="O265" s="45"/>
      <c r="P265" s="59"/>
    </row>
    <row r="266" spans="1:16" ht="36.5" customHeight="1">
      <c r="A266" s="32">
        <v>43</v>
      </c>
      <c r="B266" s="41" t="s">
        <v>738</v>
      </c>
      <c r="C266" s="12" t="s">
        <v>735</v>
      </c>
      <c r="D266" s="12" t="s">
        <v>2430</v>
      </c>
      <c r="E266" s="29" t="s">
        <v>2431</v>
      </c>
      <c r="F266" s="4" t="s">
        <v>739</v>
      </c>
      <c r="G266" s="4" t="s">
        <v>742</v>
      </c>
      <c r="H266" s="29" t="s">
        <v>743</v>
      </c>
      <c r="I266" s="22">
        <v>19.771062000000001</v>
      </c>
      <c r="J266" s="22">
        <v>102.1790506</v>
      </c>
      <c r="K266" s="22">
        <v>1.5</v>
      </c>
      <c r="L266" s="4">
        <v>2000</v>
      </c>
      <c r="M266" s="4">
        <v>2000</v>
      </c>
      <c r="N266" s="4" t="s">
        <v>2308</v>
      </c>
      <c r="O266" s="4" t="s">
        <v>189</v>
      </c>
      <c r="P266" s="4" t="s">
        <v>2074</v>
      </c>
    </row>
    <row r="267" spans="1:16" ht="36.5" customHeight="1">
      <c r="A267" s="32">
        <v>43</v>
      </c>
      <c r="B267" s="41" t="s">
        <v>738</v>
      </c>
      <c r="C267" s="12" t="s">
        <v>736</v>
      </c>
      <c r="D267" s="12" t="s">
        <v>2430</v>
      </c>
      <c r="E267" s="29" t="s">
        <v>2431</v>
      </c>
      <c r="F267" s="4" t="s">
        <v>740</v>
      </c>
      <c r="G267" s="4" t="s">
        <v>742</v>
      </c>
      <c r="H267" s="29" t="s">
        <v>743</v>
      </c>
      <c r="I267" s="22">
        <v>19.774985399999998</v>
      </c>
      <c r="J267" s="22">
        <v>102.184848</v>
      </c>
      <c r="K267" s="22">
        <v>1.3</v>
      </c>
      <c r="L267" s="4">
        <v>2000</v>
      </c>
      <c r="M267" s="4">
        <v>2000</v>
      </c>
      <c r="N267" s="4" t="s">
        <v>2308</v>
      </c>
      <c r="O267" s="4" t="s">
        <v>189</v>
      </c>
      <c r="P267" s="4" t="s">
        <v>2074</v>
      </c>
    </row>
    <row r="268" spans="1:16" ht="33" customHeight="1">
      <c r="A268" s="32">
        <v>43</v>
      </c>
      <c r="B268" s="41" t="s">
        <v>738</v>
      </c>
      <c r="C268" s="12" t="s">
        <v>737</v>
      </c>
      <c r="D268" s="12" t="s">
        <v>2430</v>
      </c>
      <c r="E268" s="29" t="s">
        <v>2431</v>
      </c>
      <c r="F268" s="4" t="s">
        <v>741</v>
      </c>
      <c r="G268" s="4" t="s">
        <v>742</v>
      </c>
      <c r="H268" s="29" t="s">
        <v>743</v>
      </c>
      <c r="I268" s="22">
        <v>19.695749500000002</v>
      </c>
      <c r="J268" s="22">
        <v>102.1111959</v>
      </c>
      <c r="K268" s="22">
        <v>3.3</v>
      </c>
      <c r="L268" s="4">
        <v>2000</v>
      </c>
      <c r="M268" s="4">
        <v>2000</v>
      </c>
      <c r="N268" s="4" t="s">
        <v>2308</v>
      </c>
      <c r="O268" s="4" t="s">
        <v>189</v>
      </c>
      <c r="P268" s="4" t="s">
        <v>2074</v>
      </c>
    </row>
    <row r="269" spans="1:16" ht="38" customHeight="1">
      <c r="A269" s="32">
        <v>44</v>
      </c>
      <c r="B269" s="41" t="s">
        <v>758</v>
      </c>
      <c r="C269" s="12" t="s">
        <v>757</v>
      </c>
      <c r="D269" s="12" t="s">
        <v>2430</v>
      </c>
      <c r="E269" s="29" t="s">
        <v>2431</v>
      </c>
      <c r="F269" s="12" t="s">
        <v>759</v>
      </c>
      <c r="G269" s="12" t="s">
        <v>680</v>
      </c>
      <c r="H269" s="44" t="s">
        <v>743</v>
      </c>
      <c r="I269" s="22">
        <v>20.939957700000001</v>
      </c>
      <c r="J269" s="22">
        <v>102.7594185</v>
      </c>
      <c r="K269" s="22" t="s">
        <v>2308</v>
      </c>
      <c r="L269" s="12">
        <v>2001</v>
      </c>
      <c r="M269" s="12">
        <v>2001</v>
      </c>
      <c r="N269" s="4" t="s">
        <v>2308</v>
      </c>
      <c r="O269" s="4" t="s">
        <v>189</v>
      </c>
      <c r="P269" s="4"/>
    </row>
    <row r="270" spans="1:16" ht="40" customHeight="1">
      <c r="A270" s="32">
        <v>45</v>
      </c>
      <c r="B270" s="42" t="s">
        <v>776</v>
      </c>
      <c r="C270" s="12" t="s">
        <v>763</v>
      </c>
      <c r="D270" s="12" t="s">
        <v>2430</v>
      </c>
      <c r="E270" s="4" t="s">
        <v>2432</v>
      </c>
      <c r="F270" s="4" t="s">
        <v>768</v>
      </c>
      <c r="G270" s="4" t="s">
        <v>771</v>
      </c>
      <c r="H270" s="44" t="s">
        <v>743</v>
      </c>
      <c r="I270" s="22">
        <v>20.299527999999999</v>
      </c>
      <c r="J270" s="22">
        <v>104.0488866</v>
      </c>
      <c r="K270" s="22" t="s">
        <v>2308</v>
      </c>
      <c r="L270" s="4">
        <v>1999</v>
      </c>
      <c r="M270" s="4">
        <v>1999</v>
      </c>
      <c r="N270" s="4" t="s">
        <v>2308</v>
      </c>
      <c r="O270" s="4" t="s">
        <v>189</v>
      </c>
      <c r="P270" s="4" t="s">
        <v>2077</v>
      </c>
    </row>
    <row r="271" spans="1:16" ht="42.5" customHeight="1">
      <c r="A271" s="32">
        <v>45</v>
      </c>
      <c r="B271" s="42" t="s">
        <v>776</v>
      </c>
      <c r="C271" s="12" t="s">
        <v>766</v>
      </c>
      <c r="D271" s="12" t="s">
        <v>2430</v>
      </c>
      <c r="E271" s="4" t="s">
        <v>2432</v>
      </c>
      <c r="F271" s="12" t="s">
        <v>769</v>
      </c>
      <c r="G271" s="4" t="s">
        <v>771</v>
      </c>
      <c r="H271" s="44" t="s">
        <v>743</v>
      </c>
      <c r="I271" s="22">
        <v>20.299527999999999</v>
      </c>
      <c r="J271" s="22">
        <v>104.0488866</v>
      </c>
      <c r="K271" s="22" t="s">
        <v>2308</v>
      </c>
      <c r="L271" s="4">
        <v>1999</v>
      </c>
      <c r="M271" s="4">
        <v>1999</v>
      </c>
      <c r="N271" s="4" t="s">
        <v>2308</v>
      </c>
      <c r="O271" s="4" t="s">
        <v>189</v>
      </c>
      <c r="P271" s="4" t="s">
        <v>2077</v>
      </c>
    </row>
    <row r="272" spans="1:16" ht="45.5" customHeight="1">
      <c r="A272" s="32">
        <v>45</v>
      </c>
      <c r="B272" s="42" t="s">
        <v>776</v>
      </c>
      <c r="C272" s="12" t="s">
        <v>767</v>
      </c>
      <c r="D272" s="12" t="s">
        <v>2430</v>
      </c>
      <c r="E272" s="4" t="s">
        <v>2432</v>
      </c>
      <c r="F272" s="12" t="s">
        <v>770</v>
      </c>
      <c r="G272" s="4" t="s">
        <v>771</v>
      </c>
      <c r="H272" s="44" t="s">
        <v>743</v>
      </c>
      <c r="I272" s="22">
        <v>20.299527999999999</v>
      </c>
      <c r="J272" s="22">
        <v>104.0488866</v>
      </c>
      <c r="K272" s="22" t="s">
        <v>2308</v>
      </c>
      <c r="L272" s="4">
        <v>1999</v>
      </c>
      <c r="M272" s="4">
        <v>1999</v>
      </c>
      <c r="N272" s="4" t="s">
        <v>2308</v>
      </c>
      <c r="O272" s="4" t="s">
        <v>189</v>
      </c>
      <c r="P272" s="4" t="s">
        <v>2077</v>
      </c>
    </row>
    <row r="273" spans="1:16" ht="42.5" customHeight="1">
      <c r="A273" s="32">
        <v>46</v>
      </c>
      <c r="B273" s="41" t="s">
        <v>777</v>
      </c>
      <c r="C273" s="12" t="s">
        <v>765</v>
      </c>
      <c r="D273" s="12" t="s">
        <v>2430</v>
      </c>
      <c r="E273" s="29" t="s">
        <v>2431</v>
      </c>
      <c r="F273" s="4" t="s">
        <v>778</v>
      </c>
      <c r="G273" s="4" t="s">
        <v>779</v>
      </c>
      <c r="H273" s="4" t="s">
        <v>780</v>
      </c>
      <c r="I273" s="22">
        <v>17.823548899999999</v>
      </c>
      <c r="J273" s="22">
        <v>-101.4426484</v>
      </c>
      <c r="K273" s="22">
        <v>45</v>
      </c>
      <c r="L273" s="24">
        <v>1990</v>
      </c>
      <c r="M273" s="24">
        <v>1994</v>
      </c>
      <c r="N273" s="4">
        <v>15</v>
      </c>
      <c r="O273" s="4" t="s">
        <v>189</v>
      </c>
      <c r="P273" s="5" t="s">
        <v>2251</v>
      </c>
    </row>
    <row r="274" spans="1:16" ht="39" customHeight="1">
      <c r="A274" s="32">
        <v>47</v>
      </c>
      <c r="B274" s="41" t="s">
        <v>786</v>
      </c>
      <c r="C274" s="12" t="s">
        <v>784</v>
      </c>
      <c r="D274" s="12" t="s">
        <v>2430</v>
      </c>
      <c r="E274" s="29" t="s">
        <v>2431</v>
      </c>
      <c r="F274" s="12" t="s">
        <v>787</v>
      </c>
      <c r="G274" s="12" t="s">
        <v>788</v>
      </c>
      <c r="H274" s="4" t="s">
        <v>790</v>
      </c>
      <c r="I274" s="22">
        <v>22.647969499999999</v>
      </c>
      <c r="J274" s="22">
        <v>105.95001860000001</v>
      </c>
      <c r="K274" s="22" t="s">
        <v>2308</v>
      </c>
      <c r="L274" s="4">
        <v>1995</v>
      </c>
      <c r="M274" s="4">
        <v>1995</v>
      </c>
      <c r="N274" s="4">
        <v>72</v>
      </c>
      <c r="O274" s="4" t="s">
        <v>189</v>
      </c>
      <c r="P274" s="4"/>
    </row>
    <row r="275" spans="1:16" ht="38" customHeight="1">
      <c r="A275" s="32">
        <v>47</v>
      </c>
      <c r="B275" s="41" t="s">
        <v>786</v>
      </c>
      <c r="C275" s="12" t="s">
        <v>785</v>
      </c>
      <c r="D275" s="12" t="s">
        <v>2430</v>
      </c>
      <c r="E275" s="29" t="s">
        <v>2431</v>
      </c>
      <c r="F275" s="12" t="s">
        <v>789</v>
      </c>
      <c r="G275" s="12" t="s">
        <v>788</v>
      </c>
      <c r="H275" s="4" t="s">
        <v>790</v>
      </c>
      <c r="I275" s="22">
        <v>22.431302599999999</v>
      </c>
      <c r="J275" s="22">
        <v>106.01732149999999</v>
      </c>
      <c r="K275" s="22" t="s">
        <v>2308</v>
      </c>
      <c r="L275" s="4">
        <v>1995</v>
      </c>
      <c r="M275" s="4">
        <v>1995</v>
      </c>
      <c r="N275" s="4">
        <v>72</v>
      </c>
      <c r="O275" s="4" t="s">
        <v>189</v>
      </c>
      <c r="P275" s="4"/>
    </row>
    <row r="276" spans="1:16" ht="33" customHeight="1">
      <c r="A276" s="32">
        <v>48</v>
      </c>
      <c r="B276" s="41" t="s">
        <v>800</v>
      </c>
      <c r="C276" s="12" t="s">
        <v>796</v>
      </c>
      <c r="D276" s="12" t="s">
        <v>2430</v>
      </c>
      <c r="E276" s="29" t="s">
        <v>2431</v>
      </c>
      <c r="F276" s="12" t="s">
        <v>797</v>
      </c>
      <c r="G276" s="4" t="s">
        <v>1073</v>
      </c>
      <c r="H276" s="12" t="s">
        <v>798</v>
      </c>
      <c r="I276" s="22">
        <v>1.2029251999999999</v>
      </c>
      <c r="J276" s="22">
        <v>112.0567959</v>
      </c>
      <c r="K276" s="22" t="s">
        <v>2308</v>
      </c>
      <c r="L276" s="4">
        <v>1992</v>
      </c>
      <c r="M276" s="4">
        <v>1996</v>
      </c>
      <c r="N276" s="4" t="s">
        <v>2308</v>
      </c>
      <c r="O276" s="4" t="s">
        <v>189</v>
      </c>
      <c r="P276" s="4"/>
    </row>
    <row r="277" spans="1:16" ht="36.5" customHeight="1">
      <c r="A277" s="32">
        <v>48</v>
      </c>
      <c r="B277" s="41" t="s">
        <v>800</v>
      </c>
      <c r="C277" s="4" t="s">
        <v>801</v>
      </c>
      <c r="D277" s="12" t="s">
        <v>2430</v>
      </c>
      <c r="E277" s="29" t="s">
        <v>2431</v>
      </c>
      <c r="F277" s="12" t="s">
        <v>799</v>
      </c>
      <c r="G277" s="4" t="s">
        <v>1073</v>
      </c>
      <c r="H277" s="12" t="s">
        <v>798</v>
      </c>
      <c r="I277" s="22">
        <v>1.1331169999999999</v>
      </c>
      <c r="J277" s="22">
        <v>111.6519503</v>
      </c>
      <c r="K277" s="22" t="s">
        <v>2308</v>
      </c>
      <c r="L277" s="4">
        <v>1995</v>
      </c>
      <c r="M277" s="4">
        <v>1996</v>
      </c>
      <c r="N277" s="4" t="s">
        <v>2308</v>
      </c>
      <c r="O277" s="4" t="s">
        <v>189</v>
      </c>
      <c r="P277" s="4"/>
    </row>
    <row r="278" spans="1:16" ht="67" customHeight="1">
      <c r="A278" s="32">
        <v>49</v>
      </c>
      <c r="B278" s="41" t="s">
        <v>815</v>
      </c>
      <c r="C278" s="12" t="s">
        <v>809</v>
      </c>
      <c r="D278" s="12" t="s">
        <v>2430</v>
      </c>
      <c r="E278" s="29" t="s">
        <v>2431</v>
      </c>
      <c r="F278" s="4" t="s">
        <v>816</v>
      </c>
      <c r="G278" s="4" t="s">
        <v>821</v>
      </c>
      <c r="H278" s="12" t="s">
        <v>798</v>
      </c>
      <c r="I278" s="22">
        <v>5.8859678999999998</v>
      </c>
      <c r="J278" s="22">
        <v>116.231697</v>
      </c>
      <c r="K278" s="22" t="s">
        <v>2308</v>
      </c>
      <c r="L278" s="4">
        <v>1995</v>
      </c>
      <c r="M278" s="4">
        <v>1995</v>
      </c>
      <c r="N278" s="4" t="s">
        <v>2308</v>
      </c>
      <c r="O278" s="4" t="s">
        <v>189</v>
      </c>
      <c r="P278" s="5" t="s">
        <v>2086</v>
      </c>
    </row>
    <row r="279" spans="1:16" ht="62" customHeight="1">
      <c r="A279" s="32">
        <v>49</v>
      </c>
      <c r="B279" s="41" t="s">
        <v>815</v>
      </c>
      <c r="C279" s="12" t="s">
        <v>810</v>
      </c>
      <c r="D279" s="12" t="s">
        <v>2430</v>
      </c>
      <c r="E279" s="29" t="s">
        <v>2431</v>
      </c>
      <c r="F279" s="4" t="s">
        <v>817</v>
      </c>
      <c r="G279" s="4" t="s">
        <v>821</v>
      </c>
      <c r="H279" s="12" t="s">
        <v>798</v>
      </c>
      <c r="I279" s="22">
        <v>5.8859678999999998</v>
      </c>
      <c r="J279" s="22">
        <v>116.231697</v>
      </c>
      <c r="K279" s="22" t="s">
        <v>2308</v>
      </c>
      <c r="L279" s="4">
        <v>1995</v>
      </c>
      <c r="M279" s="4">
        <v>1995</v>
      </c>
      <c r="N279" s="4" t="s">
        <v>2308</v>
      </c>
      <c r="O279" s="4" t="s">
        <v>189</v>
      </c>
      <c r="P279" s="5" t="s">
        <v>2084</v>
      </c>
    </row>
    <row r="280" spans="1:16" ht="62.5" customHeight="1">
      <c r="A280" s="32">
        <v>49</v>
      </c>
      <c r="B280" s="41" t="s">
        <v>815</v>
      </c>
      <c r="C280" s="12" t="s">
        <v>811</v>
      </c>
      <c r="D280" s="12" t="s">
        <v>2430</v>
      </c>
      <c r="E280" s="29" t="s">
        <v>2431</v>
      </c>
      <c r="F280" s="4" t="s">
        <v>818</v>
      </c>
      <c r="G280" s="4" t="s">
        <v>821</v>
      </c>
      <c r="H280" s="12" t="s">
        <v>798</v>
      </c>
      <c r="I280" s="22">
        <v>5.8859678999999998</v>
      </c>
      <c r="J280" s="22">
        <v>116.231697</v>
      </c>
      <c r="K280" s="22" t="s">
        <v>2308</v>
      </c>
      <c r="L280" s="4">
        <v>1995</v>
      </c>
      <c r="M280" s="4">
        <v>1995</v>
      </c>
      <c r="N280" s="4" t="s">
        <v>2308</v>
      </c>
      <c r="O280" s="4" t="s">
        <v>189</v>
      </c>
      <c r="P280" s="5" t="s">
        <v>2084</v>
      </c>
    </row>
    <row r="281" spans="1:16" ht="59.5" customHeight="1">
      <c r="A281" s="32">
        <v>49</v>
      </c>
      <c r="B281" s="41" t="s">
        <v>815</v>
      </c>
      <c r="C281" s="12" t="s">
        <v>812</v>
      </c>
      <c r="D281" s="12" t="s">
        <v>2430</v>
      </c>
      <c r="E281" s="29" t="s">
        <v>2431</v>
      </c>
      <c r="F281" s="4" t="s">
        <v>2085</v>
      </c>
      <c r="G281" s="4" t="s">
        <v>821</v>
      </c>
      <c r="H281" s="12" t="s">
        <v>798</v>
      </c>
      <c r="I281" s="22">
        <v>5.8859678999999998</v>
      </c>
      <c r="J281" s="22">
        <v>116.231697</v>
      </c>
      <c r="K281" s="22" t="s">
        <v>2308</v>
      </c>
      <c r="L281" s="4">
        <v>1995</v>
      </c>
      <c r="M281" s="4">
        <v>1995</v>
      </c>
      <c r="N281" s="4" t="s">
        <v>2308</v>
      </c>
      <c r="O281" s="4" t="s">
        <v>189</v>
      </c>
      <c r="P281" s="5" t="s">
        <v>2084</v>
      </c>
    </row>
    <row r="282" spans="1:16" ht="61.5" customHeight="1">
      <c r="A282" s="32">
        <v>49</v>
      </c>
      <c r="B282" s="41" t="s">
        <v>815</v>
      </c>
      <c r="C282" s="12" t="s">
        <v>813</v>
      </c>
      <c r="D282" s="12" t="s">
        <v>2430</v>
      </c>
      <c r="E282" s="29" t="s">
        <v>2431</v>
      </c>
      <c r="F282" s="4" t="s">
        <v>819</v>
      </c>
      <c r="G282" s="4" t="s">
        <v>821</v>
      </c>
      <c r="H282" s="12" t="s">
        <v>798</v>
      </c>
      <c r="I282" s="22">
        <v>5.8859678999999998</v>
      </c>
      <c r="J282" s="22">
        <v>116.231697</v>
      </c>
      <c r="K282" s="22" t="s">
        <v>2308</v>
      </c>
      <c r="L282" s="4">
        <v>1995</v>
      </c>
      <c r="M282" s="4">
        <v>1995</v>
      </c>
      <c r="N282" s="4" t="s">
        <v>2308</v>
      </c>
      <c r="O282" s="4" t="s">
        <v>189</v>
      </c>
      <c r="P282" s="5" t="s">
        <v>2084</v>
      </c>
    </row>
    <row r="283" spans="1:16" ht="66" customHeight="1">
      <c r="A283" s="32">
        <v>49</v>
      </c>
      <c r="B283" s="41" t="s">
        <v>815</v>
      </c>
      <c r="C283" s="12" t="s">
        <v>814</v>
      </c>
      <c r="D283" s="12" t="s">
        <v>2430</v>
      </c>
      <c r="E283" s="29" t="s">
        <v>2431</v>
      </c>
      <c r="F283" s="4" t="s">
        <v>820</v>
      </c>
      <c r="G283" s="4" t="s">
        <v>821</v>
      </c>
      <c r="H283" s="12" t="s">
        <v>798</v>
      </c>
      <c r="I283" s="22">
        <v>5.8859678999999998</v>
      </c>
      <c r="J283" s="22">
        <v>116.231697</v>
      </c>
      <c r="K283" s="22" t="s">
        <v>2308</v>
      </c>
      <c r="L283" s="4">
        <v>1995</v>
      </c>
      <c r="M283" s="4">
        <v>1995</v>
      </c>
      <c r="N283" s="4" t="s">
        <v>2308</v>
      </c>
      <c r="O283" s="4" t="s">
        <v>189</v>
      </c>
      <c r="P283" s="5" t="s">
        <v>2084</v>
      </c>
    </row>
    <row r="284" spans="1:16" ht="40.5" customHeight="1">
      <c r="A284" s="32">
        <v>50</v>
      </c>
      <c r="B284" s="42" t="s">
        <v>830</v>
      </c>
      <c r="C284" s="12" t="s">
        <v>829</v>
      </c>
      <c r="D284" s="12" t="s">
        <v>2430</v>
      </c>
      <c r="E284" s="29" t="s">
        <v>2431</v>
      </c>
      <c r="F284" s="4" t="s">
        <v>831</v>
      </c>
      <c r="G284" s="4" t="s">
        <v>821</v>
      </c>
      <c r="H284" s="4" t="s">
        <v>798</v>
      </c>
      <c r="I284" s="22">
        <v>5.8859678999999998</v>
      </c>
      <c r="J284" s="22">
        <v>116.231697</v>
      </c>
      <c r="K284" s="22" t="s">
        <v>2308</v>
      </c>
      <c r="L284" s="4">
        <v>1965</v>
      </c>
      <c r="M284" s="4">
        <v>1965</v>
      </c>
      <c r="N284" s="4" t="s">
        <v>2308</v>
      </c>
      <c r="O284" s="4" t="s">
        <v>189</v>
      </c>
      <c r="P284" s="5" t="s">
        <v>2092</v>
      </c>
    </row>
    <row r="285" spans="1:16" ht="28.5" customHeight="1">
      <c r="A285" s="32">
        <v>51</v>
      </c>
      <c r="B285" s="41" t="s">
        <v>834</v>
      </c>
      <c r="C285" s="12" t="s">
        <v>833</v>
      </c>
      <c r="D285" s="12" t="s">
        <v>2430</v>
      </c>
      <c r="E285" s="29" t="s">
        <v>2431</v>
      </c>
      <c r="F285" s="12" t="s">
        <v>835</v>
      </c>
      <c r="G285" s="4" t="s">
        <v>2308</v>
      </c>
      <c r="H285" s="12" t="s">
        <v>836</v>
      </c>
      <c r="I285" s="22">
        <v>15.1933358</v>
      </c>
      <c r="J285" s="22">
        <v>-84.602742500000005</v>
      </c>
      <c r="K285" s="22">
        <v>81.58</v>
      </c>
      <c r="L285" s="4">
        <v>2000</v>
      </c>
      <c r="M285" s="4">
        <v>2001</v>
      </c>
      <c r="N285" s="4" t="s">
        <v>2308</v>
      </c>
      <c r="O285" s="4" t="s">
        <v>189</v>
      </c>
      <c r="P285" s="4" t="s">
        <v>2093</v>
      </c>
    </row>
    <row r="286" spans="1:16" ht="54.5" customHeight="1">
      <c r="A286" s="32">
        <v>52</v>
      </c>
      <c r="B286" s="41" t="s">
        <v>842</v>
      </c>
      <c r="C286" s="12" t="s">
        <v>841</v>
      </c>
      <c r="D286" s="12" t="s">
        <v>2430</v>
      </c>
      <c r="E286" s="29" t="s">
        <v>2431</v>
      </c>
      <c r="F286" s="65" t="s">
        <v>843</v>
      </c>
      <c r="G286" s="12" t="s">
        <v>844</v>
      </c>
      <c r="H286" s="12" t="s">
        <v>780</v>
      </c>
      <c r="I286" s="22">
        <v>20.492525700000002</v>
      </c>
      <c r="J286" s="22">
        <v>-89.070106699999997</v>
      </c>
      <c r="K286" s="22" t="s">
        <v>2308</v>
      </c>
      <c r="L286" s="12">
        <v>1995</v>
      </c>
      <c r="M286" s="12">
        <v>1995</v>
      </c>
      <c r="N286" s="4" t="s">
        <v>2308</v>
      </c>
      <c r="O286" s="4" t="s">
        <v>189</v>
      </c>
      <c r="P286" s="5" t="s">
        <v>2097</v>
      </c>
    </row>
    <row r="287" spans="1:16" ht="34.5" customHeight="1">
      <c r="A287" s="32">
        <v>53</v>
      </c>
      <c r="B287" s="42" t="s">
        <v>850</v>
      </c>
      <c r="C287" s="12" t="s">
        <v>849</v>
      </c>
      <c r="D287" s="12" t="s">
        <v>2430</v>
      </c>
      <c r="E287" s="29" t="s">
        <v>2431</v>
      </c>
      <c r="F287" s="4" t="s">
        <v>851</v>
      </c>
      <c r="G287" s="4" t="s">
        <v>844</v>
      </c>
      <c r="H287" s="12" t="s">
        <v>780</v>
      </c>
      <c r="I287" s="22">
        <v>20.483878499999999</v>
      </c>
      <c r="J287" s="22">
        <v>-88.778742100000002</v>
      </c>
      <c r="K287" s="22" t="s">
        <v>2308</v>
      </c>
      <c r="L287" s="4">
        <v>1990</v>
      </c>
      <c r="M287" s="4">
        <v>1990</v>
      </c>
      <c r="N287" s="4" t="s">
        <v>2308</v>
      </c>
      <c r="O287" s="4" t="s">
        <v>189</v>
      </c>
      <c r="P287" s="4" t="s">
        <v>2055</v>
      </c>
    </row>
    <row r="288" spans="1:16" ht="34" customHeight="1">
      <c r="A288" s="32">
        <v>54</v>
      </c>
      <c r="B288" s="41" t="s">
        <v>855</v>
      </c>
      <c r="C288" s="12" t="s">
        <v>853</v>
      </c>
      <c r="D288" s="12" t="s">
        <v>2430</v>
      </c>
      <c r="E288" s="12" t="s">
        <v>2432</v>
      </c>
      <c r="F288" s="4" t="s">
        <v>861</v>
      </c>
      <c r="G288" s="4" t="s">
        <v>854</v>
      </c>
      <c r="H288" s="12" t="s">
        <v>780</v>
      </c>
      <c r="I288" s="22">
        <v>20.100000000000001</v>
      </c>
      <c r="J288" s="22">
        <v>-88.87</v>
      </c>
      <c r="K288" s="22" t="s">
        <v>2308</v>
      </c>
      <c r="L288" s="4">
        <v>1988</v>
      </c>
      <c r="M288" s="4">
        <v>1988</v>
      </c>
      <c r="N288" s="4" t="s">
        <v>2308</v>
      </c>
      <c r="O288" s="4" t="s">
        <v>189</v>
      </c>
      <c r="P288" s="4"/>
    </row>
    <row r="289" spans="1:16" ht="36.5" customHeight="1">
      <c r="A289" s="32">
        <v>54</v>
      </c>
      <c r="B289" s="41" t="s">
        <v>855</v>
      </c>
      <c r="C289" s="12" t="s">
        <v>856</v>
      </c>
      <c r="D289" s="12" t="s">
        <v>2430</v>
      </c>
      <c r="E289" s="12" t="s">
        <v>2432</v>
      </c>
      <c r="F289" s="4" t="s">
        <v>862</v>
      </c>
      <c r="G289" s="4" t="s">
        <v>854</v>
      </c>
      <c r="H289" s="12" t="s">
        <v>780</v>
      </c>
      <c r="I289" s="22">
        <v>20.166667</v>
      </c>
      <c r="J289" s="22">
        <v>-88.83</v>
      </c>
      <c r="K289" s="22" t="s">
        <v>2308</v>
      </c>
      <c r="L289" s="4">
        <v>1988</v>
      </c>
      <c r="M289" s="4">
        <v>1988</v>
      </c>
      <c r="N289" s="4" t="s">
        <v>2308</v>
      </c>
      <c r="O289" s="4" t="s">
        <v>189</v>
      </c>
      <c r="P289" s="4"/>
    </row>
    <row r="290" spans="1:16" ht="41" customHeight="1">
      <c r="A290" s="32">
        <v>54</v>
      </c>
      <c r="B290" s="41" t="s">
        <v>855</v>
      </c>
      <c r="C290" s="12" t="s">
        <v>857</v>
      </c>
      <c r="D290" s="12" t="s">
        <v>2430</v>
      </c>
      <c r="E290" s="12" t="s">
        <v>2432</v>
      </c>
      <c r="F290" s="4" t="s">
        <v>861</v>
      </c>
      <c r="G290" s="4" t="s">
        <v>854</v>
      </c>
      <c r="H290" s="12" t="s">
        <v>780</v>
      </c>
      <c r="I290" s="22">
        <v>20.100000000000001</v>
      </c>
      <c r="J290" s="22">
        <v>-88.87</v>
      </c>
      <c r="K290" s="22" t="s">
        <v>2308</v>
      </c>
      <c r="L290" s="12">
        <v>1994</v>
      </c>
      <c r="M290" s="12">
        <v>1994</v>
      </c>
      <c r="N290" s="4" t="s">
        <v>2308</v>
      </c>
      <c r="O290" s="4" t="s">
        <v>189</v>
      </c>
      <c r="P290" s="4"/>
    </row>
    <row r="291" spans="1:16" ht="44.5" customHeight="1">
      <c r="A291" s="32">
        <v>54</v>
      </c>
      <c r="B291" s="41" t="s">
        <v>855</v>
      </c>
      <c r="C291" s="12" t="s">
        <v>858</v>
      </c>
      <c r="D291" s="12" t="s">
        <v>2430</v>
      </c>
      <c r="E291" s="12" t="s">
        <v>2432</v>
      </c>
      <c r="F291" s="4" t="s">
        <v>862</v>
      </c>
      <c r="G291" s="4" t="s">
        <v>854</v>
      </c>
      <c r="H291" s="12" t="s">
        <v>780</v>
      </c>
      <c r="I291" s="22">
        <v>20.166667</v>
      </c>
      <c r="J291" s="22">
        <v>-88.83</v>
      </c>
      <c r="K291" s="22" t="s">
        <v>2308</v>
      </c>
      <c r="L291" s="12">
        <v>1994</v>
      </c>
      <c r="M291" s="12">
        <v>1994</v>
      </c>
      <c r="N291" s="4" t="s">
        <v>2308</v>
      </c>
      <c r="O291" s="4" t="s">
        <v>189</v>
      </c>
      <c r="P291" s="4"/>
    </row>
    <row r="292" spans="1:16" ht="43.5" customHeight="1">
      <c r="A292" s="32">
        <v>54</v>
      </c>
      <c r="B292" s="41" t="s">
        <v>855</v>
      </c>
      <c r="C292" s="12" t="s">
        <v>859</v>
      </c>
      <c r="D292" s="12" t="s">
        <v>2430</v>
      </c>
      <c r="E292" s="12" t="s">
        <v>2432</v>
      </c>
      <c r="F292" s="4" t="s">
        <v>861</v>
      </c>
      <c r="G292" s="4" t="s">
        <v>854</v>
      </c>
      <c r="H292" s="12" t="s">
        <v>780</v>
      </c>
      <c r="I292" s="22">
        <v>20.100000000000001</v>
      </c>
      <c r="J292" s="22">
        <v>-88.87</v>
      </c>
      <c r="K292" s="22" t="s">
        <v>2308</v>
      </c>
      <c r="L292" s="12">
        <v>2001</v>
      </c>
      <c r="M292" s="12">
        <v>2001</v>
      </c>
      <c r="N292" s="4" t="s">
        <v>2308</v>
      </c>
      <c r="O292" s="4" t="s">
        <v>189</v>
      </c>
      <c r="P292" s="5" t="s">
        <v>2099</v>
      </c>
    </row>
    <row r="293" spans="1:16" ht="38" customHeight="1">
      <c r="A293" s="32">
        <v>54</v>
      </c>
      <c r="B293" s="41" t="s">
        <v>855</v>
      </c>
      <c r="C293" s="12" t="s">
        <v>860</v>
      </c>
      <c r="D293" s="12" t="s">
        <v>2430</v>
      </c>
      <c r="E293" s="12" t="s">
        <v>2432</v>
      </c>
      <c r="F293" s="4" t="s">
        <v>862</v>
      </c>
      <c r="G293" s="4" t="s">
        <v>854</v>
      </c>
      <c r="H293" s="12" t="s">
        <v>780</v>
      </c>
      <c r="I293" s="22">
        <v>20.166667</v>
      </c>
      <c r="J293" s="22">
        <v>-88.83</v>
      </c>
      <c r="K293" s="22" t="s">
        <v>2308</v>
      </c>
      <c r="L293" s="12">
        <v>2001</v>
      </c>
      <c r="M293" s="12">
        <v>2001</v>
      </c>
      <c r="N293" s="4" t="s">
        <v>2308</v>
      </c>
      <c r="O293" s="4" t="s">
        <v>189</v>
      </c>
      <c r="P293" s="5" t="s">
        <v>2099</v>
      </c>
    </row>
    <row r="294" spans="1:16" ht="34.5" customHeight="1">
      <c r="A294" s="32">
        <v>55</v>
      </c>
      <c r="B294" s="41" t="s">
        <v>872</v>
      </c>
      <c r="C294" s="12" t="s">
        <v>871</v>
      </c>
      <c r="D294" s="12" t="s">
        <v>2430</v>
      </c>
      <c r="E294" s="4" t="s">
        <v>2431</v>
      </c>
      <c r="F294" s="4" t="s">
        <v>873</v>
      </c>
      <c r="G294" s="4" t="s">
        <v>874</v>
      </c>
      <c r="H294" s="4" t="s">
        <v>391</v>
      </c>
      <c r="I294" s="22">
        <v>-5.0809839999999999</v>
      </c>
      <c r="J294" s="22">
        <v>32.073554999999999</v>
      </c>
      <c r="K294" s="22" t="s">
        <v>2308</v>
      </c>
      <c r="L294" s="4">
        <v>2001</v>
      </c>
      <c r="M294" s="4">
        <v>2001</v>
      </c>
      <c r="N294" s="4">
        <v>12</v>
      </c>
      <c r="O294" s="5" t="s">
        <v>875</v>
      </c>
      <c r="P294" s="4"/>
    </row>
    <row r="295" spans="1:16" ht="34.5" customHeight="1">
      <c r="A295" s="32">
        <v>56</v>
      </c>
      <c r="B295" s="41" t="s">
        <v>884</v>
      </c>
      <c r="C295" s="12" t="s">
        <v>883</v>
      </c>
      <c r="D295" s="12" t="s">
        <v>2430</v>
      </c>
      <c r="E295" s="20" t="s">
        <v>2453</v>
      </c>
      <c r="F295" s="12" t="s">
        <v>885</v>
      </c>
      <c r="G295" s="12" t="s">
        <v>886</v>
      </c>
      <c r="H295" s="12" t="s">
        <v>429</v>
      </c>
      <c r="I295" s="22">
        <v>-11.492426116531</v>
      </c>
      <c r="J295" s="22">
        <v>31.285913680023501</v>
      </c>
      <c r="K295" s="22">
        <v>122.1</v>
      </c>
      <c r="L295" s="4">
        <v>2001</v>
      </c>
      <c r="M295" s="4">
        <v>2001</v>
      </c>
      <c r="N295" s="4">
        <v>6.18</v>
      </c>
      <c r="O295" s="4" t="s">
        <v>189</v>
      </c>
      <c r="P295" s="4" t="s">
        <v>2093</v>
      </c>
    </row>
    <row r="296" spans="1:16" ht="34.5" customHeight="1">
      <c r="A296" s="32">
        <v>56</v>
      </c>
      <c r="B296" s="41" t="s">
        <v>884</v>
      </c>
      <c r="C296" s="36" t="s">
        <v>2104</v>
      </c>
      <c r="D296" s="12" t="s">
        <v>2430</v>
      </c>
      <c r="E296" s="20" t="s">
        <v>2453</v>
      </c>
      <c r="F296" s="12" t="s">
        <v>885</v>
      </c>
      <c r="G296" s="12" t="s">
        <v>886</v>
      </c>
      <c r="H296" s="12" t="s">
        <v>429</v>
      </c>
      <c r="I296" s="22">
        <v>-11.509104311079501</v>
      </c>
      <c r="J296" s="22">
        <v>31.3015686574665</v>
      </c>
      <c r="K296" s="22">
        <v>31.9</v>
      </c>
      <c r="L296" s="4">
        <v>2001</v>
      </c>
      <c r="M296" s="4">
        <v>2001</v>
      </c>
      <c r="N296" s="4">
        <v>16.75</v>
      </c>
      <c r="O296" s="4" t="s">
        <v>189</v>
      </c>
      <c r="P296" s="4" t="s">
        <v>2093</v>
      </c>
    </row>
    <row r="297" spans="1:16" ht="34.5" customHeight="1">
      <c r="A297" s="32">
        <v>56</v>
      </c>
      <c r="B297" s="41" t="s">
        <v>884</v>
      </c>
      <c r="C297" s="36" t="s">
        <v>2105</v>
      </c>
      <c r="D297" s="12" t="s">
        <v>2430</v>
      </c>
      <c r="E297" s="20" t="s">
        <v>2453</v>
      </c>
      <c r="F297" s="12" t="s">
        <v>885</v>
      </c>
      <c r="G297" s="12" t="s">
        <v>886</v>
      </c>
      <c r="H297" s="12" t="s">
        <v>429</v>
      </c>
      <c r="I297" s="22">
        <v>-11.5171857028981</v>
      </c>
      <c r="J297" s="22">
        <v>31.326802515288598</v>
      </c>
      <c r="K297" s="22">
        <v>171.5</v>
      </c>
      <c r="L297" s="4">
        <v>2001</v>
      </c>
      <c r="M297" s="4">
        <v>2001</v>
      </c>
      <c r="N297" s="4">
        <v>4.76</v>
      </c>
      <c r="O297" s="4" t="s">
        <v>189</v>
      </c>
      <c r="P297" s="4" t="s">
        <v>2093</v>
      </c>
    </row>
    <row r="298" spans="1:16" ht="34.5" customHeight="1">
      <c r="A298" s="32">
        <v>56</v>
      </c>
      <c r="B298" s="41" t="s">
        <v>884</v>
      </c>
      <c r="C298" s="36" t="s">
        <v>2106</v>
      </c>
      <c r="D298" s="12" t="s">
        <v>2430</v>
      </c>
      <c r="E298" s="20" t="s">
        <v>2453</v>
      </c>
      <c r="F298" s="12" t="s">
        <v>885</v>
      </c>
      <c r="G298" s="12" t="s">
        <v>886</v>
      </c>
      <c r="H298" s="12" t="s">
        <v>429</v>
      </c>
      <c r="I298" s="22">
        <v>-11.5178724717953</v>
      </c>
      <c r="J298" s="22">
        <v>31.284374343124099</v>
      </c>
      <c r="K298" s="22">
        <v>96.5</v>
      </c>
      <c r="L298" s="4">
        <v>2001</v>
      </c>
      <c r="M298" s="4">
        <v>2001</v>
      </c>
      <c r="N298" s="4">
        <v>3.12</v>
      </c>
      <c r="O298" s="4" t="s">
        <v>189</v>
      </c>
      <c r="P298" s="4" t="s">
        <v>2093</v>
      </c>
    </row>
    <row r="299" spans="1:16" ht="34.5" customHeight="1">
      <c r="A299" s="32">
        <v>56</v>
      </c>
      <c r="B299" s="41" t="s">
        <v>884</v>
      </c>
      <c r="C299" s="36" t="s">
        <v>2107</v>
      </c>
      <c r="D299" s="12" t="s">
        <v>2430</v>
      </c>
      <c r="E299" s="20" t="s">
        <v>2453</v>
      </c>
      <c r="F299" s="12" t="s">
        <v>885</v>
      </c>
      <c r="G299" s="12" t="s">
        <v>886</v>
      </c>
      <c r="H299" s="12" t="s">
        <v>429</v>
      </c>
      <c r="I299" s="22">
        <v>-11.5365833543825</v>
      </c>
      <c r="J299" s="22">
        <v>31.226744079397601</v>
      </c>
      <c r="K299" s="22">
        <v>391.5</v>
      </c>
      <c r="L299" s="4">
        <v>2001</v>
      </c>
      <c r="M299" s="4">
        <v>2001</v>
      </c>
      <c r="N299" s="4">
        <v>1.97</v>
      </c>
      <c r="O299" s="4" t="s">
        <v>189</v>
      </c>
      <c r="P299" s="4" t="s">
        <v>2093</v>
      </c>
    </row>
    <row r="300" spans="1:16" ht="34.5" customHeight="1">
      <c r="A300" s="32">
        <v>56</v>
      </c>
      <c r="B300" s="41" t="s">
        <v>884</v>
      </c>
      <c r="C300" s="36" t="s">
        <v>2108</v>
      </c>
      <c r="D300" s="12" t="s">
        <v>2430</v>
      </c>
      <c r="E300" s="20" t="s">
        <v>2453</v>
      </c>
      <c r="F300" s="12" t="s">
        <v>885</v>
      </c>
      <c r="G300" s="12" t="s">
        <v>886</v>
      </c>
      <c r="H300" s="12" t="s">
        <v>429</v>
      </c>
      <c r="I300" s="22">
        <v>-11.567591538915901</v>
      </c>
      <c r="J300" s="22">
        <v>31.2459202094348</v>
      </c>
      <c r="K300" s="22">
        <v>223.8</v>
      </c>
      <c r="L300" s="4">
        <v>2001</v>
      </c>
      <c r="M300" s="4">
        <v>2001</v>
      </c>
      <c r="N300" s="4">
        <v>2.2200000000000002</v>
      </c>
      <c r="O300" s="4" t="s">
        <v>189</v>
      </c>
      <c r="P300" s="4" t="s">
        <v>2093</v>
      </c>
    </row>
    <row r="301" spans="1:16" ht="34.5" customHeight="1">
      <c r="A301" s="32">
        <v>56</v>
      </c>
      <c r="B301" s="41" t="s">
        <v>884</v>
      </c>
      <c r="C301" s="36" t="s">
        <v>2109</v>
      </c>
      <c r="D301" s="12" t="s">
        <v>2430</v>
      </c>
      <c r="E301" s="20" t="s">
        <v>2453</v>
      </c>
      <c r="F301" s="12" t="s">
        <v>885</v>
      </c>
      <c r="G301" s="12" t="s">
        <v>886</v>
      </c>
      <c r="H301" s="12" t="s">
        <v>429</v>
      </c>
      <c r="I301" s="22">
        <v>-11.6107035790767</v>
      </c>
      <c r="J301" s="22">
        <v>31.276519647301399</v>
      </c>
      <c r="K301" s="22">
        <v>60.3</v>
      </c>
      <c r="L301" s="4">
        <v>2001</v>
      </c>
      <c r="M301" s="4">
        <v>2001</v>
      </c>
      <c r="N301" s="4">
        <v>7.66</v>
      </c>
      <c r="O301" s="4" t="s">
        <v>189</v>
      </c>
      <c r="P301" s="4" t="s">
        <v>2093</v>
      </c>
    </row>
    <row r="302" spans="1:16" ht="34.5" customHeight="1">
      <c r="A302" s="32">
        <v>56</v>
      </c>
      <c r="B302" s="41" t="s">
        <v>884</v>
      </c>
      <c r="C302" s="36" t="s">
        <v>2110</v>
      </c>
      <c r="D302" s="12" t="s">
        <v>2430</v>
      </c>
      <c r="E302" s="20" t="s">
        <v>2453</v>
      </c>
      <c r="F302" s="12" t="s">
        <v>885</v>
      </c>
      <c r="G302" s="12" t="s">
        <v>886</v>
      </c>
      <c r="H302" s="12" t="s">
        <v>429</v>
      </c>
      <c r="I302" s="22">
        <v>-11.6314245859738</v>
      </c>
      <c r="J302" s="22">
        <v>31.1827076866306</v>
      </c>
      <c r="K302" s="22">
        <v>127.5</v>
      </c>
      <c r="L302" s="4">
        <v>2001</v>
      </c>
      <c r="M302" s="4">
        <v>2001</v>
      </c>
      <c r="N302" s="4">
        <v>4.1399999999999997</v>
      </c>
      <c r="O302" s="4" t="s">
        <v>189</v>
      </c>
      <c r="P302" s="4" t="s">
        <v>2093</v>
      </c>
    </row>
    <row r="303" spans="1:16" ht="34.5" customHeight="1">
      <c r="A303" s="32">
        <v>56</v>
      </c>
      <c r="B303" s="41" t="s">
        <v>884</v>
      </c>
      <c r="C303" s="36" t="s">
        <v>2111</v>
      </c>
      <c r="D303" s="12" t="s">
        <v>2430</v>
      </c>
      <c r="E303" s="20" t="s">
        <v>2453</v>
      </c>
      <c r="F303" s="12" t="s">
        <v>885</v>
      </c>
      <c r="G303" s="12" t="s">
        <v>886</v>
      </c>
      <c r="H303" s="12" t="s">
        <v>429</v>
      </c>
      <c r="I303" s="22">
        <v>-11.6412059683904</v>
      </c>
      <c r="J303" s="22">
        <v>31.276438086716698</v>
      </c>
      <c r="K303" s="22">
        <v>97.7</v>
      </c>
      <c r="L303" s="4">
        <v>2001</v>
      </c>
      <c r="M303" s="4">
        <v>2001</v>
      </c>
      <c r="N303" s="4">
        <v>5.95</v>
      </c>
      <c r="O303" s="4" t="s">
        <v>189</v>
      </c>
      <c r="P303" s="4" t="s">
        <v>2093</v>
      </c>
    </row>
    <row r="304" spans="1:16" ht="34.5" customHeight="1">
      <c r="A304" s="32">
        <v>56</v>
      </c>
      <c r="B304" s="41" t="s">
        <v>884</v>
      </c>
      <c r="C304" s="36" t="s">
        <v>2112</v>
      </c>
      <c r="D304" s="12" t="s">
        <v>2430</v>
      </c>
      <c r="E304" s="20" t="s">
        <v>2453</v>
      </c>
      <c r="F304" s="12" t="s">
        <v>885</v>
      </c>
      <c r="G304" s="12" t="s">
        <v>886</v>
      </c>
      <c r="H304" s="12" t="s">
        <v>429</v>
      </c>
      <c r="I304" s="22">
        <v>-11.5498172931767</v>
      </c>
      <c r="J304" s="22">
        <v>31.307077777484398</v>
      </c>
      <c r="K304" s="22">
        <v>67.5</v>
      </c>
      <c r="L304" s="4">
        <v>2001</v>
      </c>
      <c r="M304" s="4">
        <v>2001</v>
      </c>
      <c r="N304" s="4">
        <v>21.42</v>
      </c>
      <c r="O304" s="4" t="s">
        <v>189</v>
      </c>
      <c r="P304" s="4" t="s">
        <v>2093</v>
      </c>
    </row>
    <row r="305" spans="1:16" ht="34.5" customHeight="1">
      <c r="A305" s="32">
        <v>56</v>
      </c>
      <c r="B305" s="41" t="s">
        <v>884</v>
      </c>
      <c r="C305" s="36" t="s">
        <v>2113</v>
      </c>
      <c r="D305" s="12" t="s">
        <v>2430</v>
      </c>
      <c r="E305" s="20" t="s">
        <v>2453</v>
      </c>
      <c r="F305" s="12" t="s">
        <v>885</v>
      </c>
      <c r="G305" s="12" t="s">
        <v>886</v>
      </c>
      <c r="H305" s="12" t="s">
        <v>429</v>
      </c>
      <c r="I305" s="22">
        <v>-11.5591986768359</v>
      </c>
      <c r="J305" s="22">
        <v>31.2814082423012</v>
      </c>
      <c r="K305" s="22">
        <v>20.3</v>
      </c>
      <c r="L305" s="4">
        <v>2001</v>
      </c>
      <c r="M305" s="4">
        <v>2001</v>
      </c>
      <c r="N305" s="4">
        <v>11.12</v>
      </c>
      <c r="O305" s="4" t="s">
        <v>189</v>
      </c>
      <c r="P305" s="4" t="s">
        <v>2093</v>
      </c>
    </row>
    <row r="306" spans="1:16" ht="34.5" customHeight="1">
      <c r="A306" s="32">
        <v>56</v>
      </c>
      <c r="B306" s="41" t="s">
        <v>884</v>
      </c>
      <c r="C306" s="36" t="s">
        <v>2114</v>
      </c>
      <c r="D306" s="12" t="s">
        <v>2430</v>
      </c>
      <c r="E306" s="20" t="s">
        <v>2453</v>
      </c>
      <c r="F306" s="12" t="s">
        <v>885</v>
      </c>
      <c r="G306" s="12" t="s">
        <v>886</v>
      </c>
      <c r="H306" s="12" t="s">
        <v>429</v>
      </c>
      <c r="I306" s="22">
        <v>-11.576736592623099</v>
      </c>
      <c r="J306" s="22">
        <v>31.3023795745192</v>
      </c>
      <c r="K306" s="22">
        <v>36</v>
      </c>
      <c r="L306" s="4">
        <v>2001</v>
      </c>
      <c r="M306" s="4">
        <v>2001</v>
      </c>
      <c r="N306" s="4">
        <v>14.27</v>
      </c>
      <c r="O306" s="4" t="s">
        <v>189</v>
      </c>
      <c r="P306" s="4" t="s">
        <v>2093</v>
      </c>
    </row>
    <row r="307" spans="1:16" ht="34.5" customHeight="1">
      <c r="A307" s="32">
        <v>56</v>
      </c>
      <c r="B307" s="41" t="s">
        <v>884</v>
      </c>
      <c r="C307" s="36" t="s">
        <v>2115</v>
      </c>
      <c r="D307" s="12" t="s">
        <v>2430</v>
      </c>
      <c r="E307" s="20" t="s">
        <v>2453</v>
      </c>
      <c r="F307" s="12" t="s">
        <v>885</v>
      </c>
      <c r="G307" s="12" t="s">
        <v>886</v>
      </c>
      <c r="H307" s="12" t="s">
        <v>429</v>
      </c>
      <c r="I307" s="22">
        <v>-11.5230027462087</v>
      </c>
      <c r="J307" s="22">
        <v>31.296715673074999</v>
      </c>
      <c r="K307" s="22">
        <v>60.6</v>
      </c>
      <c r="L307" s="4">
        <v>2001</v>
      </c>
      <c r="M307" s="4">
        <v>2001</v>
      </c>
      <c r="N307" s="4" t="s">
        <v>2308</v>
      </c>
      <c r="O307" s="4" t="s">
        <v>189</v>
      </c>
      <c r="P307" s="4" t="s">
        <v>2093</v>
      </c>
    </row>
    <row r="308" spans="1:16" ht="34.5" customHeight="1">
      <c r="A308" s="32">
        <v>56</v>
      </c>
      <c r="B308" s="41" t="s">
        <v>884</v>
      </c>
      <c r="C308" s="36" t="s">
        <v>2116</v>
      </c>
      <c r="D308" s="12" t="s">
        <v>2430</v>
      </c>
      <c r="E308" s="20" t="s">
        <v>2453</v>
      </c>
      <c r="F308" s="12" t="s">
        <v>885</v>
      </c>
      <c r="G308" s="12" t="s">
        <v>886</v>
      </c>
      <c r="H308" s="12" t="s">
        <v>429</v>
      </c>
      <c r="I308" s="22">
        <v>-11.5293712322225</v>
      </c>
      <c r="J308" s="22">
        <v>31.320875285438099</v>
      </c>
      <c r="K308" s="22">
        <v>90.5</v>
      </c>
      <c r="L308" s="4">
        <v>2001</v>
      </c>
      <c r="M308" s="4">
        <v>2001</v>
      </c>
      <c r="N308" s="4">
        <v>6.27</v>
      </c>
      <c r="O308" s="4" t="s">
        <v>189</v>
      </c>
      <c r="P308" s="4" t="s">
        <v>2093</v>
      </c>
    </row>
    <row r="309" spans="1:16" ht="34.5" customHeight="1">
      <c r="A309" s="32">
        <v>56</v>
      </c>
      <c r="B309" s="41" t="s">
        <v>884</v>
      </c>
      <c r="C309" s="36" t="s">
        <v>2117</v>
      </c>
      <c r="D309" s="12" t="s">
        <v>2430</v>
      </c>
      <c r="E309" s="20" t="s">
        <v>2453</v>
      </c>
      <c r="F309" s="12" t="s">
        <v>885</v>
      </c>
      <c r="G309" s="12" t="s">
        <v>886</v>
      </c>
      <c r="H309" s="12" t="s">
        <v>429</v>
      </c>
      <c r="I309" s="22">
        <v>-11.540749268528399</v>
      </c>
      <c r="J309" s="22">
        <v>31.333471070167398</v>
      </c>
      <c r="K309" s="22">
        <v>196.7</v>
      </c>
      <c r="L309" s="4">
        <v>2001</v>
      </c>
      <c r="M309" s="4">
        <v>2001</v>
      </c>
      <c r="N309" s="4">
        <v>5.67</v>
      </c>
      <c r="O309" s="4" t="s">
        <v>189</v>
      </c>
      <c r="P309" s="4" t="s">
        <v>2093</v>
      </c>
    </row>
    <row r="310" spans="1:16" ht="34.5" customHeight="1">
      <c r="A310" s="32">
        <v>56</v>
      </c>
      <c r="B310" s="41" t="s">
        <v>884</v>
      </c>
      <c r="C310" s="36" t="s">
        <v>2118</v>
      </c>
      <c r="D310" s="12" t="s">
        <v>2430</v>
      </c>
      <c r="E310" s="20" t="s">
        <v>2453</v>
      </c>
      <c r="F310" s="12" t="s">
        <v>885</v>
      </c>
      <c r="G310" s="12" t="s">
        <v>886</v>
      </c>
      <c r="H310" s="12" t="s">
        <v>429</v>
      </c>
      <c r="I310" s="22">
        <v>-11.587525861605</v>
      </c>
      <c r="J310" s="22">
        <v>31.0712386258372</v>
      </c>
      <c r="K310" s="22">
        <v>44.6</v>
      </c>
      <c r="L310" s="4">
        <v>2001</v>
      </c>
      <c r="M310" s="4">
        <v>2001</v>
      </c>
      <c r="N310" s="4">
        <v>15.16</v>
      </c>
      <c r="O310" s="4" t="s">
        <v>189</v>
      </c>
      <c r="P310" s="4" t="s">
        <v>2093</v>
      </c>
    </row>
    <row r="311" spans="1:16" ht="34.5" customHeight="1">
      <c r="A311" s="32">
        <v>56</v>
      </c>
      <c r="B311" s="41" t="s">
        <v>884</v>
      </c>
      <c r="C311" s="36" t="s">
        <v>2119</v>
      </c>
      <c r="D311" s="12" t="s">
        <v>2430</v>
      </c>
      <c r="E311" s="20" t="s">
        <v>2453</v>
      </c>
      <c r="F311" s="12" t="s">
        <v>885</v>
      </c>
      <c r="G311" s="12" t="s">
        <v>886</v>
      </c>
      <c r="H311" s="12" t="s">
        <v>429</v>
      </c>
      <c r="I311" s="22">
        <v>-11.655467105891599</v>
      </c>
      <c r="J311" s="22">
        <v>31.035439906006602</v>
      </c>
      <c r="K311" s="22">
        <v>101.2</v>
      </c>
      <c r="L311" s="4">
        <v>2001</v>
      </c>
      <c r="M311" s="4">
        <v>2001</v>
      </c>
      <c r="N311" s="4">
        <v>4.29</v>
      </c>
      <c r="O311" s="4" t="s">
        <v>189</v>
      </c>
      <c r="P311" s="4" t="s">
        <v>2093</v>
      </c>
    </row>
    <row r="312" spans="1:16" ht="34.5" customHeight="1">
      <c r="A312" s="32">
        <v>56</v>
      </c>
      <c r="B312" s="41" t="s">
        <v>884</v>
      </c>
      <c r="C312" s="36" t="s">
        <v>2120</v>
      </c>
      <c r="D312" s="12" t="s">
        <v>2430</v>
      </c>
      <c r="E312" s="20" t="s">
        <v>2453</v>
      </c>
      <c r="F312" s="12" t="s">
        <v>885</v>
      </c>
      <c r="G312" s="12" t="s">
        <v>886</v>
      </c>
      <c r="H312" s="12" t="s">
        <v>429</v>
      </c>
      <c r="I312" s="22">
        <v>-11.649774296097</v>
      </c>
      <c r="J312" s="22">
        <v>31.109317890522298</v>
      </c>
      <c r="K312" s="22">
        <v>131.30000000000001</v>
      </c>
      <c r="L312" s="4">
        <v>2001</v>
      </c>
      <c r="M312" s="4">
        <v>2001</v>
      </c>
      <c r="N312" s="4">
        <v>3.85</v>
      </c>
      <c r="O312" s="4" t="s">
        <v>189</v>
      </c>
      <c r="P312" s="4" t="s">
        <v>2093</v>
      </c>
    </row>
    <row r="313" spans="1:16" ht="34.5" customHeight="1">
      <c r="A313" s="32">
        <v>56</v>
      </c>
      <c r="B313" s="41" t="s">
        <v>884</v>
      </c>
      <c r="C313" s="36" t="s">
        <v>2121</v>
      </c>
      <c r="D313" s="12" t="s">
        <v>2430</v>
      </c>
      <c r="E313" s="20" t="s">
        <v>2453</v>
      </c>
      <c r="F313" s="12" t="s">
        <v>885</v>
      </c>
      <c r="G313" s="12" t="s">
        <v>886</v>
      </c>
      <c r="H313" s="12" t="s">
        <v>429</v>
      </c>
      <c r="I313" s="22">
        <v>-11.6996520512901</v>
      </c>
      <c r="J313" s="22">
        <v>31.009092747872501</v>
      </c>
      <c r="K313" s="22">
        <v>70.599999999999994</v>
      </c>
      <c r="L313" s="4">
        <v>2001</v>
      </c>
      <c r="M313" s="4">
        <v>2001</v>
      </c>
      <c r="N313" s="4">
        <v>5.49</v>
      </c>
      <c r="O313" s="4" t="s">
        <v>189</v>
      </c>
      <c r="P313" s="4" t="s">
        <v>2093</v>
      </c>
    </row>
    <row r="314" spans="1:16" ht="34.5" customHeight="1">
      <c r="A314" s="32">
        <v>56</v>
      </c>
      <c r="B314" s="41" t="s">
        <v>884</v>
      </c>
      <c r="C314" s="36" t="s">
        <v>2122</v>
      </c>
      <c r="D314" s="12" t="s">
        <v>2430</v>
      </c>
      <c r="E314" s="20" t="s">
        <v>2453</v>
      </c>
      <c r="F314" s="12" t="s">
        <v>885</v>
      </c>
      <c r="G314" s="12" t="s">
        <v>886</v>
      </c>
      <c r="H314" s="12" t="s">
        <v>429</v>
      </c>
      <c r="I314" s="22">
        <v>-11.7286085747076</v>
      </c>
      <c r="J314" s="22">
        <v>31.1645873600234</v>
      </c>
      <c r="K314" s="22">
        <v>318.10000000000002</v>
      </c>
      <c r="L314" s="4">
        <v>2001</v>
      </c>
      <c r="M314" s="4">
        <v>2001</v>
      </c>
      <c r="N314" s="4">
        <v>1.03</v>
      </c>
      <c r="O314" s="4" t="s">
        <v>189</v>
      </c>
      <c r="P314" s="4" t="s">
        <v>2093</v>
      </c>
    </row>
    <row r="315" spans="1:16" ht="34.5" customHeight="1">
      <c r="A315" s="32">
        <v>56</v>
      </c>
      <c r="B315" s="41" t="s">
        <v>884</v>
      </c>
      <c r="C315" s="36" t="s">
        <v>2123</v>
      </c>
      <c r="D315" s="12" t="s">
        <v>2430</v>
      </c>
      <c r="E315" s="20" t="s">
        <v>2453</v>
      </c>
      <c r="F315" s="12" t="s">
        <v>885</v>
      </c>
      <c r="G315" s="12" t="s">
        <v>886</v>
      </c>
      <c r="H315" s="12" t="s">
        <v>429</v>
      </c>
      <c r="I315" s="22">
        <v>-11.7938790289416</v>
      </c>
      <c r="J315" s="22">
        <v>30.9438719880497</v>
      </c>
      <c r="K315" s="22">
        <v>45.3</v>
      </c>
      <c r="L315" s="4">
        <v>2001</v>
      </c>
      <c r="M315" s="4">
        <v>2001</v>
      </c>
      <c r="N315" s="4">
        <v>3.84</v>
      </c>
      <c r="O315" s="4" t="s">
        <v>189</v>
      </c>
      <c r="P315" s="4" t="s">
        <v>2093</v>
      </c>
    </row>
    <row r="316" spans="1:16" ht="34.5" customHeight="1">
      <c r="A316" s="32">
        <v>56</v>
      </c>
      <c r="B316" s="41" t="s">
        <v>884</v>
      </c>
      <c r="C316" s="36" t="s">
        <v>2124</v>
      </c>
      <c r="D316" s="12" t="s">
        <v>2430</v>
      </c>
      <c r="E316" s="20" t="s">
        <v>2453</v>
      </c>
      <c r="F316" s="12" t="s">
        <v>885</v>
      </c>
      <c r="G316" s="12" t="s">
        <v>886</v>
      </c>
      <c r="H316" s="12" t="s">
        <v>429</v>
      </c>
      <c r="I316" s="22">
        <v>-11.7147095623396</v>
      </c>
      <c r="J316" s="22">
        <v>31.272104993970299</v>
      </c>
      <c r="K316" s="22">
        <v>108.7</v>
      </c>
      <c r="L316" s="4">
        <v>2001</v>
      </c>
      <c r="M316" s="4">
        <v>2001</v>
      </c>
      <c r="N316" s="4">
        <v>4.74</v>
      </c>
      <c r="O316" s="4" t="s">
        <v>189</v>
      </c>
      <c r="P316" s="4" t="s">
        <v>2093</v>
      </c>
    </row>
    <row r="317" spans="1:16" ht="34.5" customHeight="1">
      <c r="A317" s="32">
        <v>56</v>
      </c>
      <c r="B317" s="41" t="s">
        <v>884</v>
      </c>
      <c r="C317" s="36" t="s">
        <v>2125</v>
      </c>
      <c r="D317" s="12" t="s">
        <v>2430</v>
      </c>
      <c r="E317" s="20" t="s">
        <v>2453</v>
      </c>
      <c r="F317" s="12" t="s">
        <v>885</v>
      </c>
      <c r="G317" s="12" t="s">
        <v>886</v>
      </c>
      <c r="H317" s="12" t="s">
        <v>429</v>
      </c>
      <c r="I317" s="22">
        <v>-11.776184326327501</v>
      </c>
      <c r="J317" s="22">
        <v>31.242800110637202</v>
      </c>
      <c r="K317" s="22">
        <v>139.9</v>
      </c>
      <c r="L317" s="4">
        <v>2001</v>
      </c>
      <c r="M317" s="4">
        <v>2001</v>
      </c>
      <c r="N317" s="4">
        <v>4.46</v>
      </c>
      <c r="O317" s="4" t="s">
        <v>189</v>
      </c>
      <c r="P317" s="4" t="s">
        <v>2093</v>
      </c>
    </row>
    <row r="318" spans="1:16" ht="34.5" customHeight="1">
      <c r="A318" s="32">
        <v>56</v>
      </c>
      <c r="B318" s="41" t="s">
        <v>884</v>
      </c>
      <c r="C318" s="36" t="s">
        <v>2126</v>
      </c>
      <c r="D318" s="12" t="s">
        <v>2430</v>
      </c>
      <c r="E318" s="20" t="s">
        <v>2453</v>
      </c>
      <c r="F318" s="12" t="s">
        <v>885</v>
      </c>
      <c r="G318" s="12" t="s">
        <v>886</v>
      </c>
      <c r="H318" s="12" t="s">
        <v>429</v>
      </c>
      <c r="I318" s="22">
        <v>-11.7910654021347</v>
      </c>
      <c r="J318" s="22">
        <v>31.268037392952401</v>
      </c>
      <c r="K318" s="22">
        <v>22.7</v>
      </c>
      <c r="L318" s="4">
        <v>2001</v>
      </c>
      <c r="M318" s="4">
        <v>2001</v>
      </c>
      <c r="N318" s="4">
        <v>23.88</v>
      </c>
      <c r="O318" s="4" t="s">
        <v>189</v>
      </c>
      <c r="P318" s="4" t="s">
        <v>2093</v>
      </c>
    </row>
    <row r="319" spans="1:16" ht="34.5" customHeight="1">
      <c r="A319" s="32">
        <v>56</v>
      </c>
      <c r="B319" s="41" t="s">
        <v>884</v>
      </c>
      <c r="C319" s="36" t="s">
        <v>2127</v>
      </c>
      <c r="D319" s="12" t="s">
        <v>2430</v>
      </c>
      <c r="E319" s="20" t="s">
        <v>2453</v>
      </c>
      <c r="F319" s="12" t="s">
        <v>885</v>
      </c>
      <c r="G319" s="12" t="s">
        <v>886</v>
      </c>
      <c r="H319" s="12" t="s">
        <v>429</v>
      </c>
      <c r="I319" s="22">
        <v>-11.841826252264701</v>
      </c>
      <c r="J319" s="22">
        <v>31.214310500460499</v>
      </c>
      <c r="K319" s="22">
        <v>45.1</v>
      </c>
      <c r="L319" s="4">
        <v>2001</v>
      </c>
      <c r="M319" s="4">
        <v>2001</v>
      </c>
      <c r="N319" s="4">
        <v>7.94</v>
      </c>
      <c r="O319" s="4" t="s">
        <v>189</v>
      </c>
      <c r="P319" s="4" t="s">
        <v>2093</v>
      </c>
    </row>
    <row r="320" spans="1:16" ht="34.5" customHeight="1">
      <c r="A320" s="32">
        <v>56</v>
      </c>
      <c r="B320" s="41" t="s">
        <v>884</v>
      </c>
      <c r="C320" s="36" t="s">
        <v>2128</v>
      </c>
      <c r="D320" s="12" t="s">
        <v>2430</v>
      </c>
      <c r="E320" s="20" t="s">
        <v>2453</v>
      </c>
      <c r="F320" s="12" t="s">
        <v>885</v>
      </c>
      <c r="G320" s="12" t="s">
        <v>886</v>
      </c>
      <c r="H320" s="12" t="s">
        <v>429</v>
      </c>
      <c r="I320" s="22">
        <v>-11.880896787207</v>
      </c>
      <c r="J320" s="22">
        <v>31.257529328508699</v>
      </c>
      <c r="K320" s="22">
        <v>44.7</v>
      </c>
      <c r="L320" s="4">
        <v>2001</v>
      </c>
      <c r="M320" s="4">
        <v>2001</v>
      </c>
      <c r="N320" s="4">
        <v>8.81</v>
      </c>
      <c r="O320" s="4" t="s">
        <v>189</v>
      </c>
      <c r="P320" s="4" t="s">
        <v>2093</v>
      </c>
    </row>
    <row r="321" spans="1:16" ht="34.5" customHeight="1">
      <c r="A321" s="32">
        <v>56</v>
      </c>
      <c r="B321" s="41" t="s">
        <v>884</v>
      </c>
      <c r="C321" s="36" t="s">
        <v>2129</v>
      </c>
      <c r="D321" s="12" t="s">
        <v>2430</v>
      </c>
      <c r="E321" s="20" t="s">
        <v>2453</v>
      </c>
      <c r="F321" s="12" t="s">
        <v>885</v>
      </c>
      <c r="G321" s="12" t="s">
        <v>886</v>
      </c>
      <c r="H321" s="12" t="s">
        <v>429</v>
      </c>
      <c r="I321" s="22">
        <v>-11.492426116531</v>
      </c>
      <c r="J321" s="22">
        <v>31.285913680023501</v>
      </c>
      <c r="K321" s="22">
        <v>122.1</v>
      </c>
      <c r="L321" s="39">
        <v>1994</v>
      </c>
      <c r="M321" s="39">
        <v>1994</v>
      </c>
      <c r="N321" s="4">
        <v>2.76</v>
      </c>
      <c r="O321" s="4" t="s">
        <v>189</v>
      </c>
      <c r="P321" s="4" t="s">
        <v>2093</v>
      </c>
    </row>
    <row r="322" spans="1:16" ht="34.5" customHeight="1">
      <c r="A322" s="32">
        <v>56</v>
      </c>
      <c r="B322" s="41" t="s">
        <v>884</v>
      </c>
      <c r="C322" s="36" t="s">
        <v>2130</v>
      </c>
      <c r="D322" s="12" t="s">
        <v>2430</v>
      </c>
      <c r="E322" s="20" t="s">
        <v>2453</v>
      </c>
      <c r="F322" s="12" t="s">
        <v>885</v>
      </c>
      <c r="G322" s="12" t="s">
        <v>886</v>
      </c>
      <c r="H322" s="12" t="s">
        <v>429</v>
      </c>
      <c r="I322" s="22">
        <v>-11.509104311079501</v>
      </c>
      <c r="J322" s="22">
        <v>31.3015686574665</v>
      </c>
      <c r="K322" s="22">
        <v>31.9</v>
      </c>
      <c r="L322" s="39">
        <v>1994</v>
      </c>
      <c r="M322" s="39">
        <v>1994</v>
      </c>
      <c r="N322" s="4">
        <v>6.17</v>
      </c>
      <c r="O322" s="4" t="s">
        <v>189</v>
      </c>
      <c r="P322" s="4" t="s">
        <v>2093</v>
      </c>
    </row>
    <row r="323" spans="1:16" ht="34.5" customHeight="1">
      <c r="A323" s="32">
        <v>56</v>
      </c>
      <c r="B323" s="41" t="s">
        <v>884</v>
      </c>
      <c r="C323" s="36" t="s">
        <v>2131</v>
      </c>
      <c r="D323" s="12" t="s">
        <v>2430</v>
      </c>
      <c r="E323" s="20" t="s">
        <v>2453</v>
      </c>
      <c r="F323" s="12" t="s">
        <v>885</v>
      </c>
      <c r="G323" s="12" t="s">
        <v>886</v>
      </c>
      <c r="H323" s="12" t="s">
        <v>429</v>
      </c>
      <c r="I323" s="22">
        <v>-11.5171857028981</v>
      </c>
      <c r="J323" s="22">
        <v>31.326802515288598</v>
      </c>
      <c r="K323" s="22">
        <v>171.5</v>
      </c>
      <c r="L323" s="39">
        <v>1994</v>
      </c>
      <c r="M323" s="39">
        <v>1994</v>
      </c>
      <c r="N323" s="4">
        <v>4.91</v>
      </c>
      <c r="O323" s="4" t="s">
        <v>189</v>
      </c>
      <c r="P323" s="4" t="s">
        <v>2093</v>
      </c>
    </row>
    <row r="324" spans="1:16" ht="34.5" customHeight="1">
      <c r="A324" s="32">
        <v>56</v>
      </c>
      <c r="B324" s="41" t="s">
        <v>884</v>
      </c>
      <c r="C324" s="36" t="s">
        <v>2132</v>
      </c>
      <c r="D324" s="12" t="s">
        <v>2430</v>
      </c>
      <c r="E324" s="20" t="s">
        <v>2453</v>
      </c>
      <c r="F324" s="12" t="s">
        <v>885</v>
      </c>
      <c r="G324" s="12" t="s">
        <v>886</v>
      </c>
      <c r="H324" s="12" t="s">
        <v>429</v>
      </c>
      <c r="I324" s="22">
        <v>-11.5178724717953</v>
      </c>
      <c r="J324" s="22">
        <v>31.284374343124099</v>
      </c>
      <c r="K324" s="22">
        <v>96.5</v>
      </c>
      <c r="L324" s="39">
        <v>1994</v>
      </c>
      <c r="M324" s="39">
        <v>1994</v>
      </c>
      <c r="N324" s="4">
        <v>3.28</v>
      </c>
      <c r="O324" s="4" t="s">
        <v>189</v>
      </c>
      <c r="P324" s="4" t="s">
        <v>2093</v>
      </c>
    </row>
    <row r="325" spans="1:16" ht="34.5" customHeight="1">
      <c r="A325" s="32">
        <v>56</v>
      </c>
      <c r="B325" s="41" t="s">
        <v>884</v>
      </c>
      <c r="C325" s="36" t="s">
        <v>2133</v>
      </c>
      <c r="D325" s="12" t="s">
        <v>2430</v>
      </c>
      <c r="E325" s="20" t="s">
        <v>2453</v>
      </c>
      <c r="F325" s="12" t="s">
        <v>885</v>
      </c>
      <c r="G325" s="12" t="s">
        <v>886</v>
      </c>
      <c r="H325" s="12" t="s">
        <v>429</v>
      </c>
      <c r="I325" s="22">
        <v>-11.5365833543825</v>
      </c>
      <c r="J325" s="22">
        <v>31.226744079397601</v>
      </c>
      <c r="K325" s="22">
        <v>391.5</v>
      </c>
      <c r="L325" s="39">
        <v>1994</v>
      </c>
      <c r="M325" s="39">
        <v>1994</v>
      </c>
      <c r="N325" s="4">
        <v>1.88</v>
      </c>
      <c r="O325" s="4" t="s">
        <v>189</v>
      </c>
      <c r="P325" s="4" t="s">
        <v>2093</v>
      </c>
    </row>
    <row r="326" spans="1:16" ht="34.5" customHeight="1">
      <c r="A326" s="32">
        <v>56</v>
      </c>
      <c r="B326" s="41" t="s">
        <v>884</v>
      </c>
      <c r="C326" s="36" t="s">
        <v>2134</v>
      </c>
      <c r="D326" s="12" t="s">
        <v>2430</v>
      </c>
      <c r="E326" s="20" t="s">
        <v>2453</v>
      </c>
      <c r="F326" s="12" t="s">
        <v>885</v>
      </c>
      <c r="G326" s="12" t="s">
        <v>886</v>
      </c>
      <c r="H326" s="12" t="s">
        <v>429</v>
      </c>
      <c r="I326" s="22">
        <v>-11.567591538915901</v>
      </c>
      <c r="J326" s="22">
        <v>31.2459202094348</v>
      </c>
      <c r="K326" s="22">
        <v>223.8</v>
      </c>
      <c r="L326" s="39">
        <v>1994</v>
      </c>
      <c r="M326" s="39">
        <v>1994</v>
      </c>
      <c r="N326" s="4">
        <v>1.93</v>
      </c>
      <c r="O326" s="4" t="s">
        <v>189</v>
      </c>
      <c r="P326" s="4" t="s">
        <v>2093</v>
      </c>
    </row>
    <row r="327" spans="1:16" ht="34.5" customHeight="1">
      <c r="A327" s="32">
        <v>56</v>
      </c>
      <c r="B327" s="41" t="s">
        <v>884</v>
      </c>
      <c r="C327" s="36" t="s">
        <v>2135</v>
      </c>
      <c r="D327" s="12" t="s">
        <v>2430</v>
      </c>
      <c r="E327" s="20" t="s">
        <v>2453</v>
      </c>
      <c r="F327" s="12" t="s">
        <v>885</v>
      </c>
      <c r="G327" s="12" t="s">
        <v>886</v>
      </c>
      <c r="H327" s="12" t="s">
        <v>429</v>
      </c>
      <c r="I327" s="22">
        <v>-11.6107035790767</v>
      </c>
      <c r="J327" s="22">
        <v>31.276519647301399</v>
      </c>
      <c r="K327" s="22">
        <v>60.3</v>
      </c>
      <c r="L327" s="39">
        <v>1994</v>
      </c>
      <c r="M327" s="39">
        <v>1994</v>
      </c>
      <c r="N327" s="4">
        <v>6.8</v>
      </c>
      <c r="O327" s="4" t="s">
        <v>189</v>
      </c>
      <c r="P327" s="4" t="s">
        <v>2093</v>
      </c>
    </row>
    <row r="328" spans="1:16" ht="34.5" customHeight="1">
      <c r="A328" s="32">
        <v>56</v>
      </c>
      <c r="B328" s="41" t="s">
        <v>884</v>
      </c>
      <c r="C328" s="36" t="s">
        <v>2136</v>
      </c>
      <c r="D328" s="12" t="s">
        <v>2430</v>
      </c>
      <c r="E328" s="20" t="s">
        <v>2453</v>
      </c>
      <c r="F328" s="12" t="s">
        <v>885</v>
      </c>
      <c r="G328" s="12" t="s">
        <v>886</v>
      </c>
      <c r="H328" s="12" t="s">
        <v>429</v>
      </c>
      <c r="I328" s="22">
        <v>-11.6314245859738</v>
      </c>
      <c r="J328" s="22">
        <v>31.1827076866306</v>
      </c>
      <c r="K328" s="22">
        <v>127.5</v>
      </c>
      <c r="L328" s="39">
        <v>1994</v>
      </c>
      <c r="M328" s="39">
        <v>1994</v>
      </c>
      <c r="N328" s="4">
        <v>3.79</v>
      </c>
      <c r="O328" s="4" t="s">
        <v>189</v>
      </c>
      <c r="P328" s="4" t="s">
        <v>2093</v>
      </c>
    </row>
    <row r="329" spans="1:16" ht="34.5" customHeight="1">
      <c r="A329" s="32">
        <v>56</v>
      </c>
      <c r="B329" s="41" t="s">
        <v>884</v>
      </c>
      <c r="C329" s="36" t="s">
        <v>2137</v>
      </c>
      <c r="D329" s="12" t="s">
        <v>2430</v>
      </c>
      <c r="E329" s="20" t="s">
        <v>2453</v>
      </c>
      <c r="F329" s="12" t="s">
        <v>885</v>
      </c>
      <c r="G329" s="12" t="s">
        <v>886</v>
      </c>
      <c r="H329" s="12" t="s">
        <v>429</v>
      </c>
      <c r="I329" s="22">
        <v>-11.6412059683904</v>
      </c>
      <c r="J329" s="22">
        <v>31.276438086716698</v>
      </c>
      <c r="K329" s="22">
        <v>97.7</v>
      </c>
      <c r="L329" s="39">
        <v>1994</v>
      </c>
      <c r="M329" s="39">
        <v>1994</v>
      </c>
      <c r="N329" s="4">
        <v>5.18</v>
      </c>
      <c r="O329" s="4" t="s">
        <v>189</v>
      </c>
      <c r="P329" s="4" t="s">
        <v>2093</v>
      </c>
    </row>
    <row r="330" spans="1:16" ht="34.5" customHeight="1">
      <c r="A330" s="32">
        <v>56</v>
      </c>
      <c r="B330" s="41" t="s">
        <v>884</v>
      </c>
      <c r="C330" s="36" t="s">
        <v>2138</v>
      </c>
      <c r="D330" s="12" t="s">
        <v>2430</v>
      </c>
      <c r="E330" s="20" t="s">
        <v>2453</v>
      </c>
      <c r="F330" s="12" t="s">
        <v>885</v>
      </c>
      <c r="G330" s="12" t="s">
        <v>886</v>
      </c>
      <c r="H330" s="12" t="s">
        <v>429</v>
      </c>
      <c r="I330" s="22">
        <v>-11.5498172931767</v>
      </c>
      <c r="J330" s="22">
        <v>31.307077777484398</v>
      </c>
      <c r="K330" s="22">
        <v>67.5</v>
      </c>
      <c r="L330" s="39">
        <v>1994</v>
      </c>
      <c r="M330" s="39">
        <v>1994</v>
      </c>
      <c r="N330" s="4">
        <v>9.23</v>
      </c>
      <c r="O330" s="4" t="s">
        <v>189</v>
      </c>
      <c r="P330" s="4" t="s">
        <v>2093</v>
      </c>
    </row>
    <row r="331" spans="1:16" ht="34.5" customHeight="1">
      <c r="A331" s="32">
        <v>56</v>
      </c>
      <c r="B331" s="41" t="s">
        <v>884</v>
      </c>
      <c r="C331" s="36" t="s">
        <v>2139</v>
      </c>
      <c r="D331" s="12" t="s">
        <v>2430</v>
      </c>
      <c r="E331" s="20" t="s">
        <v>2453</v>
      </c>
      <c r="F331" s="12" t="s">
        <v>885</v>
      </c>
      <c r="G331" s="12" t="s">
        <v>886</v>
      </c>
      <c r="H331" s="12" t="s">
        <v>429</v>
      </c>
      <c r="I331" s="22">
        <v>-11.5591986768359</v>
      </c>
      <c r="J331" s="22">
        <v>31.2814082423012</v>
      </c>
      <c r="K331" s="22">
        <v>20.3</v>
      </c>
      <c r="L331" s="39">
        <v>1994</v>
      </c>
      <c r="M331" s="39">
        <v>1994</v>
      </c>
      <c r="N331" s="4">
        <v>14.22</v>
      </c>
      <c r="O331" s="4" t="s">
        <v>189</v>
      </c>
      <c r="P331" s="4" t="s">
        <v>2093</v>
      </c>
    </row>
    <row r="332" spans="1:16" ht="34.5" customHeight="1">
      <c r="A332" s="32">
        <v>56</v>
      </c>
      <c r="B332" s="41" t="s">
        <v>884</v>
      </c>
      <c r="C332" s="36" t="s">
        <v>2140</v>
      </c>
      <c r="D332" s="12" t="s">
        <v>2430</v>
      </c>
      <c r="E332" s="20" t="s">
        <v>2453</v>
      </c>
      <c r="F332" s="12" t="s">
        <v>885</v>
      </c>
      <c r="G332" s="12" t="s">
        <v>886</v>
      </c>
      <c r="H332" s="12" t="s">
        <v>429</v>
      </c>
      <c r="I332" s="22">
        <v>-11.576736592623099</v>
      </c>
      <c r="J332" s="22">
        <v>31.3023795745192</v>
      </c>
      <c r="K332" s="22">
        <v>36</v>
      </c>
      <c r="L332" s="39">
        <v>1994</v>
      </c>
      <c r="M332" s="39">
        <v>1994</v>
      </c>
      <c r="N332" s="4">
        <v>11.58</v>
      </c>
      <c r="O332" s="4" t="s">
        <v>189</v>
      </c>
      <c r="P332" s="4" t="s">
        <v>2093</v>
      </c>
    </row>
    <row r="333" spans="1:16" ht="34.5" customHeight="1">
      <c r="A333" s="32">
        <v>56</v>
      </c>
      <c r="B333" s="41" t="s">
        <v>884</v>
      </c>
      <c r="C333" s="36" t="s">
        <v>2141</v>
      </c>
      <c r="D333" s="12" t="s">
        <v>2430</v>
      </c>
      <c r="E333" s="20" t="s">
        <v>2453</v>
      </c>
      <c r="F333" s="12" t="s">
        <v>885</v>
      </c>
      <c r="G333" s="12" t="s">
        <v>886</v>
      </c>
      <c r="H333" s="12" t="s">
        <v>429</v>
      </c>
      <c r="I333" s="22">
        <v>-11.5230027462087</v>
      </c>
      <c r="J333" s="22">
        <v>31.296715673074999</v>
      </c>
      <c r="K333" s="22">
        <v>60.6</v>
      </c>
      <c r="L333" s="39">
        <v>1994</v>
      </c>
      <c r="M333" s="39">
        <v>1994</v>
      </c>
      <c r="N333" s="4">
        <v>6.38</v>
      </c>
      <c r="O333" s="4" t="s">
        <v>189</v>
      </c>
      <c r="P333" s="4" t="s">
        <v>2093</v>
      </c>
    </row>
    <row r="334" spans="1:16" ht="34.5" customHeight="1">
      <c r="A334" s="32">
        <v>56</v>
      </c>
      <c r="B334" s="41" t="s">
        <v>884</v>
      </c>
      <c r="C334" s="36" t="s">
        <v>2142</v>
      </c>
      <c r="D334" s="12" t="s">
        <v>2430</v>
      </c>
      <c r="E334" s="20" t="s">
        <v>2453</v>
      </c>
      <c r="F334" s="12" t="s">
        <v>885</v>
      </c>
      <c r="G334" s="12" t="s">
        <v>886</v>
      </c>
      <c r="H334" s="12" t="s">
        <v>429</v>
      </c>
      <c r="I334" s="22">
        <v>-11.5293712322225</v>
      </c>
      <c r="J334" s="22">
        <v>31.320875285438099</v>
      </c>
      <c r="K334" s="22">
        <v>90.5</v>
      </c>
      <c r="L334" s="39">
        <v>1994</v>
      </c>
      <c r="M334" s="39">
        <v>1994</v>
      </c>
      <c r="N334" s="4">
        <v>4.97</v>
      </c>
      <c r="O334" s="4" t="s">
        <v>189</v>
      </c>
      <c r="P334" s="4" t="s">
        <v>2093</v>
      </c>
    </row>
    <row r="335" spans="1:16" ht="34.5" customHeight="1">
      <c r="A335" s="32">
        <v>56</v>
      </c>
      <c r="B335" s="41" t="s">
        <v>884</v>
      </c>
      <c r="C335" s="36" t="s">
        <v>2143</v>
      </c>
      <c r="D335" s="12" t="s">
        <v>2430</v>
      </c>
      <c r="E335" s="20" t="s">
        <v>2453</v>
      </c>
      <c r="F335" s="12" t="s">
        <v>885</v>
      </c>
      <c r="G335" s="12" t="s">
        <v>886</v>
      </c>
      <c r="H335" s="12" t="s">
        <v>429</v>
      </c>
      <c r="I335" s="22">
        <v>-11.540749268528399</v>
      </c>
      <c r="J335" s="22">
        <v>31.333471070167398</v>
      </c>
      <c r="K335" s="22">
        <v>196.7</v>
      </c>
      <c r="L335" s="39">
        <v>1994</v>
      </c>
      <c r="M335" s="39">
        <v>1994</v>
      </c>
      <c r="N335" s="4">
        <v>2.4500000000000002</v>
      </c>
      <c r="O335" s="4" t="s">
        <v>189</v>
      </c>
      <c r="P335" s="4" t="s">
        <v>2093</v>
      </c>
    </row>
    <row r="336" spans="1:16" ht="34.5" customHeight="1">
      <c r="A336" s="32">
        <v>56</v>
      </c>
      <c r="B336" s="41" t="s">
        <v>884</v>
      </c>
      <c r="C336" s="36" t="s">
        <v>2144</v>
      </c>
      <c r="D336" s="12" t="s">
        <v>2430</v>
      </c>
      <c r="E336" s="20" t="s">
        <v>2453</v>
      </c>
      <c r="F336" s="12" t="s">
        <v>885</v>
      </c>
      <c r="G336" s="12" t="s">
        <v>886</v>
      </c>
      <c r="H336" s="12" t="s">
        <v>429</v>
      </c>
      <c r="I336" s="22">
        <v>-11.587525861605</v>
      </c>
      <c r="J336" s="22">
        <v>31.0712386258372</v>
      </c>
      <c r="K336" s="22">
        <v>44.6</v>
      </c>
      <c r="L336" s="39">
        <v>1994</v>
      </c>
      <c r="M336" s="39">
        <v>1994</v>
      </c>
      <c r="N336" s="4">
        <v>17.22</v>
      </c>
      <c r="O336" s="4" t="s">
        <v>189</v>
      </c>
      <c r="P336" s="4" t="s">
        <v>2093</v>
      </c>
    </row>
    <row r="337" spans="1:16" ht="34.5" customHeight="1">
      <c r="A337" s="32">
        <v>56</v>
      </c>
      <c r="B337" s="41" t="s">
        <v>884</v>
      </c>
      <c r="C337" s="36" t="s">
        <v>2145</v>
      </c>
      <c r="D337" s="12" t="s">
        <v>2430</v>
      </c>
      <c r="E337" s="20" t="s">
        <v>2453</v>
      </c>
      <c r="F337" s="12" t="s">
        <v>885</v>
      </c>
      <c r="G337" s="12" t="s">
        <v>886</v>
      </c>
      <c r="H337" s="12" t="s">
        <v>429</v>
      </c>
      <c r="I337" s="22">
        <v>-11.655467105891599</v>
      </c>
      <c r="J337" s="22">
        <v>31.035439906006602</v>
      </c>
      <c r="K337" s="22">
        <v>101.2</v>
      </c>
      <c r="L337" s="39">
        <v>1994</v>
      </c>
      <c r="M337" s="39">
        <v>1994</v>
      </c>
      <c r="N337" s="4">
        <v>4.07</v>
      </c>
      <c r="O337" s="4" t="s">
        <v>189</v>
      </c>
      <c r="P337" s="4" t="s">
        <v>2093</v>
      </c>
    </row>
    <row r="338" spans="1:16" ht="34.5" customHeight="1">
      <c r="A338" s="32">
        <v>56</v>
      </c>
      <c r="B338" s="41" t="s">
        <v>884</v>
      </c>
      <c r="C338" s="36" t="s">
        <v>2146</v>
      </c>
      <c r="D338" s="12" t="s">
        <v>2430</v>
      </c>
      <c r="E338" s="20" t="s">
        <v>2453</v>
      </c>
      <c r="F338" s="12" t="s">
        <v>885</v>
      </c>
      <c r="G338" s="12" t="s">
        <v>886</v>
      </c>
      <c r="H338" s="12" t="s">
        <v>429</v>
      </c>
      <c r="I338" s="22">
        <v>-11.649774296097</v>
      </c>
      <c r="J338" s="22">
        <v>31.109317890522298</v>
      </c>
      <c r="K338" s="22">
        <v>131.30000000000001</v>
      </c>
      <c r="L338" s="39">
        <v>1994</v>
      </c>
      <c r="M338" s="39">
        <v>1994</v>
      </c>
      <c r="N338" s="4">
        <v>2.97</v>
      </c>
      <c r="O338" s="4" t="s">
        <v>189</v>
      </c>
      <c r="P338" s="4" t="s">
        <v>2093</v>
      </c>
    </row>
    <row r="339" spans="1:16" ht="34.5" customHeight="1">
      <c r="A339" s="32">
        <v>56</v>
      </c>
      <c r="B339" s="41" t="s">
        <v>884</v>
      </c>
      <c r="C339" s="36" t="s">
        <v>2147</v>
      </c>
      <c r="D339" s="12" t="s">
        <v>2430</v>
      </c>
      <c r="E339" s="20" t="s">
        <v>2453</v>
      </c>
      <c r="F339" s="12" t="s">
        <v>885</v>
      </c>
      <c r="G339" s="12" t="s">
        <v>886</v>
      </c>
      <c r="H339" s="12" t="s">
        <v>429</v>
      </c>
      <c r="I339" s="22">
        <v>-11.6996520512901</v>
      </c>
      <c r="J339" s="22">
        <v>31.009092747872501</v>
      </c>
      <c r="K339" s="22">
        <v>70.599999999999994</v>
      </c>
      <c r="L339" s="39">
        <v>1994</v>
      </c>
      <c r="M339" s="39">
        <v>1994</v>
      </c>
      <c r="N339" s="4">
        <v>7.33</v>
      </c>
      <c r="O339" s="4" t="s">
        <v>189</v>
      </c>
      <c r="P339" s="4" t="s">
        <v>2093</v>
      </c>
    </row>
    <row r="340" spans="1:16" ht="34.5" customHeight="1">
      <c r="A340" s="32">
        <v>56</v>
      </c>
      <c r="B340" s="41" t="s">
        <v>884</v>
      </c>
      <c r="C340" s="36" t="s">
        <v>2148</v>
      </c>
      <c r="D340" s="12" t="s">
        <v>2430</v>
      </c>
      <c r="E340" s="20" t="s">
        <v>2453</v>
      </c>
      <c r="F340" s="12" t="s">
        <v>885</v>
      </c>
      <c r="G340" s="12" t="s">
        <v>886</v>
      </c>
      <c r="H340" s="12" t="s">
        <v>429</v>
      </c>
      <c r="I340" s="22">
        <v>-11.7286085747076</v>
      </c>
      <c r="J340" s="22">
        <v>31.1645873600234</v>
      </c>
      <c r="K340" s="22">
        <v>318.10000000000002</v>
      </c>
      <c r="L340" s="39">
        <v>1994</v>
      </c>
      <c r="M340" s="39">
        <v>1994</v>
      </c>
      <c r="N340" s="4">
        <v>1.04</v>
      </c>
      <c r="O340" s="4" t="s">
        <v>189</v>
      </c>
      <c r="P340" s="4" t="s">
        <v>2093</v>
      </c>
    </row>
    <row r="341" spans="1:16" ht="34.5" customHeight="1">
      <c r="A341" s="32">
        <v>56</v>
      </c>
      <c r="B341" s="41" t="s">
        <v>884</v>
      </c>
      <c r="C341" s="36" t="s">
        <v>2149</v>
      </c>
      <c r="D341" s="12" t="s">
        <v>2430</v>
      </c>
      <c r="E341" s="20" t="s">
        <v>2453</v>
      </c>
      <c r="F341" s="12" t="s">
        <v>885</v>
      </c>
      <c r="G341" s="12" t="s">
        <v>886</v>
      </c>
      <c r="H341" s="12" t="s">
        <v>429</v>
      </c>
      <c r="I341" s="22">
        <v>-11.7938790289416</v>
      </c>
      <c r="J341" s="22">
        <v>30.9438719880497</v>
      </c>
      <c r="K341" s="22">
        <v>45.3</v>
      </c>
      <c r="L341" s="39">
        <v>1994</v>
      </c>
      <c r="M341" s="39">
        <v>1994</v>
      </c>
      <c r="N341" s="4">
        <v>5.03</v>
      </c>
      <c r="O341" s="4" t="s">
        <v>189</v>
      </c>
      <c r="P341" s="4" t="s">
        <v>2093</v>
      </c>
    </row>
    <row r="342" spans="1:16" ht="34.5" customHeight="1">
      <c r="A342" s="32">
        <v>56</v>
      </c>
      <c r="B342" s="41" t="s">
        <v>884</v>
      </c>
      <c r="C342" s="36" t="s">
        <v>2150</v>
      </c>
      <c r="D342" s="12" t="s">
        <v>2430</v>
      </c>
      <c r="E342" s="20" t="s">
        <v>2453</v>
      </c>
      <c r="F342" s="12" t="s">
        <v>885</v>
      </c>
      <c r="G342" s="12" t="s">
        <v>886</v>
      </c>
      <c r="H342" s="12" t="s">
        <v>429</v>
      </c>
      <c r="I342" s="22">
        <v>-11.7147095623396</v>
      </c>
      <c r="J342" s="22">
        <v>31.272104993970299</v>
      </c>
      <c r="K342" s="22">
        <v>108.7</v>
      </c>
      <c r="L342" s="39">
        <v>1994</v>
      </c>
      <c r="M342" s="39">
        <v>1994</v>
      </c>
      <c r="N342" s="4">
        <v>2.0299999999999998</v>
      </c>
      <c r="O342" s="4" t="s">
        <v>189</v>
      </c>
      <c r="P342" s="4" t="s">
        <v>2093</v>
      </c>
    </row>
    <row r="343" spans="1:16" ht="34.5" customHeight="1">
      <c r="A343" s="32">
        <v>56</v>
      </c>
      <c r="B343" s="41" t="s">
        <v>884</v>
      </c>
      <c r="C343" s="36" t="s">
        <v>2151</v>
      </c>
      <c r="D343" s="12" t="s">
        <v>2430</v>
      </c>
      <c r="E343" s="20" t="s">
        <v>2453</v>
      </c>
      <c r="F343" s="12" t="s">
        <v>885</v>
      </c>
      <c r="G343" s="12" t="s">
        <v>886</v>
      </c>
      <c r="H343" s="12" t="s">
        <v>429</v>
      </c>
      <c r="I343" s="22">
        <v>-11.776184326327501</v>
      </c>
      <c r="J343" s="22">
        <v>31.242800110637202</v>
      </c>
      <c r="K343" s="22">
        <v>139.9</v>
      </c>
      <c r="L343" s="39">
        <v>1994</v>
      </c>
      <c r="M343" s="39">
        <v>1994</v>
      </c>
      <c r="N343" s="4">
        <v>2.2799999999999998</v>
      </c>
      <c r="O343" s="4" t="s">
        <v>189</v>
      </c>
      <c r="P343" s="4" t="s">
        <v>2093</v>
      </c>
    </row>
    <row r="344" spans="1:16" ht="34.5" customHeight="1">
      <c r="A344" s="32">
        <v>56</v>
      </c>
      <c r="B344" s="41" t="s">
        <v>884</v>
      </c>
      <c r="C344" s="36" t="s">
        <v>2152</v>
      </c>
      <c r="D344" s="12" t="s">
        <v>2430</v>
      </c>
      <c r="E344" s="20" t="s">
        <v>2453</v>
      </c>
      <c r="F344" s="12" t="s">
        <v>885</v>
      </c>
      <c r="G344" s="12" t="s">
        <v>886</v>
      </c>
      <c r="H344" s="12" t="s">
        <v>429</v>
      </c>
      <c r="I344" s="22">
        <v>-11.7910654021347</v>
      </c>
      <c r="J344" s="22">
        <v>31.268037392952401</v>
      </c>
      <c r="K344" s="22">
        <v>22.7</v>
      </c>
      <c r="L344" s="39">
        <v>1994</v>
      </c>
      <c r="M344" s="39">
        <v>1994</v>
      </c>
      <c r="N344" s="4">
        <v>18.68</v>
      </c>
      <c r="O344" s="4" t="s">
        <v>189</v>
      </c>
      <c r="P344" s="4" t="s">
        <v>2093</v>
      </c>
    </row>
    <row r="345" spans="1:16" ht="34.5" customHeight="1">
      <c r="A345" s="32">
        <v>56</v>
      </c>
      <c r="B345" s="41" t="s">
        <v>884</v>
      </c>
      <c r="C345" s="36" t="s">
        <v>2153</v>
      </c>
      <c r="D345" s="12" t="s">
        <v>2430</v>
      </c>
      <c r="E345" s="20" t="s">
        <v>2453</v>
      </c>
      <c r="F345" s="12" t="s">
        <v>885</v>
      </c>
      <c r="G345" s="12" t="s">
        <v>886</v>
      </c>
      <c r="H345" s="12" t="s">
        <v>429</v>
      </c>
      <c r="I345" s="22">
        <v>-11.841826252264701</v>
      </c>
      <c r="J345" s="22">
        <v>31.214310500460499</v>
      </c>
      <c r="K345" s="22">
        <v>45.1</v>
      </c>
      <c r="L345" s="39">
        <v>1994</v>
      </c>
      <c r="M345" s="39">
        <v>1994</v>
      </c>
      <c r="N345" s="4">
        <v>7.61</v>
      </c>
      <c r="O345" s="4" t="s">
        <v>189</v>
      </c>
      <c r="P345" s="4" t="s">
        <v>2093</v>
      </c>
    </row>
    <row r="346" spans="1:16" ht="34.5" customHeight="1">
      <c r="A346" s="32">
        <v>56</v>
      </c>
      <c r="B346" s="41" t="s">
        <v>884</v>
      </c>
      <c r="C346" s="36" t="s">
        <v>2154</v>
      </c>
      <c r="D346" s="12" t="s">
        <v>2430</v>
      </c>
      <c r="E346" s="20" t="s">
        <v>2453</v>
      </c>
      <c r="F346" s="12" t="s">
        <v>885</v>
      </c>
      <c r="G346" s="12" t="s">
        <v>886</v>
      </c>
      <c r="H346" s="12" t="s">
        <v>429</v>
      </c>
      <c r="I346" s="22">
        <v>-11.880896787207</v>
      </c>
      <c r="J346" s="22">
        <v>31.257529328508699</v>
      </c>
      <c r="K346" s="22">
        <v>44.7</v>
      </c>
      <c r="L346" s="39">
        <v>1994</v>
      </c>
      <c r="M346" s="39">
        <v>1994</v>
      </c>
      <c r="N346" s="4">
        <v>8.66</v>
      </c>
      <c r="O346" s="4" t="s">
        <v>189</v>
      </c>
      <c r="P346" s="4" t="s">
        <v>2093</v>
      </c>
    </row>
    <row r="347" spans="1:16" ht="43.5" customHeight="1">
      <c r="A347" s="32">
        <v>57</v>
      </c>
      <c r="B347" s="55" t="s">
        <v>891</v>
      </c>
      <c r="C347" s="36" t="s">
        <v>890</v>
      </c>
      <c r="D347" s="12" t="s">
        <v>2430</v>
      </c>
      <c r="E347" s="36" t="s">
        <v>2432</v>
      </c>
      <c r="F347" s="4" t="s">
        <v>892</v>
      </c>
      <c r="G347" s="36" t="s">
        <v>886</v>
      </c>
      <c r="H347" s="36" t="s">
        <v>429</v>
      </c>
      <c r="I347" s="79">
        <v>-11.66</v>
      </c>
      <c r="J347" s="79">
        <v>31.1666666666667</v>
      </c>
      <c r="K347" s="79" t="s">
        <v>2308</v>
      </c>
      <c r="L347" s="39">
        <v>1993</v>
      </c>
      <c r="M347" s="39">
        <v>1994</v>
      </c>
      <c r="N347" s="39" t="s">
        <v>2308</v>
      </c>
      <c r="O347" s="39" t="s">
        <v>189</v>
      </c>
      <c r="P347" s="39"/>
    </row>
    <row r="348" spans="1:16" ht="35.5" customHeight="1">
      <c r="A348" s="32">
        <v>58</v>
      </c>
      <c r="B348" s="41" t="s">
        <v>896</v>
      </c>
      <c r="C348" s="12" t="s">
        <v>895</v>
      </c>
      <c r="D348" s="12" t="s">
        <v>2430</v>
      </c>
      <c r="E348" s="4" t="s">
        <v>2431</v>
      </c>
      <c r="F348" s="4" t="s">
        <v>898</v>
      </c>
      <c r="G348" s="4" t="s">
        <v>899</v>
      </c>
      <c r="H348" s="4" t="s">
        <v>780</v>
      </c>
      <c r="I348" s="22">
        <v>19.236110799999999</v>
      </c>
      <c r="J348" s="22">
        <v>-89.314444399999999</v>
      </c>
      <c r="K348" s="22" t="s">
        <v>2308</v>
      </c>
      <c r="L348" s="4">
        <v>2002</v>
      </c>
      <c r="M348" s="4">
        <v>2003</v>
      </c>
      <c r="N348" s="4" t="s">
        <v>2308</v>
      </c>
      <c r="O348" s="39" t="s">
        <v>67</v>
      </c>
      <c r="P348" s="4"/>
    </row>
    <row r="349" spans="1:16" ht="33.5" customHeight="1">
      <c r="A349" s="32">
        <v>59</v>
      </c>
      <c r="B349" s="41" t="s">
        <v>901</v>
      </c>
      <c r="C349" s="12" t="s">
        <v>900</v>
      </c>
      <c r="D349" s="12" t="s">
        <v>2430</v>
      </c>
      <c r="E349" s="4" t="s">
        <v>2431</v>
      </c>
      <c r="F349" s="12" t="s">
        <v>904</v>
      </c>
      <c r="G349" s="4" t="s">
        <v>902</v>
      </c>
      <c r="H349" s="12" t="s">
        <v>903</v>
      </c>
      <c r="I349" s="22">
        <v>9.8000000000000007</v>
      </c>
      <c r="J349" s="22">
        <v>-12.1</v>
      </c>
      <c r="K349" s="22" t="s">
        <v>2308</v>
      </c>
      <c r="L349" s="12">
        <v>1984</v>
      </c>
      <c r="M349" s="12">
        <v>1987</v>
      </c>
      <c r="N349" s="4" t="s">
        <v>2308</v>
      </c>
      <c r="O349" s="39" t="s">
        <v>189</v>
      </c>
      <c r="P349" s="4"/>
    </row>
    <row r="350" spans="1:16" ht="40.5" customHeight="1">
      <c r="A350" s="32">
        <v>60</v>
      </c>
      <c r="B350" s="42" t="s">
        <v>914</v>
      </c>
      <c r="C350" s="12" t="s">
        <v>907</v>
      </c>
      <c r="D350" s="12" t="s">
        <v>2430</v>
      </c>
      <c r="E350" s="4" t="s">
        <v>2431</v>
      </c>
      <c r="F350" s="12" t="s">
        <v>908</v>
      </c>
      <c r="G350" s="12" t="s">
        <v>909</v>
      </c>
      <c r="H350" s="12" t="s">
        <v>910</v>
      </c>
      <c r="I350" s="80">
        <v>-0.4</v>
      </c>
      <c r="J350" s="80">
        <v>110.1</v>
      </c>
      <c r="K350" s="22">
        <v>10</v>
      </c>
      <c r="L350" s="4">
        <v>1990</v>
      </c>
      <c r="M350" s="4">
        <v>1995</v>
      </c>
      <c r="N350" s="4" t="s">
        <v>2308</v>
      </c>
      <c r="O350" s="4" t="s">
        <v>189</v>
      </c>
      <c r="P350" s="4" t="s">
        <v>911</v>
      </c>
    </row>
    <row r="351" spans="1:16" ht="36" customHeight="1">
      <c r="A351" s="32">
        <v>61</v>
      </c>
      <c r="B351" s="41" t="s">
        <v>916</v>
      </c>
      <c r="C351" s="12" t="s">
        <v>915</v>
      </c>
      <c r="D351" s="12" t="s">
        <v>2430</v>
      </c>
      <c r="E351" s="4" t="s">
        <v>2431</v>
      </c>
      <c r="F351" s="4" t="s">
        <v>898</v>
      </c>
      <c r="G351" s="4" t="s">
        <v>899</v>
      </c>
      <c r="H351" s="4" t="s">
        <v>780</v>
      </c>
      <c r="I351" s="22">
        <v>19.236110799999999</v>
      </c>
      <c r="J351" s="22">
        <v>-89.314444399999999</v>
      </c>
      <c r="K351" s="22">
        <v>73.400000000000006</v>
      </c>
      <c r="L351" s="4">
        <v>2000</v>
      </c>
      <c r="M351" s="4">
        <v>2000</v>
      </c>
      <c r="N351" s="4">
        <v>40.599454999999999</v>
      </c>
      <c r="O351" s="4" t="s">
        <v>189</v>
      </c>
      <c r="P351" s="4"/>
    </row>
    <row r="352" spans="1:16" ht="31" customHeight="1">
      <c r="A352" s="32">
        <v>62</v>
      </c>
      <c r="B352" s="41" t="s">
        <v>921</v>
      </c>
      <c r="C352" s="12" t="s">
        <v>920</v>
      </c>
      <c r="D352" s="12" t="s">
        <v>2430</v>
      </c>
      <c r="E352" s="4" t="s">
        <v>2431</v>
      </c>
      <c r="F352" s="12" t="s">
        <v>922</v>
      </c>
      <c r="G352" s="4" t="s">
        <v>2308</v>
      </c>
      <c r="H352" s="4" t="s">
        <v>669</v>
      </c>
      <c r="I352" s="22">
        <v>-7.7889141000000004</v>
      </c>
      <c r="J352" s="22">
        <v>-74.964837000000003</v>
      </c>
      <c r="K352" s="22" t="s">
        <v>2308</v>
      </c>
      <c r="L352" s="4">
        <v>1986</v>
      </c>
      <c r="M352" s="4">
        <v>1986</v>
      </c>
      <c r="N352" s="4" t="s">
        <v>2308</v>
      </c>
      <c r="O352" s="4" t="s">
        <v>189</v>
      </c>
      <c r="P352" s="4" t="s">
        <v>2246</v>
      </c>
    </row>
    <row r="353" spans="1:16" ht="31" customHeight="1">
      <c r="A353" s="32">
        <v>62</v>
      </c>
      <c r="B353" s="41" t="s">
        <v>921</v>
      </c>
      <c r="C353" s="12" t="s">
        <v>923</v>
      </c>
      <c r="D353" s="12" t="s">
        <v>2430</v>
      </c>
      <c r="E353" s="4" t="s">
        <v>2431</v>
      </c>
      <c r="F353" s="12" t="s">
        <v>922</v>
      </c>
      <c r="G353" s="4" t="s">
        <v>2308</v>
      </c>
      <c r="H353" s="4" t="s">
        <v>669</v>
      </c>
      <c r="I353" s="22">
        <v>-7.7889141000000004</v>
      </c>
      <c r="J353" s="22">
        <v>-74.964837000000003</v>
      </c>
      <c r="K353" s="22" t="s">
        <v>2308</v>
      </c>
      <c r="L353" s="4">
        <v>1996</v>
      </c>
      <c r="M353" s="4">
        <v>1996</v>
      </c>
      <c r="N353" s="4" t="s">
        <v>2308</v>
      </c>
      <c r="O353" s="4" t="s">
        <v>189</v>
      </c>
      <c r="P353" s="4" t="s">
        <v>2246</v>
      </c>
    </row>
    <row r="354" spans="1:16" ht="31" customHeight="1">
      <c r="A354" s="32">
        <v>62</v>
      </c>
      <c r="B354" s="41" t="s">
        <v>921</v>
      </c>
      <c r="C354" s="12" t="s">
        <v>937</v>
      </c>
      <c r="D354" s="12" t="s">
        <v>2430</v>
      </c>
      <c r="E354" s="4" t="s">
        <v>2431</v>
      </c>
      <c r="F354" s="12" t="s">
        <v>922</v>
      </c>
      <c r="G354" s="4" t="s">
        <v>2308</v>
      </c>
      <c r="H354" s="4" t="s">
        <v>669</v>
      </c>
      <c r="I354" s="22">
        <v>-7.7889141000000004</v>
      </c>
      <c r="J354" s="22">
        <v>-74.964837000000003</v>
      </c>
      <c r="K354" s="22" t="s">
        <v>2308</v>
      </c>
      <c r="L354" s="4">
        <v>2006</v>
      </c>
      <c r="M354" s="4">
        <v>2006</v>
      </c>
      <c r="N354" s="4" t="s">
        <v>2308</v>
      </c>
      <c r="O354" s="4" t="s">
        <v>189</v>
      </c>
      <c r="P354" s="4" t="s">
        <v>2246</v>
      </c>
    </row>
    <row r="355" spans="1:16" ht="31" customHeight="1">
      <c r="A355" s="32">
        <v>62</v>
      </c>
      <c r="B355" s="41" t="s">
        <v>921</v>
      </c>
      <c r="C355" s="12" t="s">
        <v>938</v>
      </c>
      <c r="D355" s="12" t="s">
        <v>2430</v>
      </c>
      <c r="E355" s="4" t="s">
        <v>2431</v>
      </c>
      <c r="F355" s="12" t="s">
        <v>971</v>
      </c>
      <c r="G355" s="4" t="s">
        <v>2308</v>
      </c>
      <c r="H355" s="4" t="s">
        <v>669</v>
      </c>
      <c r="I355" s="22">
        <v>-7.7889141000000004</v>
      </c>
      <c r="J355" s="22">
        <v>-74.964837000000003</v>
      </c>
      <c r="K355" s="22" t="s">
        <v>2308</v>
      </c>
      <c r="L355" s="4">
        <v>2007</v>
      </c>
      <c r="M355" s="4">
        <v>2007</v>
      </c>
      <c r="N355" s="4" t="s">
        <v>2308</v>
      </c>
      <c r="O355" s="4" t="s">
        <v>189</v>
      </c>
      <c r="P355" s="4" t="s">
        <v>2246</v>
      </c>
    </row>
    <row r="356" spans="1:16" ht="31" customHeight="1">
      <c r="A356" s="32">
        <v>62</v>
      </c>
      <c r="B356" s="41" t="s">
        <v>921</v>
      </c>
      <c r="C356" s="12" t="s">
        <v>939</v>
      </c>
      <c r="D356" s="12" t="s">
        <v>2430</v>
      </c>
      <c r="E356" s="4" t="s">
        <v>2431</v>
      </c>
      <c r="F356" s="12" t="s">
        <v>940</v>
      </c>
      <c r="G356" s="4" t="s">
        <v>2308</v>
      </c>
      <c r="H356" s="4" t="s">
        <v>669</v>
      </c>
      <c r="I356" s="22">
        <v>-8.2927380999999993</v>
      </c>
      <c r="J356" s="22">
        <v>-74.420045299999998</v>
      </c>
      <c r="K356" s="22" t="s">
        <v>2308</v>
      </c>
      <c r="L356" s="4">
        <v>2007</v>
      </c>
      <c r="M356" s="4">
        <v>2007</v>
      </c>
      <c r="N356" s="4" t="s">
        <v>2308</v>
      </c>
      <c r="O356" s="4" t="s">
        <v>189</v>
      </c>
      <c r="P356" s="4" t="s">
        <v>2246</v>
      </c>
    </row>
    <row r="357" spans="1:16" ht="32.5" customHeight="1">
      <c r="A357" s="32">
        <v>63</v>
      </c>
      <c r="B357" s="41" t="s">
        <v>927</v>
      </c>
      <c r="C357" s="12" t="s">
        <v>926</v>
      </c>
      <c r="D357" s="12" t="s">
        <v>2430</v>
      </c>
      <c r="E357" s="4" t="s">
        <v>2432</v>
      </c>
      <c r="F357" s="12" t="s">
        <v>924</v>
      </c>
      <c r="G357" s="4" t="s">
        <v>925</v>
      </c>
      <c r="H357" s="4" t="s">
        <v>127</v>
      </c>
      <c r="I357" s="22">
        <v>-1.3930022</v>
      </c>
      <c r="J357" s="22">
        <v>-48.861753499999999</v>
      </c>
      <c r="K357" s="22">
        <v>3365</v>
      </c>
      <c r="L357" s="12">
        <v>2000</v>
      </c>
      <c r="M357" s="12">
        <v>2000</v>
      </c>
      <c r="N357" s="4">
        <v>5.5</v>
      </c>
      <c r="O357" s="4" t="s">
        <v>67</v>
      </c>
      <c r="P357" s="4"/>
    </row>
    <row r="358" spans="1:16" ht="40" customHeight="1">
      <c r="A358" s="32">
        <v>64</v>
      </c>
      <c r="B358" s="67"/>
      <c r="C358" s="66" t="s">
        <v>935</v>
      </c>
      <c r="D358" s="45"/>
      <c r="E358" s="66" t="s">
        <v>936</v>
      </c>
      <c r="F358" s="68" t="s">
        <v>2308</v>
      </c>
      <c r="G358" s="68" t="s">
        <v>2308</v>
      </c>
      <c r="H358" s="68" t="s">
        <v>2</v>
      </c>
      <c r="I358" s="81" t="s">
        <v>2</v>
      </c>
      <c r="J358" s="81" t="s">
        <v>2</v>
      </c>
      <c r="K358" s="81" t="s">
        <v>2308</v>
      </c>
      <c r="L358" s="68" t="s">
        <v>2</v>
      </c>
      <c r="M358" s="68" t="s">
        <v>2</v>
      </c>
      <c r="N358" s="68" t="s">
        <v>2308</v>
      </c>
      <c r="O358" s="68" t="s">
        <v>2</v>
      </c>
      <c r="P358" s="68"/>
    </row>
    <row r="359" spans="1:16" ht="32.5" customHeight="1">
      <c r="A359" s="32">
        <v>65</v>
      </c>
      <c r="B359" s="41" t="s">
        <v>946</v>
      </c>
      <c r="C359" s="12" t="s">
        <v>945</v>
      </c>
      <c r="D359" s="12" t="s">
        <v>2430</v>
      </c>
      <c r="E359" s="4" t="s">
        <v>2432</v>
      </c>
      <c r="F359" s="4" t="s">
        <v>948</v>
      </c>
      <c r="G359" s="4" t="s">
        <v>2308</v>
      </c>
      <c r="H359" s="4" t="s">
        <v>947</v>
      </c>
      <c r="I359" s="22">
        <v>-2</v>
      </c>
      <c r="J359" s="22">
        <v>-78</v>
      </c>
      <c r="K359" s="22" t="s">
        <v>2308</v>
      </c>
      <c r="L359" s="4">
        <v>1987</v>
      </c>
      <c r="M359" s="4">
        <v>1987</v>
      </c>
      <c r="N359" s="4" t="s">
        <v>2308</v>
      </c>
      <c r="O359" s="4" t="s">
        <v>155</v>
      </c>
      <c r="P359" s="4" t="s">
        <v>2246</v>
      </c>
    </row>
    <row r="360" spans="1:16" ht="31" customHeight="1">
      <c r="A360" s="32">
        <v>65</v>
      </c>
      <c r="B360" s="41" t="s">
        <v>946</v>
      </c>
      <c r="C360" s="12" t="s">
        <v>950</v>
      </c>
      <c r="D360" s="12" t="s">
        <v>2430</v>
      </c>
      <c r="E360" s="4" t="s">
        <v>2432</v>
      </c>
      <c r="F360" s="4" t="s">
        <v>948</v>
      </c>
      <c r="G360" s="4" t="s">
        <v>2308</v>
      </c>
      <c r="H360" s="4" t="s">
        <v>947</v>
      </c>
      <c r="I360" s="22">
        <v>-2</v>
      </c>
      <c r="J360" s="22">
        <v>-78</v>
      </c>
      <c r="K360" s="22" t="s">
        <v>2308</v>
      </c>
      <c r="L360" s="4">
        <v>1997</v>
      </c>
      <c r="M360" s="4">
        <v>1997</v>
      </c>
      <c r="N360" s="4" t="s">
        <v>2308</v>
      </c>
      <c r="O360" s="4" t="s">
        <v>189</v>
      </c>
      <c r="P360" s="4" t="s">
        <v>2246</v>
      </c>
    </row>
    <row r="361" spans="1:16" ht="33" customHeight="1">
      <c r="A361" s="32">
        <v>66</v>
      </c>
      <c r="B361" s="41" t="s">
        <v>957</v>
      </c>
      <c r="C361" s="12" t="s">
        <v>956</v>
      </c>
      <c r="D361" s="12" t="s">
        <v>2430</v>
      </c>
      <c r="E361" s="4" t="s">
        <v>2431</v>
      </c>
      <c r="F361" s="4" t="s">
        <v>958</v>
      </c>
      <c r="G361" s="4" t="s">
        <v>2308</v>
      </c>
      <c r="H361" s="4" t="s">
        <v>593</v>
      </c>
      <c r="I361" s="22">
        <v>5.5308409999999997</v>
      </c>
      <c r="J361" s="22">
        <v>-67.405763300000004</v>
      </c>
      <c r="K361" s="22" t="s">
        <v>2308</v>
      </c>
      <c r="L361" s="4">
        <v>2000</v>
      </c>
      <c r="M361" s="4">
        <v>2000</v>
      </c>
      <c r="N361" s="4" t="s">
        <v>2308</v>
      </c>
      <c r="O361" s="4" t="s">
        <v>189</v>
      </c>
      <c r="P361" s="4" t="s">
        <v>2246</v>
      </c>
    </row>
    <row r="362" spans="1:16" ht="29.5" customHeight="1">
      <c r="A362" s="32">
        <v>67</v>
      </c>
      <c r="B362" s="41" t="s">
        <v>963</v>
      </c>
      <c r="C362" s="12" t="s">
        <v>962</v>
      </c>
      <c r="D362" s="12" t="s">
        <v>2430</v>
      </c>
      <c r="E362" s="4" t="s">
        <v>2432</v>
      </c>
      <c r="F362" s="4" t="s">
        <v>965</v>
      </c>
      <c r="G362" s="4" t="s">
        <v>2308</v>
      </c>
      <c r="H362" s="4" t="s">
        <v>669</v>
      </c>
      <c r="I362" s="22">
        <v>-3.9191615999999998</v>
      </c>
      <c r="J362" s="22">
        <v>-73.166010400000005</v>
      </c>
      <c r="K362" s="22">
        <v>69.48</v>
      </c>
      <c r="L362" s="4">
        <v>1993</v>
      </c>
      <c r="M362" s="4">
        <v>1993</v>
      </c>
      <c r="N362" s="4">
        <v>24.525043199999999</v>
      </c>
      <c r="O362" s="4" t="s">
        <v>155</v>
      </c>
      <c r="P362" s="4" t="s">
        <v>2246</v>
      </c>
    </row>
    <row r="363" spans="1:16" ht="32" customHeight="1">
      <c r="A363" s="32">
        <v>67</v>
      </c>
      <c r="B363" s="41" t="s">
        <v>963</v>
      </c>
      <c r="C363" s="12" t="s">
        <v>964</v>
      </c>
      <c r="D363" s="12" t="s">
        <v>2430</v>
      </c>
      <c r="E363" s="4" t="s">
        <v>2432</v>
      </c>
      <c r="F363" s="4" t="s">
        <v>965</v>
      </c>
      <c r="G363" s="4" t="s">
        <v>2308</v>
      </c>
      <c r="H363" s="4" t="s">
        <v>669</v>
      </c>
      <c r="I363" s="22">
        <v>-3.9191615999999998</v>
      </c>
      <c r="J363" s="22">
        <v>-73.166010400000005</v>
      </c>
      <c r="K363" s="22">
        <v>69.48</v>
      </c>
      <c r="L363" s="4">
        <v>2005</v>
      </c>
      <c r="M363" s="4">
        <v>2005</v>
      </c>
      <c r="N363" s="4">
        <v>22.279792700000002</v>
      </c>
      <c r="O363" s="4" t="s">
        <v>155</v>
      </c>
      <c r="P363" s="4" t="s">
        <v>2246</v>
      </c>
    </row>
    <row r="364" spans="1:16" ht="33.5" customHeight="1">
      <c r="A364" s="32">
        <v>68</v>
      </c>
      <c r="B364" s="41" t="s">
        <v>973</v>
      </c>
      <c r="C364" s="12" t="s">
        <v>972</v>
      </c>
      <c r="D364" s="12" t="s">
        <v>2430</v>
      </c>
      <c r="E364" s="4" t="s">
        <v>2431</v>
      </c>
      <c r="F364" s="4" t="s">
        <v>974</v>
      </c>
      <c r="G364" s="4" t="s">
        <v>2308</v>
      </c>
      <c r="H364" s="4" t="s">
        <v>127</v>
      </c>
      <c r="I364" s="22">
        <v>-4.4984377000000002</v>
      </c>
      <c r="J364" s="22">
        <v>-44.899010099999998</v>
      </c>
      <c r="K364" s="22" t="s">
        <v>2308</v>
      </c>
      <c r="L364" s="4">
        <v>1999</v>
      </c>
      <c r="M364" s="4">
        <v>2001</v>
      </c>
      <c r="N364" s="4" t="s">
        <v>2308</v>
      </c>
      <c r="O364" s="4" t="s">
        <v>189</v>
      </c>
      <c r="P364" s="4" t="s">
        <v>2246</v>
      </c>
    </row>
    <row r="365" spans="1:16" ht="40" customHeight="1">
      <c r="A365" s="32">
        <v>69</v>
      </c>
      <c r="B365" s="41" t="s">
        <v>979</v>
      </c>
      <c r="C365" s="12" t="s">
        <v>978</v>
      </c>
      <c r="D365" s="12" t="s">
        <v>2430</v>
      </c>
      <c r="E365" s="4" t="s">
        <v>2431</v>
      </c>
      <c r="F365" s="4" t="s">
        <v>679</v>
      </c>
      <c r="G365" s="4" t="s">
        <v>680</v>
      </c>
      <c r="H365" s="4" t="s">
        <v>743</v>
      </c>
      <c r="I365" s="22">
        <v>19.8333333</v>
      </c>
      <c r="J365" s="22">
        <v>102.16666666666001</v>
      </c>
      <c r="K365" s="22">
        <v>4.3</v>
      </c>
      <c r="L365" s="4">
        <v>2001</v>
      </c>
      <c r="M365" s="4">
        <v>2003</v>
      </c>
      <c r="N365" s="4">
        <v>116.9767442</v>
      </c>
      <c r="O365" s="4" t="s">
        <v>189</v>
      </c>
      <c r="P365" s="4"/>
    </row>
    <row r="366" spans="1:16" ht="33.5" customHeight="1">
      <c r="A366" s="32">
        <v>69</v>
      </c>
      <c r="B366" s="41" t="s">
        <v>979</v>
      </c>
      <c r="C366" s="12" t="s">
        <v>984</v>
      </c>
      <c r="D366" s="12" t="s">
        <v>2430</v>
      </c>
      <c r="E366" s="4" t="s">
        <v>2431</v>
      </c>
      <c r="F366" s="4" t="s">
        <v>679</v>
      </c>
      <c r="G366" s="4" t="s">
        <v>680</v>
      </c>
      <c r="H366" s="4" t="s">
        <v>743</v>
      </c>
      <c r="I366" s="22">
        <v>19.8333333</v>
      </c>
      <c r="J366" s="22">
        <v>102.16666666666001</v>
      </c>
      <c r="K366" s="22">
        <v>4.3</v>
      </c>
      <c r="L366" s="12">
        <v>1995</v>
      </c>
      <c r="M366" s="12">
        <v>1995</v>
      </c>
      <c r="N366" s="4">
        <v>94.8837209</v>
      </c>
      <c r="O366" s="4" t="s">
        <v>189</v>
      </c>
      <c r="P366" s="4"/>
    </row>
    <row r="367" spans="1:16" ht="43.5">
      <c r="A367" s="32">
        <v>69</v>
      </c>
      <c r="B367" s="41" t="s">
        <v>979</v>
      </c>
      <c r="C367" s="12" t="s">
        <v>985</v>
      </c>
      <c r="D367" s="12" t="s">
        <v>2430</v>
      </c>
      <c r="E367" s="4" t="s">
        <v>2431</v>
      </c>
      <c r="F367" s="4" t="s">
        <v>679</v>
      </c>
      <c r="G367" s="4" t="s">
        <v>680</v>
      </c>
      <c r="H367" s="4" t="s">
        <v>743</v>
      </c>
      <c r="I367" s="22">
        <v>19.8333333</v>
      </c>
      <c r="J367" s="22">
        <v>102.16666666666001</v>
      </c>
      <c r="K367" s="22">
        <v>4.3</v>
      </c>
      <c r="L367" s="12">
        <v>1990</v>
      </c>
      <c r="M367" s="12">
        <v>1990</v>
      </c>
      <c r="N367" s="4">
        <v>81.162790700000002</v>
      </c>
      <c r="O367" s="4" t="s">
        <v>189</v>
      </c>
      <c r="P367" s="5" t="s">
        <v>986</v>
      </c>
    </row>
    <row r="368" spans="1:16" ht="43" customHeight="1">
      <c r="A368" s="32">
        <v>70</v>
      </c>
      <c r="B368" s="41" t="s">
        <v>991</v>
      </c>
      <c r="C368" s="12" t="s">
        <v>990</v>
      </c>
      <c r="D368" s="12" t="s">
        <v>2430</v>
      </c>
      <c r="E368" s="4" t="s">
        <v>2431</v>
      </c>
      <c r="F368" s="12" t="s">
        <v>2308</v>
      </c>
      <c r="G368" s="12" t="s">
        <v>994</v>
      </c>
      <c r="H368" s="12" t="s">
        <v>992</v>
      </c>
      <c r="I368" s="22">
        <v>21.7688749</v>
      </c>
      <c r="J368" s="22">
        <v>92.368007399999996</v>
      </c>
      <c r="K368" s="22" t="s">
        <v>2308</v>
      </c>
      <c r="L368" s="9">
        <v>2002</v>
      </c>
      <c r="M368" s="9">
        <v>2002</v>
      </c>
      <c r="N368" s="4" t="s">
        <v>2308</v>
      </c>
      <c r="O368" s="4" t="s">
        <v>189</v>
      </c>
      <c r="P368" s="10" t="s">
        <v>993</v>
      </c>
    </row>
    <row r="369" spans="1:16" ht="39" customHeight="1">
      <c r="A369" s="32">
        <v>71</v>
      </c>
      <c r="B369" s="41" t="s">
        <v>1002</v>
      </c>
      <c r="C369" s="12" t="s">
        <v>997</v>
      </c>
      <c r="D369" s="12" t="s">
        <v>2449</v>
      </c>
      <c r="E369" s="4" t="s">
        <v>2431</v>
      </c>
      <c r="F369" s="12" t="s">
        <v>998</v>
      </c>
      <c r="G369" s="4" t="s">
        <v>2308</v>
      </c>
      <c r="H369" s="12" t="s">
        <v>999</v>
      </c>
      <c r="I369" s="22">
        <v>13.7234768</v>
      </c>
      <c r="J369" s="22">
        <v>107.0623339</v>
      </c>
      <c r="K369" s="22">
        <v>14.3125</v>
      </c>
      <c r="L369" s="12">
        <v>1984</v>
      </c>
      <c r="M369" s="12">
        <v>2007</v>
      </c>
      <c r="N369" s="4">
        <v>32</v>
      </c>
      <c r="O369" s="4" t="s">
        <v>67</v>
      </c>
      <c r="P369" s="4" t="s">
        <v>2246</v>
      </c>
    </row>
    <row r="370" spans="1:16" ht="39" customHeight="1">
      <c r="A370" s="32">
        <v>71</v>
      </c>
      <c r="B370" s="41" t="s">
        <v>1002</v>
      </c>
      <c r="C370" s="12" t="s">
        <v>1000</v>
      </c>
      <c r="D370" s="12" t="s">
        <v>2449</v>
      </c>
      <c r="E370" s="4" t="s">
        <v>2431</v>
      </c>
      <c r="F370" s="12" t="s">
        <v>1003</v>
      </c>
      <c r="G370" s="4" t="s">
        <v>2308</v>
      </c>
      <c r="H370" s="12" t="s">
        <v>999</v>
      </c>
      <c r="I370" s="22">
        <v>13.743923499999999</v>
      </c>
      <c r="J370" s="22">
        <v>107.2633027</v>
      </c>
      <c r="K370" s="22">
        <v>15.975</v>
      </c>
      <c r="L370" s="12">
        <v>1984</v>
      </c>
      <c r="M370" s="12">
        <v>2007</v>
      </c>
      <c r="N370" s="4">
        <v>40</v>
      </c>
      <c r="O370" s="4" t="s">
        <v>67</v>
      </c>
      <c r="P370" s="4" t="s">
        <v>2246</v>
      </c>
    </row>
    <row r="371" spans="1:16" ht="32.5" customHeight="1">
      <c r="A371" s="32">
        <v>71</v>
      </c>
      <c r="B371" s="41" t="s">
        <v>1002</v>
      </c>
      <c r="C371" s="12" t="s">
        <v>1001</v>
      </c>
      <c r="D371" s="12" t="s">
        <v>2449</v>
      </c>
      <c r="E371" s="4" t="s">
        <v>2431</v>
      </c>
      <c r="F371" s="12" t="s">
        <v>1004</v>
      </c>
      <c r="G371" s="4" t="s">
        <v>2308</v>
      </c>
      <c r="H371" s="12" t="s">
        <v>999</v>
      </c>
      <c r="I371" s="22">
        <v>13.8420044</v>
      </c>
      <c r="J371" s="22">
        <v>107.1566967</v>
      </c>
      <c r="K371" s="22">
        <v>26.470590000000001</v>
      </c>
      <c r="L371" s="12">
        <v>1984</v>
      </c>
      <c r="M371" s="12">
        <v>2007</v>
      </c>
      <c r="N371" s="4">
        <v>17</v>
      </c>
      <c r="O371" s="4" t="s">
        <v>67</v>
      </c>
      <c r="P371" s="4" t="s">
        <v>2246</v>
      </c>
    </row>
    <row r="372" spans="1:16" ht="30" customHeight="1">
      <c r="A372" s="32">
        <v>72</v>
      </c>
      <c r="B372" s="41" t="s">
        <v>1018</v>
      </c>
      <c r="C372" s="12" t="s">
        <v>1009</v>
      </c>
      <c r="D372" s="12" t="s">
        <v>2430</v>
      </c>
      <c r="E372" s="4" t="s">
        <v>2431</v>
      </c>
      <c r="F372" s="4" t="s">
        <v>1019</v>
      </c>
      <c r="G372" s="4" t="s">
        <v>1020</v>
      </c>
      <c r="H372" s="4" t="s">
        <v>114</v>
      </c>
      <c r="I372" s="22">
        <v>21.683333333333302</v>
      </c>
      <c r="J372" s="22">
        <v>101.416666666667</v>
      </c>
      <c r="K372" s="22" t="s">
        <v>2308</v>
      </c>
      <c r="L372" s="4">
        <v>1985</v>
      </c>
      <c r="M372" s="4">
        <v>1985</v>
      </c>
      <c r="N372" s="4" t="s">
        <v>2308</v>
      </c>
      <c r="O372" s="4" t="s">
        <v>189</v>
      </c>
      <c r="P372" s="4"/>
    </row>
    <row r="373" spans="1:16" ht="29" customHeight="1">
      <c r="A373" s="32">
        <v>72</v>
      </c>
      <c r="B373" s="41" t="s">
        <v>1018</v>
      </c>
      <c r="C373" s="12" t="s">
        <v>1010</v>
      </c>
      <c r="D373" s="12" t="s">
        <v>2430</v>
      </c>
      <c r="E373" s="4" t="s">
        <v>2431</v>
      </c>
      <c r="F373" s="4" t="s">
        <v>1019</v>
      </c>
      <c r="G373" s="4" t="s">
        <v>1020</v>
      </c>
      <c r="H373" s="4" t="s">
        <v>114</v>
      </c>
      <c r="I373" s="22">
        <v>21.683333333333302</v>
      </c>
      <c r="J373" s="22">
        <v>101.416666666667</v>
      </c>
      <c r="K373" s="22" t="s">
        <v>2308</v>
      </c>
      <c r="L373" s="4">
        <v>1987</v>
      </c>
      <c r="M373" s="4">
        <v>1987</v>
      </c>
      <c r="N373" s="4" t="s">
        <v>2308</v>
      </c>
      <c r="O373" s="4" t="s">
        <v>189</v>
      </c>
      <c r="P373" s="4"/>
    </row>
    <row r="374" spans="1:16" ht="27" customHeight="1">
      <c r="A374" s="32">
        <v>72</v>
      </c>
      <c r="B374" s="41" t="s">
        <v>1018</v>
      </c>
      <c r="C374" s="12" t="s">
        <v>1011</v>
      </c>
      <c r="D374" s="12" t="s">
        <v>2430</v>
      </c>
      <c r="E374" s="4" t="s">
        <v>2431</v>
      </c>
      <c r="F374" s="4" t="s">
        <v>1019</v>
      </c>
      <c r="G374" s="4" t="s">
        <v>1020</v>
      </c>
      <c r="H374" s="4" t="s">
        <v>114</v>
      </c>
      <c r="I374" s="22">
        <v>21.683333333333302</v>
      </c>
      <c r="J374" s="22">
        <v>101.416666666667</v>
      </c>
      <c r="K374" s="22" t="s">
        <v>2308</v>
      </c>
      <c r="L374" s="4">
        <v>1990</v>
      </c>
      <c r="M374" s="4">
        <v>1990</v>
      </c>
      <c r="N374" s="4" t="s">
        <v>2308</v>
      </c>
      <c r="O374" s="4" t="s">
        <v>189</v>
      </c>
      <c r="P374" s="4"/>
    </row>
    <row r="375" spans="1:16" ht="29" customHeight="1">
      <c r="A375" s="32">
        <v>72</v>
      </c>
      <c r="B375" s="41" t="s">
        <v>1018</v>
      </c>
      <c r="C375" s="12" t="s">
        <v>1012</v>
      </c>
      <c r="D375" s="12" t="s">
        <v>2430</v>
      </c>
      <c r="E375" s="4" t="s">
        <v>2431</v>
      </c>
      <c r="F375" s="4" t="s">
        <v>1019</v>
      </c>
      <c r="G375" s="4" t="s">
        <v>1020</v>
      </c>
      <c r="H375" s="4" t="s">
        <v>114</v>
      </c>
      <c r="I375" s="22">
        <v>21.683333333333302</v>
      </c>
      <c r="J375" s="22">
        <v>101.416666666667</v>
      </c>
      <c r="K375" s="22" t="s">
        <v>2308</v>
      </c>
      <c r="L375" s="4">
        <v>1995</v>
      </c>
      <c r="M375" s="4">
        <v>1995</v>
      </c>
      <c r="N375" s="4" t="s">
        <v>2308</v>
      </c>
      <c r="O375" s="4" t="s">
        <v>189</v>
      </c>
      <c r="P375" s="4"/>
    </row>
    <row r="376" spans="1:16" ht="31.5" customHeight="1">
      <c r="A376" s="32">
        <v>72</v>
      </c>
      <c r="B376" s="41" t="s">
        <v>1018</v>
      </c>
      <c r="C376" s="12" t="s">
        <v>1013</v>
      </c>
      <c r="D376" s="12" t="s">
        <v>2430</v>
      </c>
      <c r="E376" s="4" t="s">
        <v>2431</v>
      </c>
      <c r="F376" s="4" t="s">
        <v>1019</v>
      </c>
      <c r="G376" s="4" t="s">
        <v>1020</v>
      </c>
      <c r="H376" s="4" t="s">
        <v>114</v>
      </c>
      <c r="I376" s="22">
        <v>21.683333333333302</v>
      </c>
      <c r="J376" s="22">
        <v>101.416666666667</v>
      </c>
      <c r="K376" s="22" t="s">
        <v>2308</v>
      </c>
      <c r="L376" s="4">
        <v>2000</v>
      </c>
      <c r="M376" s="4">
        <v>2000</v>
      </c>
      <c r="N376" s="4" t="s">
        <v>2308</v>
      </c>
      <c r="O376" s="4" t="s">
        <v>189</v>
      </c>
      <c r="P376" s="4"/>
    </row>
    <row r="377" spans="1:16" ht="26.5" customHeight="1">
      <c r="A377" s="32">
        <v>72</v>
      </c>
      <c r="B377" s="41" t="s">
        <v>1018</v>
      </c>
      <c r="C377" s="12" t="s">
        <v>1014</v>
      </c>
      <c r="D377" s="12" t="s">
        <v>2430</v>
      </c>
      <c r="E377" s="4" t="s">
        <v>2431</v>
      </c>
      <c r="F377" s="4" t="s">
        <v>1021</v>
      </c>
      <c r="G377" s="4" t="s">
        <v>1020</v>
      </c>
      <c r="H377" s="4" t="s">
        <v>114</v>
      </c>
      <c r="I377" s="22">
        <v>21.983333333333299</v>
      </c>
      <c r="J377" s="22">
        <v>101.15</v>
      </c>
      <c r="K377" s="22">
        <v>2.4724119999999998</v>
      </c>
      <c r="L377" s="4">
        <v>1987</v>
      </c>
      <c r="M377" s="4">
        <v>1987</v>
      </c>
      <c r="N377" s="4">
        <v>1.0313816</v>
      </c>
      <c r="O377" s="4" t="s">
        <v>189</v>
      </c>
      <c r="P377" s="4"/>
    </row>
    <row r="378" spans="1:16" ht="28" customHeight="1">
      <c r="A378" s="32">
        <v>72</v>
      </c>
      <c r="B378" s="41" t="s">
        <v>1018</v>
      </c>
      <c r="C378" s="12" t="s">
        <v>1016</v>
      </c>
      <c r="D378" s="12" t="s">
        <v>2430</v>
      </c>
      <c r="E378" s="4" t="s">
        <v>2431</v>
      </c>
      <c r="F378" s="4" t="s">
        <v>1021</v>
      </c>
      <c r="G378" s="4" t="s">
        <v>1020</v>
      </c>
      <c r="H378" s="4" t="s">
        <v>114</v>
      </c>
      <c r="I378" s="22">
        <v>21.983333333333299</v>
      </c>
      <c r="J378" s="22">
        <v>101.15</v>
      </c>
      <c r="K378" s="22">
        <v>2.299471</v>
      </c>
      <c r="L378" s="4">
        <v>1990</v>
      </c>
      <c r="M378" s="4">
        <v>1990</v>
      </c>
      <c r="N378" s="4">
        <v>1.1132997</v>
      </c>
      <c r="O378" s="4" t="s">
        <v>189</v>
      </c>
      <c r="P378" s="4"/>
    </row>
    <row r="379" spans="1:16" ht="29" customHeight="1">
      <c r="A379" s="32">
        <v>72</v>
      </c>
      <c r="B379" s="41" t="s">
        <v>1018</v>
      </c>
      <c r="C379" s="12" t="s">
        <v>1015</v>
      </c>
      <c r="D379" s="12" t="s">
        <v>2430</v>
      </c>
      <c r="E379" s="4" t="s">
        <v>2431</v>
      </c>
      <c r="F379" s="4" t="s">
        <v>1021</v>
      </c>
      <c r="G379" s="4" t="s">
        <v>1020</v>
      </c>
      <c r="H379" s="4" t="s">
        <v>114</v>
      </c>
      <c r="I379" s="22">
        <v>21.983333333333299</v>
      </c>
      <c r="J379" s="22">
        <v>101.15</v>
      </c>
      <c r="K379" s="22">
        <v>2.0112350000000001</v>
      </c>
      <c r="L379" s="4">
        <v>1995</v>
      </c>
      <c r="M379" s="4">
        <v>1995</v>
      </c>
      <c r="N379" s="4">
        <v>1.2877658000000001</v>
      </c>
      <c r="O379" s="4" t="s">
        <v>189</v>
      </c>
      <c r="P379" s="4"/>
    </row>
    <row r="380" spans="1:16" ht="27" customHeight="1">
      <c r="A380" s="32">
        <v>72</v>
      </c>
      <c r="B380" s="41" t="s">
        <v>1018</v>
      </c>
      <c r="C380" s="12" t="s">
        <v>1017</v>
      </c>
      <c r="D380" s="12" t="s">
        <v>2430</v>
      </c>
      <c r="E380" s="4" t="s">
        <v>2431</v>
      </c>
      <c r="F380" s="4" t="s">
        <v>1021</v>
      </c>
      <c r="G380" s="4" t="s">
        <v>1020</v>
      </c>
      <c r="H380" s="4" t="s">
        <v>114</v>
      </c>
      <c r="I380" s="22">
        <v>21.983333333333299</v>
      </c>
      <c r="J380" s="22">
        <v>101.15</v>
      </c>
      <c r="K380" s="22">
        <v>1.7230000000000001</v>
      </c>
      <c r="L380" s="4">
        <v>2000</v>
      </c>
      <c r="M380" s="4">
        <v>2000</v>
      </c>
      <c r="N380" s="4">
        <v>1.5612303999999999</v>
      </c>
      <c r="O380" s="4" t="s">
        <v>189</v>
      </c>
      <c r="P380" s="4"/>
    </row>
    <row r="381" spans="1:16" ht="28.5" customHeight="1">
      <c r="A381" s="32">
        <v>73</v>
      </c>
      <c r="B381" s="41" t="s">
        <v>1040</v>
      </c>
      <c r="C381" s="12" t="s">
        <v>1036</v>
      </c>
      <c r="D381" s="12" t="s">
        <v>2430</v>
      </c>
      <c r="E381" s="12" t="s">
        <v>2455</v>
      </c>
      <c r="F381" s="12" t="s">
        <v>1037</v>
      </c>
      <c r="G381" s="4" t="s">
        <v>713</v>
      </c>
      <c r="H381" s="4" t="s">
        <v>743</v>
      </c>
      <c r="I381" s="22">
        <v>20.966666666666701</v>
      </c>
      <c r="J381" s="22">
        <v>101.683333333333</v>
      </c>
      <c r="K381" s="22">
        <v>25.97</v>
      </c>
      <c r="L381" s="4">
        <v>2004</v>
      </c>
      <c r="M381" s="4">
        <v>2004</v>
      </c>
      <c r="N381" s="4" t="s">
        <v>2308</v>
      </c>
      <c r="O381" s="4" t="s">
        <v>189</v>
      </c>
      <c r="P381" s="4"/>
    </row>
    <row r="382" spans="1:16" ht="25.5" customHeight="1">
      <c r="A382" s="32">
        <v>73</v>
      </c>
      <c r="B382" s="41" t="s">
        <v>1040</v>
      </c>
      <c r="C382" s="12" t="s">
        <v>1039</v>
      </c>
      <c r="D382" s="12" t="s">
        <v>2430</v>
      </c>
      <c r="E382" s="12" t="s">
        <v>2455</v>
      </c>
      <c r="F382" s="12" t="s">
        <v>1038</v>
      </c>
      <c r="G382" s="4" t="s">
        <v>713</v>
      </c>
      <c r="H382" s="4" t="s">
        <v>743</v>
      </c>
      <c r="I382" s="22">
        <v>20.983333333333299</v>
      </c>
      <c r="J382" s="22">
        <v>101.666666666667</v>
      </c>
      <c r="K382" s="22">
        <v>31.08</v>
      </c>
      <c r="L382" s="4">
        <v>2004</v>
      </c>
      <c r="M382" s="4">
        <v>2004</v>
      </c>
      <c r="N382" s="4" t="s">
        <v>2308</v>
      </c>
      <c r="O382" s="4" t="s">
        <v>189</v>
      </c>
      <c r="P382" s="4"/>
    </row>
    <row r="383" spans="1:16" ht="27" customHeight="1">
      <c r="A383" s="32">
        <v>74</v>
      </c>
      <c r="B383" s="41" t="s">
        <v>1045</v>
      </c>
      <c r="C383" s="12" t="s">
        <v>1043</v>
      </c>
      <c r="D383" s="12" t="s">
        <v>2430</v>
      </c>
      <c r="E383" s="4" t="s">
        <v>2431</v>
      </c>
      <c r="F383" s="4" t="s">
        <v>1046</v>
      </c>
      <c r="G383" s="4" t="s">
        <v>1047</v>
      </c>
      <c r="H383" s="4" t="s">
        <v>636</v>
      </c>
      <c r="I383" s="22">
        <v>9.9743686</v>
      </c>
      <c r="J383" s="22">
        <v>118.6709395</v>
      </c>
      <c r="K383" s="22" t="s">
        <v>2308</v>
      </c>
      <c r="L383" s="4">
        <v>2001</v>
      </c>
      <c r="M383" s="4">
        <v>2004</v>
      </c>
      <c r="N383" s="4" t="s">
        <v>2308</v>
      </c>
      <c r="O383" s="4" t="s">
        <v>189</v>
      </c>
      <c r="P383" s="23" t="s">
        <v>2246</v>
      </c>
    </row>
    <row r="384" spans="1:16" ht="31" customHeight="1">
      <c r="A384" s="32">
        <v>74</v>
      </c>
      <c r="B384" s="41" t="s">
        <v>1045</v>
      </c>
      <c r="C384" s="12" t="s">
        <v>1044</v>
      </c>
      <c r="D384" s="12" t="s">
        <v>2430</v>
      </c>
      <c r="E384" s="4" t="s">
        <v>2431</v>
      </c>
      <c r="F384" s="4" t="s">
        <v>1046</v>
      </c>
      <c r="G384" s="4" t="s">
        <v>1047</v>
      </c>
      <c r="H384" s="4" t="s">
        <v>636</v>
      </c>
      <c r="I384" s="22">
        <v>9.9743686</v>
      </c>
      <c r="J384" s="22">
        <v>118.6709395</v>
      </c>
      <c r="K384" s="22" t="s">
        <v>2308</v>
      </c>
      <c r="L384" s="4">
        <v>2006</v>
      </c>
      <c r="M384" s="4">
        <v>2008</v>
      </c>
      <c r="N384" s="4" t="s">
        <v>2308</v>
      </c>
      <c r="O384" s="4" t="s">
        <v>189</v>
      </c>
      <c r="P384" s="23" t="s">
        <v>2246</v>
      </c>
    </row>
    <row r="385" spans="1:16" ht="37" customHeight="1">
      <c r="A385" s="32">
        <v>75</v>
      </c>
      <c r="B385" s="42" t="s">
        <v>1062</v>
      </c>
      <c r="C385" s="20" t="s">
        <v>1061</v>
      </c>
      <c r="D385" s="12" t="s">
        <v>2430</v>
      </c>
      <c r="E385" s="20" t="s">
        <v>2457</v>
      </c>
      <c r="F385" s="5" t="s">
        <v>1063</v>
      </c>
      <c r="G385" s="5" t="s">
        <v>1070</v>
      </c>
      <c r="H385" s="5" t="s">
        <v>114</v>
      </c>
      <c r="I385" s="82">
        <v>22.5</v>
      </c>
      <c r="J385" s="82">
        <v>100</v>
      </c>
      <c r="K385" s="82" t="s">
        <v>2308</v>
      </c>
      <c r="L385" s="5">
        <v>2003</v>
      </c>
      <c r="M385" s="5">
        <v>2009</v>
      </c>
      <c r="N385" s="5" t="s">
        <v>2308</v>
      </c>
      <c r="O385" s="5" t="s">
        <v>67</v>
      </c>
      <c r="P385" s="5" t="s">
        <v>2458</v>
      </c>
    </row>
    <row r="386" spans="1:16" ht="40.5" customHeight="1">
      <c r="A386" s="32">
        <v>75</v>
      </c>
      <c r="B386" s="42" t="s">
        <v>1062</v>
      </c>
      <c r="C386" s="12" t="s">
        <v>1064</v>
      </c>
      <c r="D386" s="12" t="s">
        <v>2430</v>
      </c>
      <c r="E386" s="20" t="s">
        <v>2457</v>
      </c>
      <c r="F386" s="12" t="s">
        <v>1068</v>
      </c>
      <c r="G386" s="12" t="s">
        <v>1069</v>
      </c>
      <c r="H386" s="12" t="s">
        <v>743</v>
      </c>
      <c r="I386" s="22">
        <v>21.622042199999999</v>
      </c>
      <c r="J386" s="22">
        <v>102.95030850000001</v>
      </c>
      <c r="K386" s="22" t="s">
        <v>2308</v>
      </c>
      <c r="L386" s="12">
        <v>1990</v>
      </c>
      <c r="M386" s="12">
        <v>2009</v>
      </c>
      <c r="N386" s="4" t="s">
        <v>2308</v>
      </c>
      <c r="O386" s="5" t="s">
        <v>67</v>
      </c>
      <c r="P386" s="5" t="s">
        <v>2458</v>
      </c>
    </row>
    <row r="387" spans="1:16" ht="37.5" customHeight="1">
      <c r="A387" s="32">
        <v>75</v>
      </c>
      <c r="B387" s="42" t="s">
        <v>1062</v>
      </c>
      <c r="C387" s="12" t="s">
        <v>1065</v>
      </c>
      <c r="D387" s="12" t="s">
        <v>2430</v>
      </c>
      <c r="E387" s="20" t="s">
        <v>2457</v>
      </c>
      <c r="F387" s="4" t="s">
        <v>2308</v>
      </c>
      <c r="G387" s="12" t="s">
        <v>1071</v>
      </c>
      <c r="H387" s="12" t="s">
        <v>1072</v>
      </c>
      <c r="I387" s="22">
        <v>19.499354400000001</v>
      </c>
      <c r="J387" s="22">
        <v>98.998955899999999</v>
      </c>
      <c r="K387" s="22" t="s">
        <v>2308</v>
      </c>
      <c r="L387" s="12">
        <v>1985</v>
      </c>
      <c r="M387" s="12">
        <v>2009</v>
      </c>
      <c r="N387" s="4" t="s">
        <v>2308</v>
      </c>
      <c r="O387" s="5" t="s">
        <v>67</v>
      </c>
      <c r="P387" s="5" t="s">
        <v>2458</v>
      </c>
    </row>
    <row r="388" spans="1:16" ht="33.5" customHeight="1">
      <c r="A388" s="32">
        <v>75</v>
      </c>
      <c r="B388" s="42" t="s">
        <v>1062</v>
      </c>
      <c r="C388" s="12" t="s">
        <v>1066</v>
      </c>
      <c r="D388" s="12" t="s">
        <v>2430</v>
      </c>
      <c r="E388" s="20" t="s">
        <v>2457</v>
      </c>
      <c r="F388" s="4" t="s">
        <v>2308</v>
      </c>
      <c r="G388" s="12" t="s">
        <v>1073</v>
      </c>
      <c r="H388" s="12" t="s">
        <v>798</v>
      </c>
      <c r="I388" s="22">
        <v>0.25384570000000001</v>
      </c>
      <c r="J388" s="22">
        <v>112.7852096</v>
      </c>
      <c r="K388" s="22" t="s">
        <v>2308</v>
      </c>
      <c r="L388" s="12">
        <v>2000</v>
      </c>
      <c r="M388" s="12">
        <v>2009</v>
      </c>
      <c r="N388" s="4" t="s">
        <v>2308</v>
      </c>
      <c r="O388" s="5" t="s">
        <v>67</v>
      </c>
      <c r="P388" s="5" t="s">
        <v>2458</v>
      </c>
    </row>
    <row r="389" spans="1:16" ht="40.5" customHeight="1">
      <c r="A389" s="32">
        <v>75</v>
      </c>
      <c r="B389" s="42" t="s">
        <v>1062</v>
      </c>
      <c r="C389" s="12" t="s">
        <v>1067</v>
      </c>
      <c r="D389" s="12" t="s">
        <v>2430</v>
      </c>
      <c r="E389" s="20" t="s">
        <v>2457</v>
      </c>
      <c r="F389" s="4" t="s">
        <v>1075</v>
      </c>
      <c r="G389" s="12" t="s">
        <v>1076</v>
      </c>
      <c r="H389" s="12" t="s">
        <v>910</v>
      </c>
      <c r="I389" s="22">
        <v>-0.84087400000000001</v>
      </c>
      <c r="J389" s="22">
        <v>111.92265860000001</v>
      </c>
      <c r="K389" s="22" t="s">
        <v>2308</v>
      </c>
      <c r="L389" s="12">
        <v>1990</v>
      </c>
      <c r="M389" s="12">
        <v>2004</v>
      </c>
      <c r="N389" s="4" t="s">
        <v>2308</v>
      </c>
      <c r="O389" s="5" t="s">
        <v>67</v>
      </c>
      <c r="P389" s="5" t="s">
        <v>2458</v>
      </c>
    </row>
    <row r="390" spans="1:16" ht="40.5" customHeight="1">
      <c r="A390" s="97">
        <v>75</v>
      </c>
      <c r="B390" s="98" t="s">
        <v>1062</v>
      </c>
      <c r="C390" s="13" t="s">
        <v>1074</v>
      </c>
      <c r="D390" s="12" t="s">
        <v>2430</v>
      </c>
      <c r="E390" s="20" t="s">
        <v>2457</v>
      </c>
      <c r="F390" s="13" t="s">
        <v>1077</v>
      </c>
      <c r="G390" s="13" t="s">
        <v>653</v>
      </c>
      <c r="H390" s="13" t="s">
        <v>910</v>
      </c>
      <c r="I390" s="95">
        <v>0.11927500000000001</v>
      </c>
      <c r="J390" s="95">
        <v>110.59729799999999</v>
      </c>
      <c r="K390" s="95" t="s">
        <v>2308</v>
      </c>
      <c r="L390" s="13">
        <v>1990</v>
      </c>
      <c r="M390" s="13">
        <v>2007</v>
      </c>
      <c r="N390" s="13" t="s">
        <v>2308</v>
      </c>
      <c r="O390" s="99" t="s">
        <v>67</v>
      </c>
      <c r="P390" s="5" t="s">
        <v>2458</v>
      </c>
    </row>
    <row r="391" spans="1:16" ht="43" customHeight="1">
      <c r="A391" s="32">
        <v>76</v>
      </c>
      <c r="B391" s="41" t="s">
        <v>1092</v>
      </c>
      <c r="C391" s="12" t="s">
        <v>1091</v>
      </c>
      <c r="D391" s="12" t="s">
        <v>2430</v>
      </c>
      <c r="E391" s="20" t="s">
        <v>2432</v>
      </c>
      <c r="F391" s="5" t="s">
        <v>1093</v>
      </c>
      <c r="G391" s="5" t="s">
        <v>1070</v>
      </c>
      <c r="H391" s="5" t="s">
        <v>114</v>
      </c>
      <c r="I391" s="22">
        <v>21.975999999999999</v>
      </c>
      <c r="J391" s="22">
        <v>100.86199999999999</v>
      </c>
      <c r="K391" s="22" t="s">
        <v>2308</v>
      </c>
      <c r="L391" s="4">
        <v>2007</v>
      </c>
      <c r="M391" s="4">
        <v>2007</v>
      </c>
      <c r="N391" s="4" t="s">
        <v>2308</v>
      </c>
      <c r="O391" s="4" t="s">
        <v>189</v>
      </c>
      <c r="P391" s="5" t="s">
        <v>2322</v>
      </c>
    </row>
    <row r="392" spans="1:16" ht="45.5" customHeight="1">
      <c r="A392" s="32">
        <v>76</v>
      </c>
      <c r="B392" s="41" t="s">
        <v>1092</v>
      </c>
      <c r="C392" s="12" t="s">
        <v>1095</v>
      </c>
      <c r="D392" s="12" t="s">
        <v>2430</v>
      </c>
      <c r="E392" s="20" t="s">
        <v>2432</v>
      </c>
      <c r="F392" s="5" t="s">
        <v>1093</v>
      </c>
      <c r="G392" s="5" t="s">
        <v>1070</v>
      </c>
      <c r="H392" s="5" t="s">
        <v>114</v>
      </c>
      <c r="I392" s="22">
        <v>21.975999999999999</v>
      </c>
      <c r="J392" s="22">
        <v>100.86199999999999</v>
      </c>
      <c r="K392" s="22" t="s">
        <v>2308</v>
      </c>
      <c r="L392" s="4">
        <v>1993</v>
      </c>
      <c r="M392" s="4">
        <v>1993</v>
      </c>
      <c r="N392" s="4" t="s">
        <v>2308</v>
      </c>
      <c r="O392" s="4" t="s">
        <v>189</v>
      </c>
      <c r="P392" s="5" t="s">
        <v>2322</v>
      </c>
    </row>
    <row r="393" spans="1:16" ht="37" customHeight="1">
      <c r="A393" s="32">
        <v>77</v>
      </c>
      <c r="B393" s="41" t="s">
        <v>1119</v>
      </c>
      <c r="C393" s="12" t="s">
        <v>1105</v>
      </c>
      <c r="D393" s="12" t="s">
        <v>2430</v>
      </c>
      <c r="E393" s="20" t="s">
        <v>2457</v>
      </c>
      <c r="F393" s="4" t="s">
        <v>2308</v>
      </c>
      <c r="G393" s="4" t="s">
        <v>2308</v>
      </c>
      <c r="H393" s="4" t="s">
        <v>391</v>
      </c>
      <c r="I393" s="22" t="s">
        <v>2308</v>
      </c>
      <c r="J393" s="22" t="s">
        <v>2308</v>
      </c>
      <c r="K393" s="22" t="s">
        <v>2308</v>
      </c>
      <c r="L393" s="4">
        <v>1975</v>
      </c>
      <c r="M393" s="4">
        <v>2006</v>
      </c>
      <c r="N393" s="4" t="s">
        <v>2308</v>
      </c>
      <c r="O393" s="5" t="s">
        <v>67</v>
      </c>
      <c r="P393" s="4"/>
    </row>
    <row r="394" spans="1:16" ht="33" customHeight="1">
      <c r="A394" s="32">
        <v>78</v>
      </c>
      <c r="B394" s="42" t="s">
        <v>1139</v>
      </c>
      <c r="C394" s="12" t="s">
        <v>1118</v>
      </c>
      <c r="D394" s="12" t="s">
        <v>2430</v>
      </c>
      <c r="E394" s="4" t="s">
        <v>2431</v>
      </c>
      <c r="F394" s="5" t="s">
        <v>1120</v>
      </c>
      <c r="G394" s="4" t="s">
        <v>2308</v>
      </c>
      <c r="H394" s="4" t="s">
        <v>1072</v>
      </c>
      <c r="I394" s="22">
        <v>15.608643199999999</v>
      </c>
      <c r="J394" s="22">
        <v>99.320847999999998</v>
      </c>
      <c r="K394" s="22" t="s">
        <v>2308</v>
      </c>
      <c r="L394" s="4">
        <v>1988</v>
      </c>
      <c r="M394" s="4">
        <v>2000</v>
      </c>
      <c r="N394" s="4" t="s">
        <v>2308</v>
      </c>
      <c r="O394" s="5" t="s">
        <v>67</v>
      </c>
      <c r="P394" s="4"/>
    </row>
    <row r="395" spans="1:16" ht="40" customHeight="1">
      <c r="A395" s="32">
        <v>79</v>
      </c>
      <c r="B395" s="42" t="s">
        <v>2362</v>
      </c>
      <c r="C395" s="24" t="s">
        <v>1137</v>
      </c>
      <c r="D395" s="12" t="s">
        <v>2430</v>
      </c>
      <c r="E395" s="4" t="s">
        <v>2431</v>
      </c>
      <c r="F395" s="23" t="s">
        <v>1140</v>
      </c>
      <c r="G395" s="23" t="s">
        <v>1142</v>
      </c>
      <c r="H395" s="23" t="s">
        <v>910</v>
      </c>
      <c r="I395" s="84">
        <v>-2.7517865000000001</v>
      </c>
      <c r="J395" s="84">
        <v>105.4245785</v>
      </c>
      <c r="K395" s="84">
        <v>280</v>
      </c>
      <c r="L395" s="23">
        <v>2002</v>
      </c>
      <c r="M395" s="23">
        <v>2003</v>
      </c>
      <c r="N395" s="23">
        <v>12</v>
      </c>
      <c r="O395" s="23" t="s">
        <v>67</v>
      </c>
      <c r="P395" s="10"/>
    </row>
    <row r="396" spans="1:16" ht="37" customHeight="1">
      <c r="A396" s="32">
        <v>79</v>
      </c>
      <c r="B396" s="42" t="s">
        <v>2362</v>
      </c>
      <c r="C396" s="24" t="s">
        <v>1138</v>
      </c>
      <c r="D396" s="12" t="s">
        <v>2430</v>
      </c>
      <c r="E396" s="4" t="s">
        <v>2431</v>
      </c>
      <c r="F396" s="23" t="s">
        <v>1141</v>
      </c>
      <c r="G396" s="23" t="s">
        <v>1143</v>
      </c>
      <c r="H396" s="23" t="s">
        <v>910</v>
      </c>
      <c r="I396" s="84">
        <v>-3.9740739999999999</v>
      </c>
      <c r="J396" s="84">
        <v>105.403779</v>
      </c>
      <c r="K396" s="84">
        <f>(69+166)</f>
        <v>235</v>
      </c>
      <c r="L396" s="23">
        <v>2002</v>
      </c>
      <c r="M396" s="23">
        <v>2003</v>
      </c>
      <c r="N396" s="23">
        <v>25</v>
      </c>
      <c r="O396" s="23" t="s">
        <v>67</v>
      </c>
      <c r="P396" s="10"/>
    </row>
    <row r="397" spans="1:16" ht="35.5" customHeight="1">
      <c r="A397" s="32">
        <v>80</v>
      </c>
      <c r="B397" s="41" t="s">
        <v>1144</v>
      </c>
      <c r="C397" s="12" t="s">
        <v>1145</v>
      </c>
      <c r="D397" s="12" t="s">
        <v>2430</v>
      </c>
      <c r="E397" s="4" t="s">
        <v>2431</v>
      </c>
      <c r="F397" s="4" t="s">
        <v>1146</v>
      </c>
      <c r="G397" s="4" t="s">
        <v>2308</v>
      </c>
      <c r="H397" s="4" t="s">
        <v>127</v>
      </c>
      <c r="I397" s="22">
        <v>-7.7858909000000001</v>
      </c>
      <c r="J397" s="22">
        <v>-51.979496300000001</v>
      </c>
      <c r="K397" s="22" t="s">
        <v>2308</v>
      </c>
      <c r="L397" s="4">
        <v>1989</v>
      </c>
      <c r="M397" s="4">
        <v>1989</v>
      </c>
      <c r="N397" s="4" t="s">
        <v>2308</v>
      </c>
      <c r="O397" s="5" t="s">
        <v>67</v>
      </c>
      <c r="P397" s="4"/>
    </row>
    <row r="398" spans="1:16" ht="42" customHeight="1">
      <c r="A398" s="32">
        <v>81</v>
      </c>
      <c r="B398" s="58" t="s">
        <v>1157</v>
      </c>
      <c r="C398" s="24" t="s">
        <v>1156</v>
      </c>
      <c r="D398" s="12" t="s">
        <v>2430</v>
      </c>
      <c r="E398" s="20" t="s">
        <v>2457</v>
      </c>
      <c r="F398" s="24" t="s">
        <v>2308</v>
      </c>
      <c r="G398" s="24" t="s">
        <v>1158</v>
      </c>
      <c r="H398" s="24" t="s">
        <v>127</v>
      </c>
      <c r="I398" s="83" t="s">
        <v>2308</v>
      </c>
      <c r="J398" s="83" t="s">
        <v>2308</v>
      </c>
      <c r="K398" s="83" t="s">
        <v>2308</v>
      </c>
      <c r="L398" s="24">
        <v>1980</v>
      </c>
      <c r="M398" s="24">
        <v>2000</v>
      </c>
      <c r="N398" s="24" t="s">
        <v>2308</v>
      </c>
      <c r="O398" s="24" t="s">
        <v>155</v>
      </c>
      <c r="P398" s="27" t="s">
        <v>1162</v>
      </c>
    </row>
    <row r="399" spans="1:16" ht="45.5" customHeight="1">
      <c r="A399" s="32">
        <v>82</v>
      </c>
      <c r="B399" s="58" t="s">
        <v>1157</v>
      </c>
      <c r="C399" s="24" t="s">
        <v>1163</v>
      </c>
      <c r="D399" s="12" t="s">
        <v>2430</v>
      </c>
      <c r="E399" s="20" t="s">
        <v>2457</v>
      </c>
      <c r="F399" s="23" t="s">
        <v>2308</v>
      </c>
      <c r="G399" s="23" t="s">
        <v>2308</v>
      </c>
      <c r="H399" s="23" t="s">
        <v>1164</v>
      </c>
      <c r="I399" s="84" t="s">
        <v>2308</v>
      </c>
      <c r="J399" s="84" t="s">
        <v>2308</v>
      </c>
      <c r="K399" s="84" t="s">
        <v>2308</v>
      </c>
      <c r="L399" s="23">
        <v>1985</v>
      </c>
      <c r="M399" s="23">
        <v>2000</v>
      </c>
      <c r="N399" s="23" t="s">
        <v>2308</v>
      </c>
      <c r="O399" s="24" t="s">
        <v>155</v>
      </c>
      <c r="P399" s="27" t="s">
        <v>1162</v>
      </c>
    </row>
    <row r="400" spans="1:16" ht="46" customHeight="1">
      <c r="A400" s="32">
        <v>82</v>
      </c>
      <c r="B400" s="58" t="s">
        <v>1157</v>
      </c>
      <c r="C400" s="24" t="s">
        <v>1176</v>
      </c>
      <c r="D400" s="12" t="s">
        <v>2430</v>
      </c>
      <c r="E400" s="20" t="s">
        <v>2457</v>
      </c>
      <c r="F400" s="23" t="s">
        <v>2308</v>
      </c>
      <c r="G400" s="23" t="s">
        <v>2308</v>
      </c>
      <c r="H400" s="24" t="s">
        <v>903</v>
      </c>
      <c r="I400" s="84" t="s">
        <v>2308</v>
      </c>
      <c r="J400" s="84" t="s">
        <v>2308</v>
      </c>
      <c r="K400" s="84" t="s">
        <v>2308</v>
      </c>
      <c r="L400" s="23">
        <v>1991</v>
      </c>
      <c r="M400" s="23">
        <v>2000</v>
      </c>
      <c r="N400" s="23" t="s">
        <v>2308</v>
      </c>
      <c r="O400" s="24" t="s">
        <v>155</v>
      </c>
      <c r="P400" s="27" t="s">
        <v>1162</v>
      </c>
    </row>
    <row r="401" spans="1:16" ht="50" customHeight="1">
      <c r="A401" s="32">
        <v>82</v>
      </c>
      <c r="B401" s="58" t="s">
        <v>1157</v>
      </c>
      <c r="C401" s="24" t="s">
        <v>1180</v>
      </c>
      <c r="D401" s="12" t="s">
        <v>2430</v>
      </c>
      <c r="E401" s="20" t="s">
        <v>2457</v>
      </c>
      <c r="F401" s="23" t="s">
        <v>2308</v>
      </c>
      <c r="G401" s="23" t="s">
        <v>2308</v>
      </c>
      <c r="H401" s="24" t="s">
        <v>1167</v>
      </c>
      <c r="I401" s="84" t="s">
        <v>2308</v>
      </c>
      <c r="J401" s="84" t="s">
        <v>2308</v>
      </c>
      <c r="K401" s="84" t="s">
        <v>2308</v>
      </c>
      <c r="L401" s="23">
        <v>1989</v>
      </c>
      <c r="M401" s="23">
        <v>1997</v>
      </c>
      <c r="N401" s="23" t="s">
        <v>2308</v>
      </c>
      <c r="O401" s="24" t="s">
        <v>155</v>
      </c>
      <c r="P401" s="27" t="s">
        <v>1162</v>
      </c>
    </row>
    <row r="402" spans="1:16" ht="55.5" customHeight="1">
      <c r="A402" s="32">
        <v>83</v>
      </c>
      <c r="B402" s="41" t="s">
        <v>1175</v>
      </c>
      <c r="C402" s="24" t="s">
        <v>1165</v>
      </c>
      <c r="D402" s="12" t="s">
        <v>2430</v>
      </c>
      <c r="E402" s="4" t="s">
        <v>2670</v>
      </c>
      <c r="F402" s="4" t="s">
        <v>2326</v>
      </c>
      <c r="G402" s="4" t="s">
        <v>172</v>
      </c>
      <c r="H402" s="4" t="s">
        <v>127</v>
      </c>
      <c r="I402" s="22">
        <v>-5.4302159999999997</v>
      </c>
      <c r="J402" s="22">
        <v>-49.030130399999997</v>
      </c>
      <c r="K402" s="22" t="s">
        <v>2308</v>
      </c>
      <c r="L402" s="4">
        <v>1997</v>
      </c>
      <c r="M402" s="4">
        <v>1997</v>
      </c>
      <c r="N402" s="4" t="s">
        <v>2308</v>
      </c>
      <c r="O402" s="5" t="s">
        <v>67</v>
      </c>
      <c r="P402" s="5" t="s">
        <v>2462</v>
      </c>
    </row>
    <row r="403" spans="1:16" ht="38" customHeight="1">
      <c r="A403" s="32">
        <v>84</v>
      </c>
      <c r="B403" s="58" t="s">
        <v>1186</v>
      </c>
      <c r="C403" s="24" t="s">
        <v>1166</v>
      </c>
      <c r="D403" s="12" t="s">
        <v>2430</v>
      </c>
      <c r="E403" s="4" t="s">
        <v>2431</v>
      </c>
      <c r="F403" s="4" t="s">
        <v>1600</v>
      </c>
      <c r="G403" s="4" t="s">
        <v>1599</v>
      </c>
      <c r="H403" s="12" t="s">
        <v>127</v>
      </c>
      <c r="I403" s="22">
        <v>2.8227690926962898</v>
      </c>
      <c r="J403" s="22">
        <v>-60.699479422120802</v>
      </c>
      <c r="K403" s="22" t="s">
        <v>2308</v>
      </c>
      <c r="L403" s="4">
        <v>1996</v>
      </c>
      <c r="M403" s="4">
        <v>1997</v>
      </c>
      <c r="N403" s="4" t="s">
        <v>2308</v>
      </c>
      <c r="O403" s="5" t="s">
        <v>67</v>
      </c>
      <c r="P403" s="4"/>
    </row>
    <row r="404" spans="1:16" ht="38" customHeight="1">
      <c r="A404" s="32">
        <v>84</v>
      </c>
      <c r="B404" s="58" t="s">
        <v>1186</v>
      </c>
      <c r="C404" s="24" t="s">
        <v>1526</v>
      </c>
      <c r="D404" s="12" t="s">
        <v>2430</v>
      </c>
      <c r="E404" s="4" t="s">
        <v>2431</v>
      </c>
      <c r="F404" s="4" t="s">
        <v>1601</v>
      </c>
      <c r="G404" s="4" t="s">
        <v>1599</v>
      </c>
      <c r="H404" s="12" t="s">
        <v>127</v>
      </c>
      <c r="I404" s="22">
        <v>-0.15659321164347501</v>
      </c>
      <c r="J404" s="22">
        <v>-50.392857142857203</v>
      </c>
      <c r="K404" s="22" t="s">
        <v>2308</v>
      </c>
      <c r="L404" s="4">
        <v>1996</v>
      </c>
      <c r="M404" s="4">
        <v>1997</v>
      </c>
      <c r="N404" s="4" t="s">
        <v>2308</v>
      </c>
      <c r="O404" s="5" t="s">
        <v>2</v>
      </c>
      <c r="P404" s="4"/>
    </row>
    <row r="405" spans="1:16" ht="38" customHeight="1">
      <c r="A405" s="32">
        <v>84</v>
      </c>
      <c r="B405" s="58" t="s">
        <v>1186</v>
      </c>
      <c r="C405" s="24" t="s">
        <v>1527</v>
      </c>
      <c r="D405" s="12" t="s">
        <v>2430</v>
      </c>
      <c r="E405" s="4" t="s">
        <v>2431</v>
      </c>
      <c r="F405" s="4" t="s">
        <v>1602</v>
      </c>
      <c r="G405" s="4" t="s">
        <v>1599</v>
      </c>
      <c r="H405" s="12" t="s">
        <v>127</v>
      </c>
      <c r="I405" s="22">
        <v>-0.11488087586178</v>
      </c>
      <c r="J405" s="22">
        <v>-51.289595382528397</v>
      </c>
      <c r="K405" s="22" t="s">
        <v>2308</v>
      </c>
      <c r="L405" s="4">
        <v>1996</v>
      </c>
      <c r="M405" s="4">
        <v>1997</v>
      </c>
      <c r="N405" s="4" t="s">
        <v>2308</v>
      </c>
      <c r="O405" s="5" t="s">
        <v>2</v>
      </c>
      <c r="P405" s="4"/>
    </row>
    <row r="406" spans="1:16" ht="38" customHeight="1">
      <c r="A406" s="32">
        <v>84</v>
      </c>
      <c r="B406" s="58" t="s">
        <v>1186</v>
      </c>
      <c r="C406" s="24" t="s">
        <v>1528</v>
      </c>
      <c r="D406" s="12" t="s">
        <v>2430</v>
      </c>
      <c r="E406" s="4" t="s">
        <v>2431</v>
      </c>
      <c r="F406" s="4" t="s">
        <v>1603</v>
      </c>
      <c r="G406" s="4" t="s">
        <v>1599</v>
      </c>
      <c r="H406" s="12" t="s">
        <v>127</v>
      </c>
      <c r="I406" s="22">
        <v>-3.9879770070593699E-2</v>
      </c>
      <c r="J406" s="22">
        <v>-51.172014628807197</v>
      </c>
      <c r="K406" s="22" t="s">
        <v>2308</v>
      </c>
      <c r="L406" s="4">
        <v>1996</v>
      </c>
      <c r="M406" s="4">
        <v>1997</v>
      </c>
      <c r="N406" s="4" t="s">
        <v>2308</v>
      </c>
      <c r="O406" s="5" t="s">
        <v>2</v>
      </c>
      <c r="P406" s="4"/>
    </row>
    <row r="407" spans="1:16" ht="38" customHeight="1">
      <c r="A407" s="32">
        <v>84</v>
      </c>
      <c r="B407" s="58" t="s">
        <v>1186</v>
      </c>
      <c r="C407" s="24" t="s">
        <v>1529</v>
      </c>
      <c r="D407" s="12" t="s">
        <v>2430</v>
      </c>
      <c r="E407" s="4" t="s">
        <v>2431</v>
      </c>
      <c r="F407" s="4" t="s">
        <v>1604</v>
      </c>
      <c r="G407" s="4" t="s">
        <v>1599</v>
      </c>
      <c r="H407" s="12" t="s">
        <v>127</v>
      </c>
      <c r="I407" s="22">
        <v>-1.9412561810791</v>
      </c>
      <c r="J407" s="22">
        <v>-50.811181091372099</v>
      </c>
      <c r="K407" s="22" t="s">
        <v>2308</v>
      </c>
      <c r="L407" s="4">
        <v>1996</v>
      </c>
      <c r="M407" s="4">
        <v>1997</v>
      </c>
      <c r="N407" s="4" t="s">
        <v>2308</v>
      </c>
      <c r="O407" s="5" t="s">
        <v>2</v>
      </c>
      <c r="P407" s="4"/>
    </row>
    <row r="408" spans="1:16" ht="38" customHeight="1">
      <c r="A408" s="32">
        <v>84</v>
      </c>
      <c r="B408" s="58" t="s">
        <v>1186</v>
      </c>
      <c r="C408" s="24" t="s">
        <v>1530</v>
      </c>
      <c r="D408" s="12" t="s">
        <v>2430</v>
      </c>
      <c r="E408" s="4" t="s">
        <v>2431</v>
      </c>
      <c r="F408" s="4" t="s">
        <v>1605</v>
      </c>
      <c r="G408" s="4" t="s">
        <v>1599</v>
      </c>
      <c r="H408" s="12" t="s">
        <v>127</v>
      </c>
      <c r="I408" s="22">
        <v>-1.8035310756504599</v>
      </c>
      <c r="J408" s="22">
        <v>-50.715273008241802</v>
      </c>
      <c r="K408" s="22" t="s">
        <v>2308</v>
      </c>
      <c r="L408" s="4">
        <v>1996</v>
      </c>
      <c r="M408" s="4">
        <v>1997</v>
      </c>
      <c r="N408" s="4" t="s">
        <v>2308</v>
      </c>
      <c r="O408" s="5" t="s">
        <v>2</v>
      </c>
      <c r="P408" s="4"/>
    </row>
    <row r="409" spans="1:16" ht="38" customHeight="1">
      <c r="A409" s="32">
        <v>84</v>
      </c>
      <c r="B409" s="58" t="s">
        <v>1186</v>
      </c>
      <c r="C409" s="24" t="s">
        <v>1531</v>
      </c>
      <c r="D409" s="12" t="s">
        <v>2430</v>
      </c>
      <c r="E409" s="4" t="s">
        <v>2431</v>
      </c>
      <c r="F409" s="4" t="s">
        <v>1606</v>
      </c>
      <c r="G409" s="4" t="s">
        <v>1599</v>
      </c>
      <c r="H409" s="12" t="s">
        <v>127</v>
      </c>
      <c r="I409" s="22">
        <v>-2.0051280172137398</v>
      </c>
      <c r="J409" s="22">
        <v>-49.859546703296701</v>
      </c>
      <c r="K409" s="22" t="s">
        <v>2308</v>
      </c>
      <c r="L409" s="4">
        <v>1996</v>
      </c>
      <c r="M409" s="4">
        <v>1997</v>
      </c>
      <c r="N409" s="4" t="s">
        <v>2308</v>
      </c>
      <c r="O409" s="5" t="s">
        <v>2</v>
      </c>
      <c r="P409" s="4"/>
    </row>
    <row r="410" spans="1:16" ht="38" customHeight="1">
      <c r="A410" s="32">
        <v>84</v>
      </c>
      <c r="B410" s="58" t="s">
        <v>1186</v>
      </c>
      <c r="C410" s="24" t="s">
        <v>1532</v>
      </c>
      <c r="D410" s="12" t="s">
        <v>2430</v>
      </c>
      <c r="E410" s="4" t="s">
        <v>2431</v>
      </c>
      <c r="F410" s="4" t="s">
        <v>1607</v>
      </c>
      <c r="G410" s="4" t="s">
        <v>1599</v>
      </c>
      <c r="H410" s="12" t="s">
        <v>127</v>
      </c>
      <c r="I410" s="22">
        <v>-2.2482691774738002</v>
      </c>
      <c r="J410" s="22">
        <v>-49.5080418152153</v>
      </c>
      <c r="K410" s="22" t="s">
        <v>2308</v>
      </c>
      <c r="L410" s="4">
        <v>1996</v>
      </c>
      <c r="M410" s="4">
        <v>1997</v>
      </c>
      <c r="N410" s="4" t="s">
        <v>2308</v>
      </c>
      <c r="O410" s="5" t="s">
        <v>2</v>
      </c>
      <c r="P410" s="4"/>
    </row>
    <row r="411" spans="1:16" ht="38" customHeight="1">
      <c r="A411" s="32">
        <v>84</v>
      </c>
      <c r="B411" s="58" t="s">
        <v>1186</v>
      </c>
      <c r="C411" s="24" t="s">
        <v>1533</v>
      </c>
      <c r="D411" s="12" t="s">
        <v>2430</v>
      </c>
      <c r="E411" s="4" t="s">
        <v>2431</v>
      </c>
      <c r="F411" s="4" t="s">
        <v>1608</v>
      </c>
      <c r="G411" s="4" t="s">
        <v>1599</v>
      </c>
      <c r="H411" s="12" t="s">
        <v>127</v>
      </c>
      <c r="I411" s="22">
        <v>-2.4372263652139798</v>
      </c>
      <c r="J411" s="22">
        <v>-54.708240186849501</v>
      </c>
      <c r="K411" s="22" t="s">
        <v>2308</v>
      </c>
      <c r="L411" s="4">
        <v>1996</v>
      </c>
      <c r="M411" s="4">
        <v>1997</v>
      </c>
      <c r="N411" s="4" t="s">
        <v>2308</v>
      </c>
      <c r="O411" s="5" t="s">
        <v>2</v>
      </c>
      <c r="P411" s="4"/>
    </row>
    <row r="412" spans="1:16" ht="38" customHeight="1">
      <c r="A412" s="32">
        <v>84</v>
      </c>
      <c r="B412" s="58" t="s">
        <v>1186</v>
      </c>
      <c r="C412" s="24" t="s">
        <v>1534</v>
      </c>
      <c r="D412" s="12" t="s">
        <v>2430</v>
      </c>
      <c r="E412" s="4" t="s">
        <v>2431</v>
      </c>
      <c r="F412" s="4" t="s">
        <v>1609</v>
      </c>
      <c r="G412" s="4" t="s">
        <v>1599</v>
      </c>
      <c r="H412" s="12" t="s">
        <v>127</v>
      </c>
      <c r="I412" s="22">
        <v>-1.2964209572181999</v>
      </c>
      <c r="J412" s="22">
        <v>-47.9187843406593</v>
      </c>
      <c r="K412" s="22" t="s">
        <v>2308</v>
      </c>
      <c r="L412" s="4">
        <v>1996</v>
      </c>
      <c r="M412" s="4">
        <v>1997</v>
      </c>
      <c r="N412" s="4" t="s">
        <v>2308</v>
      </c>
      <c r="O412" s="5" t="s">
        <v>2</v>
      </c>
      <c r="P412" s="4"/>
    </row>
    <row r="413" spans="1:16" ht="38" customHeight="1">
      <c r="A413" s="32">
        <v>84</v>
      </c>
      <c r="B413" s="58" t="s">
        <v>1186</v>
      </c>
      <c r="C413" s="24" t="s">
        <v>1535</v>
      </c>
      <c r="D413" s="12" t="s">
        <v>2430</v>
      </c>
      <c r="E413" s="4" t="s">
        <v>2431</v>
      </c>
      <c r="F413" s="4" t="s">
        <v>1610</v>
      </c>
      <c r="G413" s="4" t="s">
        <v>1599</v>
      </c>
      <c r="H413" s="12" t="s">
        <v>127</v>
      </c>
      <c r="I413" s="22">
        <v>-1.51825892927523</v>
      </c>
      <c r="J413" s="22">
        <v>-48.0370235233516</v>
      </c>
      <c r="K413" s="22" t="s">
        <v>2308</v>
      </c>
      <c r="L413" s="4">
        <v>1996</v>
      </c>
      <c r="M413" s="4">
        <v>1997</v>
      </c>
      <c r="N413" s="4" t="s">
        <v>2308</v>
      </c>
      <c r="O413" s="5" t="s">
        <v>2</v>
      </c>
      <c r="P413" s="4"/>
    </row>
    <row r="414" spans="1:16" ht="38" customHeight="1">
      <c r="A414" s="32">
        <v>84</v>
      </c>
      <c r="B414" s="58" t="s">
        <v>1186</v>
      </c>
      <c r="C414" s="24" t="s">
        <v>1536</v>
      </c>
      <c r="D414" s="12" t="s">
        <v>2430</v>
      </c>
      <c r="E414" s="4" t="s">
        <v>2431</v>
      </c>
      <c r="F414" s="4" t="s">
        <v>1611</v>
      </c>
      <c r="G414" s="4" t="s">
        <v>1599</v>
      </c>
      <c r="H414" s="12" t="s">
        <v>127</v>
      </c>
      <c r="I414" s="22">
        <v>-1.20171867626732</v>
      </c>
      <c r="J414" s="22">
        <v>-47.180006507799398</v>
      </c>
      <c r="K414" s="22" t="s">
        <v>2308</v>
      </c>
      <c r="L414" s="4">
        <v>1996</v>
      </c>
      <c r="M414" s="4">
        <v>1997</v>
      </c>
      <c r="N414" s="4" t="s">
        <v>2308</v>
      </c>
      <c r="O414" s="5" t="s">
        <v>2</v>
      </c>
      <c r="P414" s="4"/>
    </row>
    <row r="415" spans="1:16" ht="38" customHeight="1">
      <c r="A415" s="32">
        <v>84</v>
      </c>
      <c r="B415" s="58" t="s">
        <v>1186</v>
      </c>
      <c r="C415" s="24" t="s">
        <v>1537</v>
      </c>
      <c r="D415" s="12" t="s">
        <v>2430</v>
      </c>
      <c r="E415" s="4" t="s">
        <v>2431</v>
      </c>
      <c r="F415" s="4" t="s">
        <v>1612</v>
      </c>
      <c r="G415" s="4" t="s">
        <v>1599</v>
      </c>
      <c r="H415" s="12" t="s">
        <v>127</v>
      </c>
      <c r="I415" s="22">
        <v>-3.0054872830583501</v>
      </c>
      <c r="J415" s="22">
        <v>-47.376126520306698</v>
      </c>
      <c r="K415" s="22" t="s">
        <v>2308</v>
      </c>
      <c r="L415" s="4">
        <v>1996</v>
      </c>
      <c r="M415" s="4">
        <v>1997</v>
      </c>
      <c r="N415" s="4" t="s">
        <v>2308</v>
      </c>
      <c r="O415" s="5" t="s">
        <v>2</v>
      </c>
      <c r="P415" s="4"/>
    </row>
    <row r="416" spans="1:16" ht="38" customHeight="1">
      <c r="A416" s="32">
        <v>84</v>
      </c>
      <c r="B416" s="58" t="s">
        <v>1186</v>
      </c>
      <c r="C416" s="24" t="s">
        <v>1538</v>
      </c>
      <c r="D416" s="12" t="s">
        <v>2430</v>
      </c>
      <c r="E416" s="4" t="s">
        <v>2431</v>
      </c>
      <c r="F416" s="4" t="s">
        <v>1613</v>
      </c>
      <c r="G416" s="4" t="s">
        <v>1599</v>
      </c>
      <c r="H416" s="12" t="s">
        <v>127</v>
      </c>
      <c r="I416" s="22">
        <v>-2.9382717004654499</v>
      </c>
      <c r="J416" s="22">
        <v>-48.950892857142897</v>
      </c>
      <c r="K416" s="22" t="s">
        <v>2308</v>
      </c>
      <c r="L416" s="4">
        <v>1996</v>
      </c>
      <c r="M416" s="4">
        <v>1997</v>
      </c>
      <c r="N416" s="4" t="s">
        <v>2308</v>
      </c>
      <c r="O416" s="5" t="s">
        <v>2</v>
      </c>
      <c r="P416" s="4"/>
    </row>
    <row r="417" spans="1:16" ht="38" customHeight="1">
      <c r="A417" s="32">
        <v>84</v>
      </c>
      <c r="B417" s="58" t="s">
        <v>1186</v>
      </c>
      <c r="C417" s="24" t="s">
        <v>1539</v>
      </c>
      <c r="D417" s="12" t="s">
        <v>2430</v>
      </c>
      <c r="E417" s="4" t="s">
        <v>2431</v>
      </c>
      <c r="F417" s="4" t="s">
        <v>1614</v>
      </c>
      <c r="G417" s="4" t="s">
        <v>1599</v>
      </c>
      <c r="H417" s="12" t="s">
        <v>127</v>
      </c>
      <c r="I417" s="22">
        <v>-3.76600100718727</v>
      </c>
      <c r="J417" s="22">
        <v>-49.677712912087898</v>
      </c>
      <c r="K417" s="22" t="s">
        <v>2308</v>
      </c>
      <c r="L417" s="4">
        <v>1996</v>
      </c>
      <c r="M417" s="4">
        <v>1997</v>
      </c>
      <c r="N417" s="4" t="s">
        <v>2308</v>
      </c>
      <c r="O417" s="5" t="s">
        <v>2</v>
      </c>
      <c r="P417" s="4"/>
    </row>
    <row r="418" spans="1:16" ht="38" customHeight="1">
      <c r="A418" s="32">
        <v>84</v>
      </c>
      <c r="B418" s="58" t="s">
        <v>1186</v>
      </c>
      <c r="C418" s="24" t="s">
        <v>1540</v>
      </c>
      <c r="D418" s="12" t="s">
        <v>2430</v>
      </c>
      <c r="E418" s="4" t="s">
        <v>2431</v>
      </c>
      <c r="F418" s="4" t="s">
        <v>1615</v>
      </c>
      <c r="G418" s="4" t="s">
        <v>1599</v>
      </c>
      <c r="H418" s="12" t="s">
        <v>127</v>
      </c>
      <c r="I418" s="22">
        <v>-3.8440359757502902</v>
      </c>
      <c r="J418" s="22">
        <v>-49.098394758982998</v>
      </c>
      <c r="K418" s="22" t="s">
        <v>2308</v>
      </c>
      <c r="L418" s="4">
        <v>1996</v>
      </c>
      <c r="M418" s="4">
        <v>1997</v>
      </c>
      <c r="N418" s="4" t="s">
        <v>2308</v>
      </c>
      <c r="O418" s="5" t="s">
        <v>2</v>
      </c>
      <c r="P418" s="4"/>
    </row>
    <row r="419" spans="1:16" ht="38" customHeight="1">
      <c r="A419" s="32">
        <v>84</v>
      </c>
      <c r="B419" s="58" t="s">
        <v>1186</v>
      </c>
      <c r="C419" s="24" t="s">
        <v>1541</v>
      </c>
      <c r="D419" s="12" t="s">
        <v>2430</v>
      </c>
      <c r="E419" s="4" t="s">
        <v>2431</v>
      </c>
      <c r="F419" s="4" t="s">
        <v>1616</v>
      </c>
      <c r="G419" s="4" t="s">
        <v>1599</v>
      </c>
      <c r="H419" s="12" t="s">
        <v>127</v>
      </c>
      <c r="I419" s="22">
        <v>-4.4430925275499202</v>
      </c>
      <c r="J419" s="22">
        <v>-49.115378511022598</v>
      </c>
      <c r="K419" s="22" t="s">
        <v>2308</v>
      </c>
      <c r="L419" s="4">
        <v>1996</v>
      </c>
      <c r="M419" s="4">
        <v>1997</v>
      </c>
      <c r="N419" s="4" t="s">
        <v>2308</v>
      </c>
      <c r="O419" s="5" t="s">
        <v>2</v>
      </c>
      <c r="P419" s="4"/>
    </row>
    <row r="420" spans="1:16" ht="38" customHeight="1">
      <c r="A420" s="32">
        <v>84</v>
      </c>
      <c r="B420" s="58" t="s">
        <v>1186</v>
      </c>
      <c r="C420" s="24" t="s">
        <v>1542</v>
      </c>
      <c r="D420" s="12" t="s">
        <v>2430</v>
      </c>
      <c r="E420" s="4" t="s">
        <v>2431</v>
      </c>
      <c r="F420" s="4" t="s">
        <v>1617</v>
      </c>
      <c r="G420" s="4" t="s">
        <v>1599</v>
      </c>
      <c r="H420" s="12" t="s">
        <v>127</v>
      </c>
      <c r="I420" s="22">
        <v>-4.1483536922172499</v>
      </c>
      <c r="J420" s="22">
        <v>-50.221285398199598</v>
      </c>
      <c r="K420" s="22" t="s">
        <v>2308</v>
      </c>
      <c r="L420" s="4">
        <v>1996</v>
      </c>
      <c r="M420" s="4">
        <v>1997</v>
      </c>
      <c r="N420" s="4" t="s">
        <v>2308</v>
      </c>
      <c r="O420" s="5" t="s">
        <v>2</v>
      </c>
      <c r="P420" s="4"/>
    </row>
    <row r="421" spans="1:16" ht="38" customHeight="1">
      <c r="A421" s="32">
        <v>84</v>
      </c>
      <c r="B421" s="58" t="s">
        <v>1186</v>
      </c>
      <c r="C421" s="24" t="s">
        <v>1543</v>
      </c>
      <c r="D421" s="12" t="s">
        <v>2430</v>
      </c>
      <c r="E421" s="4" t="s">
        <v>2431</v>
      </c>
      <c r="F421" s="4" t="s">
        <v>1618</v>
      </c>
      <c r="G421" s="4" t="s">
        <v>1599</v>
      </c>
      <c r="H421" s="12" t="s">
        <v>127</v>
      </c>
      <c r="I421" s="22">
        <v>-5.1314749053399398</v>
      </c>
      <c r="J421" s="22">
        <v>-49.331363271381399</v>
      </c>
      <c r="K421" s="22" t="s">
        <v>2308</v>
      </c>
      <c r="L421" s="4">
        <v>1996</v>
      </c>
      <c r="M421" s="4">
        <v>1997</v>
      </c>
      <c r="N421" s="4" t="s">
        <v>2308</v>
      </c>
      <c r="O421" s="5" t="s">
        <v>2</v>
      </c>
      <c r="P421" s="4"/>
    </row>
    <row r="422" spans="1:16" ht="38" customHeight="1">
      <c r="A422" s="32">
        <v>84</v>
      </c>
      <c r="B422" s="58" t="s">
        <v>1186</v>
      </c>
      <c r="C422" s="24" t="s">
        <v>1544</v>
      </c>
      <c r="D422" s="12" t="s">
        <v>2430</v>
      </c>
      <c r="E422" s="4" t="s">
        <v>2431</v>
      </c>
      <c r="F422" s="4" t="s">
        <v>1619</v>
      </c>
      <c r="G422" s="4" t="s">
        <v>1599</v>
      </c>
      <c r="H422" s="12" t="s">
        <v>127</v>
      </c>
      <c r="I422" s="22">
        <v>-5.3671920713892503</v>
      </c>
      <c r="J422" s="22">
        <v>-49.1262086808891</v>
      </c>
      <c r="K422" s="22" t="s">
        <v>2308</v>
      </c>
      <c r="L422" s="4">
        <v>1996</v>
      </c>
      <c r="M422" s="4">
        <v>1997</v>
      </c>
      <c r="N422" s="4" t="s">
        <v>2308</v>
      </c>
      <c r="O422" s="5" t="s">
        <v>2</v>
      </c>
      <c r="P422" s="4"/>
    </row>
    <row r="423" spans="1:16" ht="38" customHeight="1">
      <c r="A423" s="32">
        <v>84</v>
      </c>
      <c r="B423" s="58" t="s">
        <v>1186</v>
      </c>
      <c r="C423" s="24" t="s">
        <v>1545</v>
      </c>
      <c r="D423" s="12" t="s">
        <v>2430</v>
      </c>
      <c r="E423" s="4" t="s">
        <v>2431</v>
      </c>
      <c r="F423" s="4" t="s">
        <v>1620</v>
      </c>
      <c r="G423" s="4" t="s">
        <v>1599</v>
      </c>
      <c r="H423" s="12" t="s">
        <v>127</v>
      </c>
      <c r="I423" s="22">
        <v>-4.78912783814493</v>
      </c>
      <c r="J423" s="22">
        <v>-48.077477224964703</v>
      </c>
      <c r="K423" s="22" t="s">
        <v>2308</v>
      </c>
      <c r="L423" s="4">
        <v>1996</v>
      </c>
      <c r="M423" s="4">
        <v>1997</v>
      </c>
      <c r="N423" s="4" t="s">
        <v>2308</v>
      </c>
      <c r="O423" s="5" t="s">
        <v>2</v>
      </c>
      <c r="P423" s="4"/>
    </row>
    <row r="424" spans="1:16" ht="38" customHeight="1">
      <c r="A424" s="32">
        <v>84</v>
      </c>
      <c r="B424" s="58" t="s">
        <v>1186</v>
      </c>
      <c r="C424" s="24" t="s">
        <v>1546</v>
      </c>
      <c r="D424" s="12" t="s">
        <v>2430</v>
      </c>
      <c r="E424" s="4" t="s">
        <v>2431</v>
      </c>
      <c r="F424" s="4" t="s">
        <v>1621</v>
      </c>
      <c r="G424" s="4" t="s">
        <v>1599</v>
      </c>
      <c r="H424" s="12" t="s">
        <v>127</v>
      </c>
      <c r="I424" s="22">
        <v>-4.3009790901881901</v>
      </c>
      <c r="J424" s="22">
        <v>-47.5524868857675</v>
      </c>
      <c r="K424" s="22" t="s">
        <v>2308</v>
      </c>
      <c r="L424" s="4">
        <v>1996</v>
      </c>
      <c r="M424" s="4">
        <v>1997</v>
      </c>
      <c r="N424" s="4" t="s">
        <v>2308</v>
      </c>
      <c r="O424" s="5" t="s">
        <v>2</v>
      </c>
      <c r="P424" s="4"/>
    </row>
    <row r="425" spans="1:16" ht="38" customHeight="1">
      <c r="A425" s="32">
        <v>84</v>
      </c>
      <c r="B425" s="58" t="s">
        <v>1186</v>
      </c>
      <c r="C425" s="24" t="s">
        <v>1547</v>
      </c>
      <c r="D425" s="12" t="s">
        <v>2430</v>
      </c>
      <c r="E425" s="4" t="s">
        <v>2431</v>
      </c>
      <c r="F425" s="4" t="s">
        <v>1622</v>
      </c>
      <c r="G425" s="4" t="s">
        <v>1599</v>
      </c>
      <c r="H425" s="12" t="s">
        <v>127</v>
      </c>
      <c r="I425" s="22">
        <v>-4.9366265977531496</v>
      </c>
      <c r="J425" s="22">
        <v>-47.492951126108203</v>
      </c>
      <c r="K425" s="22" t="s">
        <v>2308</v>
      </c>
      <c r="L425" s="4">
        <v>1996</v>
      </c>
      <c r="M425" s="4">
        <v>1997</v>
      </c>
      <c r="N425" s="4" t="s">
        <v>2308</v>
      </c>
      <c r="O425" s="5" t="s">
        <v>2</v>
      </c>
      <c r="P425" s="4"/>
    </row>
    <row r="426" spans="1:16" ht="38" customHeight="1">
      <c r="A426" s="32">
        <v>84</v>
      </c>
      <c r="B426" s="58" t="s">
        <v>1186</v>
      </c>
      <c r="C426" s="24" t="s">
        <v>1548</v>
      </c>
      <c r="D426" s="12" t="s">
        <v>2430</v>
      </c>
      <c r="E426" s="4" t="s">
        <v>2431</v>
      </c>
      <c r="F426" s="4" t="s">
        <v>1623</v>
      </c>
      <c r="G426" s="4" t="s">
        <v>1599</v>
      </c>
      <c r="H426" s="12" t="s">
        <v>127</v>
      </c>
      <c r="I426" s="22">
        <v>-5.5088508851075</v>
      </c>
      <c r="J426" s="22">
        <v>-47.498421433914402</v>
      </c>
      <c r="K426" s="22" t="s">
        <v>2308</v>
      </c>
      <c r="L426" s="4">
        <v>1996</v>
      </c>
      <c r="M426" s="4">
        <v>1997</v>
      </c>
      <c r="N426" s="4" t="s">
        <v>2308</v>
      </c>
      <c r="O426" s="5" t="s">
        <v>2</v>
      </c>
      <c r="P426" s="4"/>
    </row>
    <row r="427" spans="1:16" ht="38" customHeight="1">
      <c r="A427" s="32">
        <v>84</v>
      </c>
      <c r="B427" s="58" t="s">
        <v>1186</v>
      </c>
      <c r="C427" s="24" t="s">
        <v>1549</v>
      </c>
      <c r="D427" s="12" t="s">
        <v>2430</v>
      </c>
      <c r="E427" s="4" t="s">
        <v>2431</v>
      </c>
      <c r="F427" s="4" t="s">
        <v>1624</v>
      </c>
      <c r="G427" s="4" t="s">
        <v>1599</v>
      </c>
      <c r="H427" s="12" t="s">
        <v>127</v>
      </c>
      <c r="I427" s="22">
        <v>-7.1997800630427999</v>
      </c>
      <c r="J427" s="22">
        <v>-48.207763697865303</v>
      </c>
      <c r="K427" s="22" t="s">
        <v>2308</v>
      </c>
      <c r="L427" s="4">
        <v>1996</v>
      </c>
      <c r="M427" s="4">
        <v>1997</v>
      </c>
      <c r="N427" s="4" t="s">
        <v>2308</v>
      </c>
      <c r="O427" s="5" t="s">
        <v>2</v>
      </c>
      <c r="P427" s="4"/>
    </row>
    <row r="428" spans="1:16" ht="38" customHeight="1">
      <c r="A428" s="32">
        <v>84</v>
      </c>
      <c r="B428" s="58" t="s">
        <v>1186</v>
      </c>
      <c r="C428" s="24" t="s">
        <v>1550</v>
      </c>
      <c r="D428" s="12" t="s">
        <v>2430</v>
      </c>
      <c r="E428" s="4" t="s">
        <v>2431</v>
      </c>
      <c r="F428" s="4" t="s">
        <v>1625</v>
      </c>
      <c r="G428" s="4" t="s">
        <v>1599</v>
      </c>
      <c r="H428" s="12" t="s">
        <v>127</v>
      </c>
      <c r="I428" s="22">
        <v>-8.0390507431143892</v>
      </c>
      <c r="J428" s="22">
        <v>-50.032178260396499</v>
      </c>
      <c r="K428" s="22" t="s">
        <v>2308</v>
      </c>
      <c r="L428" s="4">
        <v>1996</v>
      </c>
      <c r="M428" s="4">
        <v>1997</v>
      </c>
      <c r="N428" s="4" t="s">
        <v>2308</v>
      </c>
      <c r="O428" s="5" t="s">
        <v>2</v>
      </c>
      <c r="P428" s="4"/>
    </row>
    <row r="429" spans="1:16" ht="38" customHeight="1">
      <c r="A429" s="32">
        <v>84</v>
      </c>
      <c r="B429" s="58" t="s">
        <v>1186</v>
      </c>
      <c r="C429" s="24" t="s">
        <v>1551</v>
      </c>
      <c r="D429" s="12" t="s">
        <v>2430</v>
      </c>
      <c r="E429" s="4" t="s">
        <v>2431</v>
      </c>
      <c r="F429" s="4" t="s">
        <v>1626</v>
      </c>
      <c r="G429" s="4" t="s">
        <v>1599</v>
      </c>
      <c r="H429" s="12" t="s">
        <v>127</v>
      </c>
      <c r="I429" s="22">
        <v>-3.7237356457542101</v>
      </c>
      <c r="J429" s="22">
        <v>-53.740427137350999</v>
      </c>
      <c r="K429" s="22" t="s">
        <v>2308</v>
      </c>
      <c r="L429" s="4">
        <v>1996</v>
      </c>
      <c r="M429" s="4">
        <v>1997</v>
      </c>
      <c r="N429" s="4" t="s">
        <v>2308</v>
      </c>
      <c r="O429" s="5" t="s">
        <v>2</v>
      </c>
      <c r="P429" s="4"/>
    </row>
    <row r="430" spans="1:16" ht="38" customHeight="1">
      <c r="A430" s="32">
        <v>84</v>
      </c>
      <c r="B430" s="58" t="s">
        <v>1186</v>
      </c>
      <c r="C430" s="24" t="s">
        <v>1552</v>
      </c>
      <c r="D430" s="12" t="s">
        <v>2430</v>
      </c>
      <c r="E430" s="4" t="s">
        <v>2431</v>
      </c>
      <c r="F430" s="4" t="s">
        <v>1627</v>
      </c>
      <c r="G430" s="4" t="s">
        <v>1599</v>
      </c>
      <c r="H430" s="12" t="s">
        <v>127</v>
      </c>
      <c r="I430" s="22">
        <v>-3.2038159402087598</v>
      </c>
      <c r="J430" s="22">
        <v>-52.220773663445001</v>
      </c>
      <c r="K430" s="22" t="s">
        <v>2308</v>
      </c>
      <c r="L430" s="4">
        <v>1996</v>
      </c>
      <c r="M430" s="4">
        <v>1997</v>
      </c>
      <c r="N430" s="4" t="s">
        <v>2308</v>
      </c>
      <c r="O430" s="5" t="s">
        <v>2</v>
      </c>
      <c r="P430" s="4"/>
    </row>
    <row r="431" spans="1:16" ht="38" customHeight="1">
      <c r="A431" s="32">
        <v>84</v>
      </c>
      <c r="B431" s="58" t="s">
        <v>1186</v>
      </c>
      <c r="C431" s="24" t="s">
        <v>1553</v>
      </c>
      <c r="D431" s="12" t="s">
        <v>2430</v>
      </c>
      <c r="E431" s="4" t="s">
        <v>2431</v>
      </c>
      <c r="F431" s="4" t="s">
        <v>1628</v>
      </c>
      <c r="G431" s="4" t="s">
        <v>1599</v>
      </c>
      <c r="H431" s="12" t="s">
        <v>127</v>
      </c>
      <c r="I431" s="22">
        <v>-3.0807614927548701</v>
      </c>
      <c r="J431" s="22">
        <v>-60.005573770002499</v>
      </c>
      <c r="K431" s="22" t="s">
        <v>2308</v>
      </c>
      <c r="L431" s="4">
        <v>1996</v>
      </c>
      <c r="M431" s="4">
        <v>1997</v>
      </c>
      <c r="N431" s="4" t="s">
        <v>2308</v>
      </c>
      <c r="O431" s="5" t="s">
        <v>2</v>
      </c>
      <c r="P431" s="4"/>
    </row>
    <row r="432" spans="1:16" ht="38" customHeight="1">
      <c r="A432" s="32">
        <v>84</v>
      </c>
      <c r="B432" s="58" t="s">
        <v>1186</v>
      </c>
      <c r="C432" s="24" t="s">
        <v>1554</v>
      </c>
      <c r="D432" s="12" t="s">
        <v>2430</v>
      </c>
      <c r="E432" s="4" t="s">
        <v>2431</v>
      </c>
      <c r="F432" s="4" t="s">
        <v>1629</v>
      </c>
      <c r="G432" s="4" t="s">
        <v>1599</v>
      </c>
      <c r="H432" s="12" t="s">
        <v>127</v>
      </c>
      <c r="I432" s="22">
        <v>-3.1271254676765499</v>
      </c>
      <c r="J432" s="22">
        <v>-58.435247861486097</v>
      </c>
      <c r="K432" s="22" t="s">
        <v>2308</v>
      </c>
      <c r="L432" s="4">
        <v>1996</v>
      </c>
      <c r="M432" s="4">
        <v>1997</v>
      </c>
      <c r="N432" s="4" t="s">
        <v>2308</v>
      </c>
      <c r="O432" s="5" t="s">
        <v>2</v>
      </c>
      <c r="P432" s="4"/>
    </row>
    <row r="433" spans="1:16" ht="38" customHeight="1">
      <c r="A433" s="32">
        <v>84</v>
      </c>
      <c r="B433" s="58" t="s">
        <v>1186</v>
      </c>
      <c r="C433" s="24" t="s">
        <v>1555</v>
      </c>
      <c r="D433" s="12" t="s">
        <v>2430</v>
      </c>
      <c r="E433" s="4" t="s">
        <v>2431</v>
      </c>
      <c r="F433" s="4" t="s">
        <v>1630</v>
      </c>
      <c r="G433" s="4" t="s">
        <v>1599</v>
      </c>
      <c r="H433" s="12" t="s">
        <v>127</v>
      </c>
      <c r="I433" s="22">
        <v>-5.0200964012498401</v>
      </c>
      <c r="J433" s="22">
        <v>-56.183806147974103</v>
      </c>
      <c r="K433" s="22" t="s">
        <v>2308</v>
      </c>
      <c r="L433" s="4">
        <v>1996</v>
      </c>
      <c r="M433" s="4">
        <v>1997</v>
      </c>
      <c r="N433" s="4" t="s">
        <v>2308</v>
      </c>
      <c r="O433" s="5" t="s">
        <v>2</v>
      </c>
      <c r="P433" s="4"/>
    </row>
    <row r="434" spans="1:16" ht="38" customHeight="1">
      <c r="A434" s="32">
        <v>84</v>
      </c>
      <c r="B434" s="58" t="s">
        <v>1186</v>
      </c>
      <c r="C434" s="24" t="s">
        <v>1556</v>
      </c>
      <c r="D434" s="12" t="s">
        <v>2430</v>
      </c>
      <c r="E434" s="4" t="s">
        <v>2431</v>
      </c>
      <c r="F434" s="4" t="s">
        <v>1631</v>
      </c>
      <c r="G434" s="4" t="s">
        <v>1599</v>
      </c>
      <c r="H434" s="12" t="s">
        <v>127</v>
      </c>
      <c r="I434" s="22">
        <v>-7.0570183231481796</v>
      </c>
      <c r="J434" s="22">
        <v>-55.408612759063502</v>
      </c>
      <c r="K434" s="22" t="s">
        <v>2308</v>
      </c>
      <c r="L434" s="4">
        <v>1996</v>
      </c>
      <c r="M434" s="4">
        <v>1997</v>
      </c>
      <c r="N434" s="4" t="s">
        <v>2308</v>
      </c>
      <c r="O434" s="5" t="s">
        <v>2</v>
      </c>
      <c r="P434" s="4"/>
    </row>
    <row r="435" spans="1:16" ht="38" customHeight="1">
      <c r="A435" s="32">
        <v>84</v>
      </c>
      <c r="B435" s="58" t="s">
        <v>1186</v>
      </c>
      <c r="C435" s="24" t="s">
        <v>1557</v>
      </c>
      <c r="D435" s="12" t="s">
        <v>2430</v>
      </c>
      <c r="E435" s="4" t="s">
        <v>2431</v>
      </c>
      <c r="F435" s="4" t="s">
        <v>1632</v>
      </c>
      <c r="G435" s="4" t="s">
        <v>1599</v>
      </c>
      <c r="H435" s="12" t="s">
        <v>127</v>
      </c>
      <c r="I435" s="22">
        <v>-7.5156206407053601</v>
      </c>
      <c r="J435" s="22">
        <v>-63.029073241371201</v>
      </c>
      <c r="K435" s="22" t="s">
        <v>2308</v>
      </c>
      <c r="L435" s="4">
        <v>1996</v>
      </c>
      <c r="M435" s="4">
        <v>1997</v>
      </c>
      <c r="N435" s="4" t="s">
        <v>2308</v>
      </c>
      <c r="O435" s="5" t="s">
        <v>2</v>
      </c>
      <c r="P435" s="4"/>
    </row>
    <row r="436" spans="1:16" ht="38" customHeight="1">
      <c r="A436" s="32">
        <v>84</v>
      </c>
      <c r="B436" s="58" t="s">
        <v>1186</v>
      </c>
      <c r="C436" s="24" t="s">
        <v>1558</v>
      </c>
      <c r="D436" s="12" t="s">
        <v>2430</v>
      </c>
      <c r="E436" s="4" t="s">
        <v>2431</v>
      </c>
      <c r="F436" s="4" t="s">
        <v>1633</v>
      </c>
      <c r="G436" s="4" t="s">
        <v>1599</v>
      </c>
      <c r="H436" s="12" t="s">
        <v>127</v>
      </c>
      <c r="I436" s="22">
        <v>-10.153283488015999</v>
      </c>
      <c r="J436" s="22">
        <v>-67.738495570591397</v>
      </c>
      <c r="K436" s="22" t="s">
        <v>2308</v>
      </c>
      <c r="L436" s="4">
        <v>1996</v>
      </c>
      <c r="M436" s="4">
        <v>1997</v>
      </c>
      <c r="N436" s="4" t="s">
        <v>2308</v>
      </c>
      <c r="O436" s="5" t="s">
        <v>2</v>
      </c>
      <c r="P436" s="4"/>
    </row>
    <row r="437" spans="1:16" ht="38" customHeight="1">
      <c r="A437" s="32">
        <v>84</v>
      </c>
      <c r="B437" s="58" t="s">
        <v>1186</v>
      </c>
      <c r="C437" s="24" t="s">
        <v>1559</v>
      </c>
      <c r="D437" s="12" t="s">
        <v>2430</v>
      </c>
      <c r="E437" s="4" t="s">
        <v>2431</v>
      </c>
      <c r="F437" s="4" t="s">
        <v>1634</v>
      </c>
      <c r="G437" s="4" t="s">
        <v>1599</v>
      </c>
      <c r="H437" s="12" t="s">
        <v>127</v>
      </c>
      <c r="I437" s="22">
        <v>-10.805865805514401</v>
      </c>
      <c r="J437" s="22">
        <v>-65.310293347799202</v>
      </c>
      <c r="K437" s="22" t="s">
        <v>2308</v>
      </c>
      <c r="L437" s="4">
        <v>1996</v>
      </c>
      <c r="M437" s="4">
        <v>1997</v>
      </c>
      <c r="N437" s="4" t="s">
        <v>2308</v>
      </c>
      <c r="O437" s="5" t="s">
        <v>2</v>
      </c>
      <c r="P437" s="4"/>
    </row>
    <row r="438" spans="1:16" ht="38" customHeight="1">
      <c r="A438" s="32">
        <v>84</v>
      </c>
      <c r="B438" s="58" t="s">
        <v>1186</v>
      </c>
      <c r="C438" s="24" t="s">
        <v>1560</v>
      </c>
      <c r="D438" s="12" t="s">
        <v>2430</v>
      </c>
      <c r="E438" s="4" t="s">
        <v>2431</v>
      </c>
      <c r="F438" s="4" t="s">
        <v>1635</v>
      </c>
      <c r="G438" s="4" t="s">
        <v>1599</v>
      </c>
      <c r="H438" s="12" t="s">
        <v>127</v>
      </c>
      <c r="I438" s="22">
        <v>-14.5368254301712</v>
      </c>
      <c r="J438" s="22">
        <v>-59.537453425076599</v>
      </c>
      <c r="K438" s="22" t="s">
        <v>2308</v>
      </c>
      <c r="L438" s="4">
        <v>1996</v>
      </c>
      <c r="M438" s="4">
        <v>1997</v>
      </c>
      <c r="N438" s="4" t="s">
        <v>2308</v>
      </c>
      <c r="O438" s="5" t="s">
        <v>2</v>
      </c>
      <c r="P438" s="4"/>
    </row>
    <row r="439" spans="1:16" ht="38" customHeight="1">
      <c r="A439" s="32">
        <v>84</v>
      </c>
      <c r="B439" s="58" t="s">
        <v>1186</v>
      </c>
      <c r="C439" s="24" t="s">
        <v>1561</v>
      </c>
      <c r="D439" s="12" t="s">
        <v>2430</v>
      </c>
      <c r="E439" s="4" t="s">
        <v>2431</v>
      </c>
      <c r="F439" s="4" t="s">
        <v>1636</v>
      </c>
      <c r="G439" s="4" t="s">
        <v>1599</v>
      </c>
      <c r="H439" s="12" t="s">
        <v>127</v>
      </c>
      <c r="I439" s="22">
        <v>-11.4258469281459</v>
      </c>
      <c r="J439" s="22">
        <v>-58.769399713254003</v>
      </c>
      <c r="K439" s="22" t="s">
        <v>2308</v>
      </c>
      <c r="L439" s="4">
        <v>1996</v>
      </c>
      <c r="M439" s="4">
        <v>1997</v>
      </c>
      <c r="N439" s="4" t="s">
        <v>2308</v>
      </c>
      <c r="O439" s="5" t="s">
        <v>2</v>
      </c>
      <c r="P439" s="4"/>
    </row>
    <row r="440" spans="1:16" ht="38" customHeight="1">
      <c r="A440" s="32">
        <v>84</v>
      </c>
      <c r="B440" s="58" t="s">
        <v>1186</v>
      </c>
      <c r="C440" s="24" t="s">
        <v>1562</v>
      </c>
      <c r="D440" s="12" t="s">
        <v>2430</v>
      </c>
      <c r="E440" s="4" t="s">
        <v>2431</v>
      </c>
      <c r="F440" s="4" t="s">
        <v>1637</v>
      </c>
      <c r="G440" s="4" t="s">
        <v>1599</v>
      </c>
      <c r="H440" s="12" t="s">
        <v>127</v>
      </c>
      <c r="I440" s="22">
        <v>-10.395011634998401</v>
      </c>
      <c r="J440" s="22">
        <v>-57.7149674224775</v>
      </c>
      <c r="K440" s="22" t="s">
        <v>2308</v>
      </c>
      <c r="L440" s="4">
        <v>1996</v>
      </c>
      <c r="M440" s="4">
        <v>1997</v>
      </c>
      <c r="N440" s="4" t="s">
        <v>2308</v>
      </c>
      <c r="O440" s="5" t="s">
        <v>2</v>
      </c>
      <c r="P440" s="4"/>
    </row>
    <row r="441" spans="1:16" ht="38" customHeight="1">
      <c r="A441" s="32">
        <v>84</v>
      </c>
      <c r="B441" s="58" t="s">
        <v>1186</v>
      </c>
      <c r="C441" s="24" t="s">
        <v>1563</v>
      </c>
      <c r="D441" s="12" t="s">
        <v>2430</v>
      </c>
      <c r="E441" s="4" t="s">
        <v>2431</v>
      </c>
      <c r="F441" s="4" t="s">
        <v>1638</v>
      </c>
      <c r="G441" s="4" t="s">
        <v>1599</v>
      </c>
      <c r="H441" s="12" t="s">
        <v>127</v>
      </c>
      <c r="I441" s="22">
        <v>-10.334680208078399</v>
      </c>
      <c r="J441" s="22">
        <v>-58.492365181673598</v>
      </c>
      <c r="K441" s="22" t="s">
        <v>2308</v>
      </c>
      <c r="L441" s="4">
        <v>1996</v>
      </c>
      <c r="M441" s="4">
        <v>1997</v>
      </c>
      <c r="N441" s="4" t="s">
        <v>2308</v>
      </c>
      <c r="O441" s="5" t="s">
        <v>2</v>
      </c>
      <c r="P441" s="4"/>
    </row>
    <row r="442" spans="1:16" ht="38" customHeight="1">
      <c r="A442" s="32">
        <v>84</v>
      </c>
      <c r="B442" s="58" t="s">
        <v>1186</v>
      </c>
      <c r="C442" s="24" t="s">
        <v>1564</v>
      </c>
      <c r="D442" s="12" t="s">
        <v>2430</v>
      </c>
      <c r="E442" s="4" t="s">
        <v>2431</v>
      </c>
      <c r="F442" s="4" t="s">
        <v>1639</v>
      </c>
      <c r="G442" s="4" t="s">
        <v>1599</v>
      </c>
      <c r="H442" s="12" t="s">
        <v>127</v>
      </c>
      <c r="I442" s="22">
        <v>-10.3186462375398</v>
      </c>
      <c r="J442" s="22">
        <v>-59.347625680520501</v>
      </c>
      <c r="K442" s="22" t="s">
        <v>2308</v>
      </c>
      <c r="L442" s="4">
        <v>1996</v>
      </c>
      <c r="M442" s="4">
        <v>1997</v>
      </c>
      <c r="N442" s="4" t="s">
        <v>2308</v>
      </c>
      <c r="O442" s="5" t="s">
        <v>2</v>
      </c>
      <c r="P442" s="4"/>
    </row>
    <row r="443" spans="1:16" ht="38" customHeight="1">
      <c r="A443" s="32">
        <v>84</v>
      </c>
      <c r="B443" s="58" t="s">
        <v>1186</v>
      </c>
      <c r="C443" s="24" t="s">
        <v>1565</v>
      </c>
      <c r="D443" s="12" t="s">
        <v>2430</v>
      </c>
      <c r="E443" s="4" t="s">
        <v>2431</v>
      </c>
      <c r="F443" s="4" t="s">
        <v>1640</v>
      </c>
      <c r="G443" s="4" t="s">
        <v>1599</v>
      </c>
      <c r="H443" s="12" t="s">
        <v>127</v>
      </c>
      <c r="I443" s="22">
        <v>-9.8403113973094403</v>
      </c>
      <c r="J443" s="22">
        <v>-56.069971871366597</v>
      </c>
      <c r="K443" s="22" t="s">
        <v>2308</v>
      </c>
      <c r="L443" s="4">
        <v>1996</v>
      </c>
      <c r="M443" s="4">
        <v>1997</v>
      </c>
      <c r="N443" s="4" t="s">
        <v>2308</v>
      </c>
      <c r="O443" s="5" t="s">
        <v>2</v>
      </c>
      <c r="P443" s="4"/>
    </row>
    <row r="444" spans="1:16" ht="38" customHeight="1">
      <c r="A444" s="32">
        <v>84</v>
      </c>
      <c r="B444" s="58" t="s">
        <v>1186</v>
      </c>
      <c r="C444" s="24" t="s">
        <v>1566</v>
      </c>
      <c r="D444" s="12" t="s">
        <v>2430</v>
      </c>
      <c r="E444" s="4" t="s">
        <v>2431</v>
      </c>
      <c r="F444" s="4" t="s">
        <v>1641</v>
      </c>
      <c r="G444" s="4" t="s">
        <v>1599</v>
      </c>
      <c r="H444" s="12" t="s">
        <v>127</v>
      </c>
      <c r="I444" s="22">
        <v>-9.9480615800158905</v>
      </c>
      <c r="J444" s="22">
        <v>-54.909098553009102</v>
      </c>
      <c r="K444" s="22" t="s">
        <v>2308</v>
      </c>
      <c r="L444" s="4">
        <v>1996</v>
      </c>
      <c r="M444" s="4">
        <v>1997</v>
      </c>
      <c r="N444" s="4" t="s">
        <v>2308</v>
      </c>
      <c r="O444" s="5" t="s">
        <v>2</v>
      </c>
      <c r="P444" s="4"/>
    </row>
    <row r="445" spans="1:16" ht="38" customHeight="1">
      <c r="A445" s="32">
        <v>84</v>
      </c>
      <c r="B445" s="58" t="s">
        <v>1186</v>
      </c>
      <c r="C445" s="24" t="s">
        <v>1567</v>
      </c>
      <c r="D445" s="12" t="s">
        <v>2430</v>
      </c>
      <c r="E445" s="4" t="s">
        <v>2431</v>
      </c>
      <c r="F445" s="4" t="s">
        <v>1642</v>
      </c>
      <c r="G445" s="4" t="s">
        <v>1599</v>
      </c>
      <c r="H445" s="12" t="s">
        <v>127</v>
      </c>
      <c r="I445" s="22">
        <v>-10.2287312756744</v>
      </c>
      <c r="J445" s="22">
        <v>-54.985097013777199</v>
      </c>
      <c r="K445" s="22" t="s">
        <v>2308</v>
      </c>
      <c r="L445" s="4">
        <v>1996</v>
      </c>
      <c r="M445" s="4">
        <v>1997</v>
      </c>
      <c r="N445" s="4" t="s">
        <v>2308</v>
      </c>
      <c r="O445" s="5" t="s">
        <v>2</v>
      </c>
      <c r="P445" s="4"/>
    </row>
    <row r="446" spans="1:16" ht="38" customHeight="1">
      <c r="A446" s="32">
        <v>84</v>
      </c>
      <c r="B446" s="58" t="s">
        <v>1186</v>
      </c>
      <c r="C446" s="24" t="s">
        <v>1568</v>
      </c>
      <c r="D446" s="12" t="s">
        <v>2430</v>
      </c>
      <c r="E446" s="4" t="s">
        <v>2431</v>
      </c>
      <c r="F446" s="4" t="s">
        <v>1643</v>
      </c>
      <c r="G446" s="4" t="s">
        <v>1599</v>
      </c>
      <c r="H446" s="12" t="s">
        <v>127</v>
      </c>
      <c r="I446" s="22">
        <v>-13.8243217062452</v>
      </c>
      <c r="J446" s="22">
        <v>-56.081663107690602</v>
      </c>
      <c r="K446" s="22" t="s">
        <v>2308</v>
      </c>
      <c r="L446" s="4">
        <v>1996</v>
      </c>
      <c r="M446" s="4">
        <v>1997</v>
      </c>
      <c r="N446" s="4" t="s">
        <v>2308</v>
      </c>
      <c r="O446" s="5" t="s">
        <v>2</v>
      </c>
      <c r="P446" s="4"/>
    </row>
    <row r="447" spans="1:16" ht="38" customHeight="1">
      <c r="A447" s="32">
        <v>84</v>
      </c>
      <c r="B447" s="58" t="s">
        <v>1186</v>
      </c>
      <c r="C447" s="24" t="s">
        <v>1569</v>
      </c>
      <c r="D447" s="12" t="s">
        <v>2430</v>
      </c>
      <c r="E447" s="4" t="s">
        <v>2431</v>
      </c>
      <c r="F447" s="4" t="s">
        <v>1644</v>
      </c>
      <c r="G447" s="4" t="s">
        <v>1599</v>
      </c>
      <c r="H447" s="12" t="s">
        <v>127</v>
      </c>
      <c r="I447" s="22">
        <v>-12.5441722567155</v>
      </c>
      <c r="J447" s="22">
        <v>-55.722527472527503</v>
      </c>
      <c r="K447" s="22" t="s">
        <v>2308</v>
      </c>
      <c r="L447" s="4">
        <v>1996</v>
      </c>
      <c r="M447" s="4">
        <v>1997</v>
      </c>
      <c r="N447" s="4" t="s">
        <v>2308</v>
      </c>
      <c r="O447" s="5" t="s">
        <v>2</v>
      </c>
      <c r="P447" s="4"/>
    </row>
    <row r="448" spans="1:16" ht="38" customHeight="1">
      <c r="A448" s="32">
        <v>84</v>
      </c>
      <c r="B448" s="58" t="s">
        <v>1186</v>
      </c>
      <c r="C448" s="24" t="s">
        <v>1570</v>
      </c>
      <c r="D448" s="12" t="s">
        <v>2430</v>
      </c>
      <c r="E448" s="4" t="s">
        <v>2431</v>
      </c>
      <c r="F448" s="4" t="s">
        <v>1645</v>
      </c>
      <c r="G448" s="4" t="s">
        <v>1599</v>
      </c>
      <c r="H448" s="12" t="s">
        <v>127</v>
      </c>
      <c r="I448" s="22">
        <v>-12.2866038164908</v>
      </c>
      <c r="J448" s="22">
        <v>-55.296703296703299</v>
      </c>
      <c r="K448" s="22" t="s">
        <v>2308</v>
      </c>
      <c r="L448" s="4">
        <v>1996</v>
      </c>
      <c r="M448" s="4">
        <v>1997</v>
      </c>
      <c r="N448" s="4" t="s">
        <v>2308</v>
      </c>
      <c r="O448" s="5" t="s">
        <v>2</v>
      </c>
      <c r="P448" s="4"/>
    </row>
    <row r="449" spans="1:16" ht="38" customHeight="1">
      <c r="A449" s="32">
        <v>84</v>
      </c>
      <c r="B449" s="58" t="s">
        <v>1186</v>
      </c>
      <c r="C449" s="24" t="s">
        <v>1571</v>
      </c>
      <c r="D449" s="12" t="s">
        <v>2430</v>
      </c>
      <c r="E449" s="4" t="s">
        <v>2431</v>
      </c>
      <c r="F449" s="4" t="s">
        <v>1646</v>
      </c>
      <c r="G449" s="4" t="s">
        <v>1599</v>
      </c>
      <c r="H449" s="12" t="s">
        <v>127</v>
      </c>
      <c r="I449" s="22">
        <v>-12.371160660934899</v>
      </c>
      <c r="J449" s="22">
        <v>-54.931403700166797</v>
      </c>
      <c r="K449" s="22" t="s">
        <v>2308</v>
      </c>
      <c r="L449" s="4">
        <v>1996</v>
      </c>
      <c r="M449" s="4">
        <v>1997</v>
      </c>
      <c r="N449" s="4" t="s">
        <v>2308</v>
      </c>
      <c r="O449" s="5" t="s">
        <v>2</v>
      </c>
      <c r="P449" s="4"/>
    </row>
    <row r="450" spans="1:16" ht="38" customHeight="1">
      <c r="A450" s="32">
        <v>84</v>
      </c>
      <c r="B450" s="58" t="s">
        <v>1186</v>
      </c>
      <c r="C450" s="24" t="s">
        <v>1572</v>
      </c>
      <c r="D450" s="12" t="s">
        <v>2430</v>
      </c>
      <c r="E450" s="4" t="s">
        <v>2431</v>
      </c>
      <c r="F450" s="4" t="s">
        <v>1647</v>
      </c>
      <c r="G450" s="4" t="s">
        <v>1599</v>
      </c>
      <c r="H450" s="12" t="s">
        <v>127</v>
      </c>
      <c r="I450" s="22">
        <v>-11.8499455484011</v>
      </c>
      <c r="J450" s="22">
        <v>-55.514951993756299</v>
      </c>
      <c r="K450" s="22" t="s">
        <v>2308</v>
      </c>
      <c r="L450" s="4">
        <v>1996</v>
      </c>
      <c r="M450" s="4">
        <v>1997</v>
      </c>
      <c r="N450" s="4" t="s">
        <v>2308</v>
      </c>
      <c r="O450" s="5" t="s">
        <v>2</v>
      </c>
      <c r="P450" s="4"/>
    </row>
    <row r="451" spans="1:16" ht="38" customHeight="1">
      <c r="A451" s="32">
        <v>84</v>
      </c>
      <c r="B451" s="58" t="s">
        <v>1186</v>
      </c>
      <c r="C451" s="24" t="s">
        <v>1573</v>
      </c>
      <c r="D451" s="12" t="s">
        <v>2430</v>
      </c>
      <c r="E451" s="4" t="s">
        <v>2431</v>
      </c>
      <c r="F451" s="4" t="s">
        <v>1648</v>
      </c>
      <c r="G451" s="4" t="s">
        <v>1599</v>
      </c>
      <c r="H451" s="12" t="s">
        <v>127</v>
      </c>
      <c r="I451" s="22">
        <v>-11.967018425737599</v>
      </c>
      <c r="J451" s="22">
        <v>-55.279947465830404</v>
      </c>
      <c r="K451" s="22" t="s">
        <v>2308</v>
      </c>
      <c r="L451" s="4">
        <v>1996</v>
      </c>
      <c r="M451" s="4">
        <v>1997</v>
      </c>
      <c r="N451" s="4" t="s">
        <v>2308</v>
      </c>
      <c r="O451" s="5" t="s">
        <v>2</v>
      </c>
      <c r="P451" s="4"/>
    </row>
    <row r="452" spans="1:16" ht="38" customHeight="1">
      <c r="A452" s="32">
        <v>84</v>
      </c>
      <c r="B452" s="58" t="s">
        <v>1186</v>
      </c>
      <c r="C452" s="24" t="s">
        <v>1574</v>
      </c>
      <c r="D452" s="12" t="s">
        <v>2430</v>
      </c>
      <c r="E452" s="4" t="s">
        <v>2431</v>
      </c>
      <c r="F452" s="4" t="s">
        <v>1649</v>
      </c>
      <c r="G452" s="4" t="s">
        <v>1599</v>
      </c>
      <c r="H452" s="12" t="s">
        <v>127</v>
      </c>
      <c r="I452" s="22">
        <v>-11.508886844151199</v>
      </c>
      <c r="J452" s="22">
        <v>-54.879636974837297</v>
      </c>
      <c r="K452" s="22" t="s">
        <v>2308</v>
      </c>
      <c r="L452" s="4">
        <v>1996</v>
      </c>
      <c r="M452" s="4">
        <v>1997</v>
      </c>
      <c r="N452" s="4" t="s">
        <v>2308</v>
      </c>
      <c r="O452" s="5" t="s">
        <v>2</v>
      </c>
      <c r="P452" s="4"/>
    </row>
    <row r="453" spans="1:16" ht="38" customHeight="1">
      <c r="A453" s="32">
        <v>84</v>
      </c>
      <c r="B453" s="58" t="s">
        <v>1186</v>
      </c>
      <c r="C453" s="24" t="s">
        <v>1575</v>
      </c>
      <c r="D453" s="12" t="s">
        <v>2430</v>
      </c>
      <c r="E453" s="4" t="s">
        <v>2431</v>
      </c>
      <c r="F453" s="4" t="s">
        <v>1650</v>
      </c>
      <c r="G453" s="4" t="s">
        <v>1599</v>
      </c>
      <c r="H453" s="12" t="s">
        <v>127</v>
      </c>
      <c r="I453" s="22">
        <v>-11.534666501908699</v>
      </c>
      <c r="J453" s="22">
        <v>-54.366420145238401</v>
      </c>
      <c r="K453" s="22" t="s">
        <v>2308</v>
      </c>
      <c r="L453" s="4">
        <v>1996</v>
      </c>
      <c r="M453" s="4">
        <v>1997</v>
      </c>
      <c r="N453" s="4" t="s">
        <v>2308</v>
      </c>
      <c r="O453" s="5" t="s">
        <v>2</v>
      </c>
      <c r="P453" s="4"/>
    </row>
    <row r="454" spans="1:16" ht="38" customHeight="1">
      <c r="A454" s="32">
        <v>84</v>
      </c>
      <c r="B454" s="58" t="s">
        <v>1186</v>
      </c>
      <c r="C454" s="24" t="s">
        <v>1576</v>
      </c>
      <c r="D454" s="12" t="s">
        <v>2430</v>
      </c>
      <c r="E454" s="4" t="s">
        <v>2431</v>
      </c>
      <c r="F454" s="4" t="s">
        <v>1651</v>
      </c>
      <c r="G454" s="4" t="s">
        <v>1599</v>
      </c>
      <c r="H454" s="12" t="s">
        <v>127</v>
      </c>
      <c r="I454" s="22">
        <v>-11.083237396686201</v>
      </c>
      <c r="J454" s="22">
        <v>-54.519847149218599</v>
      </c>
      <c r="K454" s="22" t="s">
        <v>2308</v>
      </c>
      <c r="L454" s="4">
        <v>1996</v>
      </c>
      <c r="M454" s="4">
        <v>1997</v>
      </c>
      <c r="N454" s="4" t="s">
        <v>2308</v>
      </c>
      <c r="O454" s="5" t="s">
        <v>2</v>
      </c>
      <c r="P454" s="4"/>
    </row>
    <row r="455" spans="1:16" ht="38" customHeight="1">
      <c r="A455" s="32">
        <v>84</v>
      </c>
      <c r="B455" s="58" t="s">
        <v>1186</v>
      </c>
      <c r="C455" s="24" t="s">
        <v>1577</v>
      </c>
      <c r="D455" s="12" t="s">
        <v>2430</v>
      </c>
      <c r="E455" s="4" t="s">
        <v>2431</v>
      </c>
      <c r="F455" s="4" t="s">
        <v>1652</v>
      </c>
      <c r="G455" s="4" t="s">
        <v>1599</v>
      </c>
      <c r="H455" s="12" t="s">
        <v>127</v>
      </c>
      <c r="I455" s="22">
        <v>-11.2535189439607</v>
      </c>
      <c r="J455" s="22">
        <v>-57.508241758241702</v>
      </c>
      <c r="K455" s="22" t="s">
        <v>2308</v>
      </c>
      <c r="L455" s="4">
        <v>1996</v>
      </c>
      <c r="M455" s="4">
        <v>1997</v>
      </c>
      <c r="N455" s="4" t="s">
        <v>2308</v>
      </c>
      <c r="O455" s="5" t="s">
        <v>2</v>
      </c>
      <c r="P455" s="4"/>
    </row>
    <row r="456" spans="1:16" ht="38" customHeight="1">
      <c r="A456" s="32">
        <v>84</v>
      </c>
      <c r="B456" s="58" t="s">
        <v>1186</v>
      </c>
      <c r="C456" s="24" t="s">
        <v>1578</v>
      </c>
      <c r="D456" s="12" t="s">
        <v>2430</v>
      </c>
      <c r="E456" s="4" t="s">
        <v>2431</v>
      </c>
      <c r="F456" s="4" t="s">
        <v>1653</v>
      </c>
      <c r="G456" s="4" t="s">
        <v>1599</v>
      </c>
      <c r="H456" s="12" t="s">
        <v>127</v>
      </c>
      <c r="I456" s="22">
        <v>-11.5347490058889</v>
      </c>
      <c r="J456" s="22">
        <v>-57.409394552064498</v>
      </c>
      <c r="K456" s="22" t="s">
        <v>2308</v>
      </c>
      <c r="L456" s="4">
        <v>1996</v>
      </c>
      <c r="M456" s="4">
        <v>1997</v>
      </c>
      <c r="N456" s="4" t="s">
        <v>2308</v>
      </c>
      <c r="O456" s="5" t="s">
        <v>2</v>
      </c>
      <c r="P456" s="4"/>
    </row>
    <row r="457" spans="1:16" ht="38" customHeight="1">
      <c r="A457" s="32">
        <v>84</v>
      </c>
      <c r="B457" s="58" t="s">
        <v>1186</v>
      </c>
      <c r="C457" s="24" t="s">
        <v>1579</v>
      </c>
      <c r="D457" s="12" t="s">
        <v>2430</v>
      </c>
      <c r="E457" s="4" t="s">
        <v>2431</v>
      </c>
      <c r="F457" s="4" t="s">
        <v>1654</v>
      </c>
      <c r="G457" s="4" t="s">
        <v>1599</v>
      </c>
      <c r="H457" s="12" t="s">
        <v>127</v>
      </c>
      <c r="I457" s="22">
        <v>-11.3082271339758</v>
      </c>
      <c r="J457" s="22">
        <v>-56.819521869638699</v>
      </c>
      <c r="K457" s="22" t="s">
        <v>2308</v>
      </c>
      <c r="L457" s="4">
        <v>1996</v>
      </c>
      <c r="M457" s="4">
        <v>1997</v>
      </c>
      <c r="N457" s="4" t="s">
        <v>2308</v>
      </c>
      <c r="O457" s="5" t="s">
        <v>2</v>
      </c>
      <c r="P457" s="4"/>
    </row>
    <row r="458" spans="1:16" ht="38" customHeight="1">
      <c r="A458" s="32">
        <v>84</v>
      </c>
      <c r="B458" s="58" t="s">
        <v>1186</v>
      </c>
      <c r="C458" s="24" t="s">
        <v>1580</v>
      </c>
      <c r="D458" s="12" t="s">
        <v>2430</v>
      </c>
      <c r="E458" s="4" t="s">
        <v>2431</v>
      </c>
      <c r="F458" s="4" t="s">
        <v>1655</v>
      </c>
      <c r="G458" s="4" t="s">
        <v>1599</v>
      </c>
      <c r="H458" s="12" t="s">
        <v>127</v>
      </c>
      <c r="I458" s="22">
        <v>-12.121016598174499</v>
      </c>
      <c r="J458" s="22">
        <v>-58.005782511000803</v>
      </c>
      <c r="K458" s="22" t="s">
        <v>2308</v>
      </c>
      <c r="L458" s="4">
        <v>1996</v>
      </c>
      <c r="M458" s="4">
        <v>1997</v>
      </c>
      <c r="N458" s="4" t="s">
        <v>2308</v>
      </c>
      <c r="O458" s="5" t="s">
        <v>2</v>
      </c>
      <c r="P458" s="4"/>
    </row>
    <row r="459" spans="1:16" ht="38" customHeight="1">
      <c r="A459" s="32">
        <v>84</v>
      </c>
      <c r="B459" s="58" t="s">
        <v>1186</v>
      </c>
      <c r="C459" s="24" t="s">
        <v>1581</v>
      </c>
      <c r="D459" s="12" t="s">
        <v>2430</v>
      </c>
      <c r="E459" s="4" t="s">
        <v>2431</v>
      </c>
      <c r="F459" s="4" t="s">
        <v>1656</v>
      </c>
      <c r="G459" s="4" t="s">
        <v>1599</v>
      </c>
      <c r="H459" s="12" t="s">
        <v>127</v>
      </c>
      <c r="I459" s="22">
        <v>-13.666464327188899</v>
      </c>
      <c r="J459" s="22">
        <v>-59.788376924492098</v>
      </c>
      <c r="K459" s="22" t="s">
        <v>2308</v>
      </c>
      <c r="L459" s="4">
        <v>1996</v>
      </c>
      <c r="M459" s="4">
        <v>1997</v>
      </c>
      <c r="N459" s="4" t="s">
        <v>2308</v>
      </c>
      <c r="O459" s="5" t="s">
        <v>2</v>
      </c>
      <c r="P459" s="4"/>
    </row>
    <row r="460" spans="1:16" ht="38" customHeight="1">
      <c r="A460" s="32">
        <v>84</v>
      </c>
      <c r="B460" s="58" t="s">
        <v>1186</v>
      </c>
      <c r="C460" s="24" t="s">
        <v>1582</v>
      </c>
      <c r="D460" s="12" t="s">
        <v>2430</v>
      </c>
      <c r="E460" s="4" t="s">
        <v>2431</v>
      </c>
      <c r="F460" s="4" t="s">
        <v>1657</v>
      </c>
      <c r="G460" s="4" t="s">
        <v>1599</v>
      </c>
      <c r="H460" s="12" t="s">
        <v>127</v>
      </c>
      <c r="I460" s="22">
        <v>-11.4370183263364</v>
      </c>
      <c r="J460" s="22">
        <v>-61.457417582417598</v>
      </c>
      <c r="K460" s="22" t="s">
        <v>2308</v>
      </c>
      <c r="L460" s="4">
        <v>1996</v>
      </c>
      <c r="M460" s="4">
        <v>1997</v>
      </c>
      <c r="N460" s="4" t="s">
        <v>2308</v>
      </c>
      <c r="O460" s="5" t="s">
        <v>2</v>
      </c>
      <c r="P460" s="4"/>
    </row>
    <row r="461" spans="1:16" ht="38" customHeight="1">
      <c r="A461" s="32">
        <v>84</v>
      </c>
      <c r="B461" s="58" t="s">
        <v>1186</v>
      </c>
      <c r="C461" s="24" t="s">
        <v>1583</v>
      </c>
      <c r="D461" s="12" t="s">
        <v>2430</v>
      </c>
      <c r="E461" s="4" t="s">
        <v>2431</v>
      </c>
      <c r="F461" s="4" t="s">
        <v>1658</v>
      </c>
      <c r="G461" s="4" t="s">
        <v>1599</v>
      </c>
      <c r="H461" s="12" t="s">
        <v>127</v>
      </c>
      <c r="I461" s="22">
        <v>-11.688514592825999</v>
      </c>
      <c r="J461" s="22">
        <v>-61.174479962291997</v>
      </c>
      <c r="K461" s="22" t="s">
        <v>2308</v>
      </c>
      <c r="L461" s="4">
        <v>1996</v>
      </c>
      <c r="M461" s="4">
        <v>1997</v>
      </c>
      <c r="N461" s="4" t="s">
        <v>2308</v>
      </c>
      <c r="O461" s="5" t="s">
        <v>2</v>
      </c>
      <c r="P461" s="4"/>
    </row>
    <row r="462" spans="1:16" ht="38" customHeight="1">
      <c r="A462" s="32">
        <v>84</v>
      </c>
      <c r="B462" s="58" t="s">
        <v>1186</v>
      </c>
      <c r="C462" s="24" t="s">
        <v>1584</v>
      </c>
      <c r="D462" s="12" t="s">
        <v>2430</v>
      </c>
      <c r="E462" s="4" t="s">
        <v>2431</v>
      </c>
      <c r="F462" s="4" t="s">
        <v>1659</v>
      </c>
      <c r="G462" s="4" t="s">
        <v>1599</v>
      </c>
      <c r="H462" s="12" t="s">
        <v>127</v>
      </c>
      <c r="I462" s="22">
        <v>-11.536509059139901</v>
      </c>
      <c r="J462" s="22">
        <v>-61.016344035099102</v>
      </c>
      <c r="K462" s="22" t="s">
        <v>2308</v>
      </c>
      <c r="L462" s="4">
        <v>1996</v>
      </c>
      <c r="M462" s="4">
        <v>1997</v>
      </c>
      <c r="N462" s="4" t="s">
        <v>2308</v>
      </c>
      <c r="O462" s="5" t="s">
        <v>2</v>
      </c>
      <c r="P462" s="4"/>
    </row>
    <row r="463" spans="1:16" ht="38" customHeight="1">
      <c r="A463" s="32">
        <v>84</v>
      </c>
      <c r="B463" s="58" t="s">
        <v>1186</v>
      </c>
      <c r="C463" s="24" t="s">
        <v>1585</v>
      </c>
      <c r="D463" s="12" t="s">
        <v>2430</v>
      </c>
      <c r="E463" s="4" t="s">
        <v>2431</v>
      </c>
      <c r="F463" s="4" t="s">
        <v>1660</v>
      </c>
      <c r="G463" s="4" t="s">
        <v>1599</v>
      </c>
      <c r="H463" s="12" t="s">
        <v>127</v>
      </c>
      <c r="I463" s="22">
        <v>-11.928844176496099</v>
      </c>
      <c r="J463" s="22">
        <v>-61.995793269230802</v>
      </c>
      <c r="K463" s="22" t="s">
        <v>2308</v>
      </c>
      <c r="L463" s="4">
        <v>1996</v>
      </c>
      <c r="M463" s="4">
        <v>1997</v>
      </c>
      <c r="N463" s="4" t="s">
        <v>2308</v>
      </c>
      <c r="O463" s="5" t="s">
        <v>2</v>
      </c>
      <c r="P463" s="4"/>
    </row>
    <row r="464" spans="1:16" ht="38" customHeight="1">
      <c r="A464" s="32">
        <v>84</v>
      </c>
      <c r="B464" s="58" t="s">
        <v>1186</v>
      </c>
      <c r="C464" s="24" t="s">
        <v>1586</v>
      </c>
      <c r="D464" s="12" t="s">
        <v>2430</v>
      </c>
      <c r="E464" s="4" t="s">
        <v>2431</v>
      </c>
      <c r="F464" s="4" t="s">
        <v>1661</v>
      </c>
      <c r="G464" s="4" t="s">
        <v>1599</v>
      </c>
      <c r="H464" s="12" t="s">
        <v>127</v>
      </c>
      <c r="I464" s="22">
        <v>-11.7254594230468</v>
      </c>
      <c r="J464" s="22">
        <v>-62.145384874044197</v>
      </c>
      <c r="K464" s="22" t="s">
        <v>2308</v>
      </c>
      <c r="L464" s="4">
        <v>1996</v>
      </c>
      <c r="M464" s="4">
        <v>1997</v>
      </c>
      <c r="N464" s="4" t="s">
        <v>2308</v>
      </c>
      <c r="O464" s="5" t="s">
        <v>2</v>
      </c>
      <c r="P464" s="4"/>
    </row>
    <row r="465" spans="1:16" ht="38" customHeight="1">
      <c r="A465" s="32">
        <v>84</v>
      </c>
      <c r="B465" s="58" t="s">
        <v>1186</v>
      </c>
      <c r="C465" s="24" t="s">
        <v>1587</v>
      </c>
      <c r="D465" s="12" t="s">
        <v>2430</v>
      </c>
      <c r="E465" s="4" t="s">
        <v>2431</v>
      </c>
      <c r="F465" s="4" t="s">
        <v>1662</v>
      </c>
      <c r="G465" s="4" t="s">
        <v>1599</v>
      </c>
      <c r="H465" s="12" t="s">
        <v>127</v>
      </c>
      <c r="I465" s="22">
        <v>-12.060184630483599</v>
      </c>
      <c r="J465" s="22">
        <v>-63.569282280219802</v>
      </c>
      <c r="K465" s="22" t="s">
        <v>2308</v>
      </c>
      <c r="L465" s="4">
        <v>1996</v>
      </c>
      <c r="M465" s="4">
        <v>1997</v>
      </c>
      <c r="N465" s="4" t="s">
        <v>2308</v>
      </c>
      <c r="O465" s="5" t="s">
        <v>2</v>
      </c>
      <c r="P465" s="4"/>
    </row>
    <row r="466" spans="1:16" ht="38" customHeight="1">
      <c r="A466" s="32">
        <v>84</v>
      </c>
      <c r="B466" s="58" t="s">
        <v>1186</v>
      </c>
      <c r="C466" s="24" t="s">
        <v>1588</v>
      </c>
      <c r="D466" s="12" t="s">
        <v>2430</v>
      </c>
      <c r="E466" s="4" t="s">
        <v>2431</v>
      </c>
      <c r="F466" s="4" t="s">
        <v>1663</v>
      </c>
      <c r="G466" s="4" t="s">
        <v>1599</v>
      </c>
      <c r="H466" s="12" t="s">
        <v>127</v>
      </c>
      <c r="I466" s="22">
        <v>-10.8643374228556</v>
      </c>
      <c r="J466" s="22">
        <v>-61.926796093733898</v>
      </c>
      <c r="K466" s="22" t="s">
        <v>2308</v>
      </c>
      <c r="L466" s="4">
        <v>1996</v>
      </c>
      <c r="M466" s="4">
        <v>1997</v>
      </c>
      <c r="N466" s="4" t="s">
        <v>2308</v>
      </c>
      <c r="O466" s="5" t="s">
        <v>2</v>
      </c>
      <c r="P466" s="4"/>
    </row>
    <row r="467" spans="1:16" ht="38" customHeight="1">
      <c r="A467" s="32">
        <v>84</v>
      </c>
      <c r="B467" s="58" t="s">
        <v>1186</v>
      </c>
      <c r="C467" s="24" t="s">
        <v>1589</v>
      </c>
      <c r="D467" s="12" t="s">
        <v>2430</v>
      </c>
      <c r="E467" s="4" t="s">
        <v>2431</v>
      </c>
      <c r="F467" s="4" t="s">
        <v>1664</v>
      </c>
      <c r="G467" s="4" t="s">
        <v>1599</v>
      </c>
      <c r="H467" s="12" t="s">
        <v>127</v>
      </c>
      <c r="I467" s="22">
        <v>-10.7118410944519</v>
      </c>
      <c r="J467" s="22">
        <v>-62.258541993893701</v>
      </c>
      <c r="K467" s="22" t="s">
        <v>2308</v>
      </c>
      <c r="L467" s="4">
        <v>1996</v>
      </c>
      <c r="M467" s="4">
        <v>1997</v>
      </c>
      <c r="N467" s="4" t="s">
        <v>2308</v>
      </c>
      <c r="O467" s="5" t="s">
        <v>2</v>
      </c>
      <c r="P467" s="4"/>
    </row>
    <row r="468" spans="1:16" ht="38" customHeight="1">
      <c r="A468" s="32">
        <v>84</v>
      </c>
      <c r="B468" s="58" t="s">
        <v>1186</v>
      </c>
      <c r="C468" s="24" t="s">
        <v>1590</v>
      </c>
      <c r="D468" s="12" t="s">
        <v>2430</v>
      </c>
      <c r="E468" s="4" t="s">
        <v>2431</v>
      </c>
      <c r="F468" s="4" t="s">
        <v>1665</v>
      </c>
      <c r="G468" s="4" t="s">
        <v>1599</v>
      </c>
      <c r="H468" s="12" t="s">
        <v>127</v>
      </c>
      <c r="I468" s="22">
        <v>-10.4347370683873</v>
      </c>
      <c r="J468" s="22">
        <v>-62.485636021078498</v>
      </c>
      <c r="K468" s="22" t="s">
        <v>2308</v>
      </c>
      <c r="L468" s="4">
        <v>1996</v>
      </c>
      <c r="M468" s="4">
        <v>1997</v>
      </c>
      <c r="N468" s="4" t="s">
        <v>2308</v>
      </c>
      <c r="O468" s="5" t="s">
        <v>2</v>
      </c>
      <c r="P468" s="4"/>
    </row>
    <row r="469" spans="1:16" ht="38" customHeight="1">
      <c r="A469" s="32">
        <v>84</v>
      </c>
      <c r="B469" s="58" t="s">
        <v>1186</v>
      </c>
      <c r="C469" s="24" t="s">
        <v>1591</v>
      </c>
      <c r="D469" s="12" t="s">
        <v>2430</v>
      </c>
      <c r="E469" s="4" t="s">
        <v>2431</v>
      </c>
      <c r="F469" s="4" t="s">
        <v>1666</v>
      </c>
      <c r="G469" s="4" t="s">
        <v>1599</v>
      </c>
      <c r="H469" s="12" t="s">
        <v>127</v>
      </c>
      <c r="I469" s="22">
        <v>-9.42700109758424</v>
      </c>
      <c r="J469" s="22">
        <v>-62.000726902612399</v>
      </c>
      <c r="K469" s="22" t="s">
        <v>2308</v>
      </c>
      <c r="L469" s="4">
        <v>1996</v>
      </c>
      <c r="M469" s="4">
        <v>1997</v>
      </c>
      <c r="N469" s="4" t="s">
        <v>2308</v>
      </c>
      <c r="O469" s="5" t="s">
        <v>2</v>
      </c>
      <c r="P469" s="4"/>
    </row>
    <row r="470" spans="1:16" ht="38" customHeight="1">
      <c r="A470" s="32">
        <v>84</v>
      </c>
      <c r="B470" s="58" t="s">
        <v>1186</v>
      </c>
      <c r="C470" s="24" t="s">
        <v>1592</v>
      </c>
      <c r="D470" s="12" t="s">
        <v>2430</v>
      </c>
      <c r="E470" s="4" t="s">
        <v>2431</v>
      </c>
      <c r="F470" s="4" t="s">
        <v>1667</v>
      </c>
      <c r="G470" s="4" t="s">
        <v>1599</v>
      </c>
      <c r="H470" s="12" t="s">
        <v>127</v>
      </c>
      <c r="I470" s="22">
        <v>-9.35831408612008</v>
      </c>
      <c r="J470" s="22">
        <v>-62.586886696230998</v>
      </c>
      <c r="K470" s="22" t="s">
        <v>2308</v>
      </c>
      <c r="L470" s="4">
        <v>1996</v>
      </c>
      <c r="M470" s="4">
        <v>1997</v>
      </c>
      <c r="N470" s="4" t="s">
        <v>2308</v>
      </c>
      <c r="O470" s="5" t="s">
        <v>2</v>
      </c>
      <c r="P470" s="4"/>
    </row>
    <row r="471" spans="1:16" ht="38" customHeight="1">
      <c r="A471" s="32">
        <v>84</v>
      </c>
      <c r="B471" s="58" t="s">
        <v>1186</v>
      </c>
      <c r="C471" s="24" t="s">
        <v>1593</v>
      </c>
      <c r="D471" s="12" t="s">
        <v>2430</v>
      </c>
      <c r="E471" s="4" t="s">
        <v>2431</v>
      </c>
      <c r="F471" s="4" t="s">
        <v>1668</v>
      </c>
      <c r="G471" s="4" t="s">
        <v>1599</v>
      </c>
      <c r="H471" s="12" t="s">
        <v>127</v>
      </c>
      <c r="I471" s="22">
        <v>-8.7662178967217592</v>
      </c>
      <c r="J471" s="22">
        <v>-63.8712222292083</v>
      </c>
      <c r="K471" s="22" t="s">
        <v>2308</v>
      </c>
      <c r="L471" s="4">
        <v>1996</v>
      </c>
      <c r="M471" s="4">
        <v>1997</v>
      </c>
      <c r="N471" s="4" t="s">
        <v>2308</v>
      </c>
      <c r="O471" s="5" t="s">
        <v>2</v>
      </c>
      <c r="P471" s="4"/>
    </row>
    <row r="472" spans="1:16" ht="38" customHeight="1">
      <c r="A472" s="32">
        <v>84</v>
      </c>
      <c r="B472" s="58" t="s">
        <v>1186</v>
      </c>
      <c r="C472" s="24" t="s">
        <v>1594</v>
      </c>
      <c r="D472" s="12" t="s">
        <v>2430</v>
      </c>
      <c r="E472" s="4" t="s">
        <v>2431</v>
      </c>
      <c r="F472" s="4" t="s">
        <v>1669</v>
      </c>
      <c r="G472" s="4" t="s">
        <v>1599</v>
      </c>
      <c r="H472" s="12" t="s">
        <v>127</v>
      </c>
      <c r="I472" s="22">
        <v>-9.9059775731374309</v>
      </c>
      <c r="J472" s="22">
        <v>-63.032967032967001</v>
      </c>
      <c r="K472" s="22" t="s">
        <v>2308</v>
      </c>
      <c r="L472" s="4">
        <v>1996</v>
      </c>
      <c r="M472" s="4">
        <v>1997</v>
      </c>
      <c r="N472" s="4" t="s">
        <v>2308</v>
      </c>
      <c r="O472" s="5" t="s">
        <v>2</v>
      </c>
      <c r="P472" s="4"/>
    </row>
    <row r="473" spans="1:16" ht="38" customHeight="1">
      <c r="A473" s="32">
        <v>84</v>
      </c>
      <c r="B473" s="58" t="s">
        <v>1186</v>
      </c>
      <c r="C473" s="24" t="s">
        <v>1595</v>
      </c>
      <c r="D473" s="12" t="s">
        <v>2430</v>
      </c>
      <c r="E473" s="4" t="s">
        <v>2431</v>
      </c>
      <c r="F473" s="4" t="s">
        <v>1670</v>
      </c>
      <c r="G473" s="4" t="s">
        <v>1599</v>
      </c>
      <c r="H473" s="12" t="s">
        <v>127</v>
      </c>
      <c r="I473" s="22">
        <v>-10.2626495294784</v>
      </c>
      <c r="J473" s="22">
        <v>-63.299886099591298</v>
      </c>
      <c r="K473" s="22" t="s">
        <v>2308</v>
      </c>
      <c r="L473" s="4">
        <v>1996</v>
      </c>
      <c r="M473" s="4">
        <v>1997</v>
      </c>
      <c r="N473" s="4" t="s">
        <v>2308</v>
      </c>
      <c r="O473" s="5" t="s">
        <v>2</v>
      </c>
      <c r="P473" s="4"/>
    </row>
    <row r="474" spans="1:16" ht="38" customHeight="1">
      <c r="A474" s="32">
        <v>84</v>
      </c>
      <c r="B474" s="58" t="s">
        <v>1186</v>
      </c>
      <c r="C474" s="24" t="s">
        <v>1596</v>
      </c>
      <c r="D474" s="12" t="s">
        <v>2430</v>
      </c>
      <c r="E474" s="4" t="s">
        <v>2431</v>
      </c>
      <c r="F474" s="4" t="s">
        <v>1671</v>
      </c>
      <c r="G474" s="4" t="s">
        <v>1599</v>
      </c>
      <c r="H474" s="12" t="s">
        <v>127</v>
      </c>
      <c r="I474" s="22">
        <v>-9.7814503515399096</v>
      </c>
      <c r="J474" s="22">
        <v>-63.554567782134598</v>
      </c>
      <c r="K474" s="22" t="s">
        <v>2308</v>
      </c>
      <c r="L474" s="4">
        <v>1996</v>
      </c>
      <c r="M474" s="4">
        <v>1997</v>
      </c>
      <c r="N474" s="4" t="s">
        <v>2308</v>
      </c>
      <c r="O474" s="5" t="s">
        <v>2</v>
      </c>
      <c r="P474" s="4"/>
    </row>
    <row r="475" spans="1:16" ht="38" customHeight="1">
      <c r="A475" s="32">
        <v>84</v>
      </c>
      <c r="B475" s="58" t="s">
        <v>1186</v>
      </c>
      <c r="C475" s="24" t="s">
        <v>1597</v>
      </c>
      <c r="D475" s="12" t="s">
        <v>2430</v>
      </c>
      <c r="E475" s="4" t="s">
        <v>2431</v>
      </c>
      <c r="F475" s="4" t="s">
        <v>1672</v>
      </c>
      <c r="G475" s="4" t="s">
        <v>1599</v>
      </c>
      <c r="H475" s="12" t="s">
        <v>127</v>
      </c>
      <c r="I475" s="22">
        <v>-9.7205866148294096</v>
      </c>
      <c r="J475" s="22">
        <v>-63.318810096153797</v>
      </c>
      <c r="K475" s="22" t="s">
        <v>2308</v>
      </c>
      <c r="L475" s="4">
        <v>1996</v>
      </c>
      <c r="M475" s="4">
        <v>1997</v>
      </c>
      <c r="N475" s="4" t="s">
        <v>2308</v>
      </c>
      <c r="O475" s="5" t="s">
        <v>2</v>
      </c>
      <c r="P475" s="4"/>
    </row>
    <row r="476" spans="1:16" ht="38" customHeight="1">
      <c r="A476" s="32">
        <v>84</v>
      </c>
      <c r="B476" s="58" t="s">
        <v>1186</v>
      </c>
      <c r="C476" s="24" t="s">
        <v>1598</v>
      </c>
      <c r="D476" s="12" t="s">
        <v>2430</v>
      </c>
      <c r="E476" s="4" t="s">
        <v>2431</v>
      </c>
      <c r="F476" s="4" t="s">
        <v>1673</v>
      </c>
      <c r="G476" s="4" t="s">
        <v>1599</v>
      </c>
      <c r="H476" s="12" t="s">
        <v>127</v>
      </c>
      <c r="I476" s="22">
        <v>-10.5708117428132</v>
      </c>
      <c r="J476" s="22">
        <v>-63.621314225063301</v>
      </c>
      <c r="K476" s="22" t="s">
        <v>2308</v>
      </c>
      <c r="L476" s="4">
        <v>1996</v>
      </c>
      <c r="M476" s="4">
        <v>1997</v>
      </c>
      <c r="N476" s="4" t="s">
        <v>2308</v>
      </c>
      <c r="O476" s="5" t="s">
        <v>2</v>
      </c>
      <c r="P476" s="4"/>
    </row>
    <row r="477" spans="1:16" ht="43" customHeight="1">
      <c r="A477" s="32">
        <v>85</v>
      </c>
      <c r="B477" s="58" t="s">
        <v>1187</v>
      </c>
      <c r="C477" s="24" t="s">
        <v>1174</v>
      </c>
      <c r="D477" s="12" t="s">
        <v>2430</v>
      </c>
      <c r="E477" s="4" t="s">
        <v>2431</v>
      </c>
      <c r="F477" s="5" t="s">
        <v>1188</v>
      </c>
      <c r="G477" s="4" t="s">
        <v>1189</v>
      </c>
      <c r="H477" s="4" t="s">
        <v>910</v>
      </c>
      <c r="I477" s="22">
        <v>-0.77628699999999995</v>
      </c>
      <c r="J477" s="22">
        <v>100.48071729999999</v>
      </c>
      <c r="K477" s="22" t="s">
        <v>2308</v>
      </c>
      <c r="L477" s="4">
        <v>2000</v>
      </c>
      <c r="M477" s="4">
        <v>2000</v>
      </c>
      <c r="N477" s="4" t="s">
        <v>2308</v>
      </c>
      <c r="O477" s="5" t="s">
        <v>67</v>
      </c>
      <c r="P477" s="4" t="s">
        <v>2327</v>
      </c>
    </row>
    <row r="478" spans="1:16" ht="42" customHeight="1">
      <c r="A478" s="32">
        <v>85</v>
      </c>
      <c r="B478" s="58" t="s">
        <v>1187</v>
      </c>
      <c r="C478" s="24" t="s">
        <v>1190</v>
      </c>
      <c r="D478" s="12" t="s">
        <v>2430</v>
      </c>
      <c r="E478" s="4" t="s">
        <v>2431</v>
      </c>
      <c r="F478" s="5" t="s">
        <v>1191</v>
      </c>
      <c r="G478" s="4" t="s">
        <v>1189</v>
      </c>
      <c r="H478" s="4" t="s">
        <v>910</v>
      </c>
      <c r="I478" s="22">
        <v>3.7843939</v>
      </c>
      <c r="J478" s="22">
        <v>97.258130300000005</v>
      </c>
      <c r="K478" s="22" t="s">
        <v>2308</v>
      </c>
      <c r="L478" s="4">
        <v>2000</v>
      </c>
      <c r="M478" s="4">
        <v>2000</v>
      </c>
      <c r="N478" s="4" t="s">
        <v>2308</v>
      </c>
      <c r="O478" s="5" t="s">
        <v>67</v>
      </c>
      <c r="P478" s="4" t="s">
        <v>2327</v>
      </c>
    </row>
    <row r="479" spans="1:16" ht="43" customHeight="1">
      <c r="A479" s="32">
        <v>85</v>
      </c>
      <c r="B479" s="58" t="s">
        <v>1187</v>
      </c>
      <c r="C479" s="24" t="s">
        <v>1192</v>
      </c>
      <c r="D479" s="12" t="s">
        <v>2430</v>
      </c>
      <c r="E479" s="4" t="s">
        <v>2431</v>
      </c>
      <c r="F479" s="4" t="s">
        <v>1194</v>
      </c>
      <c r="G479" s="4" t="s">
        <v>1193</v>
      </c>
      <c r="H479" s="4" t="s">
        <v>910</v>
      </c>
      <c r="I479" s="22">
        <v>2.582303</v>
      </c>
      <c r="J479" s="22">
        <v>115.6859664</v>
      </c>
      <c r="K479" s="22" t="s">
        <v>2308</v>
      </c>
      <c r="L479" s="4">
        <v>2000</v>
      </c>
      <c r="M479" s="4">
        <v>2000</v>
      </c>
      <c r="N479" s="4" t="s">
        <v>2308</v>
      </c>
      <c r="O479" s="5" t="s">
        <v>67</v>
      </c>
      <c r="P479" s="4" t="s">
        <v>2327</v>
      </c>
    </row>
    <row r="480" spans="1:16" ht="50" customHeight="1">
      <c r="A480" s="32">
        <v>86</v>
      </c>
      <c r="B480" s="41" t="s">
        <v>1200</v>
      </c>
      <c r="C480" s="24" t="s">
        <v>1199</v>
      </c>
      <c r="D480" s="12" t="s">
        <v>2430</v>
      </c>
      <c r="E480" s="4" t="s">
        <v>2670</v>
      </c>
      <c r="F480" s="4" t="s">
        <v>2308</v>
      </c>
      <c r="G480" s="12" t="s">
        <v>1201</v>
      </c>
      <c r="H480" s="12" t="s">
        <v>127</v>
      </c>
      <c r="I480" s="22">
        <v>1.8444187999999999</v>
      </c>
      <c r="J480" s="22">
        <v>-61.8580629</v>
      </c>
      <c r="K480" s="22" t="s">
        <v>2308</v>
      </c>
      <c r="L480" s="12">
        <v>1998</v>
      </c>
      <c r="M480" s="12">
        <v>1999</v>
      </c>
      <c r="N480" s="4" t="s">
        <v>2308</v>
      </c>
      <c r="O480" s="4" t="s">
        <v>67</v>
      </c>
      <c r="P480" s="5" t="s">
        <v>1202</v>
      </c>
    </row>
    <row r="481" spans="1:16" ht="62" customHeight="1">
      <c r="A481" s="32">
        <v>87</v>
      </c>
      <c r="B481" s="41" t="s">
        <v>1213</v>
      </c>
      <c r="C481" s="24" t="s">
        <v>1212</v>
      </c>
      <c r="D481" s="12" t="s">
        <v>2430</v>
      </c>
      <c r="E481" s="4" t="s">
        <v>2670</v>
      </c>
      <c r="F481" s="4" t="s">
        <v>1214</v>
      </c>
      <c r="G481" s="4" t="s">
        <v>1215</v>
      </c>
      <c r="H481" s="4" t="s">
        <v>790</v>
      </c>
      <c r="I481" s="22">
        <v>20.876207600000001</v>
      </c>
      <c r="J481" s="22">
        <v>105.2410666</v>
      </c>
      <c r="K481" s="22">
        <v>7.5</v>
      </c>
      <c r="L481" s="4">
        <v>1988</v>
      </c>
      <c r="M481" s="4">
        <v>1994</v>
      </c>
      <c r="N481" s="4">
        <v>52</v>
      </c>
      <c r="O481" s="4" t="s">
        <v>189</v>
      </c>
      <c r="P481" s="4" t="s">
        <v>2456</v>
      </c>
    </row>
    <row r="482" spans="1:16" ht="49" customHeight="1">
      <c r="A482" s="32">
        <v>87</v>
      </c>
      <c r="B482" s="41" t="s">
        <v>1213</v>
      </c>
      <c r="C482" s="24" t="s">
        <v>1216</v>
      </c>
      <c r="D482" s="12" t="s">
        <v>2430</v>
      </c>
      <c r="E482" s="4" t="s">
        <v>2670</v>
      </c>
      <c r="F482" s="4" t="s">
        <v>1214</v>
      </c>
      <c r="G482" s="4" t="s">
        <v>1215</v>
      </c>
      <c r="H482" s="4" t="s">
        <v>790</v>
      </c>
      <c r="I482" s="22">
        <v>20.876207600000001</v>
      </c>
      <c r="J482" s="22">
        <v>105.2410666</v>
      </c>
      <c r="K482" s="22">
        <v>7.5</v>
      </c>
      <c r="L482" s="4">
        <v>1995</v>
      </c>
      <c r="M482" s="4">
        <v>1999</v>
      </c>
      <c r="N482" s="4">
        <v>58</v>
      </c>
      <c r="O482" s="4" t="s">
        <v>189</v>
      </c>
      <c r="P482" s="4" t="s">
        <v>2456</v>
      </c>
    </row>
    <row r="483" spans="1:16" ht="38" customHeight="1">
      <c r="A483" s="32">
        <v>87</v>
      </c>
      <c r="B483" s="41" t="s">
        <v>1213</v>
      </c>
      <c r="C483" s="24" t="s">
        <v>1217</v>
      </c>
      <c r="D483" s="12" t="s">
        <v>2430</v>
      </c>
      <c r="E483" s="4" t="s">
        <v>2670</v>
      </c>
      <c r="F483" s="4" t="s">
        <v>1214</v>
      </c>
      <c r="G483" s="4" t="s">
        <v>1215</v>
      </c>
      <c r="H483" s="4" t="s">
        <v>790</v>
      </c>
      <c r="I483" s="22">
        <v>20.876207600000001</v>
      </c>
      <c r="J483" s="22">
        <v>105.2410666</v>
      </c>
      <c r="K483" s="22">
        <v>7.5</v>
      </c>
      <c r="L483" s="4">
        <v>2000</v>
      </c>
      <c r="M483" s="4">
        <v>2003</v>
      </c>
      <c r="N483" s="4">
        <v>64</v>
      </c>
      <c r="O483" s="4" t="s">
        <v>189</v>
      </c>
      <c r="P483" s="4" t="s">
        <v>2456</v>
      </c>
    </row>
    <row r="484" spans="1:16" ht="26" customHeight="1">
      <c r="A484" s="32">
        <v>88</v>
      </c>
      <c r="B484" s="41" t="s">
        <v>1247</v>
      </c>
      <c r="C484" s="24" t="s">
        <v>1226</v>
      </c>
      <c r="D484" s="12" t="s">
        <v>2430</v>
      </c>
      <c r="E484" s="4" t="s">
        <v>2431</v>
      </c>
      <c r="F484" s="4" t="s">
        <v>1245</v>
      </c>
      <c r="G484" s="4" t="s">
        <v>1246</v>
      </c>
      <c r="H484" s="4" t="s">
        <v>114</v>
      </c>
      <c r="I484" s="22">
        <v>27.871398599999999</v>
      </c>
      <c r="J484" s="22">
        <v>98.339702000000003</v>
      </c>
      <c r="K484" s="22" t="s">
        <v>2308</v>
      </c>
      <c r="L484" s="4">
        <v>2002</v>
      </c>
      <c r="M484" s="4">
        <v>2002</v>
      </c>
      <c r="N484" s="4" t="s">
        <v>2308</v>
      </c>
      <c r="O484" s="4" t="s">
        <v>67</v>
      </c>
      <c r="P484" s="4"/>
    </row>
    <row r="485" spans="1:16" ht="27" customHeight="1">
      <c r="A485" s="32">
        <v>88</v>
      </c>
      <c r="B485" s="41" t="s">
        <v>1247</v>
      </c>
      <c r="C485" s="24" t="s">
        <v>1227</v>
      </c>
      <c r="D485" s="12" t="s">
        <v>2430</v>
      </c>
      <c r="E485" s="4" t="s">
        <v>2431</v>
      </c>
      <c r="F485" s="4" t="s">
        <v>1245</v>
      </c>
      <c r="G485" s="4" t="s">
        <v>1246</v>
      </c>
      <c r="H485" s="4" t="s">
        <v>114</v>
      </c>
      <c r="I485" s="22">
        <v>27.871398599999999</v>
      </c>
      <c r="J485" s="22">
        <v>98.339702000000003</v>
      </c>
      <c r="K485" s="22" t="s">
        <v>2308</v>
      </c>
      <c r="L485" s="4">
        <v>2009</v>
      </c>
      <c r="M485" s="4">
        <v>2009</v>
      </c>
      <c r="N485" s="4" t="s">
        <v>2308</v>
      </c>
      <c r="O485" s="4" t="s">
        <v>67</v>
      </c>
      <c r="P485" s="4"/>
    </row>
    <row r="486" spans="1:16" ht="29" customHeight="1">
      <c r="A486" s="32">
        <v>88</v>
      </c>
      <c r="B486" s="41" t="s">
        <v>1247</v>
      </c>
      <c r="C486" s="24" t="s">
        <v>1228</v>
      </c>
      <c r="D486" s="12" t="s">
        <v>2430</v>
      </c>
      <c r="E486" s="4" t="s">
        <v>2431</v>
      </c>
      <c r="F486" s="4" t="s">
        <v>1244</v>
      </c>
      <c r="G486" s="4" t="s">
        <v>1246</v>
      </c>
      <c r="H486" s="4" t="s">
        <v>114</v>
      </c>
      <c r="I486" s="22">
        <v>28.108406200000001</v>
      </c>
      <c r="J486" s="22">
        <v>98.322796199999999</v>
      </c>
      <c r="K486" s="22" t="s">
        <v>2308</v>
      </c>
      <c r="L486" s="4">
        <v>2002</v>
      </c>
      <c r="M486" s="4">
        <v>2002</v>
      </c>
      <c r="N486" s="4" t="s">
        <v>2308</v>
      </c>
      <c r="O486" s="4" t="s">
        <v>67</v>
      </c>
      <c r="P486" s="4"/>
    </row>
    <row r="487" spans="1:16" ht="30" customHeight="1">
      <c r="A487" s="32">
        <v>88</v>
      </c>
      <c r="B487" s="41" t="s">
        <v>1247</v>
      </c>
      <c r="C487" s="24" t="s">
        <v>1229</v>
      </c>
      <c r="D487" s="12" t="s">
        <v>2430</v>
      </c>
      <c r="E487" s="4" t="s">
        <v>2431</v>
      </c>
      <c r="F487" s="4" t="s">
        <v>1244</v>
      </c>
      <c r="G487" s="4" t="s">
        <v>1246</v>
      </c>
      <c r="H487" s="4" t="s">
        <v>114</v>
      </c>
      <c r="I487" s="22">
        <v>28.108406200000001</v>
      </c>
      <c r="J487" s="22">
        <v>98.322796199999999</v>
      </c>
      <c r="K487" s="22" t="s">
        <v>2308</v>
      </c>
      <c r="L487" s="4">
        <v>2009</v>
      </c>
      <c r="M487" s="4">
        <v>2009</v>
      </c>
      <c r="N487" s="4" t="s">
        <v>2308</v>
      </c>
      <c r="O487" s="4" t="s">
        <v>67</v>
      </c>
      <c r="P487" s="4"/>
    </row>
    <row r="488" spans="1:16" ht="38" customHeight="1">
      <c r="A488" s="32">
        <v>89</v>
      </c>
      <c r="B488" s="41" t="s">
        <v>1251</v>
      </c>
      <c r="C488" s="24" t="s">
        <v>1250</v>
      </c>
      <c r="D488" s="12" t="s">
        <v>2430</v>
      </c>
      <c r="E488" s="4" t="s">
        <v>2431</v>
      </c>
      <c r="F488" s="4" t="s">
        <v>1252</v>
      </c>
      <c r="G488" s="4" t="s">
        <v>1253</v>
      </c>
      <c r="H488" s="4" t="s">
        <v>391</v>
      </c>
      <c r="I488" s="22">
        <v>-3.0032768999999999</v>
      </c>
      <c r="J488" s="22">
        <v>36.699071000000004</v>
      </c>
      <c r="K488" s="22" t="s">
        <v>2308</v>
      </c>
      <c r="L488" s="4">
        <v>2018</v>
      </c>
      <c r="M488" s="4">
        <v>2018</v>
      </c>
      <c r="N488" s="4" t="s">
        <v>2308</v>
      </c>
      <c r="O488" s="4" t="s">
        <v>67</v>
      </c>
      <c r="P488" s="4"/>
    </row>
    <row r="489" spans="1:16" ht="59" customHeight="1">
      <c r="A489" s="32">
        <v>89</v>
      </c>
      <c r="B489" s="41" t="s">
        <v>1251</v>
      </c>
      <c r="C489" s="24" t="s">
        <v>1262</v>
      </c>
      <c r="D489" s="12" t="s">
        <v>2430</v>
      </c>
      <c r="E489" s="4" t="s">
        <v>2431</v>
      </c>
      <c r="F489" s="4" t="s">
        <v>2308</v>
      </c>
      <c r="G489" s="4" t="s">
        <v>1260</v>
      </c>
      <c r="H489" s="4" t="s">
        <v>1261</v>
      </c>
      <c r="I489" s="22">
        <v>-10.8</v>
      </c>
      <c r="J489" s="22">
        <v>33.799999999999997</v>
      </c>
      <c r="K489" s="22" t="s">
        <v>2308</v>
      </c>
      <c r="L489" s="4">
        <v>2018</v>
      </c>
      <c r="M489" s="4">
        <v>2018</v>
      </c>
      <c r="N489" s="4" t="s">
        <v>2308</v>
      </c>
      <c r="O489" s="4" t="s">
        <v>67</v>
      </c>
      <c r="P489" s="4"/>
    </row>
    <row r="490" spans="1:16" ht="43.5" customHeight="1">
      <c r="A490" s="113">
        <v>90</v>
      </c>
      <c r="B490" s="41" t="s">
        <v>2478</v>
      </c>
      <c r="C490" s="4" t="s">
        <v>2479</v>
      </c>
      <c r="D490" s="4" t="s">
        <v>2430</v>
      </c>
      <c r="E490" s="4" t="s">
        <v>2431</v>
      </c>
      <c r="F490" s="4" t="s">
        <v>2480</v>
      </c>
      <c r="G490" s="4" t="s">
        <v>2481</v>
      </c>
      <c r="H490" s="4" t="s">
        <v>88</v>
      </c>
      <c r="I490" s="22">
        <v>23.5034329</v>
      </c>
      <c r="J490" s="80">
        <v>92.417972500000005</v>
      </c>
      <c r="K490" s="22" t="s">
        <v>2308</v>
      </c>
      <c r="L490" s="4">
        <v>2010</v>
      </c>
      <c r="M490" s="4">
        <v>2010</v>
      </c>
      <c r="N490" s="4" t="s">
        <v>2308</v>
      </c>
      <c r="O490" s="4" t="s">
        <v>67</v>
      </c>
      <c r="P490" s="4"/>
    </row>
    <row r="491" spans="1:16" ht="38.5" customHeight="1">
      <c r="A491" s="113">
        <v>90</v>
      </c>
      <c r="B491" s="41" t="s">
        <v>2478</v>
      </c>
      <c r="C491" s="4" t="s">
        <v>2482</v>
      </c>
      <c r="D491" s="4" t="s">
        <v>2430</v>
      </c>
      <c r="E491" s="4" t="s">
        <v>2670</v>
      </c>
      <c r="F491" s="4" t="s">
        <v>2484</v>
      </c>
      <c r="G491" s="4" t="s">
        <v>2481</v>
      </c>
      <c r="H491" s="4" t="s">
        <v>88</v>
      </c>
      <c r="I491" s="22">
        <v>22.974637099999999</v>
      </c>
      <c r="J491" s="80">
        <v>92.750520499999993</v>
      </c>
      <c r="K491" s="22" t="s">
        <v>2308</v>
      </c>
      <c r="L491" s="4">
        <v>2010</v>
      </c>
      <c r="M491" s="4">
        <v>2010</v>
      </c>
      <c r="N491" s="4" t="s">
        <v>2308</v>
      </c>
      <c r="O491" s="4" t="s">
        <v>67</v>
      </c>
      <c r="P491" s="5" t="s">
        <v>2485</v>
      </c>
    </row>
    <row r="492" spans="1:16" ht="27" customHeight="1">
      <c r="A492" s="113">
        <v>91</v>
      </c>
      <c r="B492" s="41" t="s">
        <v>2498</v>
      </c>
      <c r="C492" s="4" t="s">
        <v>2499</v>
      </c>
      <c r="D492" s="4" t="s">
        <v>2430</v>
      </c>
      <c r="E492" s="4" t="s">
        <v>2431</v>
      </c>
      <c r="F492" s="4" t="s">
        <v>2515</v>
      </c>
      <c r="G492" s="4" t="s">
        <v>2481</v>
      </c>
      <c r="H492" s="4" t="s">
        <v>88</v>
      </c>
      <c r="I492" s="22">
        <v>24.294976299999998</v>
      </c>
      <c r="J492" s="22">
        <v>92.640020500000006</v>
      </c>
      <c r="K492" s="22" t="s">
        <v>2308</v>
      </c>
      <c r="L492" s="4">
        <v>2018</v>
      </c>
      <c r="M492" s="4">
        <v>2018</v>
      </c>
      <c r="N492" s="4" t="s">
        <v>2308</v>
      </c>
      <c r="O492" s="4" t="s">
        <v>189</v>
      </c>
      <c r="P492" s="5" t="s">
        <v>2531</v>
      </c>
    </row>
    <row r="493" spans="1:16" ht="32" customHeight="1">
      <c r="A493" s="113">
        <v>91</v>
      </c>
      <c r="B493" s="41" t="s">
        <v>2498</v>
      </c>
      <c r="C493" s="4" t="s">
        <v>2500</v>
      </c>
      <c r="D493" s="4" t="s">
        <v>2430</v>
      </c>
      <c r="E493" s="4" t="s">
        <v>2431</v>
      </c>
      <c r="F493" s="4" t="s">
        <v>2516</v>
      </c>
      <c r="G493" s="4" t="s">
        <v>2481</v>
      </c>
      <c r="H493" s="4" t="s">
        <v>88</v>
      </c>
      <c r="I493" s="22">
        <v>23.980968900000001</v>
      </c>
      <c r="J493" s="22">
        <v>92.718894399999996</v>
      </c>
      <c r="K493" s="22" t="s">
        <v>2308</v>
      </c>
      <c r="L493" s="4">
        <v>2018</v>
      </c>
      <c r="M493" s="4">
        <v>2018</v>
      </c>
      <c r="N493" s="4" t="s">
        <v>2308</v>
      </c>
      <c r="O493" s="4" t="s">
        <v>189</v>
      </c>
      <c r="P493" s="5" t="s">
        <v>2531</v>
      </c>
    </row>
    <row r="494" spans="1:16" ht="29">
      <c r="A494" s="113">
        <v>91</v>
      </c>
      <c r="B494" s="41" t="s">
        <v>2498</v>
      </c>
      <c r="C494" s="4" t="s">
        <v>2501</v>
      </c>
      <c r="D494" s="4" t="s">
        <v>2430</v>
      </c>
      <c r="E494" s="4" t="s">
        <v>2431</v>
      </c>
      <c r="F494" s="4" t="s">
        <v>2517</v>
      </c>
      <c r="G494" s="4" t="s">
        <v>2481</v>
      </c>
      <c r="H494" s="4" t="s">
        <v>88</v>
      </c>
      <c r="I494" s="22">
        <v>23.900757599999999</v>
      </c>
      <c r="J494" s="22">
        <v>92.921340799999996</v>
      </c>
      <c r="K494" s="22" t="s">
        <v>2308</v>
      </c>
      <c r="L494" s="4">
        <v>2018</v>
      </c>
      <c r="M494" s="4">
        <v>2018</v>
      </c>
      <c r="N494" s="4" t="s">
        <v>2308</v>
      </c>
      <c r="O494" s="4" t="s">
        <v>189</v>
      </c>
      <c r="P494" s="5" t="s">
        <v>2531</v>
      </c>
    </row>
    <row r="495" spans="1:16" ht="29">
      <c r="A495" s="113">
        <v>91</v>
      </c>
      <c r="B495" s="41" t="s">
        <v>2498</v>
      </c>
      <c r="C495" s="4" t="s">
        <v>2502</v>
      </c>
      <c r="D495" s="4" t="s">
        <v>2430</v>
      </c>
      <c r="E495" s="4" t="s">
        <v>2431</v>
      </c>
      <c r="F495" s="4" t="s">
        <v>2518</v>
      </c>
      <c r="G495" s="4" t="s">
        <v>2481</v>
      </c>
      <c r="H495" s="4" t="s">
        <v>88</v>
      </c>
      <c r="I495" s="22">
        <v>23.867775000000002</v>
      </c>
      <c r="J495" s="22">
        <v>92.422106499999998</v>
      </c>
      <c r="K495" s="22" t="s">
        <v>2308</v>
      </c>
      <c r="L495" s="4">
        <v>2018</v>
      </c>
      <c r="M495" s="4">
        <v>2018</v>
      </c>
      <c r="N495" s="4" t="s">
        <v>2308</v>
      </c>
      <c r="O495" s="4" t="s">
        <v>189</v>
      </c>
      <c r="P495" s="5" t="s">
        <v>2531</v>
      </c>
    </row>
    <row r="496" spans="1:16" ht="29">
      <c r="A496" s="113">
        <v>91</v>
      </c>
      <c r="B496" s="41" t="s">
        <v>2498</v>
      </c>
      <c r="C496" s="4" t="s">
        <v>2503</v>
      </c>
      <c r="D496" s="4" t="s">
        <v>2430</v>
      </c>
      <c r="E496" s="4" t="s">
        <v>2431</v>
      </c>
      <c r="F496" s="4" t="s">
        <v>2519</v>
      </c>
      <c r="G496" s="4" t="s">
        <v>2481</v>
      </c>
      <c r="H496" s="4" t="s">
        <v>88</v>
      </c>
      <c r="I496" s="22">
        <v>23.7703384</v>
      </c>
      <c r="J496" s="22">
        <v>92.520412100000001</v>
      </c>
      <c r="K496" s="22" t="s">
        <v>2308</v>
      </c>
      <c r="L496" s="4">
        <v>2018</v>
      </c>
      <c r="M496" s="4">
        <v>2018</v>
      </c>
      <c r="N496" s="4" t="s">
        <v>2308</v>
      </c>
      <c r="O496" s="4" t="s">
        <v>189</v>
      </c>
      <c r="P496" s="5" t="s">
        <v>2531</v>
      </c>
    </row>
    <row r="497" spans="1:16" ht="29">
      <c r="A497" s="113">
        <v>91</v>
      </c>
      <c r="B497" s="41" t="s">
        <v>2498</v>
      </c>
      <c r="C497" s="4" t="s">
        <v>2504</v>
      </c>
      <c r="D497" s="4" t="s">
        <v>2430</v>
      </c>
      <c r="E497" s="4" t="s">
        <v>2431</v>
      </c>
      <c r="F497" s="4" t="s">
        <v>2520</v>
      </c>
      <c r="G497" s="4" t="s">
        <v>2481</v>
      </c>
      <c r="H497" s="4" t="s">
        <v>88</v>
      </c>
      <c r="I497" s="22">
        <v>23.724429900000001</v>
      </c>
      <c r="J497" s="22">
        <v>93.304273100000003</v>
      </c>
      <c r="K497" s="22" t="s">
        <v>2308</v>
      </c>
      <c r="L497" s="4">
        <v>2018</v>
      </c>
      <c r="M497" s="4">
        <v>2018</v>
      </c>
      <c r="N497" s="4" t="s">
        <v>2308</v>
      </c>
      <c r="O497" s="4" t="s">
        <v>189</v>
      </c>
      <c r="P497" s="5" t="s">
        <v>2531</v>
      </c>
    </row>
    <row r="498" spans="1:16" ht="29">
      <c r="A498" s="113">
        <v>91</v>
      </c>
      <c r="B498" s="41" t="s">
        <v>2498</v>
      </c>
      <c r="C498" s="4" t="s">
        <v>2505</v>
      </c>
      <c r="D498" s="4" t="s">
        <v>2430</v>
      </c>
      <c r="E498" s="4" t="s">
        <v>2431</v>
      </c>
      <c r="F498" s="4" t="s">
        <v>2521</v>
      </c>
      <c r="G498" s="4" t="s">
        <v>2481</v>
      </c>
      <c r="H498" s="4" t="s">
        <v>88</v>
      </c>
      <c r="I498" s="22">
        <v>23.505746200000001</v>
      </c>
      <c r="J498" s="22">
        <v>93.243906600000003</v>
      </c>
      <c r="K498" s="22" t="s">
        <v>2308</v>
      </c>
      <c r="L498" s="4">
        <v>2018</v>
      </c>
      <c r="M498" s="4">
        <v>2018</v>
      </c>
      <c r="N498" s="4" t="s">
        <v>2308</v>
      </c>
      <c r="O498" s="4" t="s">
        <v>189</v>
      </c>
      <c r="P498" s="5" t="s">
        <v>2531</v>
      </c>
    </row>
    <row r="499" spans="1:16" ht="29">
      <c r="A499" s="113">
        <v>91</v>
      </c>
      <c r="B499" s="41" t="s">
        <v>2498</v>
      </c>
      <c r="C499" s="4" t="s">
        <v>2506</v>
      </c>
      <c r="D499" s="4" t="s">
        <v>2430</v>
      </c>
      <c r="E499" s="4" t="s">
        <v>2431</v>
      </c>
      <c r="F499" s="4" t="s">
        <v>2522</v>
      </c>
      <c r="G499" s="4" t="s">
        <v>2481</v>
      </c>
      <c r="H499" s="4" t="s">
        <v>88</v>
      </c>
      <c r="I499" s="22">
        <v>23.470427399999998</v>
      </c>
      <c r="J499" s="22">
        <v>92.717029699999998</v>
      </c>
      <c r="K499" s="22" t="s">
        <v>2308</v>
      </c>
      <c r="L499" s="4">
        <v>2018</v>
      </c>
      <c r="M499" s="4">
        <v>2018</v>
      </c>
      <c r="N499" s="4" t="s">
        <v>2308</v>
      </c>
      <c r="O499" s="4" t="s">
        <v>189</v>
      </c>
      <c r="P499" s="5" t="s">
        <v>2531</v>
      </c>
    </row>
    <row r="500" spans="1:16" ht="29">
      <c r="A500" s="113">
        <v>91</v>
      </c>
      <c r="B500" s="41" t="s">
        <v>2498</v>
      </c>
      <c r="C500" s="4" t="s">
        <v>2507</v>
      </c>
      <c r="D500" s="4" t="s">
        <v>2430</v>
      </c>
      <c r="E500" s="4" t="s">
        <v>2431</v>
      </c>
      <c r="F500" s="4" t="s">
        <v>2523</v>
      </c>
      <c r="G500" s="4" t="s">
        <v>2481</v>
      </c>
      <c r="H500" s="4" t="s">
        <v>88</v>
      </c>
      <c r="I500" s="22">
        <v>23.361906000000001</v>
      </c>
      <c r="J500" s="22">
        <v>92.921965</v>
      </c>
      <c r="K500" s="22" t="s">
        <v>2308</v>
      </c>
      <c r="L500" s="4">
        <v>2018</v>
      </c>
      <c r="M500" s="4">
        <v>2018</v>
      </c>
      <c r="N500" s="4" t="s">
        <v>2308</v>
      </c>
      <c r="O500" s="4" t="s">
        <v>189</v>
      </c>
      <c r="P500" s="5" t="s">
        <v>2531</v>
      </c>
    </row>
    <row r="501" spans="1:16" ht="29">
      <c r="A501" s="113">
        <v>91</v>
      </c>
      <c r="B501" s="41" t="s">
        <v>2498</v>
      </c>
      <c r="C501" s="4" t="s">
        <v>2508</v>
      </c>
      <c r="D501" s="4" t="s">
        <v>2430</v>
      </c>
      <c r="E501" s="4" t="s">
        <v>2431</v>
      </c>
      <c r="F501" s="4" t="s">
        <v>2524</v>
      </c>
      <c r="G501" s="4" t="s">
        <v>2481</v>
      </c>
      <c r="H501" s="4" t="s">
        <v>88</v>
      </c>
      <c r="I501" s="22">
        <v>23.1713755</v>
      </c>
      <c r="J501" s="22">
        <v>92.9897445</v>
      </c>
      <c r="K501" s="22" t="s">
        <v>2308</v>
      </c>
      <c r="L501" s="4">
        <v>2018</v>
      </c>
      <c r="M501" s="4">
        <v>2018</v>
      </c>
      <c r="N501" s="4" t="s">
        <v>2308</v>
      </c>
      <c r="O501" s="4" t="s">
        <v>189</v>
      </c>
      <c r="P501" s="5" t="s">
        <v>2531</v>
      </c>
    </row>
    <row r="502" spans="1:16" ht="29">
      <c r="A502" s="113">
        <v>91</v>
      </c>
      <c r="B502" s="41" t="s">
        <v>2498</v>
      </c>
      <c r="C502" s="4" t="s">
        <v>2509</v>
      </c>
      <c r="D502" s="4" t="s">
        <v>2430</v>
      </c>
      <c r="E502" s="4" t="s">
        <v>2431</v>
      </c>
      <c r="F502" s="4" t="s">
        <v>2525</v>
      </c>
      <c r="G502" s="4" t="s">
        <v>2481</v>
      </c>
      <c r="H502" s="4" t="s">
        <v>88</v>
      </c>
      <c r="I502" s="22">
        <v>23.112962799999998</v>
      </c>
      <c r="J502" s="22">
        <v>92.744386000000006</v>
      </c>
      <c r="K502" s="22" t="s">
        <v>2308</v>
      </c>
      <c r="L502" s="4">
        <v>2018</v>
      </c>
      <c r="M502" s="4">
        <v>2018</v>
      </c>
      <c r="N502" s="4" t="s">
        <v>2308</v>
      </c>
      <c r="O502" s="4" t="s">
        <v>189</v>
      </c>
      <c r="P502" s="5" t="s">
        <v>2531</v>
      </c>
    </row>
    <row r="503" spans="1:16" ht="29">
      <c r="A503" s="113">
        <v>91</v>
      </c>
      <c r="B503" s="41" t="s">
        <v>2498</v>
      </c>
      <c r="C503" s="4" t="s">
        <v>2510</v>
      </c>
      <c r="D503" s="4" t="s">
        <v>2430</v>
      </c>
      <c r="E503" s="4" t="s">
        <v>2431</v>
      </c>
      <c r="F503" s="4" t="s">
        <v>2526</v>
      </c>
      <c r="G503" s="4" t="s">
        <v>2481</v>
      </c>
      <c r="H503" s="4" t="s">
        <v>88</v>
      </c>
      <c r="I503" s="22">
        <v>23.020536199999999</v>
      </c>
      <c r="J503" s="22">
        <v>92.921340799999996</v>
      </c>
      <c r="K503" s="22" t="s">
        <v>2308</v>
      </c>
      <c r="L503" s="4">
        <v>2018</v>
      </c>
      <c r="M503" s="4">
        <v>2018</v>
      </c>
      <c r="N503" s="4" t="s">
        <v>2308</v>
      </c>
      <c r="O503" s="4" t="s">
        <v>189</v>
      </c>
      <c r="P503" s="5" t="s">
        <v>2531</v>
      </c>
    </row>
    <row r="504" spans="1:16" ht="29">
      <c r="A504" s="113">
        <v>91</v>
      </c>
      <c r="B504" s="41" t="s">
        <v>2498</v>
      </c>
      <c r="C504" s="4" t="s">
        <v>2511</v>
      </c>
      <c r="D504" s="4" t="s">
        <v>2430</v>
      </c>
      <c r="E504" s="4" t="s">
        <v>2431</v>
      </c>
      <c r="F504" s="4" t="s">
        <v>2527</v>
      </c>
      <c r="G504" s="4" t="s">
        <v>2481</v>
      </c>
      <c r="H504" s="4" t="s">
        <v>88</v>
      </c>
      <c r="I504" s="22">
        <v>22.5989322</v>
      </c>
      <c r="J504" s="22">
        <v>93.026329000000004</v>
      </c>
      <c r="K504" s="22" t="s">
        <v>2308</v>
      </c>
      <c r="L504" s="4">
        <v>2018</v>
      </c>
      <c r="M504" s="4">
        <v>2018</v>
      </c>
      <c r="N504" s="4" t="s">
        <v>2308</v>
      </c>
      <c r="O504" s="4" t="s">
        <v>189</v>
      </c>
      <c r="P504" s="5" t="s">
        <v>2531</v>
      </c>
    </row>
    <row r="505" spans="1:16" ht="29">
      <c r="A505" s="113">
        <v>91</v>
      </c>
      <c r="B505" s="41" t="s">
        <v>2498</v>
      </c>
      <c r="C505" s="4" t="s">
        <v>2512</v>
      </c>
      <c r="D505" s="4" t="s">
        <v>2430</v>
      </c>
      <c r="E505" s="4" t="s">
        <v>2431</v>
      </c>
      <c r="F505" s="4" t="s">
        <v>2528</v>
      </c>
      <c r="G505" s="4" t="s">
        <v>2481</v>
      </c>
      <c r="H505" s="4" t="s">
        <v>88</v>
      </c>
      <c r="I505" s="22">
        <v>22.524369400000001</v>
      </c>
      <c r="J505" s="22">
        <v>93.033837000000005</v>
      </c>
      <c r="K505" s="22" t="s">
        <v>2308</v>
      </c>
      <c r="L505" s="4">
        <v>2018</v>
      </c>
      <c r="M505" s="4">
        <v>2018</v>
      </c>
      <c r="N505" s="4" t="s">
        <v>2308</v>
      </c>
      <c r="O505" s="4" t="s">
        <v>189</v>
      </c>
      <c r="P505" s="5" t="s">
        <v>2531</v>
      </c>
    </row>
    <row r="506" spans="1:16" ht="29">
      <c r="A506" s="113">
        <v>91</v>
      </c>
      <c r="B506" s="41" t="s">
        <v>2498</v>
      </c>
      <c r="C506" s="4" t="s">
        <v>2513</v>
      </c>
      <c r="D506" s="4" t="s">
        <v>2430</v>
      </c>
      <c r="E506" s="4" t="s">
        <v>2431</v>
      </c>
      <c r="F506" s="4" t="s">
        <v>2529</v>
      </c>
      <c r="G506" s="4" t="s">
        <v>2481</v>
      </c>
      <c r="H506" s="4" t="s">
        <v>88</v>
      </c>
      <c r="I506" s="22">
        <v>22.4066279</v>
      </c>
      <c r="J506" s="22">
        <v>92.899185299999999</v>
      </c>
      <c r="K506" s="22" t="s">
        <v>2308</v>
      </c>
      <c r="L506" s="4">
        <v>2018</v>
      </c>
      <c r="M506" s="4">
        <v>2018</v>
      </c>
      <c r="N506" s="4" t="s">
        <v>2308</v>
      </c>
      <c r="O506" s="4" t="s">
        <v>189</v>
      </c>
      <c r="P506" s="5" t="s">
        <v>2531</v>
      </c>
    </row>
    <row r="507" spans="1:16" ht="29">
      <c r="A507" s="113">
        <v>91</v>
      </c>
      <c r="B507" s="41" t="s">
        <v>2498</v>
      </c>
      <c r="C507" s="4" t="s">
        <v>2514</v>
      </c>
      <c r="D507" s="4" t="s">
        <v>2430</v>
      </c>
      <c r="E507" s="4" t="s">
        <v>2431</v>
      </c>
      <c r="F507" s="4" t="s">
        <v>2530</v>
      </c>
      <c r="G507" s="4" t="s">
        <v>2481</v>
      </c>
      <c r="H507" s="4" t="s">
        <v>88</v>
      </c>
      <c r="I507" s="22">
        <v>22.3687322</v>
      </c>
      <c r="J507" s="22">
        <v>93.038217099999997</v>
      </c>
      <c r="K507" s="22" t="s">
        <v>2308</v>
      </c>
      <c r="L507" s="4">
        <v>2018</v>
      </c>
      <c r="M507" s="4">
        <v>2018</v>
      </c>
      <c r="N507" s="4" t="s">
        <v>2308</v>
      </c>
      <c r="O507" s="4" t="s">
        <v>189</v>
      </c>
      <c r="P507" s="5" t="s">
        <v>2531</v>
      </c>
    </row>
    <row r="508" spans="1:16" ht="81.5" customHeight="1">
      <c r="A508" s="113">
        <v>92</v>
      </c>
      <c r="B508" s="41" t="s">
        <v>2550</v>
      </c>
      <c r="C508" s="4" t="s">
        <v>2551</v>
      </c>
      <c r="D508" s="4" t="s">
        <v>2430</v>
      </c>
      <c r="E508" s="4" t="s">
        <v>2438</v>
      </c>
      <c r="F508" s="4" t="s">
        <v>2554</v>
      </c>
      <c r="G508" s="4"/>
      <c r="H508" s="4" t="s">
        <v>2552</v>
      </c>
      <c r="I508" s="22">
        <v>0.57427340000000004</v>
      </c>
      <c r="J508" s="22">
        <v>25.164243800000001</v>
      </c>
      <c r="K508" s="22">
        <v>46779</v>
      </c>
      <c r="L508" s="4">
        <v>2000</v>
      </c>
      <c r="M508" s="4">
        <v>2015</v>
      </c>
      <c r="N508" s="4" t="s">
        <v>2308</v>
      </c>
      <c r="O508" s="4" t="s">
        <v>155</v>
      </c>
      <c r="P508" s="5" t="s">
        <v>2566</v>
      </c>
    </row>
    <row r="509" spans="1:16" ht="78.5" customHeight="1">
      <c r="A509" s="113">
        <v>92</v>
      </c>
      <c r="B509" s="41" t="s">
        <v>2550</v>
      </c>
      <c r="C509" s="4" t="s">
        <v>2553</v>
      </c>
      <c r="D509" s="4" t="s">
        <v>2430</v>
      </c>
      <c r="E509" s="4" t="s">
        <v>2438</v>
      </c>
      <c r="F509" s="4" t="s">
        <v>2555</v>
      </c>
      <c r="G509" s="4"/>
      <c r="H509" s="4" t="s">
        <v>2552</v>
      </c>
      <c r="I509" s="22">
        <v>0.57427340000000004</v>
      </c>
      <c r="J509" s="22">
        <v>25.164243800000001</v>
      </c>
      <c r="K509" s="22">
        <v>25428</v>
      </c>
      <c r="L509" s="4">
        <v>2000</v>
      </c>
      <c r="M509" s="4">
        <v>2015</v>
      </c>
      <c r="N509" s="4" t="s">
        <v>2308</v>
      </c>
      <c r="O509" s="4" t="s">
        <v>155</v>
      </c>
      <c r="P509" s="5" t="s">
        <v>2566</v>
      </c>
    </row>
    <row r="510" spans="1:16" ht="85.5" customHeight="1">
      <c r="A510" s="113">
        <v>93</v>
      </c>
      <c r="B510" s="41" t="s">
        <v>2563</v>
      </c>
      <c r="C510" s="12" t="s">
        <v>2564</v>
      </c>
      <c r="D510" s="4" t="s">
        <v>2430</v>
      </c>
      <c r="E510" s="4" t="s">
        <v>2438</v>
      </c>
      <c r="F510" s="120"/>
      <c r="G510" s="4"/>
      <c r="H510" s="4" t="s">
        <v>2552</v>
      </c>
      <c r="I510" s="22">
        <v>-4.0335159999999997</v>
      </c>
      <c r="J510" s="22">
        <v>21.730005999999999</v>
      </c>
      <c r="K510" s="121">
        <v>2345000</v>
      </c>
      <c r="L510" s="4">
        <v>2000</v>
      </c>
      <c r="M510" s="4">
        <v>2010</v>
      </c>
      <c r="N510" s="4" t="s">
        <v>2308</v>
      </c>
      <c r="O510" s="4" t="s">
        <v>155</v>
      </c>
      <c r="P510" s="5" t="s">
        <v>2570</v>
      </c>
    </row>
    <row r="511" spans="1:16" ht="68.5" customHeight="1">
      <c r="A511" s="113">
        <v>94</v>
      </c>
      <c r="B511" s="41" t="s">
        <v>2572</v>
      </c>
      <c r="C511" s="12" t="s">
        <v>2573</v>
      </c>
      <c r="D511" s="4" t="s">
        <v>2430</v>
      </c>
      <c r="E511" s="4" t="s">
        <v>2431</v>
      </c>
      <c r="F511" s="4" t="s">
        <v>2574</v>
      </c>
      <c r="G511" s="4"/>
      <c r="H511" s="4" t="s">
        <v>2552</v>
      </c>
      <c r="I511" s="22">
        <v>1.6710695</v>
      </c>
      <c r="J511" s="22">
        <v>28.487357500000002</v>
      </c>
      <c r="K511" s="22">
        <f>1390000/100</f>
        <v>13900</v>
      </c>
      <c r="L511" s="4">
        <v>1989</v>
      </c>
      <c r="M511" s="4">
        <v>1996</v>
      </c>
      <c r="N511" s="4" t="s">
        <v>2308</v>
      </c>
      <c r="O511" s="4" t="s">
        <v>2579</v>
      </c>
      <c r="P511" s="5" t="s">
        <v>2576</v>
      </c>
    </row>
    <row r="512" spans="1:16" ht="44.5" customHeight="1">
      <c r="A512" s="113">
        <v>95</v>
      </c>
      <c r="B512" s="41" t="s">
        <v>2582</v>
      </c>
      <c r="C512" s="12" t="s">
        <v>2583</v>
      </c>
      <c r="D512" s="4" t="s">
        <v>2430</v>
      </c>
      <c r="E512" s="4" t="s">
        <v>2431</v>
      </c>
      <c r="F512" s="12" t="s">
        <v>2584</v>
      </c>
      <c r="G512" s="12" t="s">
        <v>2585</v>
      </c>
      <c r="H512" s="12" t="s">
        <v>88</v>
      </c>
      <c r="I512" s="22">
        <v>25.5188424</v>
      </c>
      <c r="J512" s="22">
        <v>91.769229699999997</v>
      </c>
      <c r="K512" s="4" t="s">
        <v>2308</v>
      </c>
      <c r="L512" s="4">
        <v>2002</v>
      </c>
      <c r="M512" s="4">
        <v>2002</v>
      </c>
      <c r="N512" s="4" t="s">
        <v>2308</v>
      </c>
      <c r="O512" s="4" t="s">
        <v>67</v>
      </c>
      <c r="P512" s="4"/>
    </row>
    <row r="513" spans="1:16" ht="40" customHeight="1">
      <c r="A513" s="113">
        <v>95</v>
      </c>
      <c r="B513" s="41" t="s">
        <v>2582</v>
      </c>
      <c r="C513" s="12" t="s">
        <v>2590</v>
      </c>
      <c r="D513" s="4" t="s">
        <v>2430</v>
      </c>
      <c r="E513" s="4" t="s">
        <v>2431</v>
      </c>
      <c r="F513" s="12" t="s">
        <v>2584</v>
      </c>
      <c r="G513" s="12" t="s">
        <v>2585</v>
      </c>
      <c r="H513" s="12" t="s">
        <v>88</v>
      </c>
      <c r="I513" s="22">
        <v>25.5188424</v>
      </c>
      <c r="J513" s="22">
        <v>91.769229699999997</v>
      </c>
      <c r="K513" s="4" t="s">
        <v>2308</v>
      </c>
      <c r="L513" s="4">
        <v>1977</v>
      </c>
      <c r="M513" s="4">
        <v>1997</v>
      </c>
      <c r="N513" s="4" t="s">
        <v>2308</v>
      </c>
      <c r="O513" s="4" t="s">
        <v>67</v>
      </c>
      <c r="P513" s="4"/>
    </row>
    <row r="514" spans="1:16" ht="33.5" customHeight="1">
      <c r="A514" s="113">
        <v>96</v>
      </c>
      <c r="B514" s="41" t="s">
        <v>2597</v>
      </c>
      <c r="C514" s="12" t="s">
        <v>2596</v>
      </c>
      <c r="D514" s="4" t="s">
        <v>2430</v>
      </c>
      <c r="E514" s="4" t="s">
        <v>2431</v>
      </c>
      <c r="F514" s="4" t="s">
        <v>2601</v>
      </c>
      <c r="G514" s="12" t="s">
        <v>2585</v>
      </c>
      <c r="H514" s="12" t="s">
        <v>88</v>
      </c>
      <c r="I514" s="22">
        <v>25.4886783</v>
      </c>
      <c r="J514" s="22">
        <v>91.923077399999997</v>
      </c>
      <c r="K514" s="22">
        <v>4</v>
      </c>
      <c r="L514" s="4">
        <v>2015</v>
      </c>
      <c r="M514" s="4">
        <v>2015</v>
      </c>
      <c r="N514" s="4">
        <v>400</v>
      </c>
      <c r="O514" s="4" t="s">
        <v>2632</v>
      </c>
      <c r="P514" s="4" t="s">
        <v>2602</v>
      </c>
    </row>
    <row r="515" spans="1:16" ht="50" customHeight="1">
      <c r="A515" s="113">
        <v>97</v>
      </c>
      <c r="B515" s="41" t="s">
        <v>2608</v>
      </c>
      <c r="C515" s="4" t="s">
        <v>2607</v>
      </c>
      <c r="D515" s="4" t="s">
        <v>2430</v>
      </c>
      <c r="E515" s="4" t="s">
        <v>2431</v>
      </c>
      <c r="F515" s="4" t="s">
        <v>2610</v>
      </c>
      <c r="G515" s="4" t="s">
        <v>2630</v>
      </c>
      <c r="H515" s="4" t="s">
        <v>127</v>
      </c>
      <c r="I515" s="22">
        <v>-23.0974059422356</v>
      </c>
      <c r="J515" s="22">
        <v>-44.775559402084099</v>
      </c>
      <c r="K515" s="4" t="s">
        <v>2308</v>
      </c>
      <c r="L515" s="4">
        <v>2010</v>
      </c>
      <c r="M515" s="4">
        <v>2010</v>
      </c>
      <c r="N515" s="4" t="s">
        <v>2308</v>
      </c>
      <c r="O515" s="4" t="s">
        <v>2632</v>
      </c>
      <c r="P515" s="4" t="s">
        <v>2602</v>
      </c>
    </row>
    <row r="516" spans="1:16" ht="44.5" customHeight="1">
      <c r="A516" s="113">
        <v>97</v>
      </c>
      <c r="B516" s="41" t="s">
        <v>2608</v>
      </c>
      <c r="C516" s="12" t="s">
        <v>2609</v>
      </c>
      <c r="D516" s="4" t="s">
        <v>2430</v>
      </c>
      <c r="E516" s="4" t="s">
        <v>2431</v>
      </c>
      <c r="F516" s="4" t="s">
        <v>2611</v>
      </c>
      <c r="G516" s="4" t="s">
        <v>2630</v>
      </c>
      <c r="H516" s="4" t="s">
        <v>127</v>
      </c>
      <c r="I516" s="22">
        <v>-23.143267046426601</v>
      </c>
      <c r="J516" s="22">
        <v>-44.7834975358017</v>
      </c>
      <c r="K516" s="4" t="s">
        <v>2308</v>
      </c>
      <c r="L516" s="4">
        <v>2010</v>
      </c>
      <c r="M516" s="4">
        <v>2010</v>
      </c>
      <c r="N516" s="4" t="s">
        <v>2308</v>
      </c>
      <c r="O516" s="4" t="s">
        <v>2632</v>
      </c>
      <c r="P516" s="4" t="s">
        <v>2602</v>
      </c>
    </row>
    <row r="517" spans="1:16">
      <c r="A517" s="113">
        <v>97</v>
      </c>
      <c r="B517" s="41" t="s">
        <v>2608</v>
      </c>
      <c r="C517" s="4" t="s">
        <v>2621</v>
      </c>
      <c r="D517" s="4" t="s">
        <v>2430</v>
      </c>
      <c r="E517" s="4" t="s">
        <v>2431</v>
      </c>
      <c r="F517" s="4" t="s">
        <v>2612</v>
      </c>
      <c r="G517" s="4" t="s">
        <v>2630</v>
      </c>
      <c r="H517" s="4" t="s">
        <v>127</v>
      </c>
      <c r="I517" s="22">
        <v>-23.159083315672699</v>
      </c>
      <c r="J517" s="22">
        <v>-44.690054086538503</v>
      </c>
      <c r="K517" s="4" t="s">
        <v>2308</v>
      </c>
      <c r="L517" s="4">
        <v>2010</v>
      </c>
      <c r="M517" s="4">
        <v>2010</v>
      </c>
      <c r="N517" s="4" t="s">
        <v>2308</v>
      </c>
      <c r="O517" s="4" t="s">
        <v>2632</v>
      </c>
      <c r="P517" s="4" t="s">
        <v>2602</v>
      </c>
    </row>
    <row r="518" spans="1:16">
      <c r="A518" s="113">
        <v>97</v>
      </c>
      <c r="B518" s="41" t="s">
        <v>2608</v>
      </c>
      <c r="C518" s="12" t="s">
        <v>2622</v>
      </c>
      <c r="D518" s="4" t="s">
        <v>2430</v>
      </c>
      <c r="E518" s="4" t="s">
        <v>2431</v>
      </c>
      <c r="F518" s="4" t="s">
        <v>2613</v>
      </c>
      <c r="G518" s="4" t="s">
        <v>2630</v>
      </c>
      <c r="H518" s="4" t="s">
        <v>127</v>
      </c>
      <c r="I518" s="22">
        <v>-23.347563699999998</v>
      </c>
      <c r="J518" s="22">
        <v>-44.606878299999998</v>
      </c>
      <c r="K518" s="4" t="s">
        <v>2308</v>
      </c>
      <c r="L518" s="4">
        <v>2010</v>
      </c>
      <c r="M518" s="4">
        <v>2010</v>
      </c>
      <c r="N518" s="4" t="s">
        <v>2308</v>
      </c>
      <c r="O518" s="4" t="s">
        <v>2632</v>
      </c>
      <c r="P518" s="4" t="s">
        <v>2602</v>
      </c>
    </row>
    <row r="519" spans="1:16">
      <c r="A519" s="113">
        <v>97</v>
      </c>
      <c r="B519" s="41" t="s">
        <v>2608</v>
      </c>
      <c r="C519" s="4" t="s">
        <v>2623</v>
      </c>
      <c r="D519" s="4" t="s">
        <v>2430</v>
      </c>
      <c r="E519" s="4" t="s">
        <v>2431</v>
      </c>
      <c r="F519" s="4" t="s">
        <v>2614</v>
      </c>
      <c r="G519" s="4" t="s">
        <v>2630</v>
      </c>
      <c r="H519" s="4" t="s">
        <v>127</v>
      </c>
      <c r="I519" s="22">
        <v>-23.333858142425299</v>
      </c>
      <c r="J519" s="22">
        <v>-44.681611158873302</v>
      </c>
      <c r="K519" s="4" t="s">
        <v>2308</v>
      </c>
      <c r="L519" s="4">
        <v>2010</v>
      </c>
      <c r="M519" s="4">
        <v>2010</v>
      </c>
      <c r="N519" s="4" t="s">
        <v>2308</v>
      </c>
      <c r="O519" s="4" t="s">
        <v>2632</v>
      </c>
      <c r="P519" s="4" t="s">
        <v>2602</v>
      </c>
    </row>
    <row r="520" spans="1:16">
      <c r="A520" s="113">
        <v>97</v>
      </c>
      <c r="B520" s="41" t="s">
        <v>2608</v>
      </c>
      <c r="C520" s="12" t="s">
        <v>2624</v>
      </c>
      <c r="D520" s="4" t="s">
        <v>2430</v>
      </c>
      <c r="E520" s="4" t="s">
        <v>2431</v>
      </c>
      <c r="F520" s="4" t="s">
        <v>2615</v>
      </c>
      <c r="G520" s="4" t="s">
        <v>2630</v>
      </c>
      <c r="H520" s="4" t="s">
        <v>127</v>
      </c>
      <c r="I520" s="22">
        <v>-23.347223385198099</v>
      </c>
      <c r="J520" s="22">
        <v>-44.725984510521798</v>
      </c>
      <c r="K520" s="4" t="s">
        <v>2308</v>
      </c>
      <c r="L520" s="4">
        <v>2010</v>
      </c>
      <c r="M520" s="4">
        <v>2010</v>
      </c>
      <c r="N520" s="4" t="s">
        <v>2308</v>
      </c>
      <c r="O520" s="4" t="s">
        <v>2632</v>
      </c>
      <c r="P520" s="4" t="s">
        <v>2602</v>
      </c>
    </row>
    <row r="521" spans="1:16">
      <c r="A521" s="113">
        <v>97</v>
      </c>
      <c r="B521" s="41" t="s">
        <v>2608</v>
      </c>
      <c r="C521" s="4" t="s">
        <v>2625</v>
      </c>
      <c r="D521" s="4" t="s">
        <v>2430</v>
      </c>
      <c r="E521" s="4" t="s">
        <v>2431</v>
      </c>
      <c r="F521" s="4" t="s">
        <v>2616</v>
      </c>
      <c r="G521" s="4" t="s">
        <v>2631</v>
      </c>
      <c r="H521" s="4" t="s">
        <v>127</v>
      </c>
      <c r="I521" s="22">
        <v>-25.4826185698094</v>
      </c>
      <c r="J521" s="22">
        <v>-48.667356189123403</v>
      </c>
      <c r="K521" s="4" t="s">
        <v>2308</v>
      </c>
      <c r="L521" s="4">
        <v>2009</v>
      </c>
      <c r="M521" s="4">
        <v>2010</v>
      </c>
      <c r="N521" s="4" t="s">
        <v>2308</v>
      </c>
      <c r="O521" s="4" t="s">
        <v>2632</v>
      </c>
      <c r="P521" s="4" t="s">
        <v>2602</v>
      </c>
    </row>
    <row r="522" spans="1:16">
      <c r="A522" s="113">
        <v>97</v>
      </c>
      <c r="B522" s="41" t="s">
        <v>2608</v>
      </c>
      <c r="C522" s="12" t="s">
        <v>2626</v>
      </c>
      <c r="D522" s="4" t="s">
        <v>2430</v>
      </c>
      <c r="E522" s="4" t="s">
        <v>2431</v>
      </c>
      <c r="F522" s="4" t="s">
        <v>2617</v>
      </c>
      <c r="G522" s="4" t="s">
        <v>2631</v>
      </c>
      <c r="H522" s="4" t="s">
        <v>127</v>
      </c>
      <c r="I522" s="22">
        <v>-28.286353495216002</v>
      </c>
      <c r="J522" s="22">
        <v>-48.917064133498101</v>
      </c>
      <c r="K522" s="4" t="s">
        <v>2308</v>
      </c>
      <c r="L522" s="4">
        <v>2009</v>
      </c>
      <c r="M522" s="4">
        <v>2010</v>
      </c>
      <c r="N522" s="4" t="s">
        <v>2308</v>
      </c>
      <c r="O522" s="4" t="s">
        <v>2632</v>
      </c>
      <c r="P522" s="4" t="s">
        <v>2602</v>
      </c>
    </row>
    <row r="523" spans="1:16">
      <c r="A523" s="113">
        <v>97</v>
      </c>
      <c r="B523" s="41" t="s">
        <v>2608</v>
      </c>
      <c r="C523" s="4" t="s">
        <v>2627</v>
      </c>
      <c r="D523" s="4" t="s">
        <v>2430</v>
      </c>
      <c r="E523" s="4" t="s">
        <v>2431</v>
      </c>
      <c r="F523" s="4" t="s">
        <v>2618</v>
      </c>
      <c r="G523" s="4" t="s">
        <v>2631</v>
      </c>
      <c r="H523" s="4" t="s">
        <v>127</v>
      </c>
      <c r="I523" s="22">
        <v>-26.453789514667498</v>
      </c>
      <c r="J523" s="22">
        <v>-48.699178050726701</v>
      </c>
      <c r="K523" s="4" t="s">
        <v>2308</v>
      </c>
      <c r="L523" s="4">
        <v>2009</v>
      </c>
      <c r="M523" s="4">
        <v>2010</v>
      </c>
      <c r="N523" s="4" t="s">
        <v>2308</v>
      </c>
      <c r="O523" s="4" t="s">
        <v>2632</v>
      </c>
      <c r="P523" s="4" t="s">
        <v>2602</v>
      </c>
    </row>
    <row r="524" spans="1:16">
      <c r="A524" s="113">
        <v>97</v>
      </c>
      <c r="B524" s="41" t="s">
        <v>2608</v>
      </c>
      <c r="C524" s="12" t="s">
        <v>2628</v>
      </c>
      <c r="D524" s="4" t="s">
        <v>2430</v>
      </c>
      <c r="E524" s="4" t="s">
        <v>2431</v>
      </c>
      <c r="F524" s="4" t="s">
        <v>2619</v>
      </c>
      <c r="G524" s="4" t="s">
        <v>2631</v>
      </c>
      <c r="H524" s="4" t="s">
        <v>127</v>
      </c>
      <c r="I524" s="22">
        <v>-28.4157535236101</v>
      </c>
      <c r="J524" s="22">
        <v>-48.786403142983403</v>
      </c>
      <c r="K524" s="4" t="s">
        <v>2308</v>
      </c>
      <c r="L524" s="4">
        <v>2009</v>
      </c>
      <c r="M524" s="4">
        <v>2010</v>
      </c>
      <c r="N524" s="4" t="s">
        <v>2308</v>
      </c>
      <c r="O524" s="4" t="s">
        <v>2632</v>
      </c>
      <c r="P524" s="4" t="s">
        <v>2602</v>
      </c>
    </row>
    <row r="525" spans="1:16">
      <c r="A525" s="113">
        <v>97</v>
      </c>
      <c r="B525" s="41" t="s">
        <v>2608</v>
      </c>
      <c r="C525" s="4" t="s">
        <v>2629</v>
      </c>
      <c r="D525" s="4" t="s">
        <v>2430</v>
      </c>
      <c r="E525" s="4" t="s">
        <v>2431</v>
      </c>
      <c r="F525" s="4" t="s">
        <v>2620</v>
      </c>
      <c r="G525" s="4" t="s">
        <v>2631</v>
      </c>
      <c r="H525" s="4" t="s">
        <v>127</v>
      </c>
      <c r="I525" s="22">
        <v>-28.350406100560299</v>
      </c>
      <c r="J525" s="22">
        <v>-48.967841292206799</v>
      </c>
      <c r="K525" s="4" t="s">
        <v>2308</v>
      </c>
      <c r="L525" s="4">
        <v>2009</v>
      </c>
      <c r="M525" s="4">
        <v>2010</v>
      </c>
      <c r="N525" s="4" t="s">
        <v>2308</v>
      </c>
      <c r="O525" s="4" t="s">
        <v>2632</v>
      </c>
      <c r="P525" s="4" t="s">
        <v>2602</v>
      </c>
    </row>
    <row r="526" spans="1:16" ht="37" customHeight="1">
      <c r="A526" s="113">
        <v>98</v>
      </c>
      <c r="B526" s="41" t="s">
        <v>2656</v>
      </c>
      <c r="C526" s="12" t="s">
        <v>2657</v>
      </c>
      <c r="D526" s="4" t="s">
        <v>2430</v>
      </c>
      <c r="E526" s="4" t="s">
        <v>2455</v>
      </c>
      <c r="F526" s="4" t="s">
        <v>2659</v>
      </c>
      <c r="G526" s="4" t="s">
        <v>2331</v>
      </c>
      <c r="H526" s="4" t="s">
        <v>910</v>
      </c>
      <c r="I526" s="22">
        <v>1.6850102</v>
      </c>
      <c r="J526" s="22">
        <v>117.10465499999999</v>
      </c>
      <c r="K526" s="4" t="s">
        <v>2308</v>
      </c>
      <c r="L526" s="4">
        <v>2003</v>
      </c>
      <c r="M526" s="4">
        <v>2012</v>
      </c>
      <c r="N526" s="4" t="s">
        <v>2308</v>
      </c>
      <c r="O526" s="4" t="s">
        <v>67</v>
      </c>
      <c r="P526" s="4" t="s">
        <v>2602</v>
      </c>
    </row>
    <row r="527" spans="1:16" ht="42.5" customHeight="1">
      <c r="A527" s="113">
        <v>98</v>
      </c>
      <c r="B527" s="41" t="s">
        <v>2656</v>
      </c>
      <c r="C527" s="12" t="s">
        <v>2658</v>
      </c>
      <c r="D527" s="4" t="s">
        <v>2430</v>
      </c>
      <c r="E527" s="4" t="s">
        <v>2455</v>
      </c>
      <c r="F527" s="4" t="s">
        <v>2659</v>
      </c>
      <c r="G527" s="4" t="s">
        <v>2331</v>
      </c>
      <c r="H527" s="4" t="s">
        <v>910</v>
      </c>
      <c r="I527" s="22">
        <v>1.6850102</v>
      </c>
      <c r="J527" s="22">
        <v>117.10465499999999</v>
      </c>
      <c r="K527" s="4" t="s">
        <v>2308</v>
      </c>
      <c r="L527" s="4">
        <v>2013</v>
      </c>
      <c r="M527" s="4">
        <v>2015</v>
      </c>
      <c r="N527" s="4" t="s">
        <v>2308</v>
      </c>
      <c r="O527" s="4" t="s">
        <v>67</v>
      </c>
      <c r="P527" s="4" t="s">
        <v>2602</v>
      </c>
    </row>
    <row r="528" spans="1:16" ht="42.5" customHeight="1">
      <c r="A528" s="113">
        <v>98</v>
      </c>
      <c r="B528" s="41" t="s">
        <v>2656</v>
      </c>
      <c r="C528" s="12" t="s">
        <v>2711</v>
      </c>
      <c r="D528" s="4" t="s">
        <v>2430</v>
      </c>
      <c r="E528" s="4" t="s">
        <v>2455</v>
      </c>
      <c r="F528" s="4" t="s">
        <v>2660</v>
      </c>
      <c r="G528" s="4" t="s">
        <v>2331</v>
      </c>
      <c r="H528" s="4" t="s">
        <v>910</v>
      </c>
      <c r="I528" s="22">
        <v>1.9464336</v>
      </c>
      <c r="J528" s="22">
        <v>116.83876100000001</v>
      </c>
      <c r="K528" s="4" t="s">
        <v>2308</v>
      </c>
      <c r="L528" s="4">
        <v>2003</v>
      </c>
      <c r="M528" s="4">
        <v>2012</v>
      </c>
      <c r="N528" s="4" t="s">
        <v>2308</v>
      </c>
      <c r="O528" s="4" t="s">
        <v>67</v>
      </c>
      <c r="P528" s="4" t="s">
        <v>2602</v>
      </c>
    </row>
    <row r="529" spans="1:16" ht="42" customHeight="1">
      <c r="A529" s="113">
        <v>98</v>
      </c>
      <c r="B529" s="41" t="s">
        <v>2656</v>
      </c>
      <c r="C529" s="12" t="s">
        <v>2715</v>
      </c>
      <c r="D529" s="4" t="s">
        <v>2430</v>
      </c>
      <c r="E529" s="4" t="s">
        <v>2455</v>
      </c>
      <c r="F529" s="4" t="s">
        <v>2660</v>
      </c>
      <c r="G529" s="4" t="s">
        <v>2331</v>
      </c>
      <c r="H529" s="4" t="s">
        <v>910</v>
      </c>
      <c r="I529" s="22">
        <v>1.9464336</v>
      </c>
      <c r="J529" s="22">
        <v>116.83876100000001</v>
      </c>
      <c r="K529" s="4" t="s">
        <v>2308</v>
      </c>
      <c r="L529" s="4">
        <v>2013</v>
      </c>
      <c r="M529" s="4">
        <v>2015</v>
      </c>
      <c r="N529" s="4" t="s">
        <v>2308</v>
      </c>
      <c r="O529" s="4" t="s">
        <v>67</v>
      </c>
      <c r="P529" s="4" t="s">
        <v>2602</v>
      </c>
    </row>
    <row r="530" spans="1:16" ht="41" customHeight="1">
      <c r="A530" s="113">
        <v>99</v>
      </c>
      <c r="B530" s="41" t="s">
        <v>2739</v>
      </c>
      <c r="C530" s="12" t="s">
        <v>2740</v>
      </c>
      <c r="D530" s="4" t="s">
        <v>2430</v>
      </c>
      <c r="E530" s="12" t="s">
        <v>2431</v>
      </c>
      <c r="F530" s="153" t="s">
        <v>2750</v>
      </c>
      <c r="G530" s="4" t="s">
        <v>2743</v>
      </c>
      <c r="H530" s="4" t="s">
        <v>127</v>
      </c>
      <c r="I530" s="22">
        <v>-2.1441834000000002</v>
      </c>
      <c r="J530" s="22">
        <v>-64.999331999999995</v>
      </c>
      <c r="K530" s="22">
        <v>34740</v>
      </c>
      <c r="L530" s="4">
        <v>2012</v>
      </c>
      <c r="M530" s="4">
        <v>2014</v>
      </c>
      <c r="N530" s="22">
        <f>(11532+3860)/K530</f>
        <v>0.44306275187104205</v>
      </c>
      <c r="O530" s="4" t="s">
        <v>67</v>
      </c>
      <c r="P530" s="5" t="s">
        <v>2746</v>
      </c>
    </row>
    <row r="531" spans="1:16" ht="41" customHeight="1">
      <c r="A531" s="113">
        <v>99</v>
      </c>
      <c r="B531" s="41" t="s">
        <v>2739</v>
      </c>
      <c r="C531" s="12" t="s">
        <v>2741</v>
      </c>
      <c r="D531" s="4" t="s">
        <v>2430</v>
      </c>
      <c r="E531" s="12" t="s">
        <v>2431</v>
      </c>
      <c r="F531" s="153" t="s">
        <v>2751</v>
      </c>
      <c r="G531" s="4" t="s">
        <v>2744</v>
      </c>
      <c r="H531" s="4" t="s">
        <v>127</v>
      </c>
      <c r="I531" s="22">
        <v>-4.0921206000000003</v>
      </c>
      <c r="J531" s="22">
        <v>-55.367818100000001</v>
      </c>
      <c r="K531" s="22">
        <v>6775.1</v>
      </c>
      <c r="L531" s="4">
        <v>2010</v>
      </c>
      <c r="M531" s="4">
        <v>2010</v>
      </c>
      <c r="N531" s="4" t="s">
        <v>2308</v>
      </c>
      <c r="O531" s="4" t="s">
        <v>67</v>
      </c>
      <c r="P531" s="5" t="s">
        <v>2747</v>
      </c>
    </row>
    <row r="532" spans="1:16" ht="41" customHeight="1">
      <c r="A532" s="113">
        <v>99</v>
      </c>
      <c r="B532" s="41" t="s">
        <v>2739</v>
      </c>
      <c r="C532" s="12" t="s">
        <v>2742</v>
      </c>
      <c r="D532" s="4" t="s">
        <v>2430</v>
      </c>
      <c r="E532" s="12" t="s">
        <v>2431</v>
      </c>
      <c r="F532" s="153" t="s">
        <v>2752</v>
      </c>
      <c r="G532" s="4" t="s">
        <v>2745</v>
      </c>
      <c r="H532" s="4" t="s">
        <v>127</v>
      </c>
      <c r="I532" s="22">
        <v>-3.1968033999999999</v>
      </c>
      <c r="J532" s="22">
        <v>-47.3195111</v>
      </c>
      <c r="K532" s="22">
        <v>19342</v>
      </c>
      <c r="L532" s="4">
        <v>2012</v>
      </c>
      <c r="M532" s="4">
        <v>2013</v>
      </c>
      <c r="N532" s="22">
        <f>91000/K532</f>
        <v>4.7047875090476685</v>
      </c>
      <c r="O532" s="4" t="s">
        <v>67</v>
      </c>
      <c r="P532" s="5" t="s">
        <v>2748</v>
      </c>
    </row>
    <row r="533" spans="1:16" ht="41" customHeight="1">
      <c r="A533" s="113">
        <v>99</v>
      </c>
      <c r="B533" s="41" t="s">
        <v>2739</v>
      </c>
      <c r="C533" s="12" t="s">
        <v>2757</v>
      </c>
      <c r="D533" s="4" t="s">
        <v>2430</v>
      </c>
      <c r="E533" s="12" t="s">
        <v>2431</v>
      </c>
      <c r="F533" s="153" t="s">
        <v>2752</v>
      </c>
      <c r="G533" s="4" t="s">
        <v>2745</v>
      </c>
      <c r="H533" s="4" t="s">
        <v>127</v>
      </c>
      <c r="I533" s="22">
        <v>-3.1968033999999999</v>
      </c>
      <c r="J533" s="22">
        <v>-47.3195111</v>
      </c>
      <c r="K533" s="22">
        <v>19342</v>
      </c>
      <c r="L533" s="4">
        <v>2015</v>
      </c>
      <c r="M533" s="4">
        <v>2015</v>
      </c>
      <c r="N533" s="22">
        <f>91000/K533</f>
        <v>4.7047875090476685</v>
      </c>
      <c r="O533" s="4" t="s">
        <v>67</v>
      </c>
      <c r="P533" s="5" t="s">
        <v>2748</v>
      </c>
    </row>
    <row r="534" spans="1:16" ht="42.5" customHeight="1">
      <c r="A534" s="113">
        <v>100</v>
      </c>
      <c r="B534" s="41" t="s">
        <v>2738</v>
      </c>
      <c r="C534" s="4" t="s">
        <v>2779</v>
      </c>
      <c r="D534" s="4" t="s">
        <v>2430</v>
      </c>
      <c r="E534" s="12" t="s">
        <v>2431</v>
      </c>
      <c r="F534" s="5" t="s">
        <v>2781</v>
      </c>
      <c r="G534" s="4" t="s">
        <v>2308</v>
      </c>
      <c r="H534" s="4" t="s">
        <v>127</v>
      </c>
      <c r="I534" s="22">
        <f>-2 - 0.733333333333333</f>
        <v>-2.7333333333333329</v>
      </c>
      <c r="J534" s="22">
        <f>-55 - (41/60)</f>
        <v>-55.68333333333333</v>
      </c>
      <c r="K534" s="22" t="s">
        <v>2308</v>
      </c>
      <c r="L534" s="4">
        <v>1997</v>
      </c>
      <c r="M534" s="4">
        <v>1998</v>
      </c>
      <c r="N534" s="4" t="s">
        <v>2308</v>
      </c>
      <c r="O534" s="4" t="s">
        <v>67</v>
      </c>
      <c r="P534" s="4"/>
    </row>
    <row r="535" spans="1:16" ht="38" customHeight="1">
      <c r="A535" s="113">
        <v>101</v>
      </c>
      <c r="B535" s="41" t="s">
        <v>2783</v>
      </c>
      <c r="C535" s="4" t="s">
        <v>2784</v>
      </c>
      <c r="D535" s="4" t="s">
        <v>2430</v>
      </c>
      <c r="E535" s="12" t="s">
        <v>2431</v>
      </c>
      <c r="F535" s="4" t="s">
        <v>2785</v>
      </c>
      <c r="G535" s="4" t="s">
        <v>2308</v>
      </c>
      <c r="H535" s="4" t="s">
        <v>2786</v>
      </c>
      <c r="I535" s="22">
        <v>-11.293819600000001</v>
      </c>
      <c r="J535" s="22">
        <v>159.7935248</v>
      </c>
      <c r="K535" s="22">
        <v>25</v>
      </c>
      <c r="L535" s="4">
        <v>2006</v>
      </c>
      <c r="M535" s="4">
        <v>2007</v>
      </c>
      <c r="N535" s="4">
        <f>860/K535</f>
        <v>34.4</v>
      </c>
      <c r="O535" s="4" t="s">
        <v>67</v>
      </c>
      <c r="P535" s="4" t="s">
        <v>2787</v>
      </c>
    </row>
    <row r="536" spans="1:16" ht="39" customHeight="1">
      <c r="A536" s="113">
        <v>101</v>
      </c>
      <c r="B536" s="42" t="s">
        <v>2788</v>
      </c>
      <c r="C536" s="4" t="s">
        <v>2784</v>
      </c>
      <c r="D536" s="4" t="s">
        <v>2430</v>
      </c>
      <c r="E536" s="12" t="s">
        <v>2431</v>
      </c>
      <c r="F536" s="4" t="s">
        <v>2785</v>
      </c>
      <c r="G536" s="4" t="s">
        <v>2308</v>
      </c>
      <c r="H536" s="4" t="s">
        <v>2786</v>
      </c>
      <c r="I536" s="22">
        <v>-11.293819600000001</v>
      </c>
      <c r="J536" s="22">
        <v>159.7935248</v>
      </c>
      <c r="K536" s="22">
        <v>25</v>
      </c>
      <c r="L536" s="4">
        <v>1965</v>
      </c>
      <c r="M536" s="4">
        <v>1966</v>
      </c>
      <c r="N536" s="4">
        <f>860/K536</f>
        <v>34.4</v>
      </c>
      <c r="O536" s="4" t="s">
        <v>67</v>
      </c>
      <c r="P536" s="4" t="s">
        <v>2787</v>
      </c>
    </row>
    <row r="537" spans="1:16" ht="46" customHeight="1">
      <c r="A537" s="113">
        <v>102</v>
      </c>
      <c r="B537" s="41" t="s">
        <v>2795</v>
      </c>
      <c r="C537" s="4" t="s">
        <v>2796</v>
      </c>
      <c r="D537" s="4" t="s">
        <v>2430</v>
      </c>
      <c r="E537" s="12" t="s">
        <v>2431</v>
      </c>
      <c r="F537" s="153" t="s">
        <v>2798</v>
      </c>
      <c r="G537" s="4" t="s">
        <v>2797</v>
      </c>
      <c r="H537" s="4" t="s">
        <v>429</v>
      </c>
      <c r="I537" s="22">
        <f>-14-(0.133333333333333)</f>
        <v>-14.133333333333333</v>
      </c>
      <c r="J537" s="22">
        <f>31 + (43/60)</f>
        <v>31.716666666666665</v>
      </c>
      <c r="K537" s="22">
        <v>1.1160000000000001</v>
      </c>
      <c r="L537" s="4">
        <v>2008</v>
      </c>
      <c r="M537" s="4">
        <v>2008</v>
      </c>
      <c r="N537" s="22" t="s">
        <v>2308</v>
      </c>
      <c r="O537" s="4" t="s">
        <v>67</v>
      </c>
      <c r="P537" s="4"/>
    </row>
    <row r="538" spans="1:16" ht="46" customHeight="1">
      <c r="A538" s="113">
        <v>103</v>
      </c>
      <c r="B538" s="41" t="s">
        <v>2801</v>
      </c>
      <c r="C538" s="4" t="s">
        <v>2802</v>
      </c>
      <c r="D538" s="12" t="s">
        <v>2449</v>
      </c>
      <c r="E538" s="12" t="s">
        <v>2453</v>
      </c>
      <c r="F538" s="4" t="s">
        <v>2810</v>
      </c>
      <c r="G538" s="4" t="s">
        <v>2815</v>
      </c>
      <c r="H538" s="4" t="s">
        <v>589</v>
      </c>
      <c r="I538" s="22">
        <v>6.9071277999999996</v>
      </c>
      <c r="J538" s="22">
        <v>81.554174399999994</v>
      </c>
      <c r="K538" s="22"/>
      <c r="L538" s="4">
        <v>2011</v>
      </c>
      <c r="M538" s="4">
        <v>2012</v>
      </c>
      <c r="N538" s="22" t="s">
        <v>2308</v>
      </c>
      <c r="O538" s="4" t="s">
        <v>67</v>
      </c>
      <c r="P538" s="5" t="s">
        <v>2823</v>
      </c>
    </row>
    <row r="539" spans="1:16" ht="43.5">
      <c r="A539" s="113">
        <v>103</v>
      </c>
      <c r="B539" s="41" t="s">
        <v>2801</v>
      </c>
      <c r="C539" s="4" t="s">
        <v>2806</v>
      </c>
      <c r="D539" s="12" t="s">
        <v>2449</v>
      </c>
      <c r="E539" s="12" t="s">
        <v>2453</v>
      </c>
      <c r="F539" s="4" t="s">
        <v>2811</v>
      </c>
      <c r="G539" s="4" t="s">
        <v>2815</v>
      </c>
      <c r="H539" s="4" t="s">
        <v>589</v>
      </c>
      <c r="I539" s="22">
        <v>6.4404225000000004</v>
      </c>
      <c r="J539" s="22">
        <v>81.133262299999998</v>
      </c>
      <c r="K539" s="22"/>
      <c r="L539" s="4">
        <v>2011</v>
      </c>
      <c r="M539" s="4">
        <v>2012</v>
      </c>
      <c r="N539" s="22" t="s">
        <v>2308</v>
      </c>
      <c r="O539" s="4" t="s">
        <v>67</v>
      </c>
      <c r="P539" s="5" t="s">
        <v>2823</v>
      </c>
    </row>
    <row r="540" spans="1:16" ht="43.5">
      <c r="A540" s="113">
        <v>103</v>
      </c>
      <c r="B540" s="41" t="s">
        <v>2801</v>
      </c>
      <c r="C540" s="4" t="s">
        <v>2807</v>
      </c>
      <c r="D540" s="12" t="s">
        <v>2449</v>
      </c>
      <c r="E540" s="12" t="s">
        <v>2453</v>
      </c>
      <c r="F540" s="4" t="s">
        <v>2812</v>
      </c>
      <c r="G540" s="4" t="s">
        <v>2815</v>
      </c>
      <c r="H540" s="4" t="s">
        <v>589</v>
      </c>
      <c r="I540" s="22">
        <v>6.7578582000000003</v>
      </c>
      <c r="J540" s="22">
        <v>81.239112000000006</v>
      </c>
      <c r="K540" s="22"/>
      <c r="L540" s="4">
        <v>2011</v>
      </c>
      <c r="M540" s="4">
        <v>2012</v>
      </c>
      <c r="N540" s="22" t="s">
        <v>2308</v>
      </c>
      <c r="O540" s="4" t="s">
        <v>67</v>
      </c>
      <c r="P540" s="5" t="s">
        <v>2823</v>
      </c>
    </row>
    <row r="541" spans="1:16" ht="43.5">
      <c r="A541" s="113">
        <v>103</v>
      </c>
      <c r="B541" s="41" t="s">
        <v>2801</v>
      </c>
      <c r="C541" s="4" t="s">
        <v>2808</v>
      </c>
      <c r="D541" s="12" t="s">
        <v>2449</v>
      </c>
      <c r="E541" s="12" t="s">
        <v>2453</v>
      </c>
      <c r="F541" s="4" t="s">
        <v>2813</v>
      </c>
      <c r="G541" s="4" t="s">
        <v>2815</v>
      </c>
      <c r="H541" s="4" t="s">
        <v>589</v>
      </c>
      <c r="I541" s="22">
        <v>6.4144278999999997</v>
      </c>
      <c r="J541" s="22">
        <v>81.327332100000007</v>
      </c>
      <c r="K541" s="22"/>
      <c r="L541" s="4">
        <v>2011</v>
      </c>
      <c r="M541" s="4">
        <v>2012</v>
      </c>
      <c r="N541" s="22" t="s">
        <v>2308</v>
      </c>
      <c r="O541" s="4" t="s">
        <v>67</v>
      </c>
      <c r="P541" s="5" t="s">
        <v>2823</v>
      </c>
    </row>
    <row r="542" spans="1:16" ht="43.5">
      <c r="A542" s="113">
        <v>103</v>
      </c>
      <c r="B542" s="41" t="s">
        <v>2801</v>
      </c>
      <c r="C542" s="4" t="s">
        <v>2809</v>
      </c>
      <c r="D542" s="12" t="s">
        <v>2449</v>
      </c>
      <c r="E542" s="12" t="s">
        <v>2453</v>
      </c>
      <c r="F542" s="4" t="s">
        <v>2814</v>
      </c>
      <c r="G542" s="4" t="s">
        <v>2815</v>
      </c>
      <c r="H542" s="4" t="s">
        <v>589</v>
      </c>
      <c r="I542" s="22">
        <v>6.3369369999999998</v>
      </c>
      <c r="J542" s="22">
        <v>80.9184774</v>
      </c>
      <c r="K542" s="22"/>
      <c r="L542" s="4">
        <v>2011</v>
      </c>
      <c r="M542" s="4">
        <v>2012</v>
      </c>
      <c r="N542" s="22" t="s">
        <v>2308</v>
      </c>
      <c r="O542" s="4" t="s">
        <v>67</v>
      </c>
      <c r="P542" s="5" t="s">
        <v>2823</v>
      </c>
    </row>
    <row r="543" spans="1:16" ht="35.5" customHeight="1">
      <c r="A543" s="113">
        <v>104</v>
      </c>
      <c r="B543" s="41" t="s">
        <v>2828</v>
      </c>
      <c r="C543" s="12" t="s">
        <v>2829</v>
      </c>
      <c r="D543" s="12" t="s">
        <v>2430</v>
      </c>
      <c r="E543" s="12" t="s">
        <v>2432</v>
      </c>
      <c r="F543" s="4" t="s">
        <v>2308</v>
      </c>
      <c r="G543" s="4" t="s">
        <v>2830</v>
      </c>
      <c r="H543" s="4" t="s">
        <v>1973</v>
      </c>
      <c r="I543" s="22">
        <v>4.95</v>
      </c>
      <c r="J543" s="22">
        <f>AVERAGE((7+(44/60)), (38  + (36/60)))</f>
        <v>23.166666666666668</v>
      </c>
      <c r="K543" s="22">
        <v>5426</v>
      </c>
      <c r="L543" s="4">
        <v>1987</v>
      </c>
      <c r="M543" s="4">
        <v>1987</v>
      </c>
      <c r="N543" s="22">
        <f>300000/K543</f>
        <v>55.289347585698486</v>
      </c>
      <c r="O543" s="4" t="s">
        <v>67</v>
      </c>
      <c r="P543" s="4" t="s">
        <v>2831</v>
      </c>
    </row>
    <row r="544" spans="1:16" ht="32" customHeight="1">
      <c r="A544" s="113">
        <v>104</v>
      </c>
      <c r="B544" s="41" t="s">
        <v>2828</v>
      </c>
      <c r="C544" s="12" t="s">
        <v>2832</v>
      </c>
      <c r="D544" s="12" t="s">
        <v>2430</v>
      </c>
      <c r="E544" s="12" t="s">
        <v>2432</v>
      </c>
      <c r="F544" s="4" t="s">
        <v>2308</v>
      </c>
      <c r="G544" s="4" t="s">
        <v>2830</v>
      </c>
      <c r="H544" s="4" t="s">
        <v>1973</v>
      </c>
      <c r="I544" s="22">
        <v>4.95</v>
      </c>
      <c r="J544" s="22">
        <f t="shared" ref="J544:J545" si="1">AVERAGE((7+(44/60)), (38  + (36/60)))</f>
        <v>23.166666666666668</v>
      </c>
      <c r="K544" s="22">
        <v>5426</v>
      </c>
      <c r="L544" s="4">
        <v>1995</v>
      </c>
      <c r="M544" s="4">
        <v>1995</v>
      </c>
      <c r="N544" s="22">
        <f>400000/K544</f>
        <v>73.719130114264658</v>
      </c>
      <c r="O544" s="4" t="s">
        <v>67</v>
      </c>
      <c r="P544" s="4" t="s">
        <v>2831</v>
      </c>
    </row>
    <row r="545" spans="1:16" ht="30" customHeight="1">
      <c r="A545" s="113">
        <v>104</v>
      </c>
      <c r="B545" s="41" t="s">
        <v>2828</v>
      </c>
      <c r="C545" s="12" t="s">
        <v>2833</v>
      </c>
      <c r="D545" s="12" t="s">
        <v>2430</v>
      </c>
      <c r="E545" s="12" t="s">
        <v>2432</v>
      </c>
      <c r="F545" s="4" t="s">
        <v>2308</v>
      </c>
      <c r="G545" s="4" t="s">
        <v>2830</v>
      </c>
      <c r="H545" s="4" t="s">
        <v>1973</v>
      </c>
      <c r="I545" s="22">
        <v>4.95</v>
      </c>
      <c r="J545" s="22">
        <f t="shared" si="1"/>
        <v>23.166666666666668</v>
      </c>
      <c r="K545" s="22">
        <v>5426</v>
      </c>
      <c r="L545" s="4">
        <v>2003</v>
      </c>
      <c r="M545" s="4">
        <v>2003</v>
      </c>
      <c r="N545" s="22">
        <f>500000/K545</f>
        <v>92.148912642830808</v>
      </c>
      <c r="O545" s="4" t="s">
        <v>67</v>
      </c>
      <c r="P545" s="4" t="s">
        <v>2831</v>
      </c>
    </row>
    <row r="546" spans="1:16" ht="42.5" customHeight="1">
      <c r="A546" s="113">
        <v>105</v>
      </c>
      <c r="B546" s="41" t="s">
        <v>2848</v>
      </c>
      <c r="C546" s="12" t="s">
        <v>2843</v>
      </c>
      <c r="D546" s="12" t="s">
        <v>2430</v>
      </c>
      <c r="E546" s="12" t="s">
        <v>2431</v>
      </c>
      <c r="F546" s="4" t="s">
        <v>2849</v>
      </c>
      <c r="G546" s="4" t="s">
        <v>2830</v>
      </c>
      <c r="H546" s="4" t="s">
        <v>1973</v>
      </c>
      <c r="I546" s="22">
        <v>4.9708218000000004</v>
      </c>
      <c r="J546" s="22">
        <v>38.218069399999997</v>
      </c>
      <c r="K546" s="4" t="s">
        <v>2308</v>
      </c>
      <c r="L546" s="4">
        <v>2001</v>
      </c>
      <c r="M546" s="4">
        <v>2001</v>
      </c>
      <c r="N546" s="4" t="s">
        <v>2308</v>
      </c>
      <c r="O546" s="4" t="s">
        <v>67</v>
      </c>
      <c r="P546" s="4" t="s">
        <v>2246</v>
      </c>
    </row>
    <row r="547" spans="1:16" ht="45.5" customHeight="1">
      <c r="A547" s="113">
        <v>105</v>
      </c>
      <c r="B547" s="41" t="s">
        <v>2848</v>
      </c>
      <c r="C547" s="12" t="s">
        <v>2844</v>
      </c>
      <c r="D547" s="12" t="s">
        <v>2430</v>
      </c>
      <c r="E547" s="12" t="s">
        <v>2431</v>
      </c>
      <c r="F547" s="4" t="s">
        <v>2850</v>
      </c>
      <c r="G547" s="4" t="s">
        <v>2830</v>
      </c>
      <c r="H547" s="4" t="s">
        <v>1973</v>
      </c>
      <c r="I547" s="22">
        <v>4.8764811999999997</v>
      </c>
      <c r="J547" s="22">
        <v>38.588563100000002</v>
      </c>
      <c r="K547" s="4" t="s">
        <v>2308</v>
      </c>
      <c r="L547" s="4">
        <v>2001</v>
      </c>
      <c r="M547" s="4">
        <v>2001</v>
      </c>
      <c r="N547" s="4" t="s">
        <v>2308</v>
      </c>
      <c r="O547" s="4" t="s">
        <v>67</v>
      </c>
      <c r="P547" s="4" t="s">
        <v>2246</v>
      </c>
    </row>
    <row r="548" spans="1:16" ht="35.5" customHeight="1">
      <c r="A548" s="113">
        <v>105</v>
      </c>
      <c r="B548" s="41" t="s">
        <v>2848</v>
      </c>
      <c r="C548" s="12" t="s">
        <v>2845</v>
      </c>
      <c r="D548" s="12" t="s">
        <v>2430</v>
      </c>
      <c r="E548" s="12" t="s">
        <v>2431</v>
      </c>
      <c r="F548" s="4" t="s">
        <v>2851</v>
      </c>
      <c r="G548" s="4" t="s">
        <v>2830</v>
      </c>
      <c r="H548" s="4" t="s">
        <v>1973</v>
      </c>
      <c r="I548" s="22">
        <v>4.8590485000000001</v>
      </c>
      <c r="J548" s="22">
        <v>39.156598199999998</v>
      </c>
      <c r="K548" s="4" t="s">
        <v>2308</v>
      </c>
      <c r="L548" s="4">
        <v>2001</v>
      </c>
      <c r="M548" s="4">
        <v>2001</v>
      </c>
      <c r="N548" s="4" t="s">
        <v>2308</v>
      </c>
      <c r="O548" s="4" t="s">
        <v>67</v>
      </c>
      <c r="P548" s="4" t="s">
        <v>2246</v>
      </c>
    </row>
    <row r="549" spans="1:16" ht="34.5" customHeight="1">
      <c r="A549" s="113">
        <v>105</v>
      </c>
      <c r="B549" s="41" t="s">
        <v>2848</v>
      </c>
      <c r="C549" s="12" t="s">
        <v>2846</v>
      </c>
      <c r="D549" s="12" t="s">
        <v>2430</v>
      </c>
      <c r="E549" s="12" t="s">
        <v>2431</v>
      </c>
      <c r="F549" s="4" t="s">
        <v>2852</v>
      </c>
      <c r="G549" s="4" t="s">
        <v>2830</v>
      </c>
      <c r="H549" s="4" t="s">
        <v>1973</v>
      </c>
      <c r="I549" s="22">
        <v>4.3661963000000004</v>
      </c>
      <c r="J549" s="22">
        <v>38.277742799999999</v>
      </c>
      <c r="K549" s="4" t="s">
        <v>2308</v>
      </c>
      <c r="L549" s="4">
        <v>2001</v>
      </c>
      <c r="M549" s="4">
        <v>2001</v>
      </c>
      <c r="N549" s="4" t="s">
        <v>2308</v>
      </c>
      <c r="O549" s="4" t="s">
        <v>67</v>
      </c>
      <c r="P549" s="4" t="s">
        <v>2246</v>
      </c>
    </row>
    <row r="550" spans="1:16" ht="37" customHeight="1">
      <c r="A550" s="113">
        <v>105</v>
      </c>
      <c r="B550" s="41" t="s">
        <v>2848</v>
      </c>
      <c r="C550" s="12" t="s">
        <v>2847</v>
      </c>
      <c r="D550" s="12" t="s">
        <v>2430</v>
      </c>
      <c r="E550" s="12" t="s">
        <v>2431</v>
      </c>
      <c r="F550" s="4" t="s">
        <v>2853</v>
      </c>
      <c r="G550" s="4" t="s">
        <v>2830</v>
      </c>
      <c r="H550" s="4" t="s">
        <v>1973</v>
      </c>
      <c r="I550" s="22">
        <v>3.9142096999999998</v>
      </c>
      <c r="J550" s="22">
        <v>38.508583199999997</v>
      </c>
      <c r="K550" s="4" t="s">
        <v>2308</v>
      </c>
      <c r="L550" s="4">
        <v>2001</v>
      </c>
      <c r="M550" s="4">
        <v>2001</v>
      </c>
      <c r="N550" s="4" t="s">
        <v>2308</v>
      </c>
      <c r="O550" s="4" t="s">
        <v>67</v>
      </c>
      <c r="P550" s="4" t="s">
        <v>2246</v>
      </c>
    </row>
    <row r="551" spans="1:16" ht="48" customHeight="1">
      <c r="A551" s="113">
        <v>105</v>
      </c>
      <c r="B551" s="41" t="s">
        <v>2848</v>
      </c>
      <c r="C551" s="12" t="s">
        <v>2854</v>
      </c>
      <c r="D551" s="12" t="s">
        <v>2430</v>
      </c>
      <c r="E551" s="12" t="s">
        <v>2431</v>
      </c>
      <c r="F551" s="4" t="s">
        <v>2308</v>
      </c>
      <c r="G551" s="4" t="s">
        <v>2830</v>
      </c>
      <c r="H551" s="4" t="s">
        <v>1973</v>
      </c>
      <c r="I551" s="22">
        <f>AVERAGE(I546:I550)</f>
        <v>4.5973515000000003</v>
      </c>
      <c r="J551" s="22">
        <f>AVERAGE(J546:J550)</f>
        <v>38.549911340000001</v>
      </c>
      <c r="K551" s="4" t="s">
        <v>2308</v>
      </c>
      <c r="L551" s="4">
        <v>1970</v>
      </c>
      <c r="M551" s="4">
        <v>1975</v>
      </c>
      <c r="N551" s="4" t="s">
        <v>2308</v>
      </c>
      <c r="O551" s="4" t="s">
        <v>67</v>
      </c>
      <c r="P551" s="5" t="s">
        <v>2871</v>
      </c>
    </row>
    <row r="552" spans="1:16" ht="42.5" customHeight="1">
      <c r="A552" s="113">
        <v>106</v>
      </c>
      <c r="B552" s="41" t="s">
        <v>2874</v>
      </c>
      <c r="C552" s="12" t="s">
        <v>2872</v>
      </c>
      <c r="D552" s="12" t="s">
        <v>2430</v>
      </c>
      <c r="E552" s="12" t="s">
        <v>2432</v>
      </c>
      <c r="F552" s="4" t="s">
        <v>2876</v>
      </c>
      <c r="G552" s="4" t="s">
        <v>2308</v>
      </c>
      <c r="H552" s="4" t="s">
        <v>2875</v>
      </c>
      <c r="I552" s="22">
        <v>-7.1583851000000003</v>
      </c>
      <c r="J552" s="22">
        <v>146.91341019999999</v>
      </c>
      <c r="K552" s="4" t="s">
        <v>2308</v>
      </c>
      <c r="L552" s="4">
        <v>1999</v>
      </c>
      <c r="M552" s="4">
        <v>1999</v>
      </c>
      <c r="N552" s="4" t="s">
        <v>2308</v>
      </c>
      <c r="O552" s="4" t="s">
        <v>67</v>
      </c>
      <c r="P552" s="4" t="s">
        <v>2246</v>
      </c>
    </row>
    <row r="553" spans="1:16" ht="46.5" customHeight="1">
      <c r="A553" s="113">
        <v>106</v>
      </c>
      <c r="B553" s="41" t="s">
        <v>2874</v>
      </c>
      <c r="C553" s="12" t="s">
        <v>2873</v>
      </c>
      <c r="D553" s="12" t="s">
        <v>2430</v>
      </c>
      <c r="E553" s="12" t="s">
        <v>2432</v>
      </c>
      <c r="F553" s="4" t="s">
        <v>2876</v>
      </c>
      <c r="G553" s="4" t="s">
        <v>2308</v>
      </c>
      <c r="H553" s="4" t="s">
        <v>2875</v>
      </c>
      <c r="I553" s="22">
        <v>-7.1583851000000003</v>
      </c>
      <c r="J553" s="22">
        <v>146.91341019999999</v>
      </c>
      <c r="K553" s="4" t="s">
        <v>2308</v>
      </c>
      <c r="L553" s="4">
        <v>2011</v>
      </c>
      <c r="M553" s="4">
        <v>2011</v>
      </c>
      <c r="N553" s="4" t="s">
        <v>2308</v>
      </c>
      <c r="O553" s="4" t="s">
        <v>67</v>
      </c>
      <c r="P553" s="4" t="s">
        <v>2246</v>
      </c>
    </row>
    <row r="554" spans="1:16" ht="47" customHeight="1">
      <c r="A554" s="113">
        <v>107</v>
      </c>
      <c r="B554" s="41" t="s">
        <v>2882</v>
      </c>
      <c r="C554" s="4" t="s">
        <v>2881</v>
      </c>
      <c r="D554" s="12" t="s">
        <v>2430</v>
      </c>
      <c r="E554" s="12" t="s">
        <v>2431</v>
      </c>
      <c r="F554" s="4" t="s">
        <v>2308</v>
      </c>
      <c r="G554" s="4" t="s">
        <v>2883</v>
      </c>
      <c r="H554" s="4" t="s">
        <v>1164</v>
      </c>
      <c r="I554" s="22">
        <v>6.75</v>
      </c>
      <c r="J554" s="22">
        <f>-2 -(0.05)</f>
        <v>-2.0499999999999998</v>
      </c>
      <c r="K554" s="158">
        <v>2411</v>
      </c>
      <c r="L554" s="9">
        <v>2010</v>
      </c>
      <c r="M554" s="9">
        <v>2010</v>
      </c>
      <c r="N554" s="22">
        <f>139174/K554</f>
        <v>57.724595603484033</v>
      </c>
      <c r="O554" s="4" t="s">
        <v>67</v>
      </c>
      <c r="P554" s="5" t="s">
        <v>2884</v>
      </c>
    </row>
    <row r="555" spans="1:16" ht="44.5" customHeight="1">
      <c r="A555" s="113">
        <v>108</v>
      </c>
      <c r="B555" s="41" t="s">
        <v>2895</v>
      </c>
      <c r="C555" s="4" t="s">
        <v>2896</v>
      </c>
      <c r="D555" s="4" t="s">
        <v>2430</v>
      </c>
      <c r="E555" s="4" t="s">
        <v>2670</v>
      </c>
      <c r="F555" s="4" t="s">
        <v>2897</v>
      </c>
      <c r="G555" s="4" t="s">
        <v>2898</v>
      </c>
      <c r="H555" s="4" t="s">
        <v>910</v>
      </c>
      <c r="I555" s="22">
        <v>0.66639459999999995</v>
      </c>
      <c r="J555" s="22">
        <v>100.14809409999999</v>
      </c>
      <c r="K555" s="4" t="s">
        <v>2308</v>
      </c>
      <c r="L555" s="4">
        <v>2002</v>
      </c>
      <c r="M555" s="4">
        <v>2002</v>
      </c>
      <c r="N555" s="4">
        <v>66</v>
      </c>
      <c r="O555" s="4" t="s">
        <v>2675</v>
      </c>
      <c r="P555" s="5" t="s">
        <v>2831</v>
      </c>
    </row>
    <row r="556" spans="1:16" ht="55.5" customHeight="1">
      <c r="A556" s="113">
        <v>108</v>
      </c>
      <c r="B556" s="41" t="s">
        <v>2895</v>
      </c>
      <c r="C556" s="4" t="s">
        <v>2903</v>
      </c>
      <c r="D556" s="4" t="s">
        <v>2430</v>
      </c>
      <c r="E556" s="4" t="s">
        <v>2670</v>
      </c>
      <c r="F556" s="4" t="s">
        <v>2897</v>
      </c>
      <c r="G556" s="4" t="s">
        <v>2898</v>
      </c>
      <c r="H556" s="4" t="s">
        <v>910</v>
      </c>
      <c r="I556" s="22">
        <v>0.66639459999999995</v>
      </c>
      <c r="J556" s="22">
        <v>100.14809409999999</v>
      </c>
      <c r="K556" s="4" t="s">
        <v>2308</v>
      </c>
      <c r="L556" s="4">
        <v>1945</v>
      </c>
      <c r="M556" s="4">
        <v>1965</v>
      </c>
      <c r="N556" s="4" t="s">
        <v>2308</v>
      </c>
      <c r="O556" s="4" t="s">
        <v>2675</v>
      </c>
      <c r="P556" s="5" t="s">
        <v>2902</v>
      </c>
    </row>
    <row r="557" spans="1:16" ht="40" customHeight="1">
      <c r="A557" s="113">
        <v>109</v>
      </c>
      <c r="B557" s="41" t="s">
        <v>2913</v>
      </c>
      <c r="C557" s="4" t="s">
        <v>2914</v>
      </c>
      <c r="D557" s="4" t="s">
        <v>2430</v>
      </c>
      <c r="E557" s="4" t="s">
        <v>2431</v>
      </c>
      <c r="F557" s="4" t="s">
        <v>2308</v>
      </c>
      <c r="G557" s="4" t="s">
        <v>2915</v>
      </c>
      <c r="H557" s="4" t="s">
        <v>88</v>
      </c>
      <c r="I557" s="22">
        <f>AVERAGE(26 + (22/60), 28 + (8/60))</f>
        <v>27.25</v>
      </c>
      <c r="J557" s="22">
        <f>AVERAGE(89 + (36/60), 97 + (19/60))</f>
        <v>93.458333333333329</v>
      </c>
      <c r="K557" s="4" t="s">
        <v>2308</v>
      </c>
      <c r="L557" s="23">
        <v>2010</v>
      </c>
      <c r="M557" s="23">
        <v>2015</v>
      </c>
      <c r="N557" s="4" t="s">
        <v>2308</v>
      </c>
      <c r="O557" s="4" t="s">
        <v>2675</v>
      </c>
      <c r="P557" s="5" t="s">
        <v>3050</v>
      </c>
    </row>
    <row r="558" spans="1:16" ht="34" customHeight="1">
      <c r="A558" s="113">
        <v>110</v>
      </c>
      <c r="B558" s="41" t="s">
        <v>2918</v>
      </c>
      <c r="C558" s="12" t="s">
        <v>2919</v>
      </c>
      <c r="D558" s="4" t="s">
        <v>2430</v>
      </c>
      <c r="E558" s="4" t="s">
        <v>2431</v>
      </c>
      <c r="F558" s="4" t="s">
        <v>2923</v>
      </c>
      <c r="G558" s="4" t="s">
        <v>2308</v>
      </c>
      <c r="H558" s="4" t="s">
        <v>2922</v>
      </c>
      <c r="I558" s="22">
        <v>16.478462</v>
      </c>
      <c r="J558" s="22">
        <v>-88.611639800000006</v>
      </c>
      <c r="K558" s="4" t="s">
        <v>2308</v>
      </c>
      <c r="L558" s="4">
        <v>2016</v>
      </c>
      <c r="M558" s="4">
        <v>2018</v>
      </c>
      <c r="N558" s="4" t="s">
        <v>2308</v>
      </c>
      <c r="O558" s="4" t="s">
        <v>67</v>
      </c>
      <c r="P558" s="4" t="s">
        <v>2926</v>
      </c>
    </row>
    <row r="559" spans="1:16" ht="33.5" customHeight="1">
      <c r="A559" s="113">
        <v>110</v>
      </c>
      <c r="B559" s="41" t="s">
        <v>2918</v>
      </c>
      <c r="C559" s="12" t="s">
        <v>2920</v>
      </c>
      <c r="D559" s="4" t="s">
        <v>2430</v>
      </c>
      <c r="E559" s="4" t="s">
        <v>2431</v>
      </c>
      <c r="F559" s="4" t="s">
        <v>2924</v>
      </c>
      <c r="G559" s="4" t="s">
        <v>2308</v>
      </c>
      <c r="H559" s="4" t="s">
        <v>2922</v>
      </c>
      <c r="I559" s="22">
        <f>16 + (31/60)</f>
        <v>16.516666666666666</v>
      </c>
      <c r="J559" s="22">
        <f>-88 - (0.633333333333333)</f>
        <v>-88.63333333333334</v>
      </c>
      <c r="K559" s="4" t="s">
        <v>2308</v>
      </c>
      <c r="L559" s="4">
        <v>2016</v>
      </c>
      <c r="M559" s="4">
        <v>2018</v>
      </c>
      <c r="N559" s="4" t="s">
        <v>2308</v>
      </c>
      <c r="O559" s="4" t="s">
        <v>67</v>
      </c>
      <c r="P559" s="4" t="s">
        <v>2926</v>
      </c>
    </row>
    <row r="560" spans="1:16" ht="35.5" customHeight="1">
      <c r="A560" s="113">
        <v>110</v>
      </c>
      <c r="B560" s="41" t="s">
        <v>2918</v>
      </c>
      <c r="C560" s="12" t="s">
        <v>2921</v>
      </c>
      <c r="D560" s="4" t="s">
        <v>2430</v>
      </c>
      <c r="E560" s="4" t="s">
        <v>2431</v>
      </c>
      <c r="F560" s="4" t="s">
        <v>2925</v>
      </c>
      <c r="G560" s="4" t="s">
        <v>2308</v>
      </c>
      <c r="H560" s="4" t="s">
        <v>2922</v>
      </c>
      <c r="I560" s="22">
        <v>16.510779200000002</v>
      </c>
      <c r="J560" s="22">
        <v>-88.546886499999999</v>
      </c>
      <c r="K560" s="4" t="s">
        <v>2308</v>
      </c>
      <c r="L560" s="4">
        <v>2016</v>
      </c>
      <c r="M560" s="4">
        <v>2018</v>
      </c>
      <c r="N560" s="4" t="s">
        <v>2308</v>
      </c>
      <c r="O560" s="4" t="s">
        <v>67</v>
      </c>
      <c r="P560" s="4" t="s">
        <v>2926</v>
      </c>
    </row>
    <row r="561" spans="1:16" ht="41.5" customHeight="1">
      <c r="A561" s="113">
        <v>110</v>
      </c>
      <c r="B561" s="41" t="s">
        <v>2918</v>
      </c>
      <c r="C561" s="12" t="s">
        <v>2957</v>
      </c>
      <c r="D561" s="4" t="s">
        <v>2430</v>
      </c>
      <c r="E561" s="4" t="s">
        <v>2431</v>
      </c>
      <c r="F561" s="12" t="s">
        <v>2958</v>
      </c>
      <c r="G561" s="4" t="s">
        <v>2308</v>
      </c>
      <c r="H561" s="12" t="s">
        <v>2959</v>
      </c>
      <c r="I561" s="22">
        <v>16.330165900000001</v>
      </c>
      <c r="J561" s="22">
        <v>-88.602237799999997</v>
      </c>
      <c r="K561" s="159">
        <v>152.5</v>
      </c>
      <c r="L561" s="4">
        <v>2016</v>
      </c>
      <c r="M561" s="4">
        <v>2018</v>
      </c>
      <c r="N561" s="4" t="s">
        <v>2308</v>
      </c>
      <c r="O561" s="4" t="s">
        <v>67</v>
      </c>
      <c r="P561" s="4" t="s">
        <v>2960</v>
      </c>
    </row>
    <row r="562" spans="1:16" ht="50.5" customHeight="1">
      <c r="A562" s="113">
        <v>111</v>
      </c>
      <c r="B562" s="41" t="s">
        <v>2966</v>
      </c>
      <c r="C562" s="12" t="s">
        <v>2967</v>
      </c>
      <c r="D562" s="4" t="s">
        <v>2430</v>
      </c>
      <c r="E562" s="4" t="s">
        <v>2431</v>
      </c>
      <c r="F562" s="40" t="s">
        <v>667</v>
      </c>
      <c r="G562" s="4" t="s">
        <v>668</v>
      </c>
      <c r="H562" s="29" t="s">
        <v>669</v>
      </c>
      <c r="I562" s="22">
        <v>-4.95</v>
      </c>
      <c r="J562" s="22">
        <v>-73.25</v>
      </c>
      <c r="K562" s="22">
        <f>866/100</f>
        <v>8.66</v>
      </c>
      <c r="L562" s="4">
        <v>1990</v>
      </c>
      <c r="M562" s="4">
        <v>2000</v>
      </c>
      <c r="N562" s="22">
        <f>365.5/K562</f>
        <v>42.20554272517321</v>
      </c>
      <c r="O562" s="4" t="s">
        <v>2675</v>
      </c>
      <c r="P562" s="5" t="s">
        <v>2968</v>
      </c>
    </row>
    <row r="563" spans="1:16" ht="53" customHeight="1">
      <c r="A563" s="113">
        <v>111</v>
      </c>
      <c r="B563" s="41" t="s">
        <v>2966</v>
      </c>
      <c r="C563" s="12" t="s">
        <v>2969</v>
      </c>
      <c r="D563" s="4" t="s">
        <v>2430</v>
      </c>
      <c r="E563" s="4" t="s">
        <v>2431</v>
      </c>
      <c r="F563" s="40" t="s">
        <v>667</v>
      </c>
      <c r="G563" s="4" t="s">
        <v>668</v>
      </c>
      <c r="H563" s="29" t="s">
        <v>669</v>
      </c>
      <c r="I563" s="22">
        <v>-4.95</v>
      </c>
      <c r="J563" s="22">
        <v>-73.25</v>
      </c>
      <c r="K563" s="22">
        <f>866/100</f>
        <v>8.66</v>
      </c>
      <c r="L563" s="12">
        <v>2000</v>
      </c>
      <c r="M563" s="12">
        <v>2014</v>
      </c>
      <c r="N563" s="22">
        <f>348/K563</f>
        <v>40.184757505773675</v>
      </c>
      <c r="O563" s="4" t="s">
        <v>2675</v>
      </c>
      <c r="P563" s="5" t="s">
        <v>2968</v>
      </c>
    </row>
    <row r="564" spans="1:16" ht="50" customHeight="1">
      <c r="A564" s="113">
        <v>112</v>
      </c>
      <c r="B564" s="41" t="s">
        <v>2976</v>
      </c>
      <c r="C564" s="4" t="s">
        <v>2977</v>
      </c>
      <c r="D564" s="4" t="s">
        <v>2430</v>
      </c>
      <c r="E564" s="4" t="s">
        <v>2431</v>
      </c>
      <c r="F564" s="4" t="s">
        <v>2979</v>
      </c>
      <c r="G564" s="4" t="s">
        <v>2978</v>
      </c>
      <c r="H564" s="4" t="s">
        <v>669</v>
      </c>
      <c r="I564" s="22">
        <v>9.6613299999999995</v>
      </c>
      <c r="J564" s="22">
        <v>118.4720116</v>
      </c>
      <c r="K564" s="22">
        <f>350/N564</f>
        <v>4.666666666666667</v>
      </c>
      <c r="L564" s="4">
        <v>1980</v>
      </c>
      <c r="M564" s="4">
        <v>1991</v>
      </c>
      <c r="N564" s="4">
        <v>75</v>
      </c>
      <c r="O564" s="4" t="s">
        <v>2675</v>
      </c>
      <c r="P564" s="4"/>
    </row>
    <row r="565" spans="1:16" ht="44.5" customHeight="1">
      <c r="A565" s="113">
        <v>113</v>
      </c>
      <c r="B565" s="41" t="s">
        <v>2986</v>
      </c>
      <c r="C565" s="12" t="s">
        <v>2987</v>
      </c>
      <c r="D565" s="4" t="s">
        <v>2430</v>
      </c>
      <c r="E565" s="4" t="s">
        <v>2431</v>
      </c>
      <c r="F565" s="4" t="s">
        <v>2988</v>
      </c>
      <c r="G565" s="4" t="s">
        <v>2989</v>
      </c>
      <c r="H565" s="4" t="s">
        <v>127</v>
      </c>
      <c r="I565" s="22">
        <v>-8.3902674000000008</v>
      </c>
      <c r="J565" s="22">
        <v>-47.768381599999998</v>
      </c>
      <c r="K565" s="22">
        <v>3200</v>
      </c>
      <c r="L565" s="9">
        <v>2002</v>
      </c>
      <c r="M565" s="9">
        <v>2002</v>
      </c>
      <c r="N565" s="4">
        <f>200/K565</f>
        <v>6.25E-2</v>
      </c>
      <c r="O565" s="4" t="s">
        <v>67</v>
      </c>
      <c r="P565" s="4" t="s">
        <v>3020</v>
      </c>
    </row>
    <row r="566" spans="1:16" ht="40" customHeight="1">
      <c r="A566" s="113">
        <v>114</v>
      </c>
      <c r="B566" s="41" t="s">
        <v>3848</v>
      </c>
      <c r="C566" s="4" t="s">
        <v>3021</v>
      </c>
      <c r="D566" s="4" t="s">
        <v>2430</v>
      </c>
      <c r="E566" s="4" t="s">
        <v>2432</v>
      </c>
      <c r="F566" s="4" t="s">
        <v>2308</v>
      </c>
      <c r="G566" s="4" t="s">
        <v>3019</v>
      </c>
      <c r="H566" s="4" t="s">
        <v>3018</v>
      </c>
      <c r="I566" s="22">
        <v>14</v>
      </c>
      <c r="J566" s="22">
        <v>-13</v>
      </c>
      <c r="K566" s="22">
        <f>2000000/100</f>
        <v>20000</v>
      </c>
      <c r="L566" s="4">
        <v>1998</v>
      </c>
      <c r="M566" s="4">
        <v>1998</v>
      </c>
      <c r="N566" s="4"/>
      <c r="O566" s="4" t="s">
        <v>67</v>
      </c>
      <c r="P566" s="4"/>
    </row>
    <row r="567" spans="1:16" ht="40" customHeight="1">
      <c r="A567" s="113">
        <v>115</v>
      </c>
      <c r="B567" s="41" t="s">
        <v>3051</v>
      </c>
      <c r="C567" s="4" t="s">
        <v>3028</v>
      </c>
      <c r="D567" s="4" t="s">
        <v>2430</v>
      </c>
      <c r="E567" s="4" t="s">
        <v>2431</v>
      </c>
      <c r="F567" s="4" t="s">
        <v>2308</v>
      </c>
      <c r="G567" s="4" t="s">
        <v>3052</v>
      </c>
      <c r="H567" s="4" t="s">
        <v>127</v>
      </c>
      <c r="I567" s="22">
        <v>-15.7879989</v>
      </c>
      <c r="J567" s="22">
        <v>-47.751701799999999</v>
      </c>
      <c r="K567" s="22">
        <v>5814</v>
      </c>
      <c r="L567" s="9">
        <v>1995</v>
      </c>
      <c r="M567" s="9">
        <v>1995</v>
      </c>
      <c r="N567" s="4"/>
      <c r="O567" s="4" t="s">
        <v>67</v>
      </c>
      <c r="P567" s="5" t="s">
        <v>3053</v>
      </c>
    </row>
    <row r="568" spans="1:16" ht="34.5" customHeight="1">
      <c r="A568" s="113">
        <v>116</v>
      </c>
      <c r="B568" s="41" t="s">
        <v>3072</v>
      </c>
      <c r="C568" s="12" t="s">
        <v>3070</v>
      </c>
      <c r="D568" s="12" t="s">
        <v>2430</v>
      </c>
      <c r="E568" s="4" t="s">
        <v>2431</v>
      </c>
      <c r="F568" s="4" t="s">
        <v>3071</v>
      </c>
      <c r="G568" s="4" t="s">
        <v>2308</v>
      </c>
      <c r="H568" s="4" t="s">
        <v>1972</v>
      </c>
      <c r="I568" s="22">
        <f>12+(13/60)</f>
        <v>12.216666666666667</v>
      </c>
      <c r="J568" s="22">
        <f>-2-(42/60)</f>
        <v>-2.7</v>
      </c>
      <c r="K568" s="22">
        <f>30000/100</f>
        <v>300</v>
      </c>
      <c r="L568" s="4">
        <v>1992</v>
      </c>
      <c r="M568" s="4">
        <v>2003</v>
      </c>
      <c r="N568" s="4"/>
      <c r="O568" s="4" t="s">
        <v>67</v>
      </c>
      <c r="P568" s="4"/>
    </row>
    <row r="569" spans="1:16" ht="35" customHeight="1">
      <c r="A569" s="113">
        <v>117</v>
      </c>
      <c r="B569" s="41" t="s">
        <v>3076</v>
      </c>
      <c r="C569" s="12" t="s">
        <v>3077</v>
      </c>
      <c r="D569" s="12" t="s">
        <v>2430</v>
      </c>
      <c r="E569" s="4" t="s">
        <v>2431</v>
      </c>
      <c r="F569" s="120" t="s">
        <v>3094</v>
      </c>
      <c r="G569" s="4" t="s">
        <v>3080</v>
      </c>
      <c r="H569" s="4" t="s">
        <v>127</v>
      </c>
      <c r="I569" s="22">
        <v>-10.285575</v>
      </c>
      <c r="J569" s="22">
        <v>-46.764769000000001</v>
      </c>
      <c r="K569" s="22">
        <f>1580-K571</f>
        <v>495.85365853658527</v>
      </c>
      <c r="L569" s="4">
        <v>2014</v>
      </c>
      <c r="M569" s="4">
        <v>2015</v>
      </c>
      <c r="N569" s="4"/>
      <c r="O569" s="4" t="s">
        <v>67</v>
      </c>
      <c r="P569" s="4" t="s">
        <v>3081</v>
      </c>
    </row>
    <row r="570" spans="1:16" ht="37" customHeight="1">
      <c r="A570" s="113">
        <v>117</v>
      </c>
      <c r="B570" s="41" t="s">
        <v>3076</v>
      </c>
      <c r="C570" s="12" t="s">
        <v>3078</v>
      </c>
      <c r="D570" s="12" t="s">
        <v>2430</v>
      </c>
      <c r="E570" s="4" t="s">
        <v>2431</v>
      </c>
      <c r="F570" s="120" t="s">
        <v>3094</v>
      </c>
      <c r="G570" s="5" t="s">
        <v>3079</v>
      </c>
      <c r="H570" s="4" t="s">
        <v>127</v>
      </c>
      <c r="I570" s="22">
        <v>-10.8193436</v>
      </c>
      <c r="J570" s="22">
        <v>-46.520679000000001</v>
      </c>
      <c r="K570" s="22"/>
      <c r="L570" s="4">
        <v>2014</v>
      </c>
      <c r="M570" s="4">
        <v>2015</v>
      </c>
      <c r="N570" s="4"/>
      <c r="O570" s="4" t="s">
        <v>67</v>
      </c>
      <c r="P570" s="4" t="s">
        <v>3081</v>
      </c>
    </row>
    <row r="571" spans="1:16" ht="37.5" customHeight="1">
      <c r="A571" s="113">
        <v>117</v>
      </c>
      <c r="B571" s="41" t="s">
        <v>3076</v>
      </c>
      <c r="C571" s="12" t="s">
        <v>3095</v>
      </c>
      <c r="D571" s="12" t="s">
        <v>2430</v>
      </c>
      <c r="E571" s="4" t="s">
        <v>2431</v>
      </c>
      <c r="F571" s="120" t="s">
        <v>3097</v>
      </c>
      <c r="G571" s="4" t="s">
        <v>3080</v>
      </c>
      <c r="H571" s="4" t="s">
        <v>127</v>
      </c>
      <c r="I571" s="22">
        <v>-10.285575</v>
      </c>
      <c r="J571" s="22">
        <v>-46.764769000000001</v>
      </c>
      <c r="K571" s="22">
        <f>('Reported burning'!T964/('Reported burning'!X964/100)) / 100</f>
        <v>1084.1463414634147</v>
      </c>
      <c r="L571" s="4">
        <v>2014</v>
      </c>
      <c r="M571" s="4">
        <v>2015</v>
      </c>
      <c r="N571" s="4"/>
      <c r="O571" s="4" t="s">
        <v>67</v>
      </c>
      <c r="P571" s="4" t="s">
        <v>3081</v>
      </c>
    </row>
    <row r="572" spans="1:16" ht="36" customHeight="1">
      <c r="A572" s="113">
        <v>117</v>
      </c>
      <c r="B572" s="41" t="s">
        <v>3076</v>
      </c>
      <c r="C572" s="12" t="s">
        <v>3096</v>
      </c>
      <c r="D572" s="12" t="s">
        <v>2430</v>
      </c>
      <c r="E572" s="4" t="s">
        <v>2431</v>
      </c>
      <c r="F572" s="120" t="s">
        <v>3097</v>
      </c>
      <c r="G572" s="5" t="s">
        <v>3079</v>
      </c>
      <c r="H572" s="4" t="s">
        <v>127</v>
      </c>
      <c r="I572" s="22">
        <v>-10.8193436</v>
      </c>
      <c r="J572" s="22">
        <v>-46.520679000000001</v>
      </c>
      <c r="K572" s="22"/>
      <c r="L572" s="4">
        <v>2014</v>
      </c>
      <c r="M572" s="4">
        <v>2015</v>
      </c>
      <c r="N572" s="4"/>
      <c r="O572" s="4" t="s">
        <v>67</v>
      </c>
      <c r="P572" s="4" t="s">
        <v>3081</v>
      </c>
    </row>
    <row r="573" spans="1:16" ht="40" customHeight="1">
      <c r="A573" s="113">
        <v>118</v>
      </c>
      <c r="B573" s="41" t="s">
        <v>3133</v>
      </c>
      <c r="C573" s="4" t="s">
        <v>3131</v>
      </c>
      <c r="D573" s="12" t="s">
        <v>2430</v>
      </c>
      <c r="E573" s="4" t="s">
        <v>2431</v>
      </c>
      <c r="F573" s="4" t="s">
        <v>3145</v>
      </c>
      <c r="G573" s="4" t="s">
        <v>3138</v>
      </c>
      <c r="H573" s="4" t="s">
        <v>3144</v>
      </c>
      <c r="I573" s="22">
        <v>-15.6900526</v>
      </c>
      <c r="J573" s="22">
        <v>167.1700716</v>
      </c>
      <c r="K573" s="22"/>
      <c r="L573" s="4">
        <v>2007</v>
      </c>
      <c r="M573" s="4">
        <v>2011</v>
      </c>
      <c r="N573" s="4"/>
      <c r="O573" s="4" t="s">
        <v>2675</v>
      </c>
      <c r="P573" s="5" t="s">
        <v>3151</v>
      </c>
    </row>
    <row r="574" spans="1:16" ht="39" customHeight="1">
      <c r="A574" s="113">
        <v>118</v>
      </c>
      <c r="B574" s="41" t="s">
        <v>3133</v>
      </c>
      <c r="C574" s="4" t="s">
        <v>3132</v>
      </c>
      <c r="D574" s="12" t="s">
        <v>2430</v>
      </c>
      <c r="E574" s="4" t="s">
        <v>2431</v>
      </c>
      <c r="F574" s="4" t="s">
        <v>3147</v>
      </c>
      <c r="G574" s="4" t="s">
        <v>3139</v>
      </c>
      <c r="H574" s="4" t="s">
        <v>3144</v>
      </c>
      <c r="I574" s="22">
        <v>-15.1561577</v>
      </c>
      <c r="J574" s="22">
        <v>166.9007095</v>
      </c>
      <c r="K574" s="22"/>
      <c r="L574" s="4">
        <v>2007</v>
      </c>
      <c r="M574" s="4">
        <v>2011</v>
      </c>
      <c r="N574" s="4"/>
      <c r="O574" s="4" t="s">
        <v>2675</v>
      </c>
      <c r="P574" s="5" t="s">
        <v>3151</v>
      </c>
    </row>
    <row r="575" spans="1:16" ht="40" customHeight="1">
      <c r="A575" s="113">
        <v>118</v>
      </c>
      <c r="B575" s="41" t="s">
        <v>3133</v>
      </c>
      <c r="C575" s="4" t="s">
        <v>3134</v>
      </c>
      <c r="D575" s="12" t="s">
        <v>2430</v>
      </c>
      <c r="E575" s="4" t="s">
        <v>2431</v>
      </c>
      <c r="F575" s="4" t="s">
        <v>3146</v>
      </c>
      <c r="G575" s="4" t="s">
        <v>3140</v>
      </c>
      <c r="H575" s="4" t="s">
        <v>3144</v>
      </c>
      <c r="I575" s="22">
        <v>-16.233180699999998</v>
      </c>
      <c r="J575" s="22">
        <v>167.49609950000001</v>
      </c>
      <c r="K575" s="22"/>
      <c r="L575" s="4">
        <v>2007</v>
      </c>
      <c r="M575" s="4">
        <v>2011</v>
      </c>
      <c r="N575" s="4"/>
      <c r="O575" s="4" t="s">
        <v>2675</v>
      </c>
      <c r="P575" s="5" t="s">
        <v>3151</v>
      </c>
    </row>
    <row r="576" spans="1:16" ht="34.5" customHeight="1">
      <c r="A576" s="113">
        <v>118</v>
      </c>
      <c r="B576" s="41" t="s">
        <v>3133</v>
      </c>
      <c r="C576" s="4" t="s">
        <v>3135</v>
      </c>
      <c r="D576" s="12" t="s">
        <v>2430</v>
      </c>
      <c r="E576" s="4" t="s">
        <v>2431</v>
      </c>
      <c r="F576" s="4" t="s">
        <v>3148</v>
      </c>
      <c r="G576" s="4" t="s">
        <v>3141</v>
      </c>
      <c r="H576" s="4" t="s">
        <v>3144</v>
      </c>
      <c r="I576" s="22">
        <v>-15.375091299999999</v>
      </c>
      <c r="J576" s="22">
        <v>167.8320837</v>
      </c>
      <c r="K576" s="22"/>
      <c r="L576" s="4">
        <v>2007</v>
      </c>
      <c r="M576" s="4">
        <v>2011</v>
      </c>
      <c r="N576" s="4"/>
      <c r="O576" s="4" t="s">
        <v>2675</v>
      </c>
      <c r="P576" s="5" t="s">
        <v>3151</v>
      </c>
    </row>
    <row r="577" spans="1:16" ht="42.5" customHeight="1">
      <c r="A577" s="113">
        <v>118</v>
      </c>
      <c r="B577" s="41" t="s">
        <v>3133</v>
      </c>
      <c r="C577" s="4" t="s">
        <v>3136</v>
      </c>
      <c r="D577" s="12" t="s">
        <v>2430</v>
      </c>
      <c r="E577" s="4" t="s">
        <v>2431</v>
      </c>
      <c r="F577" s="4" t="s">
        <v>3149</v>
      </c>
      <c r="G577" s="4" t="s">
        <v>3142</v>
      </c>
      <c r="H577" s="4" t="s">
        <v>3144</v>
      </c>
      <c r="I577" s="22">
        <v>-19.4858689</v>
      </c>
      <c r="J577" s="22">
        <v>169.3635601</v>
      </c>
      <c r="K577" s="22"/>
      <c r="L577" s="4">
        <v>2007</v>
      </c>
      <c r="M577" s="4">
        <v>2011</v>
      </c>
      <c r="N577" s="4"/>
      <c r="O577" s="4" t="s">
        <v>2675</v>
      </c>
      <c r="P577" s="5" t="s">
        <v>3151</v>
      </c>
    </row>
    <row r="578" spans="1:16" ht="38" customHeight="1">
      <c r="A578" s="113">
        <v>118</v>
      </c>
      <c r="B578" s="41" t="s">
        <v>3133</v>
      </c>
      <c r="C578" s="4" t="s">
        <v>3137</v>
      </c>
      <c r="D578" s="12" t="s">
        <v>2430</v>
      </c>
      <c r="E578" s="4" t="s">
        <v>2431</v>
      </c>
      <c r="F578" s="4" t="s">
        <v>3150</v>
      </c>
      <c r="G578" s="4" t="s">
        <v>3143</v>
      </c>
      <c r="H578" s="4" t="s">
        <v>3144</v>
      </c>
      <c r="I578" s="22">
        <v>-15.7326221</v>
      </c>
      <c r="J578" s="22">
        <v>168.19587709999999</v>
      </c>
      <c r="K578" s="22"/>
      <c r="L578" s="4">
        <v>2007</v>
      </c>
      <c r="M578" s="4">
        <v>2011</v>
      </c>
      <c r="N578" s="4"/>
      <c r="O578" s="4" t="s">
        <v>2675</v>
      </c>
      <c r="P578" s="5" t="s">
        <v>3151</v>
      </c>
    </row>
    <row r="579" spans="1:16" ht="29" customHeight="1">
      <c r="A579" s="113">
        <v>119</v>
      </c>
      <c r="B579" s="41" t="s">
        <v>3162</v>
      </c>
      <c r="C579" s="12" t="s">
        <v>3163</v>
      </c>
      <c r="D579" s="12" t="s">
        <v>2430</v>
      </c>
      <c r="E579" s="4" t="s">
        <v>2431</v>
      </c>
      <c r="F579" s="4" t="s">
        <v>3168</v>
      </c>
      <c r="G579" s="4" t="s">
        <v>2308</v>
      </c>
      <c r="H579" s="4" t="s">
        <v>3167</v>
      </c>
      <c r="I579" s="22">
        <v>3.9310513</v>
      </c>
      <c r="J579" s="22">
        <v>-58.765934899999998</v>
      </c>
      <c r="K579" s="22"/>
      <c r="L579" s="4">
        <v>2015</v>
      </c>
      <c r="M579" s="4">
        <v>2015</v>
      </c>
      <c r="N579" s="4"/>
      <c r="O579" s="4" t="s">
        <v>67</v>
      </c>
      <c r="P579" s="4" t="s">
        <v>2246</v>
      </c>
    </row>
    <row r="580" spans="1:16" ht="30" customHeight="1">
      <c r="A580" s="113">
        <v>119</v>
      </c>
      <c r="B580" s="41" t="s">
        <v>3162</v>
      </c>
      <c r="C580" s="12" t="s">
        <v>3164</v>
      </c>
      <c r="D580" s="12" t="s">
        <v>2430</v>
      </c>
      <c r="E580" s="4" t="s">
        <v>2431</v>
      </c>
      <c r="F580" s="4" t="s">
        <v>3169</v>
      </c>
      <c r="G580" s="4" t="s">
        <v>2308</v>
      </c>
      <c r="H580" s="4" t="s">
        <v>3167</v>
      </c>
      <c r="I580" s="22">
        <v>4.4318368000000001</v>
      </c>
      <c r="J580" s="22">
        <v>-58.627468399999998</v>
      </c>
      <c r="K580" s="22"/>
      <c r="L580" s="4">
        <v>2015</v>
      </c>
      <c r="M580" s="4">
        <v>2015</v>
      </c>
      <c r="N580" s="4"/>
      <c r="O580" s="4" t="s">
        <v>67</v>
      </c>
      <c r="P580" s="4" t="s">
        <v>2246</v>
      </c>
    </row>
    <row r="581" spans="1:16" ht="32" customHeight="1">
      <c r="A581" s="113">
        <v>119</v>
      </c>
      <c r="B581" s="41" t="s">
        <v>3162</v>
      </c>
      <c r="C581" s="12" t="s">
        <v>3165</v>
      </c>
      <c r="D581" s="12" t="s">
        <v>2430</v>
      </c>
      <c r="E581" s="4" t="s">
        <v>2431</v>
      </c>
      <c r="F581" s="4" t="s">
        <v>3170</v>
      </c>
      <c r="G581" s="4" t="s">
        <v>2308</v>
      </c>
      <c r="H581" s="4" t="s">
        <v>127</v>
      </c>
      <c r="I581" s="22">
        <v>4.3228954999999996</v>
      </c>
      <c r="J581" s="22">
        <v>-60.324549400000002</v>
      </c>
      <c r="K581" s="22"/>
      <c r="L581" s="4">
        <v>2015</v>
      </c>
      <c r="M581" s="4">
        <v>2015</v>
      </c>
      <c r="N581" s="4"/>
      <c r="O581" s="4" t="s">
        <v>67</v>
      </c>
      <c r="P581" s="4" t="s">
        <v>2246</v>
      </c>
    </row>
    <row r="582" spans="1:16" ht="31.5" customHeight="1">
      <c r="A582" s="113">
        <v>119</v>
      </c>
      <c r="B582" s="41" t="s">
        <v>3162</v>
      </c>
      <c r="C582" s="12" t="s">
        <v>3166</v>
      </c>
      <c r="D582" s="12" t="s">
        <v>2430</v>
      </c>
      <c r="E582" s="4" t="s">
        <v>2431</v>
      </c>
      <c r="F582" s="4" t="s">
        <v>3171</v>
      </c>
      <c r="G582" s="4" t="s">
        <v>2308</v>
      </c>
      <c r="H582" s="4" t="s">
        <v>593</v>
      </c>
      <c r="I582" s="22">
        <v>5.5</v>
      </c>
      <c r="J582" s="22">
        <v>-62</v>
      </c>
      <c r="K582" s="22"/>
      <c r="L582" s="4">
        <v>2015</v>
      </c>
      <c r="M582" s="4">
        <v>2015</v>
      </c>
      <c r="N582" s="4"/>
      <c r="O582" s="4" t="s">
        <v>67</v>
      </c>
      <c r="P582" s="4" t="s">
        <v>2246</v>
      </c>
    </row>
    <row r="583" spans="1:16" ht="38" customHeight="1">
      <c r="A583" s="113">
        <v>120</v>
      </c>
      <c r="B583" s="41" t="s">
        <v>3257</v>
      </c>
      <c r="C583" s="12" t="s">
        <v>3258</v>
      </c>
      <c r="D583" s="12" t="s">
        <v>2430</v>
      </c>
      <c r="E583" s="4" t="s">
        <v>2431</v>
      </c>
      <c r="F583" s="12" t="s">
        <v>3259</v>
      </c>
      <c r="G583" s="12" t="s">
        <v>2331</v>
      </c>
      <c r="H583" s="12" t="s">
        <v>910</v>
      </c>
      <c r="I583" s="22">
        <f>0 - (11/60)</f>
        <v>-0.18333333333333332</v>
      </c>
      <c r="J583" s="22">
        <f>115 + (33.5/60)</f>
        <v>115.55833333333334</v>
      </c>
      <c r="K583" s="22">
        <f>13800/100</f>
        <v>138</v>
      </c>
      <c r="L583" s="4">
        <v>2013</v>
      </c>
      <c r="M583" s="4">
        <v>2013</v>
      </c>
      <c r="N583" s="4"/>
      <c r="O583" s="4" t="s">
        <v>67</v>
      </c>
      <c r="P583" s="4"/>
    </row>
    <row r="584" spans="1:16" ht="43.5" customHeight="1">
      <c r="A584" s="113">
        <v>120</v>
      </c>
      <c r="B584" s="42" t="s">
        <v>3265</v>
      </c>
      <c r="C584" s="12" t="s">
        <v>3264</v>
      </c>
      <c r="D584" s="12" t="s">
        <v>2430</v>
      </c>
      <c r="E584" s="4" t="s">
        <v>2431</v>
      </c>
      <c r="F584" s="12" t="s">
        <v>3259</v>
      </c>
      <c r="G584" s="12" t="s">
        <v>2331</v>
      </c>
      <c r="H584" s="12" t="s">
        <v>910</v>
      </c>
      <c r="I584" s="22">
        <f>0 - (11/60)</f>
        <v>-0.18333333333333332</v>
      </c>
      <c r="J584" s="22">
        <f>115 + (33.5/60)</f>
        <v>115.55833333333334</v>
      </c>
      <c r="K584" s="22">
        <f>13800/100</f>
        <v>138</v>
      </c>
      <c r="L584" s="9">
        <v>1990</v>
      </c>
      <c r="M584" s="9">
        <v>1990</v>
      </c>
      <c r="N584" s="4"/>
      <c r="O584" s="4" t="s">
        <v>67</v>
      </c>
      <c r="P584" s="5" t="s">
        <v>3266</v>
      </c>
    </row>
    <row r="585" spans="1:16" ht="38" customHeight="1">
      <c r="A585" s="113">
        <v>121</v>
      </c>
      <c r="B585" s="41" t="s">
        <v>3273</v>
      </c>
      <c r="C585" s="12" t="s">
        <v>3272</v>
      </c>
      <c r="D585" s="12" t="s">
        <v>2430</v>
      </c>
      <c r="E585" s="4" t="s">
        <v>2431</v>
      </c>
      <c r="F585" s="4" t="s">
        <v>3277</v>
      </c>
      <c r="G585" s="4" t="s">
        <v>3274</v>
      </c>
      <c r="H585" s="4" t="s">
        <v>780</v>
      </c>
      <c r="I585" s="22">
        <v>18.892454699999998</v>
      </c>
      <c r="J585" s="22">
        <v>-89.380381</v>
      </c>
      <c r="K585" s="22"/>
      <c r="L585" s="4">
        <v>1997</v>
      </c>
      <c r="M585" s="4">
        <v>2003</v>
      </c>
      <c r="N585" s="4"/>
      <c r="O585" s="4" t="s">
        <v>67</v>
      </c>
      <c r="P585" s="4"/>
    </row>
    <row r="586" spans="1:16" ht="32.5" customHeight="1">
      <c r="A586" s="113">
        <v>121</v>
      </c>
      <c r="B586" s="41" t="s">
        <v>3273</v>
      </c>
      <c r="C586" s="12" t="s">
        <v>3275</v>
      </c>
      <c r="D586" s="12" t="s">
        <v>2430</v>
      </c>
      <c r="E586" s="4" t="s">
        <v>2431</v>
      </c>
      <c r="F586" s="4" t="s">
        <v>3278</v>
      </c>
      <c r="G586" s="4" t="s">
        <v>3274</v>
      </c>
      <c r="H586" s="4" t="s">
        <v>780</v>
      </c>
      <c r="I586" s="22">
        <v>18.354931199999999</v>
      </c>
      <c r="J586" s="22">
        <v>-89.538063699999995</v>
      </c>
      <c r="K586" s="22"/>
      <c r="L586" s="4">
        <v>1997</v>
      </c>
      <c r="M586" s="4">
        <v>2003</v>
      </c>
      <c r="N586" s="4"/>
      <c r="O586" s="4" t="s">
        <v>67</v>
      </c>
      <c r="P586" s="4"/>
    </row>
    <row r="587" spans="1:16" ht="37" customHeight="1">
      <c r="A587" s="113">
        <v>121</v>
      </c>
      <c r="B587" s="41" t="s">
        <v>3273</v>
      </c>
      <c r="C587" s="12" t="s">
        <v>3276</v>
      </c>
      <c r="D587" s="12" t="s">
        <v>2430</v>
      </c>
      <c r="E587" s="4" t="s">
        <v>2431</v>
      </c>
      <c r="F587" s="4" t="s">
        <v>3279</v>
      </c>
      <c r="G587" s="4" t="s">
        <v>3274</v>
      </c>
      <c r="H587" s="4" t="s">
        <v>780</v>
      </c>
      <c r="I587" s="22">
        <v>18.297375899999999</v>
      </c>
      <c r="J587" s="22">
        <v>-88.653923800000001</v>
      </c>
      <c r="K587" s="22"/>
      <c r="L587" s="4">
        <v>1997</v>
      </c>
      <c r="M587" s="4">
        <v>2003</v>
      </c>
      <c r="N587" s="4"/>
      <c r="O587" s="4" t="s">
        <v>67</v>
      </c>
      <c r="P587" s="4"/>
    </row>
    <row r="588" spans="1:16" ht="35.5" customHeight="1">
      <c r="A588" s="113">
        <v>121</v>
      </c>
      <c r="B588" s="41" t="s">
        <v>3273</v>
      </c>
      <c r="C588" s="12" t="s">
        <v>3280</v>
      </c>
      <c r="D588" s="12" t="s">
        <v>2430</v>
      </c>
      <c r="E588" s="4" t="s">
        <v>2431</v>
      </c>
      <c r="F588" s="4" t="s">
        <v>3283</v>
      </c>
      <c r="G588" s="4" t="s">
        <v>3274</v>
      </c>
      <c r="H588" s="4" t="s">
        <v>780</v>
      </c>
      <c r="I588" s="22">
        <v>18.724161500000001</v>
      </c>
      <c r="J588" s="22">
        <v>-89.130375299999997</v>
      </c>
      <c r="K588" s="22"/>
      <c r="L588" s="4">
        <v>1997</v>
      </c>
      <c r="M588" s="4">
        <v>2003</v>
      </c>
      <c r="N588" s="4"/>
      <c r="O588" s="4" t="s">
        <v>67</v>
      </c>
      <c r="P588" s="4"/>
    </row>
    <row r="589" spans="1:16" ht="39" customHeight="1">
      <c r="A589" s="113">
        <v>121</v>
      </c>
      <c r="B589" s="41" t="s">
        <v>3273</v>
      </c>
      <c r="C589" s="12" t="s">
        <v>3281</v>
      </c>
      <c r="D589" s="12" t="s">
        <v>2430</v>
      </c>
      <c r="E589" s="4" t="s">
        <v>2431</v>
      </c>
      <c r="F589" s="153" t="s">
        <v>3284</v>
      </c>
      <c r="G589" s="4" t="s">
        <v>3274</v>
      </c>
      <c r="H589" s="4" t="s">
        <v>780</v>
      </c>
      <c r="I589" s="22">
        <f>AVERAGE(I585:I588, I590:I594, I596:I598)</f>
        <v>18.259933675000003</v>
      </c>
      <c r="J589" s="22">
        <f>AVERAGE(J585:J588, J590:J594, J596:J598)</f>
        <v>-90.020224825</v>
      </c>
      <c r="K589" s="22"/>
      <c r="L589" s="4">
        <v>1997</v>
      </c>
      <c r="M589" s="4">
        <v>2003</v>
      </c>
      <c r="N589" s="4"/>
      <c r="O589" s="4" t="s">
        <v>67</v>
      </c>
      <c r="P589" s="5" t="s">
        <v>3302</v>
      </c>
    </row>
    <row r="590" spans="1:16" ht="34.5" customHeight="1">
      <c r="A590" s="113">
        <v>121</v>
      </c>
      <c r="B590" s="41" t="s">
        <v>3273</v>
      </c>
      <c r="C590" s="12" t="s">
        <v>3282</v>
      </c>
      <c r="D590" s="12" t="s">
        <v>2430</v>
      </c>
      <c r="E590" s="4" t="s">
        <v>2431</v>
      </c>
      <c r="F590" s="4" t="s">
        <v>3285</v>
      </c>
      <c r="G590" s="4" t="s">
        <v>3274</v>
      </c>
      <c r="H590" s="4" t="s">
        <v>780</v>
      </c>
      <c r="I590" s="22">
        <v>18.4583491</v>
      </c>
      <c r="J590" s="22">
        <v>-88.929538800000003</v>
      </c>
      <c r="K590" s="22"/>
      <c r="L590" s="4">
        <v>1997</v>
      </c>
      <c r="M590" s="4">
        <v>2003</v>
      </c>
      <c r="N590" s="4"/>
      <c r="O590" s="4" t="s">
        <v>67</v>
      </c>
      <c r="P590" s="5"/>
    </row>
    <row r="591" spans="1:16" ht="33.5" customHeight="1">
      <c r="A591" s="113">
        <v>121</v>
      </c>
      <c r="B591" s="41" t="s">
        <v>3273</v>
      </c>
      <c r="C591" s="12" t="s">
        <v>3286</v>
      </c>
      <c r="D591" s="12" t="s">
        <v>2430</v>
      </c>
      <c r="E591" s="4" t="s">
        <v>2431</v>
      </c>
      <c r="F591" s="4" t="s">
        <v>3289</v>
      </c>
      <c r="G591" s="4" t="s">
        <v>3274</v>
      </c>
      <c r="H591" s="4" t="s">
        <v>780</v>
      </c>
      <c r="I591" s="22">
        <v>18.0716663</v>
      </c>
      <c r="J591" s="22">
        <v>-91.244444400000006</v>
      </c>
      <c r="K591" s="22"/>
      <c r="L591" s="4">
        <v>1997</v>
      </c>
      <c r="M591" s="4">
        <v>2003</v>
      </c>
      <c r="N591" s="4"/>
      <c r="O591" s="4" t="s">
        <v>67</v>
      </c>
      <c r="P591" s="5"/>
    </row>
    <row r="592" spans="1:16" ht="28" customHeight="1">
      <c r="A592" s="113">
        <v>121</v>
      </c>
      <c r="B592" s="41" t="s">
        <v>3273</v>
      </c>
      <c r="C592" s="12" t="s">
        <v>3287</v>
      </c>
      <c r="D592" s="12" t="s">
        <v>2430</v>
      </c>
      <c r="E592" s="4" t="s">
        <v>2431</v>
      </c>
      <c r="F592" s="4" t="s">
        <v>3290</v>
      </c>
      <c r="G592" s="4" t="s">
        <v>3274</v>
      </c>
      <c r="H592" s="4" t="s">
        <v>780</v>
      </c>
      <c r="I592" s="22">
        <v>17.7542899</v>
      </c>
      <c r="J592" s="22">
        <v>-91.823419099999995</v>
      </c>
      <c r="K592" s="22"/>
      <c r="L592" s="4">
        <v>1997</v>
      </c>
      <c r="M592" s="4">
        <v>2003</v>
      </c>
      <c r="N592" s="4"/>
      <c r="O592" s="4" t="s">
        <v>67</v>
      </c>
      <c r="P592" s="5"/>
    </row>
    <row r="593" spans="1:16" ht="35.5" customHeight="1">
      <c r="A593" s="113">
        <v>121</v>
      </c>
      <c r="B593" s="41" t="s">
        <v>3273</v>
      </c>
      <c r="C593" s="12" t="s">
        <v>3288</v>
      </c>
      <c r="D593" s="12" t="s">
        <v>2430</v>
      </c>
      <c r="E593" s="4" t="s">
        <v>2431</v>
      </c>
      <c r="F593" s="4" t="s">
        <v>3291</v>
      </c>
      <c r="G593" s="4" t="s">
        <v>3274</v>
      </c>
      <c r="H593" s="4" t="s">
        <v>780</v>
      </c>
      <c r="I593" s="22">
        <v>17.8246407</v>
      </c>
      <c r="J593" s="22">
        <v>-89.278543999999997</v>
      </c>
      <c r="K593" s="22"/>
      <c r="L593" s="4">
        <v>1997</v>
      </c>
      <c r="M593" s="4">
        <v>2003</v>
      </c>
      <c r="N593" s="4"/>
      <c r="O593" s="4" t="s">
        <v>67</v>
      </c>
      <c r="P593" s="5"/>
    </row>
    <row r="594" spans="1:16" ht="32.5" customHeight="1">
      <c r="A594" s="113">
        <v>121</v>
      </c>
      <c r="B594" s="41" t="s">
        <v>3273</v>
      </c>
      <c r="C594" s="12" t="s">
        <v>3292</v>
      </c>
      <c r="D594" s="12" t="s">
        <v>2430</v>
      </c>
      <c r="E594" s="4" t="s">
        <v>2431</v>
      </c>
      <c r="F594" s="4" t="s">
        <v>3295</v>
      </c>
      <c r="G594" s="4" t="s">
        <v>3274</v>
      </c>
      <c r="H594" s="4" t="s">
        <v>780</v>
      </c>
      <c r="I594" s="22">
        <v>18.481388500000001</v>
      </c>
      <c r="J594" s="22">
        <v>-90.208333300000007</v>
      </c>
      <c r="K594" s="22"/>
      <c r="L594" s="4">
        <v>1997</v>
      </c>
      <c r="M594" s="4">
        <v>2003</v>
      </c>
      <c r="N594" s="4"/>
      <c r="O594" s="4" t="s">
        <v>67</v>
      </c>
      <c r="P594" s="5"/>
    </row>
    <row r="595" spans="1:16" ht="36.5" customHeight="1">
      <c r="A595" s="113">
        <v>121</v>
      </c>
      <c r="B595" s="41" t="s">
        <v>3273</v>
      </c>
      <c r="C595" s="12" t="s">
        <v>3293</v>
      </c>
      <c r="D595" s="12" t="s">
        <v>2430</v>
      </c>
      <c r="E595" s="4" t="s">
        <v>2431</v>
      </c>
      <c r="F595" s="153" t="s">
        <v>3296</v>
      </c>
      <c r="G595" s="4" t="s">
        <v>3274</v>
      </c>
      <c r="H595" s="4" t="s">
        <v>780</v>
      </c>
      <c r="I595" s="22">
        <v>18.259933675000003</v>
      </c>
      <c r="J595" s="22">
        <v>-90.020224825</v>
      </c>
      <c r="K595" s="22"/>
      <c r="L595" s="4">
        <v>1997</v>
      </c>
      <c r="M595" s="4">
        <v>2003</v>
      </c>
      <c r="N595" s="4"/>
      <c r="O595" s="4" t="s">
        <v>67</v>
      </c>
      <c r="P595" s="5" t="s">
        <v>3302</v>
      </c>
    </row>
    <row r="596" spans="1:16" ht="34.5" customHeight="1">
      <c r="A596" s="113">
        <v>121</v>
      </c>
      <c r="B596" s="41" t="s">
        <v>3273</v>
      </c>
      <c r="C596" s="12" t="s">
        <v>3294</v>
      </c>
      <c r="D596" s="12" t="s">
        <v>2430</v>
      </c>
      <c r="E596" s="4" t="s">
        <v>2431</v>
      </c>
      <c r="F596" s="4" t="s">
        <v>3297</v>
      </c>
      <c r="G596" s="4" t="s">
        <v>3274</v>
      </c>
      <c r="H596" s="4" t="s">
        <v>780</v>
      </c>
      <c r="I596" s="22">
        <v>17.9226797</v>
      </c>
      <c r="J596" s="22">
        <v>-89.227179000000007</v>
      </c>
      <c r="K596" s="22"/>
      <c r="L596" s="4">
        <v>1997</v>
      </c>
      <c r="M596" s="4">
        <v>2003</v>
      </c>
      <c r="N596" s="4"/>
      <c r="O596" s="4" t="s">
        <v>67</v>
      </c>
      <c r="P596" s="4"/>
    </row>
    <row r="597" spans="1:16" ht="32" customHeight="1">
      <c r="A597" s="113">
        <v>121</v>
      </c>
      <c r="B597" s="41" t="s">
        <v>3273</v>
      </c>
      <c r="C597" s="12" t="s">
        <v>3298</v>
      </c>
      <c r="D597" s="12" t="s">
        <v>2430</v>
      </c>
      <c r="E597" s="4" t="s">
        <v>2431</v>
      </c>
      <c r="F597" s="4" t="s">
        <v>3300</v>
      </c>
      <c r="G597" s="4" t="s">
        <v>3274</v>
      </c>
      <c r="H597" s="4" t="s">
        <v>780</v>
      </c>
      <c r="I597" s="22">
        <v>18.020896700000002</v>
      </c>
      <c r="J597" s="22">
        <v>-93.382742100000002</v>
      </c>
      <c r="K597" s="22"/>
      <c r="L597" s="4">
        <v>1997</v>
      </c>
      <c r="M597" s="4">
        <v>2003</v>
      </c>
      <c r="N597" s="4"/>
      <c r="O597" s="4" t="s">
        <v>67</v>
      </c>
      <c r="P597" s="4"/>
    </row>
    <row r="598" spans="1:16" ht="32.5" customHeight="1">
      <c r="A598" s="113">
        <v>121</v>
      </c>
      <c r="B598" s="41" t="s">
        <v>3273</v>
      </c>
      <c r="C598" s="12" t="s">
        <v>3299</v>
      </c>
      <c r="D598" s="12" t="s">
        <v>2430</v>
      </c>
      <c r="E598" s="4" t="s">
        <v>2431</v>
      </c>
      <c r="F598" s="4" t="s">
        <v>3301</v>
      </c>
      <c r="G598" s="4" t="s">
        <v>3274</v>
      </c>
      <c r="H598" s="4" t="s">
        <v>780</v>
      </c>
      <c r="I598" s="22">
        <v>18.316369900000002</v>
      </c>
      <c r="J598" s="22">
        <v>-89.445753400000001</v>
      </c>
      <c r="K598" s="22"/>
      <c r="L598" s="4">
        <v>1997</v>
      </c>
      <c r="M598" s="4">
        <v>2003</v>
      </c>
      <c r="N598" s="4"/>
      <c r="O598" s="4" t="s">
        <v>67</v>
      </c>
      <c r="P598" s="4"/>
    </row>
    <row r="599" spans="1:16" ht="31.5" customHeight="1">
      <c r="A599" s="113">
        <v>122</v>
      </c>
      <c r="B599" s="41" t="s">
        <v>3319</v>
      </c>
      <c r="C599" s="12" t="s">
        <v>3320</v>
      </c>
      <c r="D599" s="12" t="s">
        <v>2430</v>
      </c>
      <c r="E599" s="4" t="s">
        <v>2431</v>
      </c>
      <c r="F599" s="5" t="s">
        <v>3322</v>
      </c>
      <c r="G599" s="4" t="s">
        <v>171</v>
      </c>
      <c r="H599" s="4" t="s">
        <v>127</v>
      </c>
      <c r="I599" s="22">
        <v>-13.3238237</v>
      </c>
      <c r="J599" s="22">
        <v>-51.679792200000001</v>
      </c>
      <c r="K599" s="166">
        <f>328966/100</f>
        <v>3289.66</v>
      </c>
      <c r="L599" s="4">
        <v>2001</v>
      </c>
      <c r="M599" s="4">
        <v>2002</v>
      </c>
      <c r="N599" s="4"/>
      <c r="O599" s="4" t="s">
        <v>67</v>
      </c>
      <c r="P599" s="4"/>
    </row>
    <row r="600" spans="1:16" ht="31" customHeight="1">
      <c r="A600" s="113">
        <v>122</v>
      </c>
      <c r="B600" s="41" t="s">
        <v>3319</v>
      </c>
      <c r="C600" s="12" t="s">
        <v>3321</v>
      </c>
      <c r="D600" s="12" t="s">
        <v>2430</v>
      </c>
      <c r="E600" s="4" t="s">
        <v>2431</v>
      </c>
      <c r="F600" s="4" t="s">
        <v>3323</v>
      </c>
      <c r="G600" s="4" t="s">
        <v>171</v>
      </c>
      <c r="H600" s="4" t="s">
        <v>127</v>
      </c>
      <c r="I600" s="168">
        <v>-14.3885811</v>
      </c>
      <c r="J600" s="168">
        <v>-52.014338700000003</v>
      </c>
      <c r="K600" s="166">
        <f>218515/100</f>
        <v>2185.15</v>
      </c>
      <c r="L600" s="4">
        <v>2001</v>
      </c>
      <c r="M600" s="4">
        <v>2002</v>
      </c>
      <c r="N600" s="4"/>
      <c r="O600" s="4" t="s">
        <v>67</v>
      </c>
      <c r="P600" s="4"/>
    </row>
    <row r="601" spans="1:16" ht="28" customHeight="1">
      <c r="A601" s="113">
        <v>123</v>
      </c>
      <c r="B601" s="41" t="s">
        <v>3330</v>
      </c>
      <c r="C601" s="12" t="s">
        <v>3331</v>
      </c>
      <c r="D601" s="12" t="s">
        <v>2430</v>
      </c>
      <c r="E601" s="4" t="s">
        <v>2431</v>
      </c>
      <c r="F601" s="4" t="s">
        <v>3333</v>
      </c>
      <c r="G601" s="4" t="s">
        <v>3332</v>
      </c>
      <c r="H601" s="4" t="s">
        <v>1973</v>
      </c>
      <c r="I601" s="168">
        <v>5.7156862000000004</v>
      </c>
      <c r="J601" s="168">
        <v>36.471662000000002</v>
      </c>
      <c r="K601" s="22">
        <f>40*40</f>
        <v>1600</v>
      </c>
      <c r="L601" s="4">
        <v>2008</v>
      </c>
      <c r="M601" s="4">
        <v>2008</v>
      </c>
      <c r="N601" s="4">
        <f>10000/K601</f>
        <v>6.25</v>
      </c>
      <c r="O601" s="4" t="s">
        <v>67</v>
      </c>
      <c r="P601" s="5" t="s">
        <v>3338</v>
      </c>
    </row>
    <row r="602" spans="1:16" ht="32.5" customHeight="1">
      <c r="A602" s="113">
        <v>123</v>
      </c>
      <c r="B602" s="41" t="s">
        <v>3330</v>
      </c>
      <c r="C602" s="4" t="s">
        <v>3336</v>
      </c>
      <c r="D602" s="12" t="s">
        <v>2430</v>
      </c>
      <c r="E602" s="4" t="s">
        <v>2431</v>
      </c>
      <c r="F602" s="12" t="s">
        <v>3334</v>
      </c>
      <c r="G602" s="4" t="s">
        <v>3332</v>
      </c>
      <c r="H602" s="4" t="s">
        <v>1973</v>
      </c>
      <c r="I602" s="168">
        <v>5.8939000000000004</v>
      </c>
      <c r="J602" s="168">
        <v>36.153799999999997</v>
      </c>
      <c r="K602" s="22">
        <f t="shared" ref="K602:K606" si="2">40*40</f>
        <v>1600</v>
      </c>
      <c r="L602" s="4">
        <v>2008</v>
      </c>
      <c r="M602" s="4">
        <v>2008</v>
      </c>
      <c r="N602" s="4">
        <f t="shared" ref="N602:N603" si="3">10000/K602</f>
        <v>6.25</v>
      </c>
      <c r="O602" s="4" t="s">
        <v>67</v>
      </c>
      <c r="P602" s="5" t="s">
        <v>3338</v>
      </c>
    </row>
    <row r="603" spans="1:16" ht="35.5" customHeight="1">
      <c r="A603" s="113">
        <v>123</v>
      </c>
      <c r="B603" s="41" t="s">
        <v>3330</v>
      </c>
      <c r="C603" s="4" t="s">
        <v>3337</v>
      </c>
      <c r="D603" s="12" t="s">
        <v>2430</v>
      </c>
      <c r="E603" s="4" t="s">
        <v>2431</v>
      </c>
      <c r="F603" s="12" t="s">
        <v>3335</v>
      </c>
      <c r="G603" s="4" t="s">
        <v>3332</v>
      </c>
      <c r="H603" s="4" t="s">
        <v>1973</v>
      </c>
      <c r="I603" s="168">
        <f>5+(35/60)</f>
        <v>5.583333333333333</v>
      </c>
      <c r="J603" s="168">
        <f>35 + (56/60)</f>
        <v>35.93333333333333</v>
      </c>
      <c r="K603" s="22">
        <f t="shared" si="2"/>
        <v>1600</v>
      </c>
      <c r="L603" s="4">
        <v>2008</v>
      </c>
      <c r="M603" s="4">
        <v>2008</v>
      </c>
      <c r="N603" s="4">
        <f t="shared" si="3"/>
        <v>6.25</v>
      </c>
      <c r="O603" s="4" t="s">
        <v>67</v>
      </c>
      <c r="P603" s="5" t="s">
        <v>3338</v>
      </c>
    </row>
    <row r="604" spans="1:16" ht="36.5" customHeight="1">
      <c r="A604" s="113">
        <v>123</v>
      </c>
      <c r="B604" s="41" t="s">
        <v>3330</v>
      </c>
      <c r="C604" s="12" t="s">
        <v>3339</v>
      </c>
      <c r="D604" s="12" t="s">
        <v>2430</v>
      </c>
      <c r="E604" s="4" t="s">
        <v>2431</v>
      </c>
      <c r="F604" s="4" t="s">
        <v>3333</v>
      </c>
      <c r="G604" s="4" t="s">
        <v>3332</v>
      </c>
      <c r="H604" s="4" t="s">
        <v>1973</v>
      </c>
      <c r="I604" s="168">
        <v>5.7156862000000004</v>
      </c>
      <c r="J604" s="168">
        <v>36.471662000000002</v>
      </c>
      <c r="K604" s="22">
        <f>40*40</f>
        <v>1600</v>
      </c>
      <c r="L604" s="4">
        <v>1968</v>
      </c>
      <c r="M604" s="4">
        <v>1970</v>
      </c>
      <c r="N604" s="4">
        <f>6000/K604</f>
        <v>3.75</v>
      </c>
      <c r="O604" s="4" t="s">
        <v>67</v>
      </c>
      <c r="P604" s="5" t="s">
        <v>3338</v>
      </c>
    </row>
    <row r="605" spans="1:16" ht="33.5" customHeight="1">
      <c r="A605" s="113">
        <v>123</v>
      </c>
      <c r="B605" s="41" t="s">
        <v>3330</v>
      </c>
      <c r="C605" s="4" t="s">
        <v>3340</v>
      </c>
      <c r="D605" s="12" t="s">
        <v>2430</v>
      </c>
      <c r="E605" s="4" t="s">
        <v>2431</v>
      </c>
      <c r="F605" s="12" t="s">
        <v>3334</v>
      </c>
      <c r="G605" s="4" t="s">
        <v>3332</v>
      </c>
      <c r="H605" s="4" t="s">
        <v>1973</v>
      </c>
      <c r="I605" s="168">
        <v>5.8939000000000004</v>
      </c>
      <c r="J605" s="168">
        <v>36.153799999999997</v>
      </c>
      <c r="K605" s="22">
        <f t="shared" si="2"/>
        <v>1600</v>
      </c>
      <c r="L605" s="4">
        <v>1968</v>
      </c>
      <c r="M605" s="4">
        <v>1970</v>
      </c>
      <c r="N605" s="4">
        <f t="shared" ref="N605:N606" si="4">6000/K605</f>
        <v>3.75</v>
      </c>
      <c r="O605" s="4" t="s">
        <v>67</v>
      </c>
      <c r="P605" s="5" t="s">
        <v>3338</v>
      </c>
    </row>
    <row r="606" spans="1:16" ht="32" customHeight="1">
      <c r="A606" s="113">
        <v>123</v>
      </c>
      <c r="B606" s="41" t="s">
        <v>3330</v>
      </c>
      <c r="C606" s="4" t="s">
        <v>3341</v>
      </c>
      <c r="D606" s="12" t="s">
        <v>2430</v>
      </c>
      <c r="E606" s="4" t="s">
        <v>2431</v>
      </c>
      <c r="F606" s="12" t="s">
        <v>3335</v>
      </c>
      <c r="G606" s="4" t="s">
        <v>3332</v>
      </c>
      <c r="H606" s="4" t="s">
        <v>1973</v>
      </c>
      <c r="I606" s="168">
        <f>5+(35/60)</f>
        <v>5.583333333333333</v>
      </c>
      <c r="J606" s="168">
        <f>35 + (56/60)</f>
        <v>35.93333333333333</v>
      </c>
      <c r="K606" s="22">
        <f t="shared" si="2"/>
        <v>1600</v>
      </c>
      <c r="L606" s="4">
        <v>1968</v>
      </c>
      <c r="M606" s="4">
        <v>1970</v>
      </c>
      <c r="N606" s="4">
        <f t="shared" si="4"/>
        <v>3.75</v>
      </c>
      <c r="O606" s="4" t="s">
        <v>67</v>
      </c>
      <c r="P606" s="5" t="s">
        <v>3338</v>
      </c>
    </row>
    <row r="607" spans="1:16" ht="29" customHeight="1">
      <c r="A607" s="113">
        <v>124</v>
      </c>
      <c r="B607" s="41" t="s">
        <v>3370</v>
      </c>
      <c r="C607" s="4" t="s">
        <v>3349</v>
      </c>
      <c r="D607" s="4" t="s">
        <v>2449</v>
      </c>
      <c r="E607" s="4" t="s">
        <v>2431</v>
      </c>
      <c r="F607" s="4" t="s">
        <v>3371</v>
      </c>
      <c r="G607" s="4" t="s">
        <v>3372</v>
      </c>
      <c r="H607" s="4" t="s">
        <v>612</v>
      </c>
      <c r="I607" s="22">
        <v>-17.5157697</v>
      </c>
      <c r="J607" s="22">
        <v>48.429371000000003</v>
      </c>
      <c r="K607" s="22">
        <f>9850/100</f>
        <v>98.5</v>
      </c>
      <c r="L607" s="12">
        <v>2007</v>
      </c>
      <c r="M607" s="12">
        <v>2007</v>
      </c>
      <c r="N607" s="22" t="s">
        <v>2308</v>
      </c>
      <c r="O607" s="4" t="s">
        <v>67</v>
      </c>
      <c r="P607" s="4"/>
    </row>
    <row r="608" spans="1:16" ht="37" customHeight="1">
      <c r="A608" s="113">
        <v>125</v>
      </c>
      <c r="B608" s="41" t="s">
        <v>3385</v>
      </c>
      <c r="C608" s="12" t="s">
        <v>3386</v>
      </c>
      <c r="D608" s="4" t="s">
        <v>2449</v>
      </c>
      <c r="E608" s="4" t="s">
        <v>2431</v>
      </c>
      <c r="F608" s="4" t="s">
        <v>3387</v>
      </c>
      <c r="G608" s="4" t="s">
        <v>3372</v>
      </c>
      <c r="H608" s="4" t="s">
        <v>612</v>
      </c>
      <c r="I608" s="22">
        <v>-17.350000000000001</v>
      </c>
      <c r="J608" s="22">
        <v>48.4</v>
      </c>
      <c r="K608" s="22">
        <f>(23000+81500)/100</f>
        <v>1045</v>
      </c>
      <c r="L608" s="4">
        <v>2000</v>
      </c>
      <c r="M608" s="4">
        <v>2003</v>
      </c>
      <c r="N608" s="22" t="s">
        <v>2308</v>
      </c>
      <c r="O608" s="4" t="s">
        <v>67</v>
      </c>
      <c r="P608" s="4" t="s">
        <v>2246</v>
      </c>
    </row>
    <row r="609" spans="1:16" ht="39" customHeight="1">
      <c r="A609" s="113">
        <v>126</v>
      </c>
      <c r="B609" s="41" t="s">
        <v>3412</v>
      </c>
      <c r="C609" s="4" t="s">
        <v>3413</v>
      </c>
      <c r="D609" s="4" t="s">
        <v>2430</v>
      </c>
      <c r="E609" s="4" t="s">
        <v>2431</v>
      </c>
      <c r="F609" s="4" t="s">
        <v>3414</v>
      </c>
      <c r="G609" s="4" t="s">
        <v>2308</v>
      </c>
      <c r="H609" s="4" t="s">
        <v>187</v>
      </c>
      <c r="I609" s="22">
        <v>8.3047433000000002</v>
      </c>
      <c r="J609" s="22">
        <v>13.7923908</v>
      </c>
      <c r="K609" s="22">
        <v>1800</v>
      </c>
      <c r="L609" s="4">
        <v>2004</v>
      </c>
      <c r="M609" s="4">
        <v>2004</v>
      </c>
      <c r="N609" s="22" t="s">
        <v>2308</v>
      </c>
      <c r="O609" s="4" t="s">
        <v>67</v>
      </c>
      <c r="P609" s="4"/>
    </row>
    <row r="610" spans="1:16" ht="32" customHeight="1">
      <c r="A610" s="113">
        <v>127</v>
      </c>
      <c r="B610" s="41" t="s">
        <v>3418</v>
      </c>
      <c r="C610" s="4" t="s">
        <v>3419</v>
      </c>
      <c r="D610" s="4" t="s">
        <v>2430</v>
      </c>
      <c r="E610" s="4" t="s">
        <v>2431</v>
      </c>
      <c r="F610" s="4" t="s">
        <v>3421</v>
      </c>
      <c r="G610" s="12" t="s">
        <v>3417</v>
      </c>
      <c r="H610" s="4" t="s">
        <v>1973</v>
      </c>
      <c r="I610" s="22">
        <v>9.0598636999999993</v>
      </c>
      <c r="J610" s="22">
        <v>40.002817700000001</v>
      </c>
      <c r="K610" s="22">
        <v>1080</v>
      </c>
      <c r="L610" s="9">
        <v>2000</v>
      </c>
      <c r="M610" s="9">
        <v>2000</v>
      </c>
      <c r="N610" s="22">
        <f>21442/K610</f>
        <v>19.853703703703705</v>
      </c>
      <c r="O610" s="4" t="s">
        <v>67</v>
      </c>
      <c r="P610" s="5" t="s">
        <v>3434</v>
      </c>
    </row>
    <row r="611" spans="1:16" ht="36.5" customHeight="1">
      <c r="A611" s="113">
        <v>127</v>
      </c>
      <c r="B611" s="41" t="s">
        <v>3418</v>
      </c>
      <c r="C611" s="4" t="s">
        <v>3420</v>
      </c>
      <c r="D611" s="4" t="s">
        <v>2430</v>
      </c>
      <c r="E611" s="4" t="s">
        <v>2431</v>
      </c>
      <c r="F611" s="4" t="s">
        <v>3422</v>
      </c>
      <c r="G611" s="12" t="s">
        <v>3417</v>
      </c>
      <c r="H611" s="4" t="s">
        <v>1973</v>
      </c>
      <c r="I611" s="22">
        <v>8.9253792999999995</v>
      </c>
      <c r="J611" s="22">
        <v>39.949866499999999</v>
      </c>
      <c r="K611" s="22">
        <v>1169</v>
      </c>
      <c r="L611" s="9">
        <v>2000</v>
      </c>
      <c r="M611" s="9">
        <v>2000</v>
      </c>
      <c r="N611" s="22">
        <f>74932/K611</f>
        <v>64.099230111206154</v>
      </c>
      <c r="O611" s="4" t="s">
        <v>67</v>
      </c>
      <c r="P611" s="5" t="s">
        <v>3434</v>
      </c>
    </row>
    <row r="612" spans="1:16" ht="32" customHeight="1">
      <c r="A612" s="113">
        <v>128</v>
      </c>
      <c r="B612" s="41" t="s">
        <v>3426</v>
      </c>
      <c r="C612" s="4" t="s">
        <v>3427</v>
      </c>
      <c r="D612" s="4" t="s">
        <v>2430</v>
      </c>
      <c r="E612" s="4" t="s">
        <v>2431</v>
      </c>
      <c r="F612" s="4" t="s">
        <v>3429</v>
      </c>
      <c r="G612" s="4" t="s">
        <v>3433</v>
      </c>
      <c r="H612" s="4" t="s">
        <v>1973</v>
      </c>
      <c r="I612" s="22">
        <v>4.7214292000000002</v>
      </c>
      <c r="J612" s="22">
        <v>38.765087100000002</v>
      </c>
      <c r="K612" s="22" t="s">
        <v>2308</v>
      </c>
      <c r="L612" s="4">
        <v>2002</v>
      </c>
      <c r="M612" s="4">
        <v>2003</v>
      </c>
      <c r="N612" s="22" t="s">
        <v>2308</v>
      </c>
      <c r="O612" s="4" t="s">
        <v>67</v>
      </c>
      <c r="P612" s="4"/>
    </row>
    <row r="613" spans="1:16" ht="31" customHeight="1">
      <c r="A613" s="113">
        <v>128</v>
      </c>
      <c r="B613" s="41" t="s">
        <v>3426</v>
      </c>
      <c r="C613" s="4" t="s">
        <v>3428</v>
      </c>
      <c r="D613" s="4" t="s">
        <v>2430</v>
      </c>
      <c r="E613" s="4" t="s">
        <v>2431</v>
      </c>
      <c r="F613" s="4" t="s">
        <v>3430</v>
      </c>
      <c r="G613" s="4" t="s">
        <v>3433</v>
      </c>
      <c r="H613" s="4" t="s">
        <v>1973</v>
      </c>
      <c r="I613" s="22">
        <v>4.9833328999999997</v>
      </c>
      <c r="J613" s="22">
        <v>37.1</v>
      </c>
      <c r="K613" s="22" t="s">
        <v>2308</v>
      </c>
      <c r="L613" s="4">
        <v>2002</v>
      </c>
      <c r="M613" s="4">
        <v>2003</v>
      </c>
      <c r="N613" s="22" t="s">
        <v>2308</v>
      </c>
      <c r="O613" s="4" t="s">
        <v>67</v>
      </c>
      <c r="P613" s="4"/>
    </row>
    <row r="614" spans="1:16" ht="29" customHeight="1">
      <c r="A614" s="113">
        <v>128</v>
      </c>
      <c r="B614" s="41" t="s">
        <v>3426</v>
      </c>
      <c r="C614" s="4" t="s">
        <v>3432</v>
      </c>
      <c r="D614" s="4" t="s">
        <v>2430</v>
      </c>
      <c r="E614" s="4" t="s">
        <v>2431</v>
      </c>
      <c r="F614" s="12" t="s">
        <v>3431</v>
      </c>
      <c r="G614" s="4" t="s">
        <v>3433</v>
      </c>
      <c r="H614" s="4" t="s">
        <v>1973</v>
      </c>
      <c r="I614" s="22">
        <v>4.8933847000000004</v>
      </c>
      <c r="J614" s="22">
        <v>38.1082678</v>
      </c>
      <c r="K614" s="22" t="s">
        <v>2308</v>
      </c>
      <c r="L614" s="4">
        <v>2002</v>
      </c>
      <c r="M614" s="4">
        <v>2003</v>
      </c>
      <c r="N614" s="22" t="s">
        <v>2308</v>
      </c>
      <c r="O614" s="4" t="s">
        <v>67</v>
      </c>
      <c r="P614" s="4"/>
    </row>
    <row r="615" spans="1:16" ht="33" customHeight="1">
      <c r="A615" s="113">
        <v>129</v>
      </c>
      <c r="B615" s="41" t="s">
        <v>3452</v>
      </c>
      <c r="C615" s="4" t="s">
        <v>3435</v>
      </c>
      <c r="D615" s="4" t="s">
        <v>2430</v>
      </c>
      <c r="E615" s="4" t="s">
        <v>2431</v>
      </c>
      <c r="F615" s="4" t="s">
        <v>3453</v>
      </c>
      <c r="G615" s="4" t="s">
        <v>3454</v>
      </c>
      <c r="H615" s="4" t="s">
        <v>1973</v>
      </c>
      <c r="I615" s="22">
        <f>4 +(48.6/60)</f>
        <v>4.8100000000000005</v>
      </c>
      <c r="J615" s="22">
        <f>38+(19.1/60)</f>
        <v>38.318333333333335</v>
      </c>
      <c r="K615" s="22" t="s">
        <v>2308</v>
      </c>
      <c r="L615" s="4">
        <v>1970</v>
      </c>
      <c r="M615" s="4">
        <v>1979</v>
      </c>
      <c r="N615" s="22" t="s">
        <v>2308</v>
      </c>
      <c r="O615" s="4" t="s">
        <v>67</v>
      </c>
      <c r="P615" s="5" t="s">
        <v>3455</v>
      </c>
    </row>
    <row r="616" spans="1:16" ht="33.5" customHeight="1">
      <c r="A616" s="113">
        <v>129</v>
      </c>
      <c r="B616" s="41" t="s">
        <v>3452</v>
      </c>
      <c r="C616" s="4" t="s">
        <v>3436</v>
      </c>
      <c r="D616" s="4" t="s">
        <v>2430</v>
      </c>
      <c r="E616" s="4" t="s">
        <v>2431</v>
      </c>
      <c r="F616" s="4" t="s">
        <v>3453</v>
      </c>
      <c r="G616" s="4" t="s">
        <v>3454</v>
      </c>
      <c r="H616" s="4" t="s">
        <v>1973</v>
      </c>
      <c r="I616" s="22">
        <f>4 +(48.6/60)</f>
        <v>4.8100000000000005</v>
      </c>
      <c r="J616" s="22">
        <f>38+(19.1/60)</f>
        <v>38.318333333333335</v>
      </c>
      <c r="K616" s="22" t="s">
        <v>2308</v>
      </c>
      <c r="L616" s="4">
        <v>1980</v>
      </c>
      <c r="M616" s="4">
        <v>1989</v>
      </c>
      <c r="N616" s="22" t="s">
        <v>2308</v>
      </c>
      <c r="O616" s="4" t="s">
        <v>67</v>
      </c>
      <c r="P616" s="5" t="s">
        <v>3455</v>
      </c>
    </row>
    <row r="617" spans="1:16" ht="32" customHeight="1">
      <c r="A617" s="113">
        <v>129</v>
      </c>
      <c r="B617" s="41" t="s">
        <v>3452</v>
      </c>
      <c r="C617" s="4" t="s">
        <v>3436</v>
      </c>
      <c r="D617" s="4" t="s">
        <v>2430</v>
      </c>
      <c r="E617" s="4" t="s">
        <v>2431</v>
      </c>
      <c r="F617" s="4" t="s">
        <v>3453</v>
      </c>
      <c r="G617" s="4" t="s">
        <v>3454</v>
      </c>
      <c r="H617" s="4" t="s">
        <v>1973</v>
      </c>
      <c r="I617" s="22">
        <f>4 +(48.6/60)</f>
        <v>4.8100000000000005</v>
      </c>
      <c r="J617" s="22">
        <f>38+(19.1/60)</f>
        <v>38.318333333333335</v>
      </c>
      <c r="K617" s="22" t="s">
        <v>2308</v>
      </c>
      <c r="L617" s="4">
        <v>2003</v>
      </c>
      <c r="M617" s="4">
        <v>2003</v>
      </c>
      <c r="N617" s="22" t="s">
        <v>2308</v>
      </c>
      <c r="O617" s="4" t="s">
        <v>67</v>
      </c>
      <c r="P617" s="5" t="s">
        <v>3455</v>
      </c>
    </row>
    <row r="618" spans="1:16" ht="39" customHeight="1">
      <c r="A618" s="113">
        <v>130</v>
      </c>
      <c r="B618" s="41" t="s">
        <v>3461</v>
      </c>
      <c r="C618" s="12" t="s">
        <v>3462</v>
      </c>
      <c r="D618" s="4" t="s">
        <v>2430</v>
      </c>
      <c r="E618" s="4" t="s">
        <v>2431</v>
      </c>
      <c r="F618" s="4" t="s">
        <v>3469</v>
      </c>
      <c r="G618" s="4" t="s">
        <v>3464</v>
      </c>
      <c r="H618" s="4" t="s">
        <v>3463</v>
      </c>
      <c r="I618" s="22">
        <v>-22.8202973</v>
      </c>
      <c r="J618" s="22">
        <v>122.12676570000001</v>
      </c>
      <c r="K618" s="22" t="s">
        <v>2308</v>
      </c>
      <c r="L618" s="4">
        <v>2000</v>
      </c>
      <c r="M618" s="4">
        <v>2001</v>
      </c>
      <c r="N618" s="22" t="s">
        <v>2308</v>
      </c>
      <c r="O618" s="4" t="s">
        <v>67</v>
      </c>
      <c r="P618" s="4" t="s">
        <v>2246</v>
      </c>
    </row>
    <row r="619" spans="1:16" ht="39" customHeight="1">
      <c r="A619" s="113">
        <v>131</v>
      </c>
      <c r="B619" s="41" t="s">
        <v>3474</v>
      </c>
      <c r="C619" s="12" t="s">
        <v>3475</v>
      </c>
      <c r="D619" s="4" t="s">
        <v>2430</v>
      </c>
      <c r="E619" s="4" t="s">
        <v>2432</v>
      </c>
      <c r="F619" s="5" t="s">
        <v>3476</v>
      </c>
      <c r="G619" s="4" t="s">
        <v>3464</v>
      </c>
      <c r="H619" s="4" t="s">
        <v>3463</v>
      </c>
      <c r="I619" s="22">
        <f>-22-(58/2/60)</f>
        <v>-22.483333333333334</v>
      </c>
      <c r="J619" s="22">
        <f>AVERAGE(127.5, 128+5/6)</f>
        <v>128.16666666666669</v>
      </c>
      <c r="K619" s="22">
        <f>241210/100</f>
        <v>2412.1</v>
      </c>
      <c r="L619" s="4">
        <v>1953</v>
      </c>
      <c r="M619" s="4">
        <v>2000</v>
      </c>
      <c r="N619" s="22" t="s">
        <v>2308</v>
      </c>
      <c r="O619" s="4" t="s">
        <v>67</v>
      </c>
      <c r="P619" s="4" t="s">
        <v>3477</v>
      </c>
    </row>
    <row r="620" spans="1:16" ht="40.5" customHeight="1">
      <c r="A620" s="113">
        <v>132</v>
      </c>
      <c r="B620" s="41" t="s">
        <v>3493</v>
      </c>
      <c r="C620" s="12" t="s">
        <v>3494</v>
      </c>
      <c r="D620" s="4" t="s">
        <v>2430</v>
      </c>
      <c r="E620" s="4" t="s">
        <v>2431</v>
      </c>
      <c r="F620" s="5" t="s">
        <v>3507</v>
      </c>
      <c r="G620" s="4" t="s">
        <v>3508</v>
      </c>
      <c r="H620" s="4" t="s">
        <v>3463</v>
      </c>
      <c r="I620" s="22">
        <v>-13.1</v>
      </c>
      <c r="J620" s="22">
        <f>132 +(25/60)</f>
        <v>132.41666666666666</v>
      </c>
      <c r="K620" s="22" t="s">
        <v>2308</v>
      </c>
      <c r="L620" s="4">
        <v>1981</v>
      </c>
      <c r="M620" s="4">
        <v>1993</v>
      </c>
      <c r="N620" s="22" t="s">
        <v>2308</v>
      </c>
      <c r="O620" s="4" t="s">
        <v>67</v>
      </c>
      <c r="P620" s="4" t="s">
        <v>3495</v>
      </c>
    </row>
    <row r="621" spans="1:16" ht="43" customHeight="1">
      <c r="A621" s="113">
        <v>133</v>
      </c>
      <c r="B621" s="41" t="s">
        <v>3510</v>
      </c>
      <c r="C621" s="4" t="s">
        <v>3509</v>
      </c>
      <c r="D621" s="4" t="s">
        <v>2430</v>
      </c>
      <c r="E621" s="4" t="s">
        <v>2431</v>
      </c>
      <c r="F621" s="4" t="s">
        <v>3511</v>
      </c>
      <c r="G621" s="4" t="s">
        <v>2308</v>
      </c>
      <c r="H621" s="4" t="s">
        <v>612</v>
      </c>
      <c r="I621" s="95">
        <f>-16-(0.266666666666667)</f>
        <v>-16.266666666666666</v>
      </c>
      <c r="J621" s="95">
        <f>46 +( 55/60)</f>
        <v>46.916666666666664</v>
      </c>
      <c r="K621" s="22" t="s">
        <v>2308</v>
      </c>
      <c r="L621" s="4">
        <v>1997</v>
      </c>
      <c r="M621" s="4">
        <v>1997</v>
      </c>
      <c r="N621" s="22" t="s">
        <v>2308</v>
      </c>
      <c r="O621" s="4" t="s">
        <v>67</v>
      </c>
      <c r="P621" s="4"/>
    </row>
    <row r="622" spans="1:16" ht="44" customHeight="1">
      <c r="A622" s="113">
        <v>134</v>
      </c>
      <c r="B622" s="41" t="s">
        <v>3536</v>
      </c>
      <c r="C622" s="4" t="s">
        <v>3540</v>
      </c>
      <c r="D622" s="4" t="s">
        <v>2430</v>
      </c>
      <c r="E622" s="4" t="s">
        <v>2670</v>
      </c>
      <c r="F622" s="4" t="s">
        <v>3537</v>
      </c>
      <c r="G622" s="4" t="s">
        <v>3538</v>
      </c>
      <c r="H622" s="4" t="s">
        <v>3539</v>
      </c>
      <c r="I622" s="95">
        <v>-18.755756000000002</v>
      </c>
      <c r="J622" s="95">
        <v>31.550623000000002</v>
      </c>
      <c r="K622" s="22" t="s">
        <v>2308</v>
      </c>
      <c r="L622" s="4">
        <v>2009</v>
      </c>
      <c r="M622" s="4">
        <v>2014</v>
      </c>
      <c r="N622" s="22" t="s">
        <v>2308</v>
      </c>
      <c r="O622" s="4" t="s">
        <v>67</v>
      </c>
      <c r="P622" s="4"/>
    </row>
    <row r="623" spans="1:16" ht="45.5" customHeight="1">
      <c r="A623" s="113">
        <v>134</v>
      </c>
      <c r="B623" s="41" t="s">
        <v>3536</v>
      </c>
      <c r="C623" s="4" t="s">
        <v>3541</v>
      </c>
      <c r="D623" s="4" t="s">
        <v>2430</v>
      </c>
      <c r="E623" s="4" t="s">
        <v>2669</v>
      </c>
      <c r="F623" s="4" t="s">
        <v>2308</v>
      </c>
      <c r="G623" s="4" t="s">
        <v>2308</v>
      </c>
      <c r="H623" s="4" t="s">
        <v>3539</v>
      </c>
      <c r="I623" s="22">
        <v>-19.0156153</v>
      </c>
      <c r="J623" s="22">
        <v>29.152802000000001</v>
      </c>
      <c r="K623" s="22">
        <v>390757</v>
      </c>
      <c r="L623" s="4">
        <v>1960</v>
      </c>
      <c r="M623" s="4">
        <v>1999</v>
      </c>
      <c r="N623" s="22" t="s">
        <v>2308</v>
      </c>
      <c r="O623" s="4" t="s">
        <v>67</v>
      </c>
      <c r="P623" s="4" t="s">
        <v>3542</v>
      </c>
    </row>
    <row r="624" spans="1:16" ht="55.5" customHeight="1">
      <c r="A624" s="113">
        <v>135</v>
      </c>
      <c r="B624" s="41" t="s">
        <v>3578</v>
      </c>
      <c r="C624" s="12" t="s">
        <v>3579</v>
      </c>
      <c r="D624" s="4" t="s">
        <v>2430</v>
      </c>
      <c r="E624" s="12" t="s">
        <v>2431</v>
      </c>
      <c r="F624" s="4" t="s">
        <v>1252</v>
      </c>
      <c r="G624" s="4" t="s">
        <v>3580</v>
      </c>
      <c r="H624" s="4" t="s">
        <v>391</v>
      </c>
      <c r="I624" s="22">
        <v>-3</v>
      </c>
      <c r="J624" s="22">
        <f>36 +(42/60)</f>
        <v>36.700000000000003</v>
      </c>
      <c r="K624" s="22">
        <v>2000</v>
      </c>
      <c r="L624" s="4">
        <v>1990</v>
      </c>
      <c r="M624" s="4">
        <v>1990</v>
      </c>
      <c r="N624" s="22">
        <f>(600+((2000-600)/(28)*13))/K624</f>
        <v>0.625</v>
      </c>
      <c r="O624" s="4" t="s">
        <v>67</v>
      </c>
      <c r="P624" s="5" t="s">
        <v>3601</v>
      </c>
    </row>
    <row r="625" spans="1:16" ht="44.5" customHeight="1">
      <c r="A625" s="113">
        <v>135</v>
      </c>
      <c r="B625" s="41" t="s">
        <v>3578</v>
      </c>
      <c r="C625" s="12" t="s">
        <v>3581</v>
      </c>
      <c r="D625" s="4" t="s">
        <v>2430</v>
      </c>
      <c r="E625" s="12" t="s">
        <v>2431</v>
      </c>
      <c r="F625" s="4" t="s">
        <v>1252</v>
      </c>
      <c r="G625" s="4" t="s">
        <v>3580</v>
      </c>
      <c r="H625" s="4" t="s">
        <v>391</v>
      </c>
      <c r="I625" s="22">
        <v>-3</v>
      </c>
      <c r="J625" s="22">
        <f>36 +(42/60)</f>
        <v>36.700000000000003</v>
      </c>
      <c r="K625" s="22">
        <v>2000</v>
      </c>
      <c r="L625" s="4">
        <v>2005</v>
      </c>
      <c r="M625" s="4">
        <v>2005</v>
      </c>
      <c r="N625" s="4">
        <f>3000/K624</f>
        <v>1.5</v>
      </c>
      <c r="O625" s="4" t="s">
        <v>67</v>
      </c>
      <c r="P625" s="4"/>
    </row>
    <row r="626" spans="1:16" ht="42.5" customHeight="1">
      <c r="A626" s="113">
        <v>136</v>
      </c>
      <c r="B626" s="41" t="s">
        <v>3627</v>
      </c>
      <c r="C626" s="4" t="s">
        <v>3626</v>
      </c>
      <c r="D626" s="4" t="s">
        <v>2430</v>
      </c>
      <c r="E626" s="4" t="s">
        <v>2669</v>
      </c>
      <c r="F626" s="4" t="s">
        <v>2308</v>
      </c>
      <c r="G626" s="4" t="s">
        <v>2308</v>
      </c>
      <c r="H626" s="4" t="s">
        <v>3625</v>
      </c>
      <c r="I626" s="22">
        <v>1.3681551000000001</v>
      </c>
      <c r="J626" s="22">
        <v>32.303241</v>
      </c>
      <c r="K626" s="22">
        <v>241037</v>
      </c>
      <c r="L626" s="4">
        <v>1974</v>
      </c>
      <c r="M626" s="4">
        <v>2018</v>
      </c>
      <c r="N626" s="22" t="s">
        <v>2308</v>
      </c>
      <c r="O626" s="4" t="s">
        <v>67</v>
      </c>
      <c r="P626" s="4" t="s">
        <v>3628</v>
      </c>
    </row>
    <row r="627" spans="1:16" ht="55" customHeight="1">
      <c r="A627" s="113">
        <v>137</v>
      </c>
      <c r="B627" s="41" t="s">
        <v>3634</v>
      </c>
      <c r="C627" s="4" t="s">
        <v>3635</v>
      </c>
      <c r="D627" s="4" t="s">
        <v>2430</v>
      </c>
      <c r="E627" s="12" t="s">
        <v>2432</v>
      </c>
      <c r="F627" s="4" t="s">
        <v>3636</v>
      </c>
      <c r="G627" s="4" t="s">
        <v>3637</v>
      </c>
      <c r="H627" s="4" t="s">
        <v>1973</v>
      </c>
      <c r="I627" s="22">
        <v>4.0409151000000003</v>
      </c>
      <c r="J627" s="22">
        <v>38.317003300000003</v>
      </c>
      <c r="K627" s="22">
        <f>735.9/5</f>
        <v>147.18</v>
      </c>
      <c r="L627" s="4">
        <v>2011</v>
      </c>
      <c r="M627" s="4">
        <v>2011</v>
      </c>
      <c r="N627" s="22" t="s">
        <v>2308</v>
      </c>
      <c r="O627" s="4" t="s">
        <v>67</v>
      </c>
      <c r="P627" s="4" t="s">
        <v>2246</v>
      </c>
    </row>
    <row r="628" spans="1:16" ht="55" customHeight="1">
      <c r="A628" s="113">
        <v>137</v>
      </c>
      <c r="B628" s="41" t="s">
        <v>3634</v>
      </c>
      <c r="C628" s="4" t="s">
        <v>3638</v>
      </c>
      <c r="D628" s="4" t="s">
        <v>2430</v>
      </c>
      <c r="E628" s="12" t="s">
        <v>2432</v>
      </c>
      <c r="F628" s="4" t="s">
        <v>3644</v>
      </c>
      <c r="G628" s="4" t="s">
        <v>3646</v>
      </c>
      <c r="H628" s="4" t="s">
        <v>1973</v>
      </c>
      <c r="I628" s="22">
        <v>4.8607559</v>
      </c>
      <c r="J628" s="22">
        <v>38.277996799999997</v>
      </c>
      <c r="K628" s="22">
        <f t="shared" ref="K628:K631" si="5">735.9/5</f>
        <v>147.18</v>
      </c>
      <c r="L628" s="4">
        <v>2011</v>
      </c>
      <c r="M628" s="4">
        <v>2011</v>
      </c>
      <c r="N628" s="22" t="s">
        <v>2308</v>
      </c>
      <c r="O628" s="4" t="s">
        <v>67</v>
      </c>
      <c r="P628" s="4" t="s">
        <v>2246</v>
      </c>
    </row>
    <row r="629" spans="1:16" ht="55" customHeight="1">
      <c r="A629" s="113">
        <v>137</v>
      </c>
      <c r="B629" s="41" t="s">
        <v>3634</v>
      </c>
      <c r="C629" s="4" t="s">
        <v>3639</v>
      </c>
      <c r="D629" s="4" t="s">
        <v>2430</v>
      </c>
      <c r="E629" s="12" t="s">
        <v>2432</v>
      </c>
      <c r="F629" s="4" t="s">
        <v>3645</v>
      </c>
      <c r="G629" s="4" t="s">
        <v>3646</v>
      </c>
      <c r="H629" s="4" t="s">
        <v>1973</v>
      </c>
      <c r="I629" s="22">
        <v>3.9800346000000002</v>
      </c>
      <c r="J629" s="22">
        <v>38.356403499999999</v>
      </c>
      <c r="K629" s="22">
        <f t="shared" si="5"/>
        <v>147.18</v>
      </c>
      <c r="L629" s="4">
        <v>2011</v>
      </c>
      <c r="M629" s="4">
        <v>2011</v>
      </c>
      <c r="N629" s="22" t="s">
        <v>2308</v>
      </c>
      <c r="O629" s="4" t="s">
        <v>67</v>
      </c>
      <c r="P629" s="4" t="s">
        <v>2246</v>
      </c>
    </row>
    <row r="630" spans="1:16" ht="55" customHeight="1">
      <c r="A630" s="113">
        <v>137</v>
      </c>
      <c r="B630" s="41" t="s">
        <v>3634</v>
      </c>
      <c r="C630" s="4" t="s">
        <v>3640</v>
      </c>
      <c r="D630" s="4" t="s">
        <v>2430</v>
      </c>
      <c r="E630" s="12" t="s">
        <v>2432</v>
      </c>
      <c r="F630" s="4" t="s">
        <v>3643</v>
      </c>
      <c r="G630" s="4" t="s">
        <v>3646</v>
      </c>
      <c r="H630" s="4" t="s">
        <v>1973</v>
      </c>
      <c r="I630" s="22">
        <v>4.0891713999999997</v>
      </c>
      <c r="J630" s="22">
        <v>38.695056600000001</v>
      </c>
      <c r="K630" s="22">
        <f t="shared" si="5"/>
        <v>147.18</v>
      </c>
      <c r="L630" s="4">
        <v>2011</v>
      </c>
      <c r="M630" s="4">
        <v>2011</v>
      </c>
      <c r="N630" s="22" t="s">
        <v>2308</v>
      </c>
      <c r="O630" s="4" t="s">
        <v>67</v>
      </c>
      <c r="P630" s="4" t="s">
        <v>2246</v>
      </c>
    </row>
    <row r="631" spans="1:16" ht="55" customHeight="1">
      <c r="A631" s="113">
        <v>137</v>
      </c>
      <c r="B631" s="41" t="s">
        <v>3634</v>
      </c>
      <c r="C631" s="4" t="s">
        <v>3641</v>
      </c>
      <c r="D631" s="4" t="s">
        <v>2430</v>
      </c>
      <c r="E631" s="12" t="s">
        <v>2432</v>
      </c>
      <c r="F631" s="4" t="s">
        <v>3642</v>
      </c>
      <c r="G631" s="4" t="s">
        <v>3646</v>
      </c>
      <c r="H631" s="4" t="s">
        <v>1973</v>
      </c>
      <c r="I631" s="22">
        <v>4.1980908000000001</v>
      </c>
      <c r="J631" s="22">
        <v>38.3916483</v>
      </c>
      <c r="K631" s="22">
        <f t="shared" si="5"/>
        <v>147.18</v>
      </c>
      <c r="L631" s="4">
        <v>2011</v>
      </c>
      <c r="M631" s="4">
        <v>2011</v>
      </c>
      <c r="N631" s="22" t="s">
        <v>2308</v>
      </c>
      <c r="O631" s="4" t="s">
        <v>67</v>
      </c>
      <c r="P631" s="4" t="s">
        <v>2246</v>
      </c>
    </row>
    <row r="632" spans="1:16" ht="49" customHeight="1">
      <c r="A632" s="113">
        <v>138</v>
      </c>
      <c r="B632" s="41" t="s">
        <v>3662</v>
      </c>
      <c r="C632" s="12" t="s">
        <v>3663</v>
      </c>
      <c r="D632" s="4" t="s">
        <v>2430</v>
      </c>
      <c r="E632" s="4" t="s">
        <v>2431</v>
      </c>
      <c r="F632" s="4" t="s">
        <v>3664</v>
      </c>
      <c r="G632" s="4" t="s">
        <v>3670</v>
      </c>
      <c r="H632" s="4" t="s">
        <v>3665</v>
      </c>
      <c r="I632" s="22">
        <v>-37</v>
      </c>
      <c r="J632" s="22">
        <v>-71</v>
      </c>
      <c r="K632" s="22" t="s">
        <v>2308</v>
      </c>
      <c r="L632" s="4">
        <v>2011</v>
      </c>
      <c r="M632" s="4">
        <v>2011</v>
      </c>
      <c r="N632" s="22" t="s">
        <v>2308</v>
      </c>
      <c r="O632" s="4" t="s">
        <v>67</v>
      </c>
      <c r="P632" s="4" t="s">
        <v>2246</v>
      </c>
    </row>
    <row r="633" spans="1:16" ht="37" customHeight="1">
      <c r="A633" s="113">
        <v>139</v>
      </c>
      <c r="B633" s="41" t="s">
        <v>3673</v>
      </c>
      <c r="C633" s="12" t="s">
        <v>3674</v>
      </c>
      <c r="D633" s="4" t="s">
        <v>2430</v>
      </c>
      <c r="E633" s="4" t="s">
        <v>2670</v>
      </c>
      <c r="F633" s="5" t="s">
        <v>3680</v>
      </c>
      <c r="G633" s="4" t="s">
        <v>3681</v>
      </c>
      <c r="H633" s="4" t="s">
        <v>127</v>
      </c>
      <c r="I633" s="22">
        <v>-7.1178698000000002</v>
      </c>
      <c r="J633" s="22">
        <v>-47.203155600000002</v>
      </c>
      <c r="K633" s="22">
        <f>1500</f>
        <v>1500</v>
      </c>
      <c r="L633" s="4">
        <v>2012</v>
      </c>
      <c r="M633" s="4">
        <v>2017</v>
      </c>
      <c r="N633" s="22" t="s">
        <v>2308</v>
      </c>
      <c r="O633" s="4" t="s">
        <v>67</v>
      </c>
      <c r="P633" s="4"/>
    </row>
    <row r="634" spans="1:16" ht="37" customHeight="1">
      <c r="A634" s="113">
        <v>139</v>
      </c>
      <c r="B634" s="41" t="s">
        <v>3673</v>
      </c>
      <c r="C634" s="12" t="s">
        <v>3675</v>
      </c>
      <c r="D634" s="4" t="s">
        <v>2430</v>
      </c>
      <c r="E634" s="4" t="s">
        <v>2670</v>
      </c>
      <c r="F634" s="4" t="s">
        <v>3682</v>
      </c>
      <c r="G634" s="4" t="s">
        <v>2989</v>
      </c>
      <c r="H634" s="4" t="s">
        <v>127</v>
      </c>
      <c r="I634" s="22">
        <v>-10.285575</v>
      </c>
      <c r="J634" s="22">
        <v>-46.764769000000001</v>
      </c>
      <c r="K634" s="22">
        <f>1500</f>
        <v>1500</v>
      </c>
      <c r="L634" s="4">
        <v>2012</v>
      </c>
      <c r="M634" s="4">
        <v>2017</v>
      </c>
      <c r="N634" s="22" t="s">
        <v>2308</v>
      </c>
      <c r="O634" s="4" t="s">
        <v>67</v>
      </c>
      <c r="P634" s="4"/>
    </row>
    <row r="635" spans="1:16" ht="37" customHeight="1">
      <c r="A635" s="113">
        <v>139</v>
      </c>
      <c r="B635" s="41" t="s">
        <v>3673</v>
      </c>
      <c r="C635" s="12" t="s">
        <v>3678</v>
      </c>
      <c r="D635" s="4" t="s">
        <v>2430</v>
      </c>
      <c r="E635" s="4" t="s">
        <v>2670</v>
      </c>
      <c r="F635" s="5" t="s">
        <v>3683</v>
      </c>
      <c r="G635" s="4" t="s">
        <v>2989</v>
      </c>
      <c r="H635" s="4" t="s">
        <v>127</v>
      </c>
      <c r="I635" s="22">
        <v>-10.8193436</v>
      </c>
      <c r="J635" s="22">
        <v>-46.520679000000001</v>
      </c>
      <c r="K635" s="22">
        <f>1500</f>
        <v>1500</v>
      </c>
      <c r="L635" s="4">
        <v>2012</v>
      </c>
      <c r="M635" s="4">
        <v>2017</v>
      </c>
      <c r="N635" s="22" t="s">
        <v>2308</v>
      </c>
      <c r="O635" s="4" t="s">
        <v>67</v>
      </c>
      <c r="P635" s="4"/>
    </row>
    <row r="636" spans="1:16" ht="36.5" customHeight="1">
      <c r="A636" s="113">
        <v>139</v>
      </c>
      <c r="B636" s="41" t="s">
        <v>3673</v>
      </c>
      <c r="C636" s="12" t="s">
        <v>3679</v>
      </c>
      <c r="D636" s="4" t="s">
        <v>2430</v>
      </c>
      <c r="E636" s="4" t="s">
        <v>2670</v>
      </c>
      <c r="F636" s="4" t="s">
        <v>3676</v>
      </c>
      <c r="G636" s="4" t="s">
        <v>3677</v>
      </c>
      <c r="H636" s="4" t="s">
        <v>593</v>
      </c>
      <c r="I636" s="22">
        <v>5.203373</v>
      </c>
      <c r="J636" s="22">
        <v>-61.754542000000001</v>
      </c>
      <c r="K636" s="22">
        <v>18000</v>
      </c>
      <c r="L636" s="4">
        <v>1998</v>
      </c>
      <c r="M636" s="4">
        <v>2017</v>
      </c>
      <c r="N636" s="22" t="s">
        <v>2308</v>
      </c>
      <c r="O636" s="4" t="s">
        <v>67</v>
      </c>
      <c r="P636" s="4"/>
    </row>
    <row r="637" spans="1:16" ht="42" customHeight="1">
      <c r="A637" s="113">
        <v>140</v>
      </c>
      <c r="B637" s="41" t="s">
        <v>3712</v>
      </c>
      <c r="C637" s="4" t="s">
        <v>3713</v>
      </c>
      <c r="D637" s="12" t="s">
        <v>2430</v>
      </c>
      <c r="E637" s="4" t="s">
        <v>3714</v>
      </c>
      <c r="F637" s="4" t="s">
        <v>2308</v>
      </c>
      <c r="G637" s="4" t="s">
        <v>2308</v>
      </c>
      <c r="H637" s="4" t="s">
        <v>3539</v>
      </c>
      <c r="I637" s="22">
        <v>-19.0156153</v>
      </c>
      <c r="J637" s="22">
        <v>29.152802000000001</v>
      </c>
      <c r="K637" s="22">
        <v>390757</v>
      </c>
      <c r="L637" s="4">
        <v>2000</v>
      </c>
      <c r="M637" s="4">
        <v>2012</v>
      </c>
      <c r="N637" s="22" t="s">
        <v>2308</v>
      </c>
      <c r="O637" s="4" t="s">
        <v>67</v>
      </c>
      <c r="P637" s="4"/>
    </row>
    <row r="638" spans="1:16" ht="35.5" customHeight="1">
      <c r="A638" s="113">
        <v>140</v>
      </c>
      <c r="B638" s="41" t="s">
        <v>3712</v>
      </c>
      <c r="C638" s="4" t="s">
        <v>3715</v>
      </c>
      <c r="D638" s="12" t="s">
        <v>2430</v>
      </c>
      <c r="E638" s="4" t="s">
        <v>2669</v>
      </c>
      <c r="F638" s="4" t="s">
        <v>2308</v>
      </c>
      <c r="G638" s="4" t="s">
        <v>2308</v>
      </c>
      <c r="H638" s="4" t="s">
        <v>3539</v>
      </c>
      <c r="I638" s="22">
        <v>-19.0156153</v>
      </c>
      <c r="J638" s="22">
        <v>29.152802000000001</v>
      </c>
      <c r="K638" s="22">
        <v>390757</v>
      </c>
      <c r="L638" s="4">
        <v>1960</v>
      </c>
      <c r="M638" s="4">
        <v>1999</v>
      </c>
      <c r="N638" s="22" t="s">
        <v>2308</v>
      </c>
      <c r="O638" s="4" t="s">
        <v>67</v>
      </c>
      <c r="P638" s="4"/>
    </row>
    <row r="639" spans="1:16" ht="38" customHeight="1">
      <c r="A639" s="113">
        <v>141</v>
      </c>
      <c r="B639" s="41" t="s">
        <v>3748</v>
      </c>
      <c r="C639" s="12" t="s">
        <v>3749</v>
      </c>
      <c r="D639" s="12" t="s">
        <v>2430</v>
      </c>
      <c r="E639" s="4" t="s">
        <v>2431</v>
      </c>
      <c r="F639" s="4" t="s">
        <v>3752</v>
      </c>
      <c r="G639" s="4" t="s">
        <v>3753</v>
      </c>
      <c r="H639" s="4" t="s">
        <v>3751</v>
      </c>
      <c r="I639" s="22">
        <v>47.25</v>
      </c>
      <c r="J639" s="22">
        <f>84 + (55/60)</f>
        <v>84.916666666666671</v>
      </c>
      <c r="K639" s="22">
        <v>10500</v>
      </c>
      <c r="L639" s="4">
        <v>2010</v>
      </c>
      <c r="M639" s="4">
        <v>2011</v>
      </c>
      <c r="N639" s="22">
        <f>36800/K639</f>
        <v>3.5047619047619047</v>
      </c>
      <c r="O639" s="4" t="s">
        <v>67</v>
      </c>
      <c r="P639" s="4"/>
    </row>
    <row r="640" spans="1:16" ht="36.5" customHeight="1">
      <c r="A640" s="113">
        <v>141</v>
      </c>
      <c r="B640" s="41" t="s">
        <v>3748</v>
      </c>
      <c r="C640" s="12" t="s">
        <v>3750</v>
      </c>
      <c r="D640" s="12" t="s">
        <v>2430</v>
      </c>
      <c r="E640" s="4" t="s">
        <v>2431</v>
      </c>
      <c r="F640" s="4" t="s">
        <v>3754</v>
      </c>
      <c r="G640" s="4" t="s">
        <v>3755</v>
      </c>
      <c r="H640" s="4" t="s">
        <v>3751</v>
      </c>
      <c r="I640" s="22">
        <f>49 + 16/60</f>
        <v>49.266666666666666</v>
      </c>
      <c r="J640" s="22">
        <f>AVERAGE(85+53/60, 86+8/60)</f>
        <v>86.00833333333334</v>
      </c>
      <c r="K640" s="22">
        <v>13167</v>
      </c>
      <c r="L640" s="4">
        <v>2010</v>
      </c>
      <c r="M640" s="4">
        <v>2011</v>
      </c>
      <c r="N640" s="22">
        <f>30000/K640</f>
        <v>2.2784233310549098</v>
      </c>
      <c r="O640" s="4" t="s">
        <v>67</v>
      </c>
      <c r="P640" s="4"/>
    </row>
    <row r="641" spans="1:16" ht="38" customHeight="1">
      <c r="A641" s="113">
        <v>142</v>
      </c>
      <c r="B641" s="41" t="s">
        <v>3764</v>
      </c>
      <c r="C641" s="12" t="s">
        <v>3765</v>
      </c>
      <c r="D641" s="12" t="s">
        <v>2430</v>
      </c>
      <c r="E641" s="4" t="s">
        <v>2432</v>
      </c>
      <c r="F641" s="4" t="s">
        <v>3766</v>
      </c>
      <c r="G641" s="4" t="s">
        <v>2308</v>
      </c>
      <c r="H641" s="4" t="s">
        <v>3767</v>
      </c>
      <c r="I641" s="22">
        <v>-18</v>
      </c>
      <c r="J641" s="22">
        <v>22.5</v>
      </c>
      <c r="K641" s="22">
        <v>4055.31</v>
      </c>
      <c r="L641" s="4">
        <v>2000</v>
      </c>
      <c r="M641" s="4">
        <v>2015</v>
      </c>
      <c r="N641" s="22" t="s">
        <v>2308</v>
      </c>
      <c r="O641" s="4" t="s">
        <v>67</v>
      </c>
      <c r="P641" s="4" t="s">
        <v>3768</v>
      </c>
    </row>
    <row r="642" spans="1:16" ht="40" customHeight="1">
      <c r="A642" s="113">
        <v>143</v>
      </c>
      <c r="B642" s="41" t="s">
        <v>5094</v>
      </c>
      <c r="C642" s="12" t="s">
        <v>3786</v>
      </c>
      <c r="D642" s="12" t="s">
        <v>2430</v>
      </c>
      <c r="E642" s="4" t="s">
        <v>2431</v>
      </c>
      <c r="F642" s="4" t="s">
        <v>3787</v>
      </c>
      <c r="G642" s="4" t="s">
        <v>3788</v>
      </c>
      <c r="H642" s="4" t="s">
        <v>1973</v>
      </c>
      <c r="I642" s="22">
        <f>6+49/60</f>
        <v>6.8166666666666664</v>
      </c>
      <c r="J642" s="22">
        <f>39+15/60</f>
        <v>39.25</v>
      </c>
      <c r="K642" s="82">
        <f>50*25</f>
        <v>1250</v>
      </c>
      <c r="L642" s="102">
        <v>2005</v>
      </c>
      <c r="M642" s="4">
        <v>2008</v>
      </c>
      <c r="N642" s="22" t="s">
        <v>2308</v>
      </c>
      <c r="O642" s="4" t="s">
        <v>67</v>
      </c>
      <c r="P642" s="4"/>
    </row>
    <row r="643" spans="1:16" ht="34.5" customHeight="1">
      <c r="A643" s="113">
        <v>144</v>
      </c>
      <c r="B643" s="41" t="s">
        <v>3800</v>
      </c>
      <c r="C643" s="4" t="s">
        <v>3801</v>
      </c>
      <c r="D643" s="12" t="s">
        <v>2430</v>
      </c>
      <c r="E643" s="4" t="s">
        <v>2431</v>
      </c>
      <c r="F643" s="4" t="s">
        <v>3802</v>
      </c>
      <c r="G643" s="4" t="s">
        <v>3803</v>
      </c>
      <c r="H643" s="4" t="s">
        <v>612</v>
      </c>
      <c r="I643" s="22">
        <v>-24.970725399999999</v>
      </c>
      <c r="J643" s="22">
        <v>44.309004700000003</v>
      </c>
      <c r="K643" s="22" t="s">
        <v>2308</v>
      </c>
      <c r="L643" s="4">
        <v>1997</v>
      </c>
      <c r="M643" s="4">
        <v>1997</v>
      </c>
      <c r="N643" s="4">
        <v>12</v>
      </c>
      <c r="O643" s="4" t="s">
        <v>67</v>
      </c>
      <c r="P643" s="4"/>
    </row>
    <row r="644" spans="1:16" ht="34.5" customHeight="1">
      <c r="A644" s="113">
        <v>144</v>
      </c>
      <c r="B644" s="41" t="s">
        <v>3800</v>
      </c>
      <c r="C644" s="4" t="s">
        <v>3807</v>
      </c>
      <c r="D644" s="12" t="s">
        <v>2430</v>
      </c>
      <c r="E644" s="4" t="s">
        <v>2431</v>
      </c>
      <c r="F644" s="4" t="s">
        <v>3808</v>
      </c>
      <c r="G644" s="4" t="s">
        <v>3803</v>
      </c>
      <c r="H644" s="4" t="s">
        <v>612</v>
      </c>
      <c r="I644" s="22">
        <v>-24.358923000000001</v>
      </c>
      <c r="J644" s="22">
        <v>44.552897600000001</v>
      </c>
      <c r="K644" s="22" t="s">
        <v>2308</v>
      </c>
      <c r="L644" s="4">
        <v>1997</v>
      </c>
      <c r="M644" s="4">
        <v>1997</v>
      </c>
      <c r="N644" s="4">
        <v>12</v>
      </c>
      <c r="O644" s="4" t="s">
        <v>67</v>
      </c>
      <c r="P644" s="4"/>
    </row>
    <row r="645" spans="1:16" ht="36.5" customHeight="1">
      <c r="A645" s="113">
        <v>145</v>
      </c>
      <c r="B645" s="41" t="s">
        <v>3817</v>
      </c>
      <c r="C645" s="4" t="s">
        <v>3818</v>
      </c>
      <c r="D645" s="12" t="s">
        <v>2430</v>
      </c>
      <c r="E645" s="4" t="s">
        <v>2431</v>
      </c>
      <c r="F645" s="4" t="s">
        <v>3821</v>
      </c>
      <c r="G645" s="4" t="s">
        <v>3820</v>
      </c>
      <c r="H645" s="4" t="s">
        <v>3819</v>
      </c>
      <c r="I645" s="22">
        <v>-31.304893799999999</v>
      </c>
      <c r="J645" s="22">
        <v>30.2599901</v>
      </c>
      <c r="K645" s="22" t="s">
        <v>2308</v>
      </c>
      <c r="L645" s="172">
        <v>1995</v>
      </c>
      <c r="M645" s="172">
        <v>1995</v>
      </c>
      <c r="N645" s="22" t="s">
        <v>2308</v>
      </c>
      <c r="O645" s="4" t="s">
        <v>67</v>
      </c>
      <c r="P645" s="4"/>
    </row>
    <row r="646" spans="1:16" ht="41" customHeight="1">
      <c r="A646" s="113">
        <v>146</v>
      </c>
      <c r="B646" s="41" t="s">
        <v>3831</v>
      </c>
      <c r="C646" s="12" t="s">
        <v>3832</v>
      </c>
      <c r="D646" s="12" t="s">
        <v>2430</v>
      </c>
      <c r="E646" s="4" t="s">
        <v>2431</v>
      </c>
      <c r="F646" s="12" t="s">
        <v>3834</v>
      </c>
      <c r="G646" s="12" t="s">
        <v>3833</v>
      </c>
      <c r="H646" s="4" t="s">
        <v>3819</v>
      </c>
      <c r="I646" s="22">
        <f>-31-(17/60)</f>
        <v>-31.283333333333335</v>
      </c>
      <c r="J646" s="22">
        <f>29 + 59.5/60</f>
        <v>29.991666666666667</v>
      </c>
      <c r="K646" s="22" t="s">
        <v>2308</v>
      </c>
      <c r="L646" s="4">
        <v>1996</v>
      </c>
      <c r="M646" s="4">
        <v>2003</v>
      </c>
      <c r="N646" s="22" t="s">
        <v>2308</v>
      </c>
      <c r="O646" s="4" t="s">
        <v>67</v>
      </c>
      <c r="P646" s="4"/>
    </row>
    <row r="647" spans="1:16" ht="38.5" customHeight="1">
      <c r="A647" s="113">
        <v>147</v>
      </c>
      <c r="B647" s="41" t="s">
        <v>3845</v>
      </c>
      <c r="C647" s="12" t="s">
        <v>3846</v>
      </c>
      <c r="D647" s="12" t="s">
        <v>2430</v>
      </c>
      <c r="E647" s="4" t="s">
        <v>2432</v>
      </c>
      <c r="F647" s="4" t="s">
        <v>2308</v>
      </c>
      <c r="G647" s="4" t="s">
        <v>3849</v>
      </c>
      <c r="H647" s="4" t="s">
        <v>3847</v>
      </c>
      <c r="I647" s="22">
        <v>12.204695299999999</v>
      </c>
      <c r="J647" s="22">
        <v>-8.2842389000000001</v>
      </c>
      <c r="K647" s="22">
        <v>6720</v>
      </c>
      <c r="L647" s="4">
        <v>1998</v>
      </c>
      <c r="M647" s="4">
        <v>1999</v>
      </c>
      <c r="N647" s="22" t="s">
        <v>2308</v>
      </c>
      <c r="O647" s="4" t="s">
        <v>67</v>
      </c>
      <c r="P647" s="4"/>
    </row>
    <row r="648" spans="1:16" ht="42" customHeight="1">
      <c r="A648" s="113">
        <v>148</v>
      </c>
      <c r="B648" s="41" t="s">
        <v>3864</v>
      </c>
      <c r="C648" s="12" t="s">
        <v>3865</v>
      </c>
      <c r="D648" s="12" t="s">
        <v>2430</v>
      </c>
      <c r="E648" s="4" t="s">
        <v>2432</v>
      </c>
      <c r="F648" s="4" t="s">
        <v>3866</v>
      </c>
      <c r="G648" s="4" t="s">
        <v>2308</v>
      </c>
      <c r="H648" s="12" t="s">
        <v>3847</v>
      </c>
      <c r="I648" s="22">
        <v>11.2862917</v>
      </c>
      <c r="J648" s="22">
        <v>-8.7761057000000005</v>
      </c>
      <c r="K648" s="22">
        <f>175*175</f>
        <v>30625</v>
      </c>
      <c r="L648" s="12">
        <v>1999</v>
      </c>
      <c r="M648" s="12">
        <v>2011</v>
      </c>
      <c r="N648" s="22" t="s">
        <v>2308</v>
      </c>
      <c r="O648" s="4" t="s">
        <v>67</v>
      </c>
      <c r="P648" s="4"/>
    </row>
    <row r="649" spans="1:16" ht="41.5" customHeight="1">
      <c r="A649" s="113">
        <v>149</v>
      </c>
      <c r="B649" s="41" t="s">
        <v>3880</v>
      </c>
      <c r="C649" s="4" t="s">
        <v>3881</v>
      </c>
      <c r="D649" s="4" t="s">
        <v>2430</v>
      </c>
      <c r="E649" s="4" t="s">
        <v>2431</v>
      </c>
      <c r="F649" s="4" t="s">
        <v>3883</v>
      </c>
      <c r="G649" s="4" t="s">
        <v>3882</v>
      </c>
      <c r="H649" s="4" t="s">
        <v>1973</v>
      </c>
      <c r="I649" s="22">
        <v>11.75</v>
      </c>
      <c r="J649" s="22">
        <v>39.75</v>
      </c>
      <c r="K649" s="22" t="s">
        <v>2308</v>
      </c>
      <c r="L649" s="4">
        <v>2013</v>
      </c>
      <c r="M649" s="4">
        <v>2014</v>
      </c>
      <c r="N649" s="4">
        <v>37</v>
      </c>
      <c r="O649" s="4" t="s">
        <v>67</v>
      </c>
      <c r="P649" s="4"/>
    </row>
    <row r="650" spans="1:16" ht="36" customHeight="1">
      <c r="A650" s="113">
        <v>149</v>
      </c>
      <c r="B650" s="41" t="s">
        <v>3880</v>
      </c>
      <c r="C650" s="4" t="s">
        <v>3884</v>
      </c>
      <c r="D650" s="4" t="s">
        <v>2430</v>
      </c>
      <c r="E650" s="4" t="s">
        <v>2431</v>
      </c>
      <c r="F650" s="4" t="s">
        <v>3885</v>
      </c>
      <c r="G650" s="4" t="s">
        <v>3882</v>
      </c>
      <c r="H650" s="4" t="s">
        <v>1973</v>
      </c>
      <c r="I650" s="22">
        <v>12</v>
      </c>
      <c r="J650" s="22">
        <v>40.4</v>
      </c>
      <c r="K650" s="22" t="s">
        <v>2308</v>
      </c>
      <c r="L650" s="4">
        <v>2013</v>
      </c>
      <c r="M650" s="4">
        <v>2014</v>
      </c>
      <c r="N650" s="4">
        <v>12</v>
      </c>
      <c r="O650" s="4" t="s">
        <v>67</v>
      </c>
      <c r="P650" s="4"/>
    </row>
    <row r="651" spans="1:16" ht="47.5" customHeight="1">
      <c r="A651" s="113">
        <v>150</v>
      </c>
      <c r="B651" s="41" t="s">
        <v>3889</v>
      </c>
      <c r="C651" s="12" t="s">
        <v>3890</v>
      </c>
      <c r="D651" s="12" t="s">
        <v>2430</v>
      </c>
      <c r="E651" s="12" t="s">
        <v>2431</v>
      </c>
      <c r="F651" s="153" t="s">
        <v>3891</v>
      </c>
      <c r="G651" s="4" t="s">
        <v>3892</v>
      </c>
      <c r="H651" s="4" t="s">
        <v>3767</v>
      </c>
      <c r="I651" s="22">
        <v>-20.291195299999998</v>
      </c>
      <c r="J651" s="22">
        <v>19.796045500000002</v>
      </c>
      <c r="K651" s="22">
        <v>4500</v>
      </c>
      <c r="L651" s="4">
        <v>2002</v>
      </c>
      <c r="M651" s="4">
        <v>2002</v>
      </c>
      <c r="N651" s="22" t="s">
        <v>2308</v>
      </c>
      <c r="O651" s="4" t="s">
        <v>67</v>
      </c>
      <c r="P651" s="5" t="s">
        <v>3893</v>
      </c>
    </row>
    <row r="652" spans="1:16" ht="55" customHeight="1">
      <c r="A652" s="113">
        <v>151</v>
      </c>
      <c r="B652" s="41" t="s">
        <v>3898</v>
      </c>
      <c r="C652" s="12" t="s">
        <v>3899</v>
      </c>
      <c r="D652" s="12" t="s">
        <v>2430</v>
      </c>
      <c r="E652" s="12" t="s">
        <v>2431</v>
      </c>
      <c r="F652" s="5" t="s">
        <v>3900</v>
      </c>
      <c r="G652" s="4" t="s">
        <v>3901</v>
      </c>
      <c r="H652" s="4" t="s">
        <v>88</v>
      </c>
      <c r="I652" s="22">
        <f>11 + AVERAGE(32, 43)/60</f>
        <v>11.625</v>
      </c>
      <c r="J652" s="22">
        <f>76 + AVERAGE(22, 45) / 60</f>
        <v>76.558333333333337</v>
      </c>
      <c r="K652" s="22">
        <v>321</v>
      </c>
      <c r="L652" s="9">
        <v>1991</v>
      </c>
      <c r="M652" s="9">
        <v>1991</v>
      </c>
      <c r="N652" s="22" t="s">
        <v>2308</v>
      </c>
      <c r="O652" s="4" t="s">
        <v>67</v>
      </c>
      <c r="P652" s="5" t="s">
        <v>3902</v>
      </c>
    </row>
    <row r="653" spans="1:16" ht="65.5" customHeight="1">
      <c r="A653" s="113">
        <v>152</v>
      </c>
      <c r="B653" s="41" t="s">
        <v>3909</v>
      </c>
      <c r="C653" s="12" t="s">
        <v>3910</v>
      </c>
      <c r="D653" s="12" t="s">
        <v>2430</v>
      </c>
      <c r="E653" s="12" t="s">
        <v>2453</v>
      </c>
      <c r="F653" s="4" t="s">
        <v>3911</v>
      </c>
      <c r="G653" s="4" t="s">
        <v>3677</v>
      </c>
      <c r="H653" s="4" t="s">
        <v>593</v>
      </c>
      <c r="I653" s="22">
        <v>4.9754106</v>
      </c>
      <c r="J653" s="22">
        <v>-61.151833799999999</v>
      </c>
      <c r="K653" s="22">
        <v>3600</v>
      </c>
      <c r="L653" s="4">
        <v>1992</v>
      </c>
      <c r="M653" s="4">
        <v>2004</v>
      </c>
      <c r="N653" s="22" t="s">
        <v>2308</v>
      </c>
      <c r="O653" s="4" t="s">
        <v>67</v>
      </c>
      <c r="P653" s="5" t="s">
        <v>3912</v>
      </c>
    </row>
    <row r="654" spans="1:16" ht="47.5" customHeight="1">
      <c r="A654" s="113">
        <v>153</v>
      </c>
      <c r="B654" s="41" t="s">
        <v>3940</v>
      </c>
      <c r="C654" s="12" t="s">
        <v>3941</v>
      </c>
      <c r="D654" s="12" t="s">
        <v>2430</v>
      </c>
      <c r="E654" s="12" t="s">
        <v>2431</v>
      </c>
      <c r="F654" s="4" t="s">
        <v>2308</v>
      </c>
      <c r="G654" s="4" t="s">
        <v>3943</v>
      </c>
      <c r="H654" s="4" t="s">
        <v>3847</v>
      </c>
      <c r="I654" s="22">
        <f>11+16/60</f>
        <v>11.266666666666667</v>
      </c>
      <c r="J654" s="22">
        <f>-7 - 21/60</f>
        <v>-7.35</v>
      </c>
      <c r="K654" s="22" t="s">
        <v>2308</v>
      </c>
      <c r="L654" s="4">
        <v>2014</v>
      </c>
      <c r="M654" s="4">
        <v>2014</v>
      </c>
      <c r="N654" s="22" t="s">
        <v>2308</v>
      </c>
      <c r="O654" s="4" t="s">
        <v>67</v>
      </c>
      <c r="P654" s="4"/>
    </row>
    <row r="655" spans="1:16" ht="47" customHeight="1">
      <c r="A655" s="113">
        <v>153</v>
      </c>
      <c r="B655" s="41" t="s">
        <v>3940</v>
      </c>
      <c r="C655" s="12" t="s">
        <v>3942</v>
      </c>
      <c r="D655" s="12" t="s">
        <v>2430</v>
      </c>
      <c r="E655" s="12" t="s">
        <v>2431</v>
      </c>
      <c r="F655" s="4" t="s">
        <v>2308</v>
      </c>
      <c r="G655" s="4" t="s">
        <v>3944</v>
      </c>
      <c r="H655" s="4" t="s">
        <v>3847</v>
      </c>
      <c r="I655" s="22">
        <f>12 + 38/60</f>
        <v>12.633333333333333</v>
      </c>
      <c r="J655" s="22">
        <f>-5-1/60</f>
        <v>-5.0166666666666666</v>
      </c>
      <c r="K655" s="22" t="s">
        <v>2308</v>
      </c>
      <c r="L655" s="4">
        <v>2014</v>
      </c>
      <c r="M655" s="4">
        <v>2014</v>
      </c>
      <c r="N655" s="22" t="s">
        <v>2308</v>
      </c>
      <c r="O655" s="4" t="s">
        <v>67</v>
      </c>
      <c r="P655" s="4"/>
    </row>
    <row r="656" spans="1:16" ht="41.5" customHeight="1">
      <c r="A656" s="113">
        <v>154</v>
      </c>
      <c r="B656" s="41" t="s">
        <v>3949</v>
      </c>
      <c r="C656" s="4" t="s">
        <v>3950</v>
      </c>
      <c r="D656" s="12" t="s">
        <v>2430</v>
      </c>
      <c r="E656" s="12" t="s">
        <v>2431</v>
      </c>
      <c r="F656" s="4" t="s">
        <v>2308</v>
      </c>
      <c r="G656" s="4" t="s">
        <v>3951</v>
      </c>
      <c r="H656" s="4" t="s">
        <v>1164</v>
      </c>
      <c r="I656" s="22">
        <v>10.793835700000001</v>
      </c>
      <c r="J656" s="22">
        <v>-0.20930380000000001</v>
      </c>
      <c r="K656" s="22" t="s">
        <v>2308</v>
      </c>
      <c r="L656" s="4">
        <v>2012</v>
      </c>
      <c r="M656" s="4">
        <v>2014</v>
      </c>
      <c r="N656" s="22" t="s">
        <v>2308</v>
      </c>
      <c r="O656" s="4" t="s">
        <v>67</v>
      </c>
      <c r="P656" s="4"/>
    </row>
    <row r="657" spans="1:16" ht="41.5" customHeight="1">
      <c r="A657" s="113">
        <v>154</v>
      </c>
      <c r="B657" s="41" t="s">
        <v>3949</v>
      </c>
      <c r="C657" s="4" t="s">
        <v>3956</v>
      </c>
      <c r="D657" s="12" t="s">
        <v>2430</v>
      </c>
      <c r="E657" s="12" t="s">
        <v>2431</v>
      </c>
      <c r="F657" s="4" t="s">
        <v>2308</v>
      </c>
      <c r="G657" s="12" t="s">
        <v>3952</v>
      </c>
      <c r="H657" s="4" t="s">
        <v>1164</v>
      </c>
      <c r="I657" s="22">
        <v>10.940053900000001</v>
      </c>
      <c r="J657" s="22">
        <v>-0.48181069999999998</v>
      </c>
      <c r="K657" s="22" t="s">
        <v>2308</v>
      </c>
      <c r="L657" s="4">
        <v>2012</v>
      </c>
      <c r="M657" s="4">
        <v>2014</v>
      </c>
      <c r="N657" s="22" t="s">
        <v>2308</v>
      </c>
      <c r="O657" s="4" t="s">
        <v>67</v>
      </c>
      <c r="P657" s="4"/>
    </row>
    <row r="658" spans="1:16" ht="41.5" customHeight="1">
      <c r="A658" s="113">
        <v>154</v>
      </c>
      <c r="B658" s="41" t="s">
        <v>3949</v>
      </c>
      <c r="C658" s="4" t="s">
        <v>3958</v>
      </c>
      <c r="D658" s="12" t="s">
        <v>2430</v>
      </c>
      <c r="E658" s="12" t="s">
        <v>2431</v>
      </c>
      <c r="F658" s="4" t="s">
        <v>2308</v>
      </c>
      <c r="G658" s="12" t="s">
        <v>3953</v>
      </c>
      <c r="H658" s="4" t="s">
        <v>1164</v>
      </c>
      <c r="I658" s="22">
        <v>10.4290115</v>
      </c>
      <c r="J658" s="22">
        <v>-0.39070129999999997</v>
      </c>
      <c r="K658" s="22" t="s">
        <v>2308</v>
      </c>
      <c r="L658" s="4">
        <v>2012</v>
      </c>
      <c r="M658" s="4">
        <v>2014</v>
      </c>
      <c r="N658" s="22" t="s">
        <v>2308</v>
      </c>
      <c r="O658" s="4" t="s">
        <v>67</v>
      </c>
      <c r="P658" s="4"/>
    </row>
    <row r="659" spans="1:16" ht="41.5" customHeight="1">
      <c r="A659" s="113">
        <v>154</v>
      </c>
      <c r="B659" s="41" t="s">
        <v>3949</v>
      </c>
      <c r="C659" s="4" t="s">
        <v>3957</v>
      </c>
      <c r="D659" s="12" t="s">
        <v>2430</v>
      </c>
      <c r="E659" s="12" t="s">
        <v>2431</v>
      </c>
      <c r="F659" s="4" t="s">
        <v>2308</v>
      </c>
      <c r="G659" s="12" t="s">
        <v>3954</v>
      </c>
      <c r="H659" s="4" t="s">
        <v>1164</v>
      </c>
      <c r="I659" s="22">
        <v>9.9246359000000002</v>
      </c>
      <c r="J659" s="22">
        <v>-0.43144850000000001</v>
      </c>
      <c r="K659" s="22" t="s">
        <v>2308</v>
      </c>
      <c r="L659" s="4">
        <v>2012</v>
      </c>
      <c r="M659" s="4">
        <v>2014</v>
      </c>
      <c r="N659" s="22" t="s">
        <v>2308</v>
      </c>
      <c r="O659" s="4" t="s">
        <v>67</v>
      </c>
      <c r="P659" s="4"/>
    </row>
    <row r="660" spans="1:16" ht="41.5" customHeight="1">
      <c r="A660" s="113">
        <v>154</v>
      </c>
      <c r="B660" s="41" t="s">
        <v>3949</v>
      </c>
      <c r="C660" s="4" t="s">
        <v>3959</v>
      </c>
      <c r="D660" s="12" t="s">
        <v>2430</v>
      </c>
      <c r="E660" s="12" t="s">
        <v>2431</v>
      </c>
      <c r="F660" s="4" t="s">
        <v>2308</v>
      </c>
      <c r="G660" s="12" t="s">
        <v>3955</v>
      </c>
      <c r="H660" s="4" t="s">
        <v>1164</v>
      </c>
      <c r="I660" s="22">
        <v>8.9420306000000007</v>
      </c>
      <c r="J660" s="22">
        <v>1.7106300000000001E-2</v>
      </c>
      <c r="K660" s="22" t="s">
        <v>2308</v>
      </c>
      <c r="L660" s="4">
        <v>2012</v>
      </c>
      <c r="M660" s="4">
        <v>2014</v>
      </c>
      <c r="N660" s="22" t="s">
        <v>2308</v>
      </c>
      <c r="O660" s="4" t="s">
        <v>67</v>
      </c>
      <c r="P660" s="4"/>
    </row>
    <row r="661" spans="1:16" ht="41.5" customHeight="1">
      <c r="A661" s="113">
        <v>154</v>
      </c>
      <c r="B661" s="41" t="s">
        <v>3949</v>
      </c>
      <c r="C661" s="4" t="s">
        <v>3960</v>
      </c>
      <c r="D661" s="12" t="s">
        <v>2430</v>
      </c>
      <c r="E661" s="12" t="s">
        <v>2431</v>
      </c>
      <c r="F661" s="4" t="s">
        <v>2308</v>
      </c>
      <c r="G661" s="12" t="s">
        <v>3961</v>
      </c>
      <c r="H661" s="4" t="s">
        <v>1164</v>
      </c>
      <c r="I661" s="22">
        <v>8.9269064</v>
      </c>
      <c r="J661" s="22">
        <v>-1.3932036999999999</v>
      </c>
      <c r="K661" s="22" t="s">
        <v>2308</v>
      </c>
      <c r="L661" s="4">
        <v>2012</v>
      </c>
      <c r="M661" s="4">
        <v>2014</v>
      </c>
      <c r="N661" s="22" t="s">
        <v>2308</v>
      </c>
      <c r="O661" s="4" t="s">
        <v>67</v>
      </c>
      <c r="P661" s="4"/>
    </row>
    <row r="662" spans="1:16" ht="31" customHeight="1">
      <c r="A662" s="113">
        <v>155</v>
      </c>
      <c r="B662" s="41" t="s">
        <v>3995</v>
      </c>
      <c r="C662" s="12" t="s">
        <v>3970</v>
      </c>
      <c r="D662" s="12" t="s">
        <v>2430</v>
      </c>
      <c r="E662" s="12" t="s">
        <v>2431</v>
      </c>
      <c r="F662" s="34" t="s">
        <v>2308</v>
      </c>
      <c r="G662" s="12" t="s">
        <v>3983</v>
      </c>
      <c r="H662" s="12" t="s">
        <v>3982</v>
      </c>
      <c r="I662" s="22">
        <v>13.349641399999999</v>
      </c>
      <c r="J662" s="22">
        <v>-16.019096399999999</v>
      </c>
      <c r="K662" s="22" t="s">
        <v>2308</v>
      </c>
      <c r="L662" s="23">
        <v>2008</v>
      </c>
      <c r="M662" s="23">
        <v>2009</v>
      </c>
      <c r="N662" s="22" t="s">
        <v>2308</v>
      </c>
      <c r="O662" s="4" t="s">
        <v>67</v>
      </c>
      <c r="P662" s="25" t="s">
        <v>4433</v>
      </c>
    </row>
    <row r="663" spans="1:16" ht="31" customHeight="1">
      <c r="A663" s="113">
        <v>155</v>
      </c>
      <c r="B663" s="41" t="s">
        <v>3995</v>
      </c>
      <c r="C663" s="12" t="s">
        <v>3971</v>
      </c>
      <c r="D663" s="12" t="s">
        <v>2430</v>
      </c>
      <c r="E663" s="12" t="s">
        <v>2431</v>
      </c>
      <c r="F663" s="4" t="s">
        <v>2308</v>
      </c>
      <c r="G663" s="12" t="s">
        <v>3984</v>
      </c>
      <c r="H663" s="12" t="s">
        <v>3982</v>
      </c>
      <c r="I663" s="22">
        <v>13.7160305</v>
      </c>
      <c r="J663" s="22">
        <v>-15.100198600000001</v>
      </c>
      <c r="K663" s="22" t="s">
        <v>2308</v>
      </c>
      <c r="L663" s="23">
        <v>2008</v>
      </c>
      <c r="M663" s="23">
        <v>2009</v>
      </c>
      <c r="N663" s="22" t="s">
        <v>2308</v>
      </c>
      <c r="O663" s="4" t="s">
        <v>67</v>
      </c>
      <c r="P663" s="25" t="s">
        <v>4433</v>
      </c>
    </row>
    <row r="664" spans="1:16" ht="31" customHeight="1">
      <c r="A664" s="113">
        <v>155</v>
      </c>
      <c r="B664" s="41" t="s">
        <v>3995</v>
      </c>
      <c r="C664" s="12" t="s">
        <v>3972</v>
      </c>
      <c r="D664" s="12" t="s">
        <v>2430</v>
      </c>
      <c r="E664" s="12" t="s">
        <v>2431</v>
      </c>
      <c r="F664" s="34" t="s">
        <v>2308</v>
      </c>
      <c r="G664" s="12" t="s">
        <v>4463</v>
      </c>
      <c r="H664" s="12" t="s">
        <v>3982</v>
      </c>
      <c r="I664" s="22">
        <v>13.5721112</v>
      </c>
      <c r="J664" s="22">
        <v>-15.2698559</v>
      </c>
      <c r="K664" s="22" t="s">
        <v>2308</v>
      </c>
      <c r="L664" s="23">
        <v>2008</v>
      </c>
      <c r="M664" s="23">
        <v>2009</v>
      </c>
      <c r="N664" s="22" t="s">
        <v>2308</v>
      </c>
      <c r="O664" s="4" t="s">
        <v>67</v>
      </c>
      <c r="P664" s="25" t="s">
        <v>4433</v>
      </c>
    </row>
    <row r="665" spans="1:16" ht="31" customHeight="1">
      <c r="A665" s="113">
        <v>155</v>
      </c>
      <c r="B665" s="41" t="s">
        <v>3995</v>
      </c>
      <c r="C665" s="12" t="s">
        <v>3973</v>
      </c>
      <c r="D665" s="12" t="s">
        <v>2430</v>
      </c>
      <c r="E665" s="12" t="s">
        <v>2431</v>
      </c>
      <c r="F665" s="4" t="s">
        <v>2308</v>
      </c>
      <c r="G665" s="12" t="s">
        <v>3985</v>
      </c>
      <c r="H665" s="12" t="s">
        <v>3018</v>
      </c>
      <c r="I665" s="22">
        <v>12.7896705</v>
      </c>
      <c r="J665" s="22">
        <v>-16.310594500000001</v>
      </c>
      <c r="K665" s="22" t="s">
        <v>2308</v>
      </c>
      <c r="L665" s="23">
        <v>2008</v>
      </c>
      <c r="M665" s="23">
        <v>2009</v>
      </c>
      <c r="N665" s="22" t="s">
        <v>2308</v>
      </c>
      <c r="O665" s="4" t="s">
        <v>67</v>
      </c>
      <c r="P665" s="25" t="s">
        <v>4433</v>
      </c>
    </row>
    <row r="666" spans="1:16" ht="31" customHeight="1">
      <c r="A666" s="113">
        <v>155</v>
      </c>
      <c r="B666" s="41" t="s">
        <v>3995</v>
      </c>
      <c r="C666" s="12" t="s">
        <v>3974</v>
      </c>
      <c r="D666" s="12" t="s">
        <v>2430</v>
      </c>
      <c r="E666" s="12" t="s">
        <v>2431</v>
      </c>
      <c r="F666" s="34" t="s">
        <v>2308</v>
      </c>
      <c r="G666" s="4" t="s">
        <v>3986</v>
      </c>
      <c r="H666" s="12" t="s">
        <v>3018</v>
      </c>
      <c r="I666" s="22">
        <v>12.7486046</v>
      </c>
      <c r="J666" s="22">
        <v>-14.159317</v>
      </c>
      <c r="K666" s="22" t="s">
        <v>2308</v>
      </c>
      <c r="L666" s="23">
        <v>2008</v>
      </c>
      <c r="M666" s="23">
        <v>2009</v>
      </c>
      <c r="N666" s="22" t="s">
        <v>2308</v>
      </c>
      <c r="O666" s="4" t="s">
        <v>67</v>
      </c>
      <c r="P666" s="25" t="s">
        <v>4433</v>
      </c>
    </row>
    <row r="667" spans="1:16" ht="31" customHeight="1">
      <c r="A667" s="113">
        <v>155</v>
      </c>
      <c r="B667" s="41" t="s">
        <v>3995</v>
      </c>
      <c r="C667" s="12" t="s">
        <v>3975</v>
      </c>
      <c r="D667" s="12" t="s">
        <v>2430</v>
      </c>
      <c r="E667" s="12" t="s">
        <v>2431</v>
      </c>
      <c r="F667" s="4" t="s">
        <v>2308</v>
      </c>
      <c r="G667" s="4" t="s">
        <v>3987</v>
      </c>
      <c r="H667" s="12" t="s">
        <v>3018</v>
      </c>
      <c r="I667" s="22">
        <v>12.5380691</v>
      </c>
      <c r="J667" s="22">
        <v>-12.310642</v>
      </c>
      <c r="K667" s="22" t="s">
        <v>2308</v>
      </c>
      <c r="L667" s="23">
        <v>2008</v>
      </c>
      <c r="M667" s="23">
        <v>2009</v>
      </c>
      <c r="N667" s="22" t="s">
        <v>2308</v>
      </c>
      <c r="O667" s="4" t="s">
        <v>67</v>
      </c>
      <c r="P667" s="25" t="s">
        <v>4433</v>
      </c>
    </row>
    <row r="668" spans="1:16" ht="31" customHeight="1">
      <c r="A668" s="113">
        <v>155</v>
      </c>
      <c r="B668" s="41" t="s">
        <v>3995</v>
      </c>
      <c r="C668" s="12" t="s">
        <v>3976</v>
      </c>
      <c r="D668" s="12" t="s">
        <v>2430</v>
      </c>
      <c r="E668" s="12" t="s">
        <v>2431</v>
      </c>
      <c r="F668" s="34" t="s">
        <v>2308</v>
      </c>
      <c r="G668" s="4" t="s">
        <v>3988</v>
      </c>
      <c r="H668" s="4" t="s">
        <v>3847</v>
      </c>
      <c r="I668" s="22">
        <v>12.586008100000001</v>
      </c>
      <c r="J668" s="22">
        <v>-9.8033237</v>
      </c>
      <c r="K668" s="22" t="s">
        <v>2308</v>
      </c>
      <c r="L668" s="23">
        <v>2008</v>
      </c>
      <c r="M668" s="23">
        <v>2009</v>
      </c>
      <c r="N668" s="22" t="s">
        <v>2308</v>
      </c>
      <c r="O668" s="4" t="s">
        <v>67</v>
      </c>
      <c r="P668" s="25" t="s">
        <v>4433</v>
      </c>
    </row>
    <row r="669" spans="1:16" ht="31" customHeight="1">
      <c r="A669" s="113">
        <v>155</v>
      </c>
      <c r="B669" s="41" t="s">
        <v>3995</v>
      </c>
      <c r="C669" s="12" t="s">
        <v>3977</v>
      </c>
      <c r="D669" s="12" t="s">
        <v>2430</v>
      </c>
      <c r="E669" s="12" t="s">
        <v>2431</v>
      </c>
      <c r="F669" s="4" t="s">
        <v>2308</v>
      </c>
      <c r="G669" s="4" t="s">
        <v>3989</v>
      </c>
      <c r="H669" s="4" t="s">
        <v>3847</v>
      </c>
      <c r="I669" s="22">
        <v>10.527438</v>
      </c>
      <c r="J669" s="22">
        <v>-6.9035045999999998</v>
      </c>
      <c r="K669" s="22" t="s">
        <v>2308</v>
      </c>
      <c r="L669" s="23">
        <v>2008</v>
      </c>
      <c r="M669" s="23">
        <v>2009</v>
      </c>
      <c r="N669" s="22" t="s">
        <v>2308</v>
      </c>
      <c r="O669" s="4" t="s">
        <v>67</v>
      </c>
      <c r="P669" s="25" t="s">
        <v>4433</v>
      </c>
    </row>
    <row r="670" spans="1:16" ht="31" customHeight="1">
      <c r="A670" s="113">
        <v>155</v>
      </c>
      <c r="B670" s="41" t="s">
        <v>3995</v>
      </c>
      <c r="C670" s="12" t="s">
        <v>3978</v>
      </c>
      <c r="D670" s="12" t="s">
        <v>2430</v>
      </c>
      <c r="E670" s="12" t="s">
        <v>2431</v>
      </c>
      <c r="F670" s="34" t="s">
        <v>2308</v>
      </c>
      <c r="G670" s="4" t="s">
        <v>3990</v>
      </c>
      <c r="H670" s="4" t="s">
        <v>3847</v>
      </c>
      <c r="I670" s="22">
        <v>10.4564567</v>
      </c>
      <c r="J670" s="22">
        <v>-7.4489020999999997</v>
      </c>
      <c r="K670" s="22" t="s">
        <v>2308</v>
      </c>
      <c r="L670" s="23">
        <v>2008</v>
      </c>
      <c r="M670" s="23">
        <v>2009</v>
      </c>
      <c r="N670" s="22" t="s">
        <v>2308</v>
      </c>
      <c r="O670" s="4" t="s">
        <v>67</v>
      </c>
      <c r="P670" s="25" t="s">
        <v>4433</v>
      </c>
    </row>
    <row r="671" spans="1:16" ht="30" customHeight="1">
      <c r="A671" s="113">
        <v>155</v>
      </c>
      <c r="B671" s="41" t="s">
        <v>3995</v>
      </c>
      <c r="C671" s="12" t="s">
        <v>3979</v>
      </c>
      <c r="D671" s="12" t="s">
        <v>2430</v>
      </c>
      <c r="E671" s="12" t="s">
        <v>2431</v>
      </c>
      <c r="F671" s="4" t="s">
        <v>2308</v>
      </c>
      <c r="G671" s="4" t="s">
        <v>3991</v>
      </c>
      <c r="H671" s="4" t="s">
        <v>3993</v>
      </c>
      <c r="I671" s="22">
        <v>11.7544994</v>
      </c>
      <c r="J671" s="22">
        <v>-13.204300399999999</v>
      </c>
      <c r="K671" s="22" t="s">
        <v>2308</v>
      </c>
      <c r="L671" s="23">
        <v>2008</v>
      </c>
      <c r="M671" s="23">
        <v>2009</v>
      </c>
      <c r="N671" s="22" t="s">
        <v>2308</v>
      </c>
      <c r="O671" s="4" t="s">
        <v>67</v>
      </c>
      <c r="P671" s="25" t="s">
        <v>4433</v>
      </c>
    </row>
    <row r="672" spans="1:16" ht="30" customHeight="1">
      <c r="A672" s="113">
        <v>155</v>
      </c>
      <c r="B672" s="41" t="s">
        <v>3995</v>
      </c>
      <c r="C672" s="12" t="s">
        <v>3980</v>
      </c>
      <c r="D672" s="12" t="s">
        <v>2430</v>
      </c>
      <c r="E672" s="12" t="s">
        <v>2431</v>
      </c>
      <c r="F672" s="34" t="s">
        <v>2308</v>
      </c>
      <c r="G672" s="4" t="s">
        <v>3992</v>
      </c>
      <c r="H672" s="4" t="s">
        <v>3993</v>
      </c>
      <c r="I672" s="22">
        <v>11.291210700000001</v>
      </c>
      <c r="J672" s="22">
        <v>-10.711305100000001</v>
      </c>
      <c r="K672" s="22" t="s">
        <v>2308</v>
      </c>
      <c r="L672" s="23">
        <v>2008</v>
      </c>
      <c r="M672" s="23">
        <v>2009</v>
      </c>
      <c r="N672" s="22" t="s">
        <v>2308</v>
      </c>
      <c r="O672" s="4" t="s">
        <v>67</v>
      </c>
      <c r="P672" s="25" t="s">
        <v>4433</v>
      </c>
    </row>
    <row r="673" spans="1:16" ht="34.5" customHeight="1">
      <c r="A673" s="113">
        <v>155</v>
      </c>
      <c r="B673" s="41" t="s">
        <v>3995</v>
      </c>
      <c r="C673" s="12" t="s">
        <v>3981</v>
      </c>
      <c r="D673" s="12" t="s">
        <v>2430</v>
      </c>
      <c r="E673" s="12" t="s">
        <v>2431</v>
      </c>
      <c r="F673" s="4" t="s">
        <v>2308</v>
      </c>
      <c r="G673" s="4" t="s">
        <v>3994</v>
      </c>
      <c r="H673" s="4" t="s">
        <v>3993</v>
      </c>
      <c r="I673" s="22">
        <v>8.8076275000000006</v>
      </c>
      <c r="J673" s="22">
        <v>-8.3084334999999996</v>
      </c>
      <c r="K673" s="22" t="s">
        <v>2308</v>
      </c>
      <c r="L673" s="23">
        <v>2008</v>
      </c>
      <c r="M673" s="23">
        <v>2009</v>
      </c>
      <c r="N673" s="22" t="s">
        <v>2308</v>
      </c>
      <c r="O673" s="4" t="s">
        <v>67</v>
      </c>
      <c r="P673" s="25" t="s">
        <v>4433</v>
      </c>
    </row>
    <row r="674" spans="1:16" ht="35" customHeight="1">
      <c r="A674" s="113">
        <v>156</v>
      </c>
      <c r="B674" s="41" t="s">
        <v>4014</v>
      </c>
      <c r="C674" s="12" t="s">
        <v>4015</v>
      </c>
      <c r="D674" s="12" t="s">
        <v>2430</v>
      </c>
      <c r="E674" s="12" t="s">
        <v>2455</v>
      </c>
      <c r="F674" s="4" t="s">
        <v>2308</v>
      </c>
      <c r="G674" s="4" t="s">
        <v>4019</v>
      </c>
      <c r="H674" s="4" t="s">
        <v>391</v>
      </c>
      <c r="I674" s="22">
        <v>-3.7622458999999999</v>
      </c>
      <c r="J674" s="22">
        <v>32.958203500000003</v>
      </c>
      <c r="K674" s="22" t="s">
        <v>2308</v>
      </c>
      <c r="L674" s="4">
        <v>1962</v>
      </c>
      <c r="M674" s="4">
        <v>2000</v>
      </c>
      <c r="N674" s="22">
        <v>42</v>
      </c>
      <c r="O674" s="4" t="s">
        <v>67</v>
      </c>
      <c r="P674" s="4" t="s">
        <v>4020</v>
      </c>
    </row>
    <row r="675" spans="1:16" ht="39.5" customHeight="1">
      <c r="A675" s="113">
        <v>156</v>
      </c>
      <c r="B675" s="41" t="s">
        <v>4014</v>
      </c>
      <c r="C675" s="12" t="s">
        <v>4016</v>
      </c>
      <c r="D675" s="12" t="s">
        <v>2430</v>
      </c>
      <c r="E675" s="12" t="s">
        <v>2455</v>
      </c>
      <c r="F675" s="4" t="s">
        <v>4017</v>
      </c>
      <c r="G675" s="4" t="s">
        <v>4018</v>
      </c>
      <c r="H675" s="4" t="s">
        <v>1974</v>
      </c>
      <c r="I675" s="22">
        <v>3.2100271</v>
      </c>
      <c r="J675" s="22">
        <v>35.347988600000001</v>
      </c>
      <c r="K675" s="22" t="s">
        <v>2308</v>
      </c>
      <c r="L675" s="4">
        <v>1962</v>
      </c>
      <c r="M675" s="4">
        <v>1981</v>
      </c>
      <c r="N675" s="22" t="s">
        <v>2308</v>
      </c>
      <c r="O675" s="4" t="s">
        <v>67</v>
      </c>
      <c r="P675" s="4" t="s">
        <v>4020</v>
      </c>
    </row>
    <row r="676" spans="1:16" ht="35.5" customHeight="1">
      <c r="A676" s="113">
        <v>156</v>
      </c>
      <c r="B676" s="41" t="s">
        <v>4014</v>
      </c>
      <c r="C676" s="12" t="s">
        <v>4021</v>
      </c>
      <c r="D676" s="12" t="s">
        <v>2430</v>
      </c>
      <c r="E676" s="12" t="s">
        <v>2455</v>
      </c>
      <c r="F676" s="4" t="s">
        <v>4017</v>
      </c>
      <c r="G676" s="4" t="s">
        <v>4018</v>
      </c>
      <c r="H676" s="4" t="s">
        <v>1974</v>
      </c>
      <c r="I676" s="22">
        <v>3.2100271</v>
      </c>
      <c r="J676" s="22">
        <v>35.347988600000001</v>
      </c>
      <c r="K676" s="22" t="s">
        <v>2308</v>
      </c>
      <c r="L676" s="4">
        <v>1982</v>
      </c>
      <c r="M676" s="4">
        <v>2000</v>
      </c>
      <c r="N676" s="22" t="s">
        <v>2308</v>
      </c>
      <c r="O676" s="4" t="s">
        <v>67</v>
      </c>
      <c r="P676" s="4" t="s">
        <v>4020</v>
      </c>
    </row>
    <row r="677" spans="1:16" ht="47" customHeight="1">
      <c r="A677" s="113">
        <v>157</v>
      </c>
      <c r="B677" s="41" t="s">
        <v>4037</v>
      </c>
      <c r="C677" s="12" t="s">
        <v>4038</v>
      </c>
      <c r="D677" s="12" t="s">
        <v>2430</v>
      </c>
      <c r="E677" s="12" t="s">
        <v>2431</v>
      </c>
      <c r="F677" s="4" t="s">
        <v>4041</v>
      </c>
      <c r="G677" s="4" t="s">
        <v>4040</v>
      </c>
      <c r="H677" s="12" t="s">
        <v>1973</v>
      </c>
      <c r="I677" s="22">
        <v>5.5543749</v>
      </c>
      <c r="J677" s="22">
        <v>39.390632600000004</v>
      </c>
      <c r="K677" s="22" t="s">
        <v>2308</v>
      </c>
      <c r="L677" s="176" t="s">
        <v>2308</v>
      </c>
      <c r="M677" s="176" t="s">
        <v>2308</v>
      </c>
      <c r="N677" s="22" t="s">
        <v>2308</v>
      </c>
      <c r="O677" s="4" t="s">
        <v>67</v>
      </c>
      <c r="P677" s="174" t="s">
        <v>4045</v>
      </c>
    </row>
    <row r="678" spans="1:16" ht="46.5" customHeight="1">
      <c r="A678" s="113">
        <v>157</v>
      </c>
      <c r="B678" s="41" t="s">
        <v>4037</v>
      </c>
      <c r="C678" s="12" t="s">
        <v>4039</v>
      </c>
      <c r="D678" s="12" t="s">
        <v>2430</v>
      </c>
      <c r="E678" s="12" t="s">
        <v>2431</v>
      </c>
      <c r="F678" s="4" t="s">
        <v>4042</v>
      </c>
      <c r="G678" s="4" t="s">
        <v>4040</v>
      </c>
      <c r="H678" s="12" t="s">
        <v>1973</v>
      </c>
      <c r="I678" s="22">
        <v>4.7750095999999997</v>
      </c>
      <c r="J678" s="22">
        <v>39.5168842</v>
      </c>
      <c r="K678" s="22" t="s">
        <v>2308</v>
      </c>
      <c r="L678" s="176" t="s">
        <v>2308</v>
      </c>
      <c r="M678" s="176" t="s">
        <v>2308</v>
      </c>
      <c r="N678" s="22" t="s">
        <v>2308</v>
      </c>
      <c r="O678" s="4" t="s">
        <v>67</v>
      </c>
      <c r="P678" s="174" t="s">
        <v>4045</v>
      </c>
    </row>
    <row r="679" spans="1:16" ht="47" customHeight="1">
      <c r="A679" s="113">
        <v>157</v>
      </c>
      <c r="B679" s="41" t="s">
        <v>4037</v>
      </c>
      <c r="C679" s="12" t="s">
        <v>4044</v>
      </c>
      <c r="D679" s="12" t="s">
        <v>2430</v>
      </c>
      <c r="E679" s="12" t="s">
        <v>2431</v>
      </c>
      <c r="F679" s="4" t="s">
        <v>4043</v>
      </c>
      <c r="G679" s="4" t="s">
        <v>4040</v>
      </c>
      <c r="H679" s="12" t="s">
        <v>1973</v>
      </c>
      <c r="I679" s="22">
        <v>6.6468730000000003</v>
      </c>
      <c r="J679" s="22">
        <v>39.360786500000003</v>
      </c>
      <c r="K679" s="22" t="s">
        <v>2308</v>
      </c>
      <c r="L679" s="176" t="s">
        <v>2308</v>
      </c>
      <c r="M679" s="176" t="s">
        <v>2308</v>
      </c>
      <c r="N679" s="22" t="s">
        <v>2308</v>
      </c>
      <c r="O679" s="4" t="s">
        <v>67</v>
      </c>
      <c r="P679" s="174" t="s">
        <v>4045</v>
      </c>
    </row>
    <row r="680" spans="1:16" ht="47" customHeight="1">
      <c r="A680" s="113">
        <v>158</v>
      </c>
      <c r="B680" s="41" t="s">
        <v>4065</v>
      </c>
      <c r="C680" s="12" t="s">
        <v>4064</v>
      </c>
      <c r="D680" s="12" t="s">
        <v>2430</v>
      </c>
      <c r="E680" s="12" t="s">
        <v>2431</v>
      </c>
      <c r="F680" s="4" t="s">
        <v>2308</v>
      </c>
      <c r="G680" s="4" t="s">
        <v>4066</v>
      </c>
      <c r="H680" s="4" t="s">
        <v>187</v>
      </c>
      <c r="I680" s="22">
        <f>AVERAGE(7.48, 7.23)</f>
        <v>7.3550000000000004</v>
      </c>
      <c r="J680" s="22">
        <f>AVERAGE(11.97, 12.23)</f>
        <v>12.100000000000001</v>
      </c>
      <c r="K680" s="22">
        <v>600</v>
      </c>
      <c r="L680" s="4">
        <v>2004</v>
      </c>
      <c r="M680" s="4">
        <v>2004</v>
      </c>
      <c r="N680" s="22" t="s">
        <v>2308</v>
      </c>
      <c r="O680" s="4" t="s">
        <v>67</v>
      </c>
      <c r="P680" s="5" t="s">
        <v>4067</v>
      </c>
    </row>
    <row r="681" spans="1:16" ht="32" customHeight="1">
      <c r="A681" s="113">
        <v>159</v>
      </c>
      <c r="B681" s="41" t="s">
        <v>4076</v>
      </c>
      <c r="C681" s="12" t="s">
        <v>4077</v>
      </c>
      <c r="D681" s="12" t="s">
        <v>2430</v>
      </c>
      <c r="E681" s="12" t="s">
        <v>2431</v>
      </c>
      <c r="F681" s="4" t="s">
        <v>4082</v>
      </c>
      <c r="G681" s="4" t="s">
        <v>4086</v>
      </c>
      <c r="H681" s="12" t="s">
        <v>4081</v>
      </c>
      <c r="I681" s="22">
        <v>47.786200800000003</v>
      </c>
      <c r="J681" s="22">
        <v>112.11603650000001</v>
      </c>
      <c r="K681" s="22" t="s">
        <v>2308</v>
      </c>
      <c r="L681" s="4">
        <v>1994</v>
      </c>
      <c r="M681" s="4">
        <v>1995</v>
      </c>
      <c r="N681" s="22" t="s">
        <v>2308</v>
      </c>
      <c r="O681" s="4" t="s">
        <v>2674</v>
      </c>
      <c r="P681" s="4"/>
    </row>
    <row r="682" spans="1:16" ht="32" customHeight="1">
      <c r="A682" s="113">
        <v>159</v>
      </c>
      <c r="B682" s="41" t="s">
        <v>4076</v>
      </c>
      <c r="C682" s="12" t="s">
        <v>4078</v>
      </c>
      <c r="D682" s="12" t="s">
        <v>2430</v>
      </c>
      <c r="E682" s="12" t="s">
        <v>2431</v>
      </c>
      <c r="F682" s="4" t="s">
        <v>4083</v>
      </c>
      <c r="G682" s="4" t="s">
        <v>4086</v>
      </c>
      <c r="H682" s="12" t="s">
        <v>4081</v>
      </c>
      <c r="I682" s="22">
        <v>47.021670499999999</v>
      </c>
      <c r="J682" s="22">
        <v>112.5286084</v>
      </c>
      <c r="K682" s="22" t="s">
        <v>2308</v>
      </c>
      <c r="L682" s="4">
        <v>1994</v>
      </c>
      <c r="M682" s="4">
        <v>1995</v>
      </c>
      <c r="N682" s="22" t="s">
        <v>2308</v>
      </c>
      <c r="O682" s="4" t="s">
        <v>2674</v>
      </c>
      <c r="P682" s="4"/>
    </row>
    <row r="683" spans="1:16" ht="32" customHeight="1">
      <c r="A683" s="113">
        <v>159</v>
      </c>
      <c r="B683" s="41" t="s">
        <v>4076</v>
      </c>
      <c r="C683" s="12" t="s">
        <v>4079</v>
      </c>
      <c r="D683" s="12" t="s">
        <v>2430</v>
      </c>
      <c r="E683" s="12" t="s">
        <v>2431</v>
      </c>
      <c r="F683" s="4" t="s">
        <v>4084</v>
      </c>
      <c r="G683" s="4" t="s">
        <v>4087</v>
      </c>
      <c r="H683" s="12" t="s">
        <v>4081</v>
      </c>
      <c r="I683" s="22">
        <v>48.014630699999998</v>
      </c>
      <c r="J683" s="22">
        <v>100.05073350000001</v>
      </c>
      <c r="K683" s="22" t="s">
        <v>2308</v>
      </c>
      <c r="L683" s="4">
        <v>1993</v>
      </c>
      <c r="M683" s="4">
        <v>1993</v>
      </c>
      <c r="N683" s="22" t="s">
        <v>2308</v>
      </c>
      <c r="O683" s="4" t="s">
        <v>2674</v>
      </c>
      <c r="P683" s="4"/>
    </row>
    <row r="684" spans="1:16" ht="32" customHeight="1">
      <c r="A684" s="113">
        <v>159</v>
      </c>
      <c r="B684" s="41" t="s">
        <v>4076</v>
      </c>
      <c r="C684" s="12" t="s">
        <v>4080</v>
      </c>
      <c r="D684" s="12" t="s">
        <v>2430</v>
      </c>
      <c r="E684" s="12" t="s">
        <v>2431</v>
      </c>
      <c r="F684" s="4" t="s">
        <v>4085</v>
      </c>
      <c r="G684" s="4" t="s">
        <v>4087</v>
      </c>
      <c r="H684" s="12" t="s">
        <v>4081</v>
      </c>
      <c r="I684" s="22">
        <v>47.596265099999997</v>
      </c>
      <c r="J684" s="22">
        <v>101.20940210000001</v>
      </c>
      <c r="K684" s="22" t="s">
        <v>2308</v>
      </c>
      <c r="L684" s="4">
        <v>1995</v>
      </c>
      <c r="M684" s="4">
        <v>1995</v>
      </c>
      <c r="N684" s="22" t="s">
        <v>2308</v>
      </c>
      <c r="O684" s="4" t="s">
        <v>2674</v>
      </c>
      <c r="P684" s="4"/>
    </row>
    <row r="685" spans="1:16" ht="30" customHeight="1">
      <c r="A685" s="113">
        <v>160</v>
      </c>
      <c r="B685" s="41" t="s">
        <v>4099</v>
      </c>
      <c r="C685" s="12" t="s">
        <v>4097</v>
      </c>
      <c r="D685" s="12" t="s">
        <v>2430</v>
      </c>
      <c r="E685" s="12" t="s">
        <v>2669</v>
      </c>
      <c r="F685" s="4" t="s">
        <v>2308</v>
      </c>
      <c r="G685" s="4" t="s">
        <v>4101</v>
      </c>
      <c r="H685" s="4" t="s">
        <v>4100</v>
      </c>
      <c r="I685" s="22">
        <v>37.429386700000002</v>
      </c>
      <c r="J685" s="22">
        <v>22.388074499999998</v>
      </c>
      <c r="K685" s="22" t="s">
        <v>2308</v>
      </c>
      <c r="L685" s="4">
        <v>1992</v>
      </c>
      <c r="M685" s="4">
        <v>2011</v>
      </c>
      <c r="N685" s="22" t="s">
        <v>2308</v>
      </c>
      <c r="O685" s="4" t="s">
        <v>67</v>
      </c>
      <c r="P685" s="4"/>
    </row>
    <row r="686" spans="1:16" ht="30" customHeight="1">
      <c r="A686" s="113">
        <v>160</v>
      </c>
      <c r="B686" s="41" t="s">
        <v>4099</v>
      </c>
      <c r="C686" s="12" t="s">
        <v>4108</v>
      </c>
      <c r="D686" s="12" t="s">
        <v>2430</v>
      </c>
      <c r="E686" s="12" t="s">
        <v>2669</v>
      </c>
      <c r="F686" s="4" t="s">
        <v>2308</v>
      </c>
      <c r="G686" s="12" t="s">
        <v>4102</v>
      </c>
      <c r="H686" s="4" t="s">
        <v>4100</v>
      </c>
      <c r="I686" s="22">
        <v>37.85</v>
      </c>
      <c r="J686" s="22">
        <v>24.9</v>
      </c>
      <c r="K686" s="22" t="s">
        <v>2308</v>
      </c>
      <c r="L686" s="4">
        <v>1992</v>
      </c>
      <c r="M686" s="4">
        <v>2011</v>
      </c>
      <c r="N686" s="22" t="s">
        <v>2308</v>
      </c>
      <c r="O686" s="4" t="s">
        <v>67</v>
      </c>
      <c r="P686" s="4"/>
    </row>
    <row r="687" spans="1:16" ht="30" customHeight="1">
      <c r="A687" s="113">
        <v>160</v>
      </c>
      <c r="B687" s="41" t="s">
        <v>4099</v>
      </c>
      <c r="C687" s="12" t="s">
        <v>4109</v>
      </c>
      <c r="D687" s="12" t="s">
        <v>2430</v>
      </c>
      <c r="E687" s="12" t="s">
        <v>2669</v>
      </c>
      <c r="F687" s="4" t="s">
        <v>2308</v>
      </c>
      <c r="G687" s="12" t="s">
        <v>4103</v>
      </c>
      <c r="H687" s="4" t="s">
        <v>4100</v>
      </c>
      <c r="I687" s="22">
        <v>38.7352116</v>
      </c>
      <c r="J687" s="22">
        <v>21.3725807</v>
      </c>
      <c r="K687" s="22" t="s">
        <v>2308</v>
      </c>
      <c r="L687" s="4">
        <v>1992</v>
      </c>
      <c r="M687" s="4">
        <v>2011</v>
      </c>
      <c r="N687" s="22" t="s">
        <v>2308</v>
      </c>
      <c r="O687" s="4" t="s">
        <v>67</v>
      </c>
      <c r="P687" s="4"/>
    </row>
    <row r="688" spans="1:16" ht="30" customHeight="1">
      <c r="A688" s="113">
        <v>160</v>
      </c>
      <c r="B688" s="41" t="s">
        <v>4099</v>
      </c>
      <c r="C688" s="12" t="s">
        <v>4110</v>
      </c>
      <c r="D688" s="12" t="s">
        <v>2430</v>
      </c>
      <c r="E688" s="12" t="s">
        <v>2669</v>
      </c>
      <c r="F688" s="4" t="s">
        <v>2308</v>
      </c>
      <c r="G688" s="12" t="s">
        <v>4104</v>
      </c>
      <c r="H688" s="4" t="s">
        <v>4100</v>
      </c>
      <c r="I688" s="22">
        <v>39.6605031</v>
      </c>
      <c r="J688" s="22">
        <v>20.719313199999998</v>
      </c>
      <c r="K688" s="22" t="s">
        <v>2308</v>
      </c>
      <c r="L688" s="4">
        <v>1992</v>
      </c>
      <c r="M688" s="4">
        <v>2011</v>
      </c>
      <c r="N688" s="22" t="s">
        <v>2308</v>
      </c>
      <c r="O688" s="4" t="s">
        <v>67</v>
      </c>
      <c r="P688" s="4"/>
    </row>
    <row r="689" spans="1:16" ht="30" customHeight="1">
      <c r="A689" s="113">
        <v>160</v>
      </c>
      <c r="B689" s="41" t="s">
        <v>4099</v>
      </c>
      <c r="C689" s="12" t="s">
        <v>4111</v>
      </c>
      <c r="D689" s="12" t="s">
        <v>2430</v>
      </c>
      <c r="E689" s="12" t="s">
        <v>2669</v>
      </c>
      <c r="F689" s="4" t="s">
        <v>2308</v>
      </c>
      <c r="G689" s="12" t="s">
        <v>4105</v>
      </c>
      <c r="H689" s="4" t="s">
        <v>4100</v>
      </c>
      <c r="I689" s="22">
        <v>40.789708400000002</v>
      </c>
      <c r="J689" s="22">
        <v>23.705434799999999</v>
      </c>
      <c r="K689" s="22" t="s">
        <v>2308</v>
      </c>
      <c r="L689" s="4">
        <v>1992</v>
      </c>
      <c r="M689" s="4">
        <v>2011</v>
      </c>
      <c r="N689" s="22" t="s">
        <v>2308</v>
      </c>
      <c r="O689" s="4" t="s">
        <v>67</v>
      </c>
      <c r="P689" s="4"/>
    </row>
    <row r="690" spans="1:16" ht="30" customHeight="1">
      <c r="A690" s="113">
        <v>160</v>
      </c>
      <c r="B690" s="41" t="s">
        <v>4099</v>
      </c>
      <c r="C690" s="12" t="s">
        <v>4112</v>
      </c>
      <c r="D690" s="12" t="s">
        <v>2430</v>
      </c>
      <c r="E690" s="12" t="s">
        <v>2669</v>
      </c>
      <c r="F690" s="4" t="s">
        <v>2308</v>
      </c>
      <c r="G690" s="12" t="s">
        <v>4106</v>
      </c>
      <c r="H690" s="4" t="s">
        <v>4100</v>
      </c>
      <c r="I690" s="22">
        <v>37.078574699999997</v>
      </c>
      <c r="J690" s="22">
        <v>21.970439299999999</v>
      </c>
      <c r="K690" s="22" t="s">
        <v>2308</v>
      </c>
      <c r="L690" s="4">
        <v>1992</v>
      </c>
      <c r="M690" s="4">
        <v>2011</v>
      </c>
      <c r="N690" s="22" t="s">
        <v>2308</v>
      </c>
      <c r="O690" s="4" t="s">
        <v>67</v>
      </c>
      <c r="P690" s="4"/>
    </row>
    <row r="691" spans="1:16" ht="30" customHeight="1">
      <c r="A691" s="113">
        <v>160</v>
      </c>
      <c r="B691" s="41" t="s">
        <v>4099</v>
      </c>
      <c r="C691" s="12" t="s">
        <v>4113</v>
      </c>
      <c r="D691" s="12" t="s">
        <v>2430</v>
      </c>
      <c r="E691" s="12" t="s">
        <v>2669</v>
      </c>
      <c r="F691" s="4" t="s">
        <v>2308</v>
      </c>
      <c r="G691" s="12" t="s">
        <v>4107</v>
      </c>
      <c r="H691" s="4" t="s">
        <v>4100</v>
      </c>
      <c r="I691" s="22">
        <v>39.582922799999999</v>
      </c>
      <c r="J691" s="22">
        <v>22.726840299999999</v>
      </c>
      <c r="K691" s="22" t="s">
        <v>2308</v>
      </c>
      <c r="L691" s="4">
        <v>1992</v>
      </c>
      <c r="M691" s="4">
        <v>2011</v>
      </c>
      <c r="N691" s="22" t="s">
        <v>2308</v>
      </c>
      <c r="O691" s="4" t="s">
        <v>67</v>
      </c>
      <c r="P691" s="4"/>
    </row>
    <row r="692" spans="1:16" ht="53.5" customHeight="1">
      <c r="A692" s="113">
        <v>161</v>
      </c>
      <c r="B692" s="41" t="s">
        <v>4134</v>
      </c>
      <c r="C692" s="12" t="s">
        <v>4135</v>
      </c>
      <c r="D692" s="12" t="s">
        <v>2430</v>
      </c>
      <c r="E692" s="4" t="s">
        <v>2431</v>
      </c>
      <c r="F692" s="4" t="s">
        <v>2308</v>
      </c>
      <c r="G692" s="4" t="s">
        <v>4136</v>
      </c>
      <c r="H692" s="4" t="s">
        <v>4081</v>
      </c>
      <c r="I692" s="22">
        <v>49</v>
      </c>
      <c r="J692" s="22">
        <v>105</v>
      </c>
      <c r="K692" s="22">
        <f>900*400</f>
        <v>360000</v>
      </c>
      <c r="L692" s="102">
        <v>1982</v>
      </c>
      <c r="M692" s="4">
        <v>2020</v>
      </c>
      <c r="N692" s="22" t="s">
        <v>2308</v>
      </c>
      <c r="O692" s="4" t="s">
        <v>67</v>
      </c>
      <c r="P692" s="5" t="s">
        <v>4137</v>
      </c>
    </row>
    <row r="693" spans="1:16" ht="55.5" customHeight="1">
      <c r="A693" s="113">
        <v>162</v>
      </c>
      <c r="B693" s="41" t="s">
        <v>4156</v>
      </c>
      <c r="C693" s="12" t="s">
        <v>4157</v>
      </c>
      <c r="D693" s="12" t="s">
        <v>2430</v>
      </c>
      <c r="E693" s="4" t="s">
        <v>2447</v>
      </c>
      <c r="F693" s="153" t="s">
        <v>4164</v>
      </c>
      <c r="G693" s="4" t="s">
        <v>4160</v>
      </c>
      <c r="H693" s="4" t="s">
        <v>4161</v>
      </c>
      <c r="I693" s="22">
        <v>38.209899499999999</v>
      </c>
      <c r="J693" s="22">
        <v>-96.467848599999996</v>
      </c>
      <c r="K693" s="22" t="s">
        <v>2308</v>
      </c>
      <c r="L693" s="102">
        <v>1880</v>
      </c>
      <c r="M693" s="12">
        <v>1990</v>
      </c>
      <c r="N693" s="22" t="s">
        <v>2308</v>
      </c>
      <c r="O693" s="4" t="s">
        <v>67</v>
      </c>
      <c r="P693" s="5" t="s">
        <v>4165</v>
      </c>
    </row>
    <row r="694" spans="1:16" ht="52.5" customHeight="1">
      <c r="A694" s="113">
        <v>162</v>
      </c>
      <c r="B694" s="41" t="s">
        <v>4156</v>
      </c>
      <c r="C694" s="12" t="s">
        <v>4158</v>
      </c>
      <c r="D694" s="12" t="s">
        <v>2430</v>
      </c>
      <c r="E694" s="4" t="s">
        <v>2447</v>
      </c>
      <c r="F694" s="153" t="s">
        <v>4163</v>
      </c>
      <c r="G694" s="4" t="s">
        <v>4162</v>
      </c>
      <c r="H694" s="4" t="s">
        <v>4159</v>
      </c>
      <c r="I694" s="22">
        <v>-45.481157699999997</v>
      </c>
      <c r="J694" s="22">
        <v>170.21678069999999</v>
      </c>
      <c r="K694" s="22" t="s">
        <v>2308</v>
      </c>
      <c r="L694" s="102">
        <v>1865</v>
      </c>
      <c r="M694" s="12">
        <v>1990</v>
      </c>
      <c r="N694" s="22" t="s">
        <v>2308</v>
      </c>
      <c r="O694" s="4" t="s">
        <v>67</v>
      </c>
      <c r="P694" s="5" t="s">
        <v>4165</v>
      </c>
    </row>
    <row r="695" spans="1:16" ht="47.5" customHeight="1">
      <c r="A695" s="113">
        <v>163</v>
      </c>
      <c r="B695" s="41" t="s">
        <v>4179</v>
      </c>
      <c r="C695" s="12" t="s">
        <v>4178</v>
      </c>
      <c r="D695" s="12" t="s">
        <v>2430</v>
      </c>
      <c r="E695" s="4" t="s">
        <v>2431</v>
      </c>
      <c r="F695" s="4" t="s">
        <v>4180</v>
      </c>
      <c r="G695" s="4" t="s">
        <v>4181</v>
      </c>
      <c r="H695" s="4" t="s">
        <v>4161</v>
      </c>
      <c r="I695" s="22">
        <v>38.645959099999999</v>
      </c>
      <c r="J695" s="22">
        <v>-120.8445846</v>
      </c>
      <c r="K695" s="22" t="s">
        <v>2308</v>
      </c>
      <c r="L695" s="4">
        <v>2001</v>
      </c>
      <c r="M695" s="4">
        <v>2002</v>
      </c>
      <c r="N695" s="22" t="s">
        <v>2308</v>
      </c>
      <c r="O695" s="4" t="s">
        <v>67</v>
      </c>
      <c r="P695" s="4"/>
    </row>
    <row r="696" spans="1:16" ht="48" customHeight="1">
      <c r="A696" s="113">
        <v>164</v>
      </c>
      <c r="B696" s="41" t="s">
        <v>4186</v>
      </c>
      <c r="C696" s="4" t="s">
        <v>4187</v>
      </c>
      <c r="D696" s="12" t="s">
        <v>2430</v>
      </c>
      <c r="E696" s="4" t="s">
        <v>2431</v>
      </c>
      <c r="F696" s="4" t="s">
        <v>4188</v>
      </c>
      <c r="G696" s="4" t="s">
        <v>4189</v>
      </c>
      <c r="H696" s="4" t="s">
        <v>88</v>
      </c>
      <c r="I696" s="22">
        <f>AVERAGE(29 + 48/60, 29+23/60)</f>
        <v>29.591666666666669</v>
      </c>
      <c r="J696" s="22">
        <f>AVERAGE(78 + 39/60, 79+9/60)</f>
        <v>78.900000000000006</v>
      </c>
      <c r="K696" s="22">
        <v>1288.32</v>
      </c>
      <c r="L696" s="174">
        <v>2014</v>
      </c>
      <c r="M696" s="174">
        <v>2014</v>
      </c>
      <c r="N696" s="22" t="s">
        <v>2308</v>
      </c>
      <c r="O696" s="4" t="s">
        <v>67</v>
      </c>
      <c r="P696" s="175" t="s">
        <v>4190</v>
      </c>
    </row>
    <row r="697" spans="1:16" ht="29" customHeight="1">
      <c r="A697" s="113">
        <v>165</v>
      </c>
      <c r="B697" s="41" t="s">
        <v>4197</v>
      </c>
      <c r="C697" s="12" t="s">
        <v>4195</v>
      </c>
      <c r="D697" s="12" t="s">
        <v>2430</v>
      </c>
      <c r="E697" s="4" t="s">
        <v>2431</v>
      </c>
      <c r="F697" s="4" t="s">
        <v>4198</v>
      </c>
      <c r="G697" s="4" t="s">
        <v>4199</v>
      </c>
      <c r="H697" s="4" t="s">
        <v>1974</v>
      </c>
      <c r="I697" s="22">
        <v>-2.3948835000000002</v>
      </c>
      <c r="J697" s="22">
        <v>37.9732038</v>
      </c>
      <c r="K697" s="22" t="s">
        <v>2308</v>
      </c>
      <c r="L697" s="4">
        <v>2012</v>
      </c>
      <c r="M697" s="4">
        <v>2012</v>
      </c>
      <c r="N697" s="22" t="s">
        <v>2308</v>
      </c>
      <c r="O697" s="4" t="s">
        <v>67</v>
      </c>
      <c r="P697" s="4"/>
    </row>
    <row r="698" spans="1:16" ht="29" customHeight="1">
      <c r="A698" s="113">
        <v>165</v>
      </c>
      <c r="B698" s="41" t="s">
        <v>4197</v>
      </c>
      <c r="C698" s="12" t="s">
        <v>4196</v>
      </c>
      <c r="D698" s="12" t="s">
        <v>2430</v>
      </c>
      <c r="E698" s="4" t="s">
        <v>2431</v>
      </c>
      <c r="F698" s="4" t="s">
        <v>4200</v>
      </c>
      <c r="G698" s="4" t="s">
        <v>4201</v>
      </c>
      <c r="H698" s="4" t="s">
        <v>1974</v>
      </c>
      <c r="I698" s="22">
        <v>-2.9064418000000001</v>
      </c>
      <c r="J698" s="22">
        <v>37.545422799999997</v>
      </c>
      <c r="K698" s="22">
        <v>2427</v>
      </c>
      <c r="L698" s="4">
        <v>2012</v>
      </c>
      <c r="M698" s="4">
        <v>2012</v>
      </c>
      <c r="N698" s="22">
        <f>15000/K698</f>
        <v>6.1804697156983934</v>
      </c>
      <c r="O698" s="4" t="s">
        <v>67</v>
      </c>
      <c r="P698" s="4"/>
    </row>
    <row r="699" spans="1:16" ht="35.5" customHeight="1">
      <c r="A699" s="113">
        <v>166</v>
      </c>
      <c r="B699" s="41" t="s">
        <v>4245</v>
      </c>
      <c r="C699" s="12" t="s">
        <v>4246</v>
      </c>
      <c r="D699" s="12" t="s">
        <v>2430</v>
      </c>
      <c r="E699" s="4" t="s">
        <v>2432</v>
      </c>
      <c r="F699" s="4" t="s">
        <v>4248</v>
      </c>
      <c r="G699" s="4" t="s">
        <v>4249</v>
      </c>
      <c r="H699" s="4" t="s">
        <v>3665</v>
      </c>
      <c r="I699" s="22">
        <v>-27.9045177</v>
      </c>
      <c r="J699" s="22">
        <v>-58.683236200000003</v>
      </c>
      <c r="K699" s="22">
        <f>191976/100</f>
        <v>1919.76</v>
      </c>
      <c r="L699" s="4">
        <v>2000</v>
      </c>
      <c r="M699" s="4">
        <v>2005</v>
      </c>
      <c r="N699" s="22" t="s">
        <v>2308</v>
      </c>
      <c r="O699" s="4" t="s">
        <v>67</v>
      </c>
      <c r="P699" s="4"/>
    </row>
    <row r="700" spans="1:16" ht="32.5" customHeight="1">
      <c r="A700" s="113">
        <v>167</v>
      </c>
      <c r="B700" s="41" t="s">
        <v>4259</v>
      </c>
      <c r="C700" s="12" t="s">
        <v>4260</v>
      </c>
      <c r="D700" s="12" t="s">
        <v>2430</v>
      </c>
      <c r="E700" s="4" t="s">
        <v>2670</v>
      </c>
      <c r="F700" s="4" t="s">
        <v>4261</v>
      </c>
      <c r="G700" s="4" t="s">
        <v>4262</v>
      </c>
      <c r="H700" s="4" t="s">
        <v>1973</v>
      </c>
      <c r="I700" s="22">
        <f>4 + 5/6</f>
        <v>4.833333333333333</v>
      </c>
      <c r="J700" s="22">
        <f>37 + 39.5/60</f>
        <v>37.658333333333331</v>
      </c>
      <c r="K700" s="22" t="s">
        <v>2308</v>
      </c>
      <c r="L700" s="4">
        <v>2011</v>
      </c>
      <c r="M700" s="4">
        <v>2012</v>
      </c>
      <c r="N700" s="22" t="s">
        <v>2308</v>
      </c>
      <c r="O700" s="4" t="s">
        <v>67</v>
      </c>
      <c r="P700" s="4"/>
    </row>
    <row r="701" spans="1:16" ht="38.5" customHeight="1">
      <c r="A701" s="113">
        <v>168</v>
      </c>
      <c r="B701" s="41" t="s">
        <v>4269</v>
      </c>
      <c r="C701" s="4" t="s">
        <v>4270</v>
      </c>
      <c r="D701" s="12" t="s">
        <v>2430</v>
      </c>
      <c r="E701" s="4" t="s">
        <v>2431</v>
      </c>
      <c r="F701" s="4" t="s">
        <v>4272</v>
      </c>
      <c r="G701" s="4" t="s">
        <v>2308</v>
      </c>
      <c r="H701" s="4" t="s">
        <v>429</v>
      </c>
      <c r="I701" s="22">
        <v>-12.5464509</v>
      </c>
      <c r="J701" s="22">
        <v>30.215519</v>
      </c>
      <c r="K701" s="22">
        <v>390</v>
      </c>
      <c r="L701" s="4">
        <v>2004</v>
      </c>
      <c r="M701" s="4">
        <v>2004</v>
      </c>
      <c r="N701" s="22" t="s">
        <v>2308</v>
      </c>
      <c r="O701" s="4" t="s">
        <v>67</v>
      </c>
      <c r="P701" s="4"/>
    </row>
    <row r="702" spans="1:16" ht="38.5" customHeight="1">
      <c r="A702" s="113">
        <v>168</v>
      </c>
      <c r="B702" s="41" t="s">
        <v>4269</v>
      </c>
      <c r="C702" s="4" t="s">
        <v>4271</v>
      </c>
      <c r="D702" s="12" t="s">
        <v>2430</v>
      </c>
      <c r="E702" s="4" t="s">
        <v>2431</v>
      </c>
      <c r="F702" s="5" t="s">
        <v>4273</v>
      </c>
      <c r="G702" s="4" t="s">
        <v>2308</v>
      </c>
      <c r="H702" s="4" t="s">
        <v>429</v>
      </c>
      <c r="I702" s="22">
        <v>-12.6814923</v>
      </c>
      <c r="J702" s="22">
        <v>30.155905600000001</v>
      </c>
      <c r="K702" s="22">
        <f>4280-K701</f>
        <v>3890</v>
      </c>
      <c r="L702" s="4">
        <v>2004</v>
      </c>
      <c r="M702" s="4">
        <v>2004</v>
      </c>
      <c r="N702" s="22" t="s">
        <v>2308</v>
      </c>
      <c r="O702" s="4" t="s">
        <v>67</v>
      </c>
      <c r="P702" s="4"/>
    </row>
    <row r="703" spans="1:16" ht="37" customHeight="1">
      <c r="A703" s="113">
        <v>169</v>
      </c>
      <c r="B703" s="41" t="s">
        <v>4305</v>
      </c>
      <c r="C703" s="4" t="s">
        <v>4306</v>
      </c>
      <c r="D703" s="12" t="s">
        <v>2430</v>
      </c>
      <c r="E703" s="4" t="s">
        <v>2455</v>
      </c>
      <c r="F703" s="4" t="s">
        <v>4308</v>
      </c>
      <c r="G703" s="4" t="s">
        <v>2308</v>
      </c>
      <c r="H703" s="4" t="s">
        <v>4311</v>
      </c>
      <c r="I703" s="22">
        <f>36+25/60</f>
        <v>36.416666666666664</v>
      </c>
      <c r="J703" s="22">
        <f>4 + 6/60</f>
        <v>4.0999999999999996</v>
      </c>
      <c r="K703" s="22">
        <f>5784/100</f>
        <v>57.84</v>
      </c>
      <c r="L703" s="4">
        <v>2010</v>
      </c>
      <c r="M703" s="4">
        <v>2010</v>
      </c>
      <c r="N703" s="22">
        <f>9488/K703</f>
        <v>164.03872752420469</v>
      </c>
      <c r="O703" s="4" t="s">
        <v>67</v>
      </c>
      <c r="P703" s="5" t="s">
        <v>4363</v>
      </c>
    </row>
    <row r="704" spans="1:16" ht="34.5" customHeight="1">
      <c r="A704" s="113">
        <v>169</v>
      </c>
      <c r="B704" s="41" t="s">
        <v>4305</v>
      </c>
      <c r="C704" s="4" t="s">
        <v>4307</v>
      </c>
      <c r="D704" s="12" t="s">
        <v>2430</v>
      </c>
      <c r="E704" s="4" t="s">
        <v>2455</v>
      </c>
      <c r="F704" s="4" t="s">
        <v>4309</v>
      </c>
      <c r="G704" s="4" t="s">
        <v>2308</v>
      </c>
      <c r="H704" s="4" t="s">
        <v>4311</v>
      </c>
      <c r="I704" s="22">
        <f>36+25/60</f>
        <v>36.416666666666664</v>
      </c>
      <c r="J704" s="22">
        <f>4 + 6/60</f>
        <v>4.0999999999999996</v>
      </c>
      <c r="K704" s="22">
        <f>5677/100</f>
        <v>56.77</v>
      </c>
      <c r="L704" s="4">
        <v>2010</v>
      </c>
      <c r="M704" s="4">
        <v>2010</v>
      </c>
      <c r="N704" s="22">
        <f>17322/K704</f>
        <v>305.12594680288885</v>
      </c>
      <c r="O704" s="4" t="s">
        <v>67</v>
      </c>
      <c r="P704" s="5" t="s">
        <v>4363</v>
      </c>
    </row>
    <row r="705" spans="1:16" ht="33.5" customHeight="1">
      <c r="A705" s="113">
        <v>169</v>
      </c>
      <c r="B705" s="41" t="s">
        <v>4305</v>
      </c>
      <c r="C705" s="12" t="s">
        <v>4114</v>
      </c>
      <c r="D705" s="12" t="s">
        <v>2430</v>
      </c>
      <c r="E705" s="4" t="s">
        <v>2455</v>
      </c>
      <c r="F705" s="4" t="s">
        <v>4310</v>
      </c>
      <c r="G705" s="4" t="s">
        <v>2308</v>
      </c>
      <c r="H705" s="4" t="s">
        <v>4311</v>
      </c>
      <c r="I705" s="22">
        <f>36+25/60</f>
        <v>36.416666666666664</v>
      </c>
      <c r="J705" s="22">
        <f>AVERAGE(3 + 55/60, 4+1/6)</f>
        <v>4.041666666666667</v>
      </c>
      <c r="K705" s="22">
        <f>8900/100</f>
        <v>89</v>
      </c>
      <c r="L705" s="4">
        <v>2010</v>
      </c>
      <c r="M705" s="4">
        <v>2010</v>
      </c>
      <c r="N705" s="22">
        <f>18371/K705</f>
        <v>206.41573033707866</v>
      </c>
      <c r="O705" s="4" t="s">
        <v>67</v>
      </c>
      <c r="P705" s="5" t="s">
        <v>4363</v>
      </c>
    </row>
    <row r="706" spans="1:16" ht="49" customHeight="1">
      <c r="A706" s="113">
        <v>170</v>
      </c>
      <c r="B706" s="41" t="s">
        <v>4366</v>
      </c>
      <c r="C706" s="12" t="s">
        <v>4364</v>
      </c>
      <c r="D706" s="12" t="s">
        <v>2430</v>
      </c>
      <c r="E706" s="4" t="s">
        <v>2431</v>
      </c>
      <c r="F706" s="4" t="s">
        <v>2308</v>
      </c>
      <c r="G706" s="4" t="s">
        <v>4367</v>
      </c>
      <c r="H706" s="12" t="s">
        <v>4365</v>
      </c>
      <c r="I706" s="22">
        <v>37.333351</v>
      </c>
      <c r="J706" s="22">
        <v>-4.5765007000000004</v>
      </c>
      <c r="K706" s="22">
        <v>82678</v>
      </c>
      <c r="L706" s="4">
        <v>2003</v>
      </c>
      <c r="M706" s="4">
        <v>2009</v>
      </c>
      <c r="N706" s="22" t="s">
        <v>2308</v>
      </c>
      <c r="O706" s="4" t="s">
        <v>67</v>
      </c>
      <c r="P706" s="5" t="s">
        <v>4382</v>
      </c>
    </row>
    <row r="707" spans="1:16" ht="39" customHeight="1">
      <c r="A707" s="179">
        <v>170</v>
      </c>
      <c r="B707" s="55" t="s">
        <v>4366</v>
      </c>
      <c r="C707" s="36" t="s">
        <v>4368</v>
      </c>
      <c r="D707" s="36" t="s">
        <v>2430</v>
      </c>
      <c r="E707" s="39" t="s">
        <v>2431</v>
      </c>
      <c r="F707" s="39" t="s">
        <v>4378</v>
      </c>
      <c r="G707" s="39" t="s">
        <v>4367</v>
      </c>
      <c r="H707" s="36" t="s">
        <v>4365</v>
      </c>
      <c r="I707" s="15">
        <v>36.688008000000004</v>
      </c>
      <c r="J707" s="15">
        <v>-5.7051084000000003</v>
      </c>
      <c r="K707" s="79">
        <f>23.46/10</f>
        <v>2.3460000000000001</v>
      </c>
      <c r="L707" s="39">
        <v>2003</v>
      </c>
      <c r="M707" s="39">
        <v>2009</v>
      </c>
      <c r="N707" s="79" t="s">
        <v>2308</v>
      </c>
      <c r="O707" s="39" t="s">
        <v>67</v>
      </c>
      <c r="P707" s="177" t="s">
        <v>4379</v>
      </c>
    </row>
    <row r="708" spans="1:16" ht="39" customHeight="1">
      <c r="A708" s="113">
        <v>170</v>
      </c>
      <c r="B708" s="41" t="s">
        <v>4366</v>
      </c>
      <c r="C708" s="12" t="s">
        <v>4369</v>
      </c>
      <c r="D708" s="36" t="s">
        <v>2430</v>
      </c>
      <c r="E708" s="39" t="s">
        <v>2431</v>
      </c>
      <c r="F708" s="39" t="s">
        <v>4378</v>
      </c>
      <c r="G708" s="39" t="s">
        <v>4367</v>
      </c>
      <c r="H708" s="36" t="s">
        <v>4365</v>
      </c>
      <c r="I708" s="22">
        <v>37.498520499999998</v>
      </c>
      <c r="J708" s="22">
        <v>-7.0745521</v>
      </c>
      <c r="K708" s="79">
        <f t="shared" ref="K708:K716" si="6">23.46/10</f>
        <v>2.3460000000000001</v>
      </c>
      <c r="L708" s="39">
        <v>2003</v>
      </c>
      <c r="M708" s="39">
        <v>2009</v>
      </c>
      <c r="N708" s="79" t="s">
        <v>2308</v>
      </c>
      <c r="O708" s="39" t="s">
        <v>67</v>
      </c>
      <c r="P708" s="177" t="s">
        <v>4379</v>
      </c>
    </row>
    <row r="709" spans="1:16" ht="39" customHeight="1">
      <c r="A709" s="113">
        <v>170</v>
      </c>
      <c r="B709" s="41" t="s">
        <v>4366</v>
      </c>
      <c r="C709" s="12" t="s">
        <v>4370</v>
      </c>
      <c r="D709" s="36" t="s">
        <v>2430</v>
      </c>
      <c r="E709" s="39" t="s">
        <v>2431</v>
      </c>
      <c r="F709" s="39" t="s">
        <v>4378</v>
      </c>
      <c r="G709" s="39" t="s">
        <v>4367</v>
      </c>
      <c r="H709" s="36" t="s">
        <v>4365</v>
      </c>
      <c r="I709" s="22">
        <v>38.043869299999997</v>
      </c>
      <c r="J709" s="22">
        <v>-5.1794403999999998</v>
      </c>
      <c r="K709" s="79">
        <f t="shared" si="6"/>
        <v>2.3460000000000001</v>
      </c>
      <c r="L709" s="39">
        <v>2003</v>
      </c>
      <c r="M709" s="39">
        <v>2009</v>
      </c>
      <c r="N709" s="79" t="s">
        <v>2308</v>
      </c>
      <c r="O709" s="39" t="s">
        <v>67</v>
      </c>
      <c r="P709" s="177" t="s">
        <v>4379</v>
      </c>
    </row>
    <row r="710" spans="1:16" ht="39" customHeight="1">
      <c r="A710" s="113">
        <v>170</v>
      </c>
      <c r="B710" s="41" t="s">
        <v>4366</v>
      </c>
      <c r="C710" s="12" t="s">
        <v>4371</v>
      </c>
      <c r="D710" s="36" t="s">
        <v>2430</v>
      </c>
      <c r="E710" s="39" t="s">
        <v>2431</v>
      </c>
      <c r="F710" s="39" t="s">
        <v>4378</v>
      </c>
      <c r="G710" s="39" t="s">
        <v>4367</v>
      </c>
      <c r="H710" s="36" t="s">
        <v>4365</v>
      </c>
      <c r="I710" s="22">
        <f>38+27/60</f>
        <v>38.450000000000003</v>
      </c>
      <c r="J710" s="22">
        <f>-2-36/60</f>
        <v>-2.6</v>
      </c>
      <c r="K710" s="79">
        <f t="shared" si="6"/>
        <v>2.3460000000000001</v>
      </c>
      <c r="L710" s="39">
        <v>2003</v>
      </c>
      <c r="M710" s="39">
        <v>2009</v>
      </c>
      <c r="N710" s="79" t="s">
        <v>2308</v>
      </c>
      <c r="O710" s="39" t="s">
        <v>67</v>
      </c>
      <c r="P710" s="177" t="s">
        <v>4379</v>
      </c>
    </row>
    <row r="711" spans="1:16" ht="39" customHeight="1">
      <c r="A711" s="113">
        <v>170</v>
      </c>
      <c r="B711" s="41" t="s">
        <v>4366</v>
      </c>
      <c r="C711" s="12" t="s">
        <v>4372</v>
      </c>
      <c r="D711" s="36" t="s">
        <v>2430</v>
      </c>
      <c r="E711" s="39" t="s">
        <v>2431</v>
      </c>
      <c r="F711" s="39" t="s">
        <v>4378</v>
      </c>
      <c r="G711" s="39" t="s">
        <v>4367</v>
      </c>
      <c r="H711" s="36" t="s">
        <v>4365</v>
      </c>
      <c r="I711" s="22">
        <f>38 + 29/60</f>
        <v>38.483333333333334</v>
      </c>
      <c r="J711" s="22">
        <f>-2-49/60</f>
        <v>-2.8166666666666664</v>
      </c>
      <c r="K711" s="79">
        <f t="shared" si="6"/>
        <v>2.3460000000000001</v>
      </c>
      <c r="L711" s="39">
        <v>2003</v>
      </c>
      <c r="M711" s="39">
        <v>2009</v>
      </c>
      <c r="N711" s="79" t="s">
        <v>2308</v>
      </c>
      <c r="O711" s="39" t="s">
        <v>67</v>
      </c>
      <c r="P711" s="177" t="s">
        <v>4379</v>
      </c>
    </row>
    <row r="712" spans="1:16" ht="39" customHeight="1">
      <c r="A712" s="113">
        <v>170</v>
      </c>
      <c r="B712" s="41" t="s">
        <v>4366</v>
      </c>
      <c r="C712" s="12" t="s">
        <v>4373</v>
      </c>
      <c r="D712" s="36" t="s">
        <v>2430</v>
      </c>
      <c r="E712" s="39" t="s">
        <v>2431</v>
      </c>
      <c r="F712" s="39" t="s">
        <v>4378</v>
      </c>
      <c r="G712" s="39" t="s">
        <v>4367</v>
      </c>
      <c r="H712" s="36" t="s">
        <v>4365</v>
      </c>
      <c r="I712" s="22">
        <v>37.8344892</v>
      </c>
      <c r="J712" s="22">
        <v>-2.9360164000000002</v>
      </c>
      <c r="K712" s="79">
        <f t="shared" si="6"/>
        <v>2.3460000000000001</v>
      </c>
      <c r="L712" s="39">
        <v>2003</v>
      </c>
      <c r="M712" s="39">
        <v>2009</v>
      </c>
      <c r="N712" s="79" t="s">
        <v>2308</v>
      </c>
      <c r="O712" s="39" t="s">
        <v>67</v>
      </c>
      <c r="P712" s="177" t="s">
        <v>4379</v>
      </c>
    </row>
    <row r="713" spans="1:16" ht="39" customHeight="1">
      <c r="A713" s="113">
        <v>170</v>
      </c>
      <c r="B713" s="41" t="s">
        <v>4366</v>
      </c>
      <c r="C713" s="12" t="s">
        <v>4374</v>
      </c>
      <c r="D713" s="36" t="s">
        <v>2430</v>
      </c>
      <c r="E713" s="39" t="s">
        <v>2431</v>
      </c>
      <c r="F713" s="39" t="s">
        <v>4378</v>
      </c>
      <c r="G713" s="39" t="s">
        <v>4367</v>
      </c>
      <c r="H713" s="36" t="s">
        <v>4365</v>
      </c>
      <c r="I713" s="22">
        <v>37.064624000000002</v>
      </c>
      <c r="J713" s="22">
        <v>-3.3127602</v>
      </c>
      <c r="K713" s="79">
        <f t="shared" si="6"/>
        <v>2.3460000000000001</v>
      </c>
      <c r="L713" s="39">
        <v>2003</v>
      </c>
      <c r="M713" s="39">
        <v>2009</v>
      </c>
      <c r="N713" s="79" t="s">
        <v>2308</v>
      </c>
      <c r="O713" s="39" t="s">
        <v>67</v>
      </c>
      <c r="P713" s="177" t="s">
        <v>4379</v>
      </c>
    </row>
    <row r="714" spans="1:16" ht="39" customHeight="1">
      <c r="A714" s="113">
        <v>170</v>
      </c>
      <c r="B714" s="41" t="s">
        <v>4366</v>
      </c>
      <c r="C714" s="12" t="s">
        <v>4375</v>
      </c>
      <c r="D714" s="12" t="s">
        <v>2430</v>
      </c>
      <c r="E714" s="4" t="s">
        <v>2431</v>
      </c>
      <c r="F714" s="4" t="s">
        <v>4378</v>
      </c>
      <c r="G714" s="4" t="s">
        <v>4367</v>
      </c>
      <c r="H714" s="12" t="s">
        <v>4365</v>
      </c>
      <c r="I714" s="22">
        <v>36.5959547</v>
      </c>
      <c r="J714" s="22">
        <v>-4.4345077000000002</v>
      </c>
      <c r="K714" s="22">
        <f t="shared" si="6"/>
        <v>2.3460000000000001</v>
      </c>
      <c r="L714" s="4">
        <v>2003</v>
      </c>
      <c r="M714" s="4">
        <v>2009</v>
      </c>
      <c r="N714" s="22" t="s">
        <v>2308</v>
      </c>
      <c r="O714" s="4" t="s">
        <v>67</v>
      </c>
      <c r="P714" s="5" t="s">
        <v>4379</v>
      </c>
    </row>
    <row r="715" spans="1:16" ht="39" customHeight="1">
      <c r="A715" s="113">
        <v>170</v>
      </c>
      <c r="B715" s="41" t="s">
        <v>4366</v>
      </c>
      <c r="C715" s="12" t="s">
        <v>4376</v>
      </c>
      <c r="D715" s="12" t="s">
        <v>2430</v>
      </c>
      <c r="E715" s="4" t="s">
        <v>2431</v>
      </c>
      <c r="F715" s="4" t="s">
        <v>4378</v>
      </c>
      <c r="G715" s="4" t="s">
        <v>4367</v>
      </c>
      <c r="H715" s="12" t="s">
        <v>4365</v>
      </c>
      <c r="I715" s="22">
        <v>36.694679700000002</v>
      </c>
      <c r="J715" s="22">
        <v>-4.5031409</v>
      </c>
      <c r="K715" s="22">
        <f t="shared" si="6"/>
        <v>2.3460000000000001</v>
      </c>
      <c r="L715" s="4">
        <v>2003</v>
      </c>
      <c r="M715" s="4">
        <v>2009</v>
      </c>
      <c r="N715" s="22" t="s">
        <v>2308</v>
      </c>
      <c r="O715" s="4" t="s">
        <v>67</v>
      </c>
      <c r="P715" s="5" t="s">
        <v>4379</v>
      </c>
    </row>
    <row r="716" spans="1:16" ht="39" customHeight="1">
      <c r="A716" s="113">
        <v>170</v>
      </c>
      <c r="B716" s="41" t="s">
        <v>4366</v>
      </c>
      <c r="C716" s="12" t="s">
        <v>4377</v>
      </c>
      <c r="D716" s="12" t="s">
        <v>2430</v>
      </c>
      <c r="E716" s="4" t="s">
        <v>2431</v>
      </c>
      <c r="F716" s="4" t="s">
        <v>4378</v>
      </c>
      <c r="G716" s="4" t="s">
        <v>4367</v>
      </c>
      <c r="H716" s="12" t="s">
        <v>4365</v>
      </c>
      <c r="I716" s="22">
        <v>36.750232599999997</v>
      </c>
      <c r="J716" s="22">
        <v>-4.8053749000000003</v>
      </c>
      <c r="K716" s="22">
        <f t="shared" si="6"/>
        <v>2.3460000000000001</v>
      </c>
      <c r="L716" s="4">
        <v>2003</v>
      </c>
      <c r="M716" s="4">
        <v>2009</v>
      </c>
      <c r="N716" s="22" t="s">
        <v>2308</v>
      </c>
      <c r="O716" s="4" t="s">
        <v>67</v>
      </c>
      <c r="P716" s="5" t="s">
        <v>4379</v>
      </c>
    </row>
    <row r="717" spans="1:16" ht="55.5" customHeight="1">
      <c r="A717" s="32">
        <v>171</v>
      </c>
      <c r="B717" s="41" t="s">
        <v>4410</v>
      </c>
      <c r="C717" s="4" t="s">
        <v>4411</v>
      </c>
      <c r="D717" s="12" t="s">
        <v>2430</v>
      </c>
      <c r="E717" s="4" t="s">
        <v>2455</v>
      </c>
      <c r="F717" s="12" t="s">
        <v>4409</v>
      </c>
      <c r="G717" s="12" t="s">
        <v>3670</v>
      </c>
      <c r="H717" s="12" t="s">
        <v>3665</v>
      </c>
      <c r="I717" s="22">
        <v>-42.974161500000001</v>
      </c>
      <c r="J717" s="22">
        <v>-71.591682199999994</v>
      </c>
      <c r="K717" s="22">
        <v>2596</v>
      </c>
      <c r="L717" s="12">
        <v>1937</v>
      </c>
      <c r="M717" s="12">
        <v>1937</v>
      </c>
      <c r="N717" s="22" t="s">
        <v>2308</v>
      </c>
      <c r="O717" s="4" t="s">
        <v>67</v>
      </c>
      <c r="P717" s="5" t="s">
        <v>4432</v>
      </c>
    </row>
    <row r="718" spans="1:16" ht="41" customHeight="1">
      <c r="A718" s="32">
        <v>171</v>
      </c>
      <c r="B718" s="41" t="s">
        <v>4410</v>
      </c>
      <c r="C718" s="4" t="s">
        <v>4411</v>
      </c>
      <c r="D718" s="12" t="s">
        <v>2430</v>
      </c>
      <c r="E718" s="4" t="s">
        <v>2431</v>
      </c>
      <c r="F718" s="12" t="s">
        <v>4409</v>
      </c>
      <c r="G718" s="12" t="s">
        <v>3670</v>
      </c>
      <c r="H718" s="12" t="s">
        <v>3665</v>
      </c>
      <c r="I718" s="22">
        <v>-42.974161500000001</v>
      </c>
      <c r="J718" s="22">
        <v>-71.591682199999994</v>
      </c>
      <c r="K718" s="22">
        <v>2596</v>
      </c>
      <c r="L718" s="12">
        <v>2016</v>
      </c>
      <c r="M718" s="12">
        <v>2017</v>
      </c>
      <c r="N718" s="22">
        <f>320/K718</f>
        <v>0.12326656394453005</v>
      </c>
      <c r="O718" s="4" t="s">
        <v>67</v>
      </c>
      <c r="P718" s="4" t="s">
        <v>4412</v>
      </c>
    </row>
    <row r="719" spans="1:16" ht="35.5" customHeight="1">
      <c r="A719" s="180">
        <v>172</v>
      </c>
      <c r="B719" s="62" t="s">
        <v>4439</v>
      </c>
      <c r="C719" s="24" t="s">
        <v>4438</v>
      </c>
      <c r="D719" s="23" t="s">
        <v>2449</v>
      </c>
      <c r="E719" s="23" t="s">
        <v>2432</v>
      </c>
      <c r="F719" s="4" t="s">
        <v>2308</v>
      </c>
      <c r="G719" s="24" t="s">
        <v>3983</v>
      </c>
      <c r="H719" s="24" t="s">
        <v>3982</v>
      </c>
      <c r="I719" s="84">
        <v>13.349641399999999</v>
      </c>
      <c r="J719" s="84">
        <v>-16.019096399999999</v>
      </c>
      <c r="K719" s="22" t="s">
        <v>2308</v>
      </c>
      <c r="L719" s="23">
        <v>2008</v>
      </c>
      <c r="M719" s="23">
        <v>2009</v>
      </c>
      <c r="N719" s="84" t="s">
        <v>2308</v>
      </c>
      <c r="O719" s="4" t="s">
        <v>67</v>
      </c>
      <c r="P719" s="25" t="s">
        <v>4445</v>
      </c>
    </row>
    <row r="720" spans="1:16" ht="35.5" customHeight="1">
      <c r="A720" s="180">
        <v>172</v>
      </c>
      <c r="B720" s="62" t="s">
        <v>4439</v>
      </c>
      <c r="C720" s="24" t="s">
        <v>4440</v>
      </c>
      <c r="D720" s="23" t="s">
        <v>2449</v>
      </c>
      <c r="E720" s="23" t="s">
        <v>2432</v>
      </c>
      <c r="F720" s="34" t="s">
        <v>2308</v>
      </c>
      <c r="G720" s="24" t="s">
        <v>3984</v>
      </c>
      <c r="H720" s="24" t="s">
        <v>3982</v>
      </c>
      <c r="I720" s="84">
        <v>13.7160305</v>
      </c>
      <c r="J720" s="84">
        <v>-15.100198600000001</v>
      </c>
      <c r="K720" s="22" t="s">
        <v>2308</v>
      </c>
      <c r="L720" s="23">
        <v>2008</v>
      </c>
      <c r="M720" s="23">
        <v>2009</v>
      </c>
      <c r="N720" s="84" t="s">
        <v>2308</v>
      </c>
      <c r="O720" s="4" t="s">
        <v>67</v>
      </c>
      <c r="P720" s="25" t="s">
        <v>4445</v>
      </c>
    </row>
    <row r="721" spans="1:16" ht="35.5" customHeight="1">
      <c r="A721" s="180">
        <v>172</v>
      </c>
      <c r="B721" s="62" t="s">
        <v>4439</v>
      </c>
      <c r="C721" s="24" t="s">
        <v>4441</v>
      </c>
      <c r="D721" s="23" t="s">
        <v>2449</v>
      </c>
      <c r="E721" s="23" t="s">
        <v>2432</v>
      </c>
      <c r="F721" s="4" t="s">
        <v>2308</v>
      </c>
      <c r="G721" s="24" t="s">
        <v>4463</v>
      </c>
      <c r="H721" s="24" t="s">
        <v>3982</v>
      </c>
      <c r="I721" s="84">
        <v>13.5721112</v>
      </c>
      <c r="J721" s="84">
        <v>-15.2698559</v>
      </c>
      <c r="K721" s="22" t="s">
        <v>2308</v>
      </c>
      <c r="L721" s="23">
        <v>2008</v>
      </c>
      <c r="M721" s="23">
        <v>2009</v>
      </c>
      <c r="N721" s="84" t="s">
        <v>2308</v>
      </c>
      <c r="O721" s="4" t="s">
        <v>67</v>
      </c>
      <c r="P721" s="25" t="s">
        <v>4445</v>
      </c>
    </row>
    <row r="722" spans="1:16" ht="35.5" customHeight="1">
      <c r="A722" s="180">
        <v>172</v>
      </c>
      <c r="B722" s="62" t="s">
        <v>4439</v>
      </c>
      <c r="C722" s="24" t="s">
        <v>4442</v>
      </c>
      <c r="D722" s="23" t="s">
        <v>2449</v>
      </c>
      <c r="E722" s="23" t="s">
        <v>2432</v>
      </c>
      <c r="F722" s="4" t="s">
        <v>2308</v>
      </c>
      <c r="G722" s="4" t="s">
        <v>3991</v>
      </c>
      <c r="H722" s="4" t="s">
        <v>3993</v>
      </c>
      <c r="I722" s="22">
        <v>11.7544994</v>
      </c>
      <c r="J722" s="22">
        <v>-13.204300399999999</v>
      </c>
      <c r="K722" s="22">
        <v>11350</v>
      </c>
      <c r="L722" s="23">
        <v>2008</v>
      </c>
      <c r="M722" s="23">
        <v>2009</v>
      </c>
      <c r="N722" s="84">
        <v>13</v>
      </c>
      <c r="O722" s="4" t="s">
        <v>67</v>
      </c>
      <c r="P722" s="25" t="s">
        <v>4445</v>
      </c>
    </row>
    <row r="723" spans="1:16" ht="35.5" customHeight="1">
      <c r="A723" s="180">
        <v>172</v>
      </c>
      <c r="B723" s="62" t="s">
        <v>4439</v>
      </c>
      <c r="C723" s="24" t="s">
        <v>4443</v>
      </c>
      <c r="D723" s="23" t="s">
        <v>2449</v>
      </c>
      <c r="E723" s="23" t="s">
        <v>2432</v>
      </c>
      <c r="F723" s="34" t="s">
        <v>2308</v>
      </c>
      <c r="G723" s="4" t="s">
        <v>3992</v>
      </c>
      <c r="H723" s="4" t="s">
        <v>3993</v>
      </c>
      <c r="I723" s="22">
        <v>11.291210700000001</v>
      </c>
      <c r="J723" s="22">
        <v>-10.711305100000001</v>
      </c>
      <c r="K723" s="22">
        <v>3474</v>
      </c>
      <c r="L723" s="23">
        <v>2008</v>
      </c>
      <c r="M723" s="23">
        <v>2009</v>
      </c>
      <c r="N723" s="84" t="s">
        <v>2308</v>
      </c>
      <c r="O723" s="4" t="s">
        <v>67</v>
      </c>
      <c r="P723" s="25" t="s">
        <v>4445</v>
      </c>
    </row>
    <row r="724" spans="1:16" ht="35.5" customHeight="1">
      <c r="A724" s="180">
        <v>172</v>
      </c>
      <c r="B724" s="62" t="s">
        <v>4439</v>
      </c>
      <c r="C724" s="24" t="s">
        <v>4444</v>
      </c>
      <c r="D724" s="23" t="s">
        <v>2449</v>
      </c>
      <c r="E724" s="23" t="s">
        <v>2432</v>
      </c>
      <c r="F724" s="4" t="s">
        <v>2308</v>
      </c>
      <c r="G724" s="4" t="s">
        <v>3994</v>
      </c>
      <c r="H724" s="4" t="s">
        <v>3993</v>
      </c>
      <c r="I724" s="22">
        <v>8.8076275000000006</v>
      </c>
      <c r="J724" s="22">
        <v>-8.3084334999999996</v>
      </c>
      <c r="K724" s="22">
        <v>3129.69</v>
      </c>
      <c r="L724" s="23">
        <v>2008</v>
      </c>
      <c r="M724" s="23">
        <v>2009</v>
      </c>
      <c r="N724" s="84" t="s">
        <v>2308</v>
      </c>
      <c r="O724" s="4" t="s">
        <v>67</v>
      </c>
      <c r="P724" s="25" t="s">
        <v>4445</v>
      </c>
    </row>
    <row r="725" spans="1:16" ht="41" customHeight="1">
      <c r="A725" s="180">
        <v>173</v>
      </c>
      <c r="B725" s="41" t="s">
        <v>4470</v>
      </c>
      <c r="C725" s="24" t="s">
        <v>4469</v>
      </c>
      <c r="D725" s="4" t="s">
        <v>2430</v>
      </c>
      <c r="E725" s="4" t="s">
        <v>2670</v>
      </c>
      <c r="F725" s="4" t="s">
        <v>2308</v>
      </c>
      <c r="G725" s="4" t="s">
        <v>4474</v>
      </c>
      <c r="H725" s="4" t="s">
        <v>4471</v>
      </c>
      <c r="I725" s="22">
        <v>35.279265500000001</v>
      </c>
      <c r="J725" s="22">
        <v>63.872084999999998</v>
      </c>
      <c r="K725" s="84" t="s">
        <v>2308</v>
      </c>
      <c r="L725" s="102">
        <v>2006</v>
      </c>
      <c r="M725" s="181">
        <v>2006</v>
      </c>
      <c r="N725" s="84" t="s">
        <v>2308</v>
      </c>
      <c r="O725" s="4" t="s">
        <v>67</v>
      </c>
      <c r="P725" s="4"/>
    </row>
    <row r="726" spans="1:16" ht="38" customHeight="1">
      <c r="A726" s="180">
        <v>173</v>
      </c>
      <c r="B726" s="41" t="s">
        <v>4470</v>
      </c>
      <c r="C726" s="24" t="s">
        <v>4472</v>
      </c>
      <c r="D726" s="4" t="s">
        <v>2430</v>
      </c>
      <c r="E726" s="4" t="s">
        <v>2670</v>
      </c>
      <c r="F726" s="4" t="s">
        <v>4475</v>
      </c>
      <c r="G726" s="4" t="s">
        <v>2308</v>
      </c>
      <c r="H726" s="12" t="s">
        <v>4473</v>
      </c>
      <c r="I726" s="22">
        <v>35.866898399999997</v>
      </c>
      <c r="J726" s="22">
        <v>61.665154600000001</v>
      </c>
      <c r="K726" s="84" t="s">
        <v>2308</v>
      </c>
      <c r="L726" s="102">
        <v>2006</v>
      </c>
      <c r="M726" s="181">
        <v>2006</v>
      </c>
      <c r="N726" s="84" t="s">
        <v>2308</v>
      </c>
      <c r="O726" s="4" t="s">
        <v>67</v>
      </c>
      <c r="P726" s="4"/>
    </row>
    <row r="727" spans="1:16" ht="50" customHeight="1">
      <c r="A727" s="180">
        <v>174</v>
      </c>
      <c r="B727" s="41" t="s">
        <v>4486</v>
      </c>
      <c r="C727" s="24" t="s">
        <v>4487</v>
      </c>
      <c r="D727" s="4" t="s">
        <v>2430</v>
      </c>
      <c r="E727" s="4" t="s">
        <v>2431</v>
      </c>
      <c r="F727" s="4" t="s">
        <v>4488</v>
      </c>
      <c r="G727" s="4" t="s">
        <v>3820</v>
      </c>
      <c r="H727" s="4" t="s">
        <v>3819</v>
      </c>
      <c r="I727" s="22">
        <v>-33.5</v>
      </c>
      <c r="J727" s="22">
        <v>25.332999999999998</v>
      </c>
      <c r="K727" s="22" t="s">
        <v>2308</v>
      </c>
      <c r="L727" s="102">
        <v>2001</v>
      </c>
      <c r="M727" s="181">
        <v>2002</v>
      </c>
      <c r="N727" s="84" t="s">
        <v>2308</v>
      </c>
      <c r="O727" s="4" t="s">
        <v>67</v>
      </c>
      <c r="P727" s="4"/>
    </row>
    <row r="728" spans="1:16" ht="44.5" customHeight="1">
      <c r="A728" s="180">
        <v>175</v>
      </c>
      <c r="B728" s="41" t="s">
        <v>4498</v>
      </c>
      <c r="C728" s="24" t="s">
        <v>4499</v>
      </c>
      <c r="D728" s="4" t="s">
        <v>2430</v>
      </c>
      <c r="E728" s="4" t="s">
        <v>2669</v>
      </c>
      <c r="F728" s="4" t="s">
        <v>4500</v>
      </c>
      <c r="G728" s="4" t="s">
        <v>4501</v>
      </c>
      <c r="H728" s="4" t="s">
        <v>780</v>
      </c>
      <c r="I728" s="22">
        <v>16.594422600000001</v>
      </c>
      <c r="J728" s="22">
        <v>-92.363898300000002</v>
      </c>
      <c r="K728" s="22" t="s">
        <v>2308</v>
      </c>
      <c r="L728" s="181">
        <v>1990</v>
      </c>
      <c r="M728" s="181">
        <v>1990</v>
      </c>
      <c r="N728" s="84" t="s">
        <v>2308</v>
      </c>
      <c r="O728" s="4" t="s">
        <v>67</v>
      </c>
      <c r="P728" s="5" t="s">
        <v>4506</v>
      </c>
    </row>
    <row r="729" spans="1:16" ht="43.5" customHeight="1">
      <c r="A729" s="180">
        <v>175</v>
      </c>
      <c r="B729" s="41" t="s">
        <v>4498</v>
      </c>
      <c r="C729" s="24" t="s">
        <v>4502</v>
      </c>
      <c r="D729" s="4" t="s">
        <v>2430</v>
      </c>
      <c r="E729" s="4" t="s">
        <v>2670</v>
      </c>
      <c r="F729" s="4" t="s">
        <v>4503</v>
      </c>
      <c r="G729" s="4" t="s">
        <v>4501</v>
      </c>
      <c r="H729" s="4" t="s">
        <v>780</v>
      </c>
      <c r="I729" s="22">
        <v>16.594422600000001</v>
      </c>
      <c r="J729" s="22">
        <v>-92.363898300000002</v>
      </c>
      <c r="K729" s="22" t="s">
        <v>2308</v>
      </c>
      <c r="L729" s="181">
        <v>2010</v>
      </c>
      <c r="M729" s="181">
        <v>2010</v>
      </c>
      <c r="N729" s="84" t="s">
        <v>2308</v>
      </c>
      <c r="O729" s="4" t="s">
        <v>67</v>
      </c>
      <c r="P729" s="5" t="s">
        <v>4507</v>
      </c>
    </row>
    <row r="730" spans="1:16" ht="52" customHeight="1">
      <c r="A730" s="180">
        <v>175</v>
      </c>
      <c r="B730" s="42" t="s">
        <v>4505</v>
      </c>
      <c r="C730" s="24" t="s">
        <v>4504</v>
      </c>
      <c r="D730" s="4" t="s">
        <v>2430</v>
      </c>
      <c r="E730" s="4" t="s">
        <v>2670</v>
      </c>
      <c r="F730" s="4" t="s">
        <v>4503</v>
      </c>
      <c r="G730" s="4" t="s">
        <v>4501</v>
      </c>
      <c r="H730" s="4" t="s">
        <v>780</v>
      </c>
      <c r="I730" s="22">
        <v>20.597460399999999</v>
      </c>
      <c r="J730" s="22">
        <v>-88.162852200000003</v>
      </c>
      <c r="K730" s="22" t="s">
        <v>2308</v>
      </c>
      <c r="L730" s="181">
        <v>1990</v>
      </c>
      <c r="M730" s="181">
        <v>1990</v>
      </c>
      <c r="N730" s="84" t="s">
        <v>2308</v>
      </c>
      <c r="O730" s="4" t="s">
        <v>67</v>
      </c>
      <c r="P730" s="4"/>
    </row>
    <row r="731" spans="1:16" ht="58.5" customHeight="1">
      <c r="A731" s="180">
        <v>176</v>
      </c>
      <c r="B731" s="41" t="s">
        <v>4523</v>
      </c>
      <c r="C731" s="4" t="s">
        <v>4524</v>
      </c>
      <c r="D731" s="4" t="s">
        <v>2430</v>
      </c>
      <c r="E731" s="4" t="s">
        <v>2431</v>
      </c>
      <c r="F731" s="4" t="s">
        <v>4525</v>
      </c>
      <c r="G731" s="4" t="s">
        <v>4018</v>
      </c>
      <c r="H731" s="4" t="s">
        <v>1974</v>
      </c>
      <c r="I731" s="22">
        <f>3 + 7/60</f>
        <v>3.1166666666666667</v>
      </c>
      <c r="J731" s="22">
        <f>35+35/60</f>
        <v>35.583333333333336</v>
      </c>
      <c r="K731" s="22">
        <v>840</v>
      </c>
      <c r="L731" s="4">
        <v>1987</v>
      </c>
      <c r="M731" s="4">
        <v>1987</v>
      </c>
      <c r="N731" s="84" t="s">
        <v>2308</v>
      </c>
      <c r="O731" s="4" t="s">
        <v>67</v>
      </c>
      <c r="P731" s="4"/>
    </row>
    <row r="732" spans="1:16" ht="49" customHeight="1">
      <c r="A732" s="180">
        <v>177</v>
      </c>
      <c r="B732" s="41" t="s">
        <v>4535</v>
      </c>
      <c r="C732" s="4" t="s">
        <v>4536</v>
      </c>
      <c r="D732" s="4" t="s">
        <v>2430</v>
      </c>
      <c r="E732" s="5" t="s">
        <v>2672</v>
      </c>
      <c r="F732" s="4" t="s">
        <v>4537</v>
      </c>
      <c r="G732" s="4" t="s">
        <v>2308</v>
      </c>
      <c r="H732" s="4" t="s">
        <v>1974</v>
      </c>
      <c r="I732" s="22">
        <v>-1.25</v>
      </c>
      <c r="J732" s="22">
        <v>35.25</v>
      </c>
      <c r="K732" s="22">
        <v>2250</v>
      </c>
      <c r="L732" s="4">
        <v>1950</v>
      </c>
      <c r="M732" s="4">
        <v>1966</v>
      </c>
      <c r="N732" s="84">
        <f>202/K732</f>
        <v>8.9777777777777776E-2</v>
      </c>
      <c r="O732" s="4" t="s">
        <v>67</v>
      </c>
      <c r="P732" s="4"/>
    </row>
    <row r="733" spans="1:16" ht="49" customHeight="1">
      <c r="A733" s="180">
        <v>177</v>
      </c>
      <c r="B733" s="41" t="s">
        <v>4535</v>
      </c>
      <c r="C733" s="4" t="s">
        <v>4538</v>
      </c>
      <c r="D733" s="4" t="s">
        <v>2430</v>
      </c>
      <c r="E733" s="5" t="s">
        <v>2672</v>
      </c>
      <c r="F733" s="4" t="s">
        <v>4537</v>
      </c>
      <c r="G733" s="4" t="s">
        <v>2308</v>
      </c>
      <c r="H733" s="4" t="s">
        <v>1974</v>
      </c>
      <c r="I733" s="22">
        <v>-1.25</v>
      </c>
      <c r="J733" s="22">
        <v>35.25</v>
      </c>
      <c r="K733" s="22">
        <v>2250</v>
      </c>
      <c r="L733" s="183">
        <v>1967</v>
      </c>
      <c r="M733" s="183">
        <v>1982</v>
      </c>
      <c r="N733" s="84">
        <f>1283/K733</f>
        <v>0.57022222222222219</v>
      </c>
      <c r="O733" s="4" t="s">
        <v>67</v>
      </c>
      <c r="P733" s="4"/>
    </row>
    <row r="734" spans="1:16" ht="49" customHeight="1">
      <c r="A734" s="180">
        <v>177</v>
      </c>
      <c r="B734" s="41" t="s">
        <v>4535</v>
      </c>
      <c r="C734" s="4" t="s">
        <v>4539</v>
      </c>
      <c r="D734" s="4" t="s">
        <v>2430</v>
      </c>
      <c r="E734" s="5" t="s">
        <v>2672</v>
      </c>
      <c r="F734" s="4" t="s">
        <v>4537</v>
      </c>
      <c r="G734" s="4" t="s">
        <v>2308</v>
      </c>
      <c r="H734" s="4" t="s">
        <v>1974</v>
      </c>
      <c r="I734" s="22">
        <v>-1.25</v>
      </c>
      <c r="J734" s="22">
        <v>35.25</v>
      </c>
      <c r="K734" s="22">
        <v>2250</v>
      </c>
      <c r="L734" s="183">
        <v>1983</v>
      </c>
      <c r="M734" s="183">
        <v>1998</v>
      </c>
      <c r="N734" s="84">
        <f>4151/K734</f>
        <v>1.8448888888888888</v>
      </c>
      <c r="O734" s="4" t="s">
        <v>67</v>
      </c>
      <c r="P734" s="4"/>
    </row>
    <row r="735" spans="1:16" ht="49" customHeight="1">
      <c r="A735" s="180">
        <v>177</v>
      </c>
      <c r="B735" s="41" t="s">
        <v>4535</v>
      </c>
      <c r="C735" s="4" t="s">
        <v>4540</v>
      </c>
      <c r="D735" s="4" t="s">
        <v>2430</v>
      </c>
      <c r="E735" s="5" t="s">
        <v>2672</v>
      </c>
      <c r="F735" s="4" t="s">
        <v>4537</v>
      </c>
      <c r="G735" s="4" t="s">
        <v>2308</v>
      </c>
      <c r="H735" s="4" t="s">
        <v>1974</v>
      </c>
      <c r="I735" s="22">
        <v>-1.25</v>
      </c>
      <c r="J735" s="22">
        <v>35.25</v>
      </c>
      <c r="K735" s="22">
        <v>2250</v>
      </c>
      <c r="L735" s="183">
        <v>1999</v>
      </c>
      <c r="M735" s="183">
        <v>2000</v>
      </c>
      <c r="N735" s="84">
        <f>8428/K735</f>
        <v>3.7457777777777777</v>
      </c>
      <c r="O735" s="4" t="s">
        <v>67</v>
      </c>
      <c r="P735" s="4"/>
    </row>
    <row r="736" spans="1:16" ht="50" customHeight="1">
      <c r="A736" s="180">
        <v>178</v>
      </c>
      <c r="B736" s="41" t="s">
        <v>4552</v>
      </c>
      <c r="C736" s="12" t="s">
        <v>4553</v>
      </c>
      <c r="D736" s="4" t="s">
        <v>2430</v>
      </c>
      <c r="E736" s="4" t="s">
        <v>2431</v>
      </c>
      <c r="F736" s="4" t="s">
        <v>4556</v>
      </c>
      <c r="G736" s="4" t="s">
        <v>2308</v>
      </c>
      <c r="H736" s="4" t="s">
        <v>1974</v>
      </c>
      <c r="I736" s="22">
        <f>17/60</f>
        <v>0.28333333333333333</v>
      </c>
      <c r="J736" s="22">
        <f>37+53/60</f>
        <v>37.883333333333333</v>
      </c>
      <c r="K736" s="22" t="s">
        <v>2308</v>
      </c>
      <c r="L736" s="4">
        <v>1984</v>
      </c>
      <c r="M736" s="4">
        <v>2004</v>
      </c>
      <c r="N736" s="22" t="s">
        <v>2308</v>
      </c>
      <c r="O736" s="4" t="s">
        <v>67</v>
      </c>
      <c r="P736" s="4" t="s">
        <v>4558</v>
      </c>
    </row>
    <row r="737" spans="1:16" ht="45" customHeight="1">
      <c r="A737" s="180">
        <v>178</v>
      </c>
      <c r="B737" s="41" t="s">
        <v>4552</v>
      </c>
      <c r="C737" s="12" t="s">
        <v>4557</v>
      </c>
      <c r="D737" s="4" t="s">
        <v>2430</v>
      </c>
      <c r="E737" s="4" t="s">
        <v>2431</v>
      </c>
      <c r="F737" s="4" t="s">
        <v>4556</v>
      </c>
      <c r="G737" s="4" t="s">
        <v>2308</v>
      </c>
      <c r="H737" s="4" t="s">
        <v>1974</v>
      </c>
      <c r="I737" s="22">
        <f>17/60</f>
        <v>0.28333333333333333</v>
      </c>
      <c r="J737" s="22">
        <f>37+53/60</f>
        <v>37.883333333333333</v>
      </c>
      <c r="K737" s="22" t="s">
        <v>2308</v>
      </c>
      <c r="L737" s="4">
        <v>2004</v>
      </c>
      <c r="M737" s="4">
        <v>2006</v>
      </c>
      <c r="N737" s="22" t="s">
        <v>2308</v>
      </c>
      <c r="O737" s="4" t="s">
        <v>67</v>
      </c>
      <c r="P737" s="4"/>
    </row>
    <row r="738" spans="1:16" ht="43" customHeight="1">
      <c r="A738" s="180">
        <v>179</v>
      </c>
      <c r="B738" s="41" t="s">
        <v>4568</v>
      </c>
      <c r="C738" s="4" t="s">
        <v>4569</v>
      </c>
      <c r="D738" s="4" t="s">
        <v>2430</v>
      </c>
      <c r="E738" s="4" t="s">
        <v>2431</v>
      </c>
      <c r="F738" s="4" t="s">
        <v>4574</v>
      </c>
      <c r="G738" s="12" t="s">
        <v>4565</v>
      </c>
      <c r="H738" s="12" t="s">
        <v>4566</v>
      </c>
      <c r="I738" s="22">
        <f>-26 - 16.5/60</f>
        <v>-26.274999999999999</v>
      </c>
      <c r="J738" s="22">
        <f>31 + 53.5/60</f>
        <v>31.891666666666666</v>
      </c>
      <c r="K738" s="22">
        <v>124</v>
      </c>
      <c r="L738" s="4">
        <v>1967</v>
      </c>
      <c r="M738" s="4">
        <v>1997</v>
      </c>
      <c r="N738" s="22" t="s">
        <v>2308</v>
      </c>
      <c r="O738" s="4" t="s">
        <v>67</v>
      </c>
      <c r="P738" s="4"/>
    </row>
    <row r="739" spans="1:16" ht="43" customHeight="1">
      <c r="A739" s="180">
        <v>179</v>
      </c>
      <c r="B739" s="41" t="s">
        <v>4568</v>
      </c>
      <c r="C739" s="4" t="s">
        <v>4570</v>
      </c>
      <c r="D739" s="4" t="s">
        <v>2430</v>
      </c>
      <c r="E739" s="4" t="s">
        <v>2431</v>
      </c>
      <c r="F739" s="4" t="s">
        <v>4575</v>
      </c>
      <c r="G739" s="12" t="s">
        <v>4565</v>
      </c>
      <c r="H739" s="12" t="s">
        <v>4566</v>
      </c>
      <c r="I739" s="22">
        <f t="shared" ref="I739:I742" si="7">-26 - 16.5/60</f>
        <v>-26.274999999999999</v>
      </c>
      <c r="J739" s="22">
        <f t="shared" ref="J739:J742" si="8">31 + 53.5/60</f>
        <v>31.891666666666666</v>
      </c>
      <c r="K739" s="22">
        <v>39</v>
      </c>
      <c r="L739" s="4">
        <v>1967</v>
      </c>
      <c r="M739" s="4">
        <v>1997</v>
      </c>
      <c r="N739" s="22" t="s">
        <v>2308</v>
      </c>
      <c r="O739" s="4" t="s">
        <v>67</v>
      </c>
      <c r="P739" s="4"/>
    </row>
    <row r="740" spans="1:16" ht="43" customHeight="1">
      <c r="A740" s="180">
        <v>179</v>
      </c>
      <c r="B740" s="41" t="s">
        <v>4568</v>
      </c>
      <c r="C740" s="4" t="s">
        <v>4571</v>
      </c>
      <c r="D740" s="4" t="s">
        <v>2430</v>
      </c>
      <c r="E740" s="4" t="s">
        <v>2431</v>
      </c>
      <c r="F740" s="5" t="s">
        <v>4576</v>
      </c>
      <c r="G740" s="12" t="s">
        <v>4565</v>
      </c>
      <c r="H740" s="12" t="s">
        <v>4566</v>
      </c>
      <c r="I740" s="22">
        <f t="shared" si="7"/>
        <v>-26.274999999999999</v>
      </c>
      <c r="J740" s="22">
        <f t="shared" si="8"/>
        <v>31.891666666666666</v>
      </c>
      <c r="K740" s="22">
        <v>15</v>
      </c>
      <c r="L740" s="4">
        <v>1967</v>
      </c>
      <c r="M740" s="4">
        <v>1997</v>
      </c>
      <c r="N740" s="22" t="s">
        <v>2308</v>
      </c>
      <c r="O740" s="4" t="s">
        <v>67</v>
      </c>
      <c r="P740" s="4"/>
    </row>
    <row r="741" spans="1:16" ht="43" customHeight="1">
      <c r="A741" s="180">
        <v>179</v>
      </c>
      <c r="B741" s="41" t="s">
        <v>4568</v>
      </c>
      <c r="C741" s="4" t="s">
        <v>4572</v>
      </c>
      <c r="D741" s="4" t="s">
        <v>2430</v>
      </c>
      <c r="E741" s="4" t="s">
        <v>2431</v>
      </c>
      <c r="F741" s="5" t="s">
        <v>4577</v>
      </c>
      <c r="G741" s="12" t="s">
        <v>4565</v>
      </c>
      <c r="H741" s="12" t="s">
        <v>4566</v>
      </c>
      <c r="I741" s="22">
        <f t="shared" si="7"/>
        <v>-26.274999999999999</v>
      </c>
      <c r="J741" s="22">
        <f t="shared" si="8"/>
        <v>31.891666666666666</v>
      </c>
      <c r="K741" s="22">
        <v>38</v>
      </c>
      <c r="L741" s="4">
        <v>1967</v>
      </c>
      <c r="M741" s="4">
        <v>1997</v>
      </c>
      <c r="N741" s="22" t="s">
        <v>2308</v>
      </c>
      <c r="O741" s="4" t="s">
        <v>67</v>
      </c>
      <c r="P741" s="4"/>
    </row>
    <row r="742" spans="1:16" ht="43" customHeight="1">
      <c r="A742" s="180">
        <v>179</v>
      </c>
      <c r="B742" s="41" t="s">
        <v>4568</v>
      </c>
      <c r="C742" s="4" t="s">
        <v>4573</v>
      </c>
      <c r="D742" s="4" t="s">
        <v>2430</v>
      </c>
      <c r="E742" s="4" t="s">
        <v>2431</v>
      </c>
      <c r="F742" s="4" t="s">
        <v>4578</v>
      </c>
      <c r="G742" s="12" t="s">
        <v>4565</v>
      </c>
      <c r="H742" s="12" t="s">
        <v>4566</v>
      </c>
      <c r="I742" s="22">
        <f t="shared" si="7"/>
        <v>-26.274999999999999</v>
      </c>
      <c r="J742" s="22">
        <f t="shared" si="8"/>
        <v>31.891666666666666</v>
      </c>
      <c r="K742" s="22">
        <v>0.5</v>
      </c>
      <c r="L742" s="4">
        <v>1967</v>
      </c>
      <c r="M742" s="4">
        <v>1997</v>
      </c>
      <c r="N742" s="22" t="s">
        <v>2308</v>
      </c>
      <c r="O742" s="4" t="s">
        <v>67</v>
      </c>
      <c r="P742" s="4"/>
    </row>
    <row r="743" spans="1:16" ht="43.5" customHeight="1">
      <c r="A743" s="180">
        <v>180</v>
      </c>
      <c r="B743" s="41" t="s">
        <v>4593</v>
      </c>
      <c r="C743" s="12" t="s">
        <v>4594</v>
      </c>
      <c r="D743" s="4" t="s">
        <v>2430</v>
      </c>
      <c r="E743" s="4" t="s">
        <v>2670</v>
      </c>
      <c r="F743" s="4" t="s">
        <v>4595</v>
      </c>
      <c r="G743" s="4" t="s">
        <v>4596</v>
      </c>
      <c r="H743" s="4" t="s">
        <v>1971</v>
      </c>
      <c r="I743" s="22">
        <v>-19.3195555</v>
      </c>
      <c r="J743" s="22">
        <v>23.007431</v>
      </c>
      <c r="K743" s="22" t="s">
        <v>2308</v>
      </c>
      <c r="L743" s="4">
        <v>2006</v>
      </c>
      <c r="M743" s="4">
        <v>2006</v>
      </c>
      <c r="N743" s="22" t="s">
        <v>2308</v>
      </c>
      <c r="O743" s="4" t="s">
        <v>67</v>
      </c>
      <c r="P743" s="4"/>
    </row>
    <row r="744" spans="1:16" ht="44.5" customHeight="1">
      <c r="A744" s="180">
        <v>180</v>
      </c>
      <c r="B744" s="41" t="s">
        <v>4593</v>
      </c>
      <c r="C744" s="12" t="s">
        <v>4597</v>
      </c>
      <c r="D744" s="4" t="s">
        <v>2430</v>
      </c>
      <c r="E744" s="4" t="s">
        <v>2670</v>
      </c>
      <c r="F744" s="4" t="s">
        <v>4599</v>
      </c>
      <c r="G744" s="4" t="s">
        <v>4598</v>
      </c>
      <c r="H744" s="4" t="s">
        <v>429</v>
      </c>
      <c r="I744" s="22">
        <v>-16.747628200000001</v>
      </c>
      <c r="J744" s="22">
        <v>24.087938900000001</v>
      </c>
      <c r="K744" s="22" t="s">
        <v>2308</v>
      </c>
      <c r="L744" s="12">
        <v>2010</v>
      </c>
      <c r="M744" s="12">
        <v>2010</v>
      </c>
      <c r="N744" s="22" t="s">
        <v>2308</v>
      </c>
      <c r="O744" s="4" t="s">
        <v>67</v>
      </c>
      <c r="P744" s="4"/>
    </row>
    <row r="745" spans="1:16" ht="43" customHeight="1">
      <c r="A745" s="180">
        <v>180</v>
      </c>
      <c r="B745" s="41" t="s">
        <v>4593</v>
      </c>
      <c r="C745" s="12" t="s">
        <v>4622</v>
      </c>
      <c r="D745" s="4" t="s">
        <v>2430</v>
      </c>
      <c r="E745" s="4" t="s">
        <v>2670</v>
      </c>
      <c r="F745" s="4" t="s">
        <v>4623</v>
      </c>
      <c r="G745" s="4" t="s">
        <v>4624</v>
      </c>
      <c r="H745" s="4" t="s">
        <v>3819</v>
      </c>
      <c r="I745" s="22">
        <v>-27.808495600000001</v>
      </c>
      <c r="J745" s="22">
        <v>32.346019499999997</v>
      </c>
      <c r="K745" s="22">
        <v>170</v>
      </c>
      <c r="L745" s="12">
        <v>2004</v>
      </c>
      <c r="M745" s="12">
        <v>2010</v>
      </c>
      <c r="N745" s="22" t="s">
        <v>2308</v>
      </c>
      <c r="O745" s="4" t="s">
        <v>67</v>
      </c>
      <c r="P745" s="4"/>
    </row>
    <row r="746" spans="1:16" ht="42.5" customHeight="1">
      <c r="A746" s="180">
        <v>180</v>
      </c>
      <c r="B746" s="41" t="s">
        <v>4593</v>
      </c>
      <c r="C746" s="12" t="s">
        <v>4633</v>
      </c>
      <c r="D746" s="4" t="s">
        <v>2430</v>
      </c>
      <c r="E746" s="4" t="s">
        <v>2431</v>
      </c>
      <c r="F746" s="4" t="s">
        <v>4632</v>
      </c>
      <c r="G746" s="4" t="s">
        <v>2308</v>
      </c>
      <c r="H746" s="4" t="s">
        <v>391</v>
      </c>
      <c r="I746" s="22">
        <v>-3.2261674999999999</v>
      </c>
      <c r="J746" s="22">
        <v>35.446659500000003</v>
      </c>
      <c r="K746" s="22">
        <v>170</v>
      </c>
      <c r="L746" s="12">
        <v>1995</v>
      </c>
      <c r="M746" s="12">
        <v>2003</v>
      </c>
      <c r="N746" s="22" t="s">
        <v>2308</v>
      </c>
      <c r="O746" s="4" t="s">
        <v>67</v>
      </c>
      <c r="P746" s="4"/>
    </row>
    <row r="747" spans="1:16" ht="42.5" customHeight="1">
      <c r="A747" s="180">
        <v>180</v>
      </c>
      <c r="B747" s="41" t="s">
        <v>4593</v>
      </c>
      <c r="C747" s="12" t="s">
        <v>4636</v>
      </c>
      <c r="D747" s="4" t="s">
        <v>2430</v>
      </c>
      <c r="E747" s="4" t="s">
        <v>2669</v>
      </c>
      <c r="F747" s="4" t="s">
        <v>4638</v>
      </c>
      <c r="G747" s="4" t="s">
        <v>2308</v>
      </c>
      <c r="H747" s="4" t="s">
        <v>3819</v>
      </c>
      <c r="I747" s="22">
        <v>-23.988384799999999</v>
      </c>
      <c r="J747" s="22">
        <v>31.554740200000001</v>
      </c>
      <c r="K747" s="22">
        <v>170</v>
      </c>
      <c r="L747" s="12">
        <v>2010</v>
      </c>
      <c r="M747" s="12">
        <v>2010</v>
      </c>
      <c r="N747" s="22" t="s">
        <v>2308</v>
      </c>
      <c r="O747" s="4" t="s">
        <v>67</v>
      </c>
      <c r="P747" s="4"/>
    </row>
    <row r="748" spans="1:16" ht="42" customHeight="1">
      <c r="A748" s="180">
        <v>180</v>
      </c>
      <c r="B748" s="41" t="s">
        <v>4593</v>
      </c>
      <c r="C748" s="12" t="s">
        <v>4637</v>
      </c>
      <c r="D748" s="4" t="s">
        <v>2430</v>
      </c>
      <c r="E748" s="4" t="s">
        <v>2669</v>
      </c>
      <c r="F748" s="4" t="s">
        <v>4639</v>
      </c>
      <c r="G748" s="4" t="s">
        <v>2308</v>
      </c>
      <c r="H748" s="4" t="s">
        <v>3819</v>
      </c>
      <c r="I748" s="22">
        <v>-25.244948900000001</v>
      </c>
      <c r="J748" s="22">
        <v>27.0891302</v>
      </c>
      <c r="K748" s="22">
        <v>170</v>
      </c>
      <c r="L748" s="12">
        <v>2010</v>
      </c>
      <c r="M748" s="12">
        <v>2010</v>
      </c>
      <c r="N748" s="22" t="s">
        <v>2308</v>
      </c>
      <c r="O748" s="4" t="s">
        <v>67</v>
      </c>
      <c r="P748" s="4"/>
    </row>
    <row r="749" spans="1:16" ht="57" customHeight="1">
      <c r="A749" s="180">
        <v>181</v>
      </c>
      <c r="B749" s="42" t="s">
        <v>4651</v>
      </c>
      <c r="C749" s="12" t="s">
        <v>4648</v>
      </c>
      <c r="D749" s="4" t="s">
        <v>2430</v>
      </c>
      <c r="E749" s="4" t="s">
        <v>2431</v>
      </c>
      <c r="F749" s="4" t="s">
        <v>4649</v>
      </c>
      <c r="G749" s="4" t="s">
        <v>2308</v>
      </c>
      <c r="H749" s="4" t="s">
        <v>3767</v>
      </c>
      <c r="I749" s="22">
        <v>-18.855590899999999</v>
      </c>
      <c r="J749" s="22">
        <v>16.329319699999999</v>
      </c>
      <c r="K749" s="22">
        <v>22720</v>
      </c>
      <c r="L749" s="4">
        <v>1981</v>
      </c>
      <c r="M749" s="4">
        <v>1997</v>
      </c>
      <c r="N749" s="22" t="s">
        <v>2308</v>
      </c>
      <c r="O749" s="4" t="s">
        <v>67</v>
      </c>
      <c r="P749" s="4"/>
    </row>
    <row r="750" spans="1:16" ht="41" customHeight="1">
      <c r="A750" s="180">
        <v>181</v>
      </c>
      <c r="B750" s="42" t="s">
        <v>4650</v>
      </c>
      <c r="C750" s="12" t="s">
        <v>4652</v>
      </c>
      <c r="D750" s="4" t="s">
        <v>2430</v>
      </c>
      <c r="E750" s="4" t="s">
        <v>2431</v>
      </c>
      <c r="F750" s="4" t="s">
        <v>4655</v>
      </c>
      <c r="G750" s="4" t="s">
        <v>2308</v>
      </c>
      <c r="H750" s="4" t="s">
        <v>3463</v>
      </c>
      <c r="I750" s="22">
        <v>-25.312678600000002</v>
      </c>
      <c r="J750" s="22">
        <v>131.02235709999999</v>
      </c>
      <c r="K750" s="22" t="s">
        <v>2308</v>
      </c>
      <c r="L750" s="4">
        <v>2001</v>
      </c>
      <c r="M750" s="4">
        <v>2001</v>
      </c>
      <c r="N750" s="22" t="s">
        <v>2308</v>
      </c>
      <c r="O750" s="4" t="s">
        <v>67</v>
      </c>
      <c r="P750" s="4"/>
    </row>
    <row r="751" spans="1:16" ht="37" customHeight="1">
      <c r="A751" s="180">
        <v>181</v>
      </c>
      <c r="B751" s="42" t="s">
        <v>4650</v>
      </c>
      <c r="C751" s="12" t="s">
        <v>4653</v>
      </c>
      <c r="D751" s="4" t="s">
        <v>2430</v>
      </c>
      <c r="E751" s="4" t="s">
        <v>2431</v>
      </c>
      <c r="F751" s="4" t="s">
        <v>4656</v>
      </c>
      <c r="G751" s="4" t="s">
        <v>2308</v>
      </c>
      <c r="H751" s="4" t="s">
        <v>3463</v>
      </c>
      <c r="I751" s="22">
        <v>-13.092293099999999</v>
      </c>
      <c r="J751" s="22">
        <v>132.39376580000001</v>
      </c>
      <c r="K751" s="22" t="s">
        <v>2308</v>
      </c>
      <c r="L751" s="4">
        <v>2001</v>
      </c>
      <c r="M751" s="4">
        <v>2001</v>
      </c>
      <c r="N751" s="22" t="s">
        <v>2308</v>
      </c>
      <c r="O751" s="4" t="s">
        <v>67</v>
      </c>
      <c r="P751" s="4"/>
    </row>
    <row r="752" spans="1:16" ht="41" customHeight="1">
      <c r="A752" s="180">
        <v>181</v>
      </c>
      <c r="B752" s="42" t="s">
        <v>4650</v>
      </c>
      <c r="C752" s="12" t="s">
        <v>4654</v>
      </c>
      <c r="D752" s="4" t="s">
        <v>2430</v>
      </c>
      <c r="E752" s="4" t="s">
        <v>2431</v>
      </c>
      <c r="F752" s="4" t="s">
        <v>4639</v>
      </c>
      <c r="G752" s="4" t="s">
        <v>2308</v>
      </c>
      <c r="H752" s="4" t="s">
        <v>3819</v>
      </c>
      <c r="I752" s="22">
        <v>-25.244948900000001</v>
      </c>
      <c r="J752" s="22">
        <v>27.0891302</v>
      </c>
      <c r="K752" s="22">
        <f>50000/100</f>
        <v>500</v>
      </c>
      <c r="L752" s="4">
        <v>2001</v>
      </c>
      <c r="M752" s="4">
        <v>2001</v>
      </c>
      <c r="N752" s="22" t="s">
        <v>2308</v>
      </c>
      <c r="O752" s="4" t="s">
        <v>67</v>
      </c>
      <c r="P752" s="4"/>
    </row>
    <row r="753" spans="1:16" ht="43" customHeight="1">
      <c r="A753" s="180">
        <v>182</v>
      </c>
      <c r="B753" s="41" t="s">
        <v>4676</v>
      </c>
      <c r="C753" s="12" t="s">
        <v>4671</v>
      </c>
      <c r="D753" s="4" t="s">
        <v>2430</v>
      </c>
      <c r="E753" s="4" t="s">
        <v>2431</v>
      </c>
      <c r="F753" s="4" t="s">
        <v>4677</v>
      </c>
      <c r="G753" s="4" t="s">
        <v>2308</v>
      </c>
      <c r="H753" s="4" t="s">
        <v>1971</v>
      </c>
      <c r="I753" s="22">
        <v>-26</v>
      </c>
      <c r="J753" s="22">
        <v>22.4</v>
      </c>
      <c r="K753" s="22" t="s">
        <v>2308</v>
      </c>
      <c r="L753" s="174">
        <v>2004</v>
      </c>
      <c r="M753" s="174">
        <v>2004</v>
      </c>
      <c r="N753" s="22" t="s">
        <v>2308</v>
      </c>
      <c r="O753" s="4" t="s">
        <v>67</v>
      </c>
      <c r="P753" s="5" t="s">
        <v>4678</v>
      </c>
    </row>
    <row r="754" spans="1:16" ht="44.5" customHeight="1">
      <c r="A754" s="180">
        <v>182</v>
      </c>
      <c r="B754" s="41" t="s">
        <v>4676</v>
      </c>
      <c r="C754" s="12" t="s">
        <v>4672</v>
      </c>
      <c r="D754" s="4" t="s">
        <v>2430</v>
      </c>
      <c r="E754" s="4" t="s">
        <v>2431</v>
      </c>
      <c r="F754" s="4" t="s">
        <v>4674</v>
      </c>
      <c r="G754" s="4" t="s">
        <v>2308</v>
      </c>
      <c r="H754" s="4" t="s">
        <v>1971</v>
      </c>
      <c r="I754" s="22">
        <v>-21</v>
      </c>
      <c r="J754" s="22">
        <v>24.75</v>
      </c>
      <c r="K754" s="22" t="s">
        <v>2308</v>
      </c>
      <c r="L754" s="174">
        <v>2004</v>
      </c>
      <c r="M754" s="174">
        <v>2004</v>
      </c>
      <c r="N754" s="22" t="s">
        <v>2308</v>
      </c>
      <c r="O754" s="4" t="s">
        <v>67</v>
      </c>
      <c r="P754" s="5" t="s">
        <v>4678</v>
      </c>
    </row>
    <row r="755" spans="1:16" ht="43.5" customHeight="1">
      <c r="A755" s="180">
        <v>182</v>
      </c>
      <c r="B755" s="41" t="s">
        <v>4676</v>
      </c>
      <c r="C755" s="12" t="s">
        <v>4673</v>
      </c>
      <c r="D755" s="4" t="s">
        <v>2430</v>
      </c>
      <c r="E755" s="4" t="s">
        <v>2431</v>
      </c>
      <c r="F755" s="4" t="s">
        <v>4675</v>
      </c>
      <c r="G755" s="4" t="s">
        <v>2308</v>
      </c>
      <c r="H755" s="4" t="s">
        <v>1971</v>
      </c>
      <c r="I755" s="22">
        <v>-24.5992307</v>
      </c>
      <c r="J755" s="22">
        <v>26.0002967</v>
      </c>
      <c r="K755" s="22" t="s">
        <v>2308</v>
      </c>
      <c r="L755" s="174">
        <v>2004</v>
      </c>
      <c r="M755" s="174">
        <v>2004</v>
      </c>
      <c r="N755" s="22" t="s">
        <v>2308</v>
      </c>
      <c r="O755" s="4" t="s">
        <v>67</v>
      </c>
      <c r="P755" s="5" t="s">
        <v>4678</v>
      </c>
    </row>
    <row r="756" spans="1:16" ht="42" customHeight="1">
      <c r="A756" s="180">
        <v>183</v>
      </c>
      <c r="B756" s="41" t="s">
        <v>4693</v>
      </c>
      <c r="C756" s="12" t="s">
        <v>4694</v>
      </c>
      <c r="D756" s="4" t="s">
        <v>2430</v>
      </c>
      <c r="E756" s="4" t="s">
        <v>2431</v>
      </c>
      <c r="F756" s="12" t="s">
        <v>4696</v>
      </c>
      <c r="G756" s="12" t="s">
        <v>4697</v>
      </c>
      <c r="H756" s="12" t="s">
        <v>4698</v>
      </c>
      <c r="I756" s="22">
        <f>31 + 2/6</f>
        <v>31.333333333333332</v>
      </c>
      <c r="J756" s="22">
        <f>34 + 5.5/6</f>
        <v>34.916666666666664</v>
      </c>
      <c r="K756" s="22">
        <v>30</v>
      </c>
      <c r="L756" s="24">
        <v>1997</v>
      </c>
      <c r="M756" s="24">
        <v>1999</v>
      </c>
      <c r="N756" s="22" t="s">
        <v>2308</v>
      </c>
      <c r="O756" s="4" t="s">
        <v>67</v>
      </c>
      <c r="P756" s="20" t="s">
        <v>4700</v>
      </c>
    </row>
    <row r="757" spans="1:16" ht="49" customHeight="1">
      <c r="A757" s="180">
        <v>183</v>
      </c>
      <c r="B757" s="41" t="s">
        <v>4693</v>
      </c>
      <c r="C757" s="12" t="s">
        <v>4695</v>
      </c>
      <c r="D757" s="4" t="s">
        <v>2430</v>
      </c>
      <c r="E757" s="4" t="s">
        <v>2431</v>
      </c>
      <c r="F757" s="12" t="s">
        <v>4696</v>
      </c>
      <c r="G757" s="12" t="s">
        <v>4697</v>
      </c>
      <c r="H757" s="12" t="s">
        <v>4699</v>
      </c>
      <c r="I757" s="22">
        <f>31 + 2/6</f>
        <v>31.333333333333332</v>
      </c>
      <c r="J757" s="22">
        <f>34 + 5.5/6</f>
        <v>34.916666666666664</v>
      </c>
      <c r="K757" s="22">
        <v>30</v>
      </c>
      <c r="L757" s="24">
        <v>1997</v>
      </c>
      <c r="M757" s="24">
        <v>1999</v>
      </c>
      <c r="N757" s="22" t="s">
        <v>2308</v>
      </c>
      <c r="O757" s="4" t="s">
        <v>67</v>
      </c>
      <c r="P757" s="20" t="s">
        <v>4700</v>
      </c>
    </row>
    <row r="758" spans="1:16" ht="41" customHeight="1">
      <c r="A758" s="180">
        <v>184</v>
      </c>
      <c r="B758" s="41" t="s">
        <v>4711</v>
      </c>
      <c r="C758" s="12" t="s">
        <v>4712</v>
      </c>
      <c r="D758" s="4" t="s">
        <v>2430</v>
      </c>
      <c r="E758" s="4" t="s">
        <v>2431</v>
      </c>
      <c r="F758" s="4" t="s">
        <v>4713</v>
      </c>
      <c r="G758" s="4" t="s">
        <v>3637</v>
      </c>
      <c r="H758" s="4" t="s">
        <v>1973</v>
      </c>
      <c r="I758" s="22">
        <f>4.75</f>
        <v>4.75</v>
      </c>
      <c r="J758" s="22">
        <f>38.25</f>
        <v>38.25</v>
      </c>
      <c r="K758" s="22" t="s">
        <v>2308</v>
      </c>
      <c r="L758" s="4">
        <v>2009</v>
      </c>
      <c r="M758" s="4">
        <v>2009</v>
      </c>
      <c r="N758" s="22" t="s">
        <v>2308</v>
      </c>
      <c r="O758" s="4" t="s">
        <v>67</v>
      </c>
      <c r="P758" s="20" t="s">
        <v>4714</v>
      </c>
    </row>
    <row r="759" spans="1:16" ht="42.5" customHeight="1">
      <c r="A759" s="180">
        <v>185</v>
      </c>
      <c r="B759" s="41" t="s">
        <v>4731</v>
      </c>
      <c r="C759" s="12" t="s">
        <v>4722</v>
      </c>
      <c r="D759" s="4" t="s">
        <v>2430</v>
      </c>
      <c r="E759" s="4" t="s">
        <v>2431</v>
      </c>
      <c r="F759" s="4" t="s">
        <v>4727</v>
      </c>
      <c r="G759" s="12" t="s">
        <v>4726</v>
      </c>
      <c r="H759" s="12" t="s">
        <v>1974</v>
      </c>
      <c r="I759" s="22">
        <v>-1.5670063000000001</v>
      </c>
      <c r="J759" s="22">
        <v>35.417772599999999</v>
      </c>
      <c r="K759" s="22">
        <v>629.15</v>
      </c>
      <c r="L759" s="4">
        <v>1998</v>
      </c>
      <c r="M759" s="4">
        <v>1999</v>
      </c>
      <c r="N759" s="22" t="s">
        <v>2308</v>
      </c>
      <c r="O759" s="4" t="s">
        <v>2674</v>
      </c>
      <c r="P759" s="5" t="s">
        <v>4756</v>
      </c>
    </row>
    <row r="760" spans="1:16" ht="42.5" customHeight="1">
      <c r="A760" s="180">
        <v>185</v>
      </c>
      <c r="B760" s="41" t="s">
        <v>4731</v>
      </c>
      <c r="C760" s="12" t="s">
        <v>4723</v>
      </c>
      <c r="D760" s="4" t="s">
        <v>2430</v>
      </c>
      <c r="E760" s="4" t="s">
        <v>2431</v>
      </c>
      <c r="F760" s="4" t="s">
        <v>4728</v>
      </c>
      <c r="G760" s="12" t="s">
        <v>4726</v>
      </c>
      <c r="H760" s="12" t="s">
        <v>1974</v>
      </c>
      <c r="I760" s="22">
        <v>-1.4423280999999999</v>
      </c>
      <c r="J760" s="22">
        <v>35.243078300000001</v>
      </c>
      <c r="K760" s="22">
        <v>876.75</v>
      </c>
      <c r="L760" s="4">
        <v>1998</v>
      </c>
      <c r="M760" s="4">
        <v>1999</v>
      </c>
      <c r="N760" s="22" t="s">
        <v>2308</v>
      </c>
      <c r="O760" s="4" t="s">
        <v>2674</v>
      </c>
      <c r="P760" s="5" t="s">
        <v>4756</v>
      </c>
    </row>
    <row r="761" spans="1:16" ht="42.5" customHeight="1">
      <c r="A761" s="180">
        <v>185</v>
      </c>
      <c r="B761" s="41" t="s">
        <v>4731</v>
      </c>
      <c r="C761" s="12" t="s">
        <v>4724</v>
      </c>
      <c r="D761" s="4" t="s">
        <v>2430</v>
      </c>
      <c r="E761" s="4" t="s">
        <v>2431</v>
      </c>
      <c r="F761" s="4" t="s">
        <v>4729</v>
      </c>
      <c r="G761" s="12" t="s">
        <v>4726</v>
      </c>
      <c r="H761" s="12" t="s">
        <v>1974</v>
      </c>
      <c r="I761" s="22">
        <v>-1.1029850000000001</v>
      </c>
      <c r="J761" s="22">
        <v>35.389451999999999</v>
      </c>
      <c r="K761" s="22">
        <v>495</v>
      </c>
      <c r="L761" s="4">
        <v>1998</v>
      </c>
      <c r="M761" s="4">
        <v>1999</v>
      </c>
      <c r="N761" s="22" t="s">
        <v>2308</v>
      </c>
      <c r="O761" s="4" t="s">
        <v>2674</v>
      </c>
      <c r="P761" s="5" t="s">
        <v>4756</v>
      </c>
    </row>
    <row r="762" spans="1:16" ht="42.5" customHeight="1">
      <c r="A762" s="180">
        <v>185</v>
      </c>
      <c r="B762" s="41" t="s">
        <v>4731</v>
      </c>
      <c r="C762" s="12" t="s">
        <v>4725</v>
      </c>
      <c r="D762" s="4" t="s">
        <v>2430</v>
      </c>
      <c r="E762" s="4" t="s">
        <v>2431</v>
      </c>
      <c r="F762" s="4" t="s">
        <v>4730</v>
      </c>
      <c r="G762" s="12" t="s">
        <v>4726</v>
      </c>
      <c r="H762" s="12" t="s">
        <v>1974</v>
      </c>
      <c r="I762" s="22">
        <v>-0.8221676</v>
      </c>
      <c r="J762" s="22">
        <v>35.398656699999997</v>
      </c>
      <c r="K762" s="22" t="s">
        <v>2308</v>
      </c>
      <c r="L762" s="4">
        <v>1998</v>
      </c>
      <c r="M762" s="4">
        <v>1999</v>
      </c>
      <c r="N762" s="22" t="s">
        <v>2308</v>
      </c>
      <c r="O762" s="4" t="s">
        <v>2674</v>
      </c>
      <c r="P762" s="5" t="s">
        <v>4756</v>
      </c>
    </row>
    <row r="763" spans="1:16" ht="43.5" customHeight="1">
      <c r="A763" s="180">
        <v>186</v>
      </c>
      <c r="B763" s="41" t="s">
        <v>4745</v>
      </c>
      <c r="C763" s="12" t="s">
        <v>4746</v>
      </c>
      <c r="D763" s="4" t="s">
        <v>2430</v>
      </c>
      <c r="E763" s="4" t="s">
        <v>2431</v>
      </c>
      <c r="F763" s="4" t="s">
        <v>4751</v>
      </c>
      <c r="G763" s="4" t="s">
        <v>2308</v>
      </c>
      <c r="H763" s="4" t="s">
        <v>4749</v>
      </c>
      <c r="I763" s="22">
        <v>12.040833299999999</v>
      </c>
      <c r="J763" s="22">
        <v>3.0341667000000001</v>
      </c>
      <c r="K763" s="22">
        <f>10000/3</f>
        <v>3333.3333333333335</v>
      </c>
      <c r="L763" s="4">
        <v>2002</v>
      </c>
      <c r="M763" s="4">
        <v>2002</v>
      </c>
      <c r="N763" s="22" t="s">
        <v>2308</v>
      </c>
      <c r="O763" s="4" t="s">
        <v>67</v>
      </c>
      <c r="P763" s="5" t="s">
        <v>4752</v>
      </c>
    </row>
    <row r="764" spans="1:16" ht="41.5" customHeight="1">
      <c r="A764" s="180">
        <v>186</v>
      </c>
      <c r="B764" s="41" t="s">
        <v>4745</v>
      </c>
      <c r="C764" s="12" t="s">
        <v>4747</v>
      </c>
      <c r="D764" s="4" t="s">
        <v>2430</v>
      </c>
      <c r="E764" s="4" t="s">
        <v>2431</v>
      </c>
      <c r="F764" s="4" t="s">
        <v>4751</v>
      </c>
      <c r="G764" s="4" t="s">
        <v>2308</v>
      </c>
      <c r="H764" s="4" t="s">
        <v>1972</v>
      </c>
      <c r="I764" s="22">
        <v>11.9146827</v>
      </c>
      <c r="J764" s="22">
        <v>2.1957206999999999</v>
      </c>
      <c r="K764" s="22">
        <f t="shared" ref="K764:K765" si="9">10000/3</f>
        <v>3333.3333333333335</v>
      </c>
      <c r="L764" s="4">
        <v>2002</v>
      </c>
      <c r="M764" s="4">
        <v>2002</v>
      </c>
      <c r="N764" s="22" t="s">
        <v>2308</v>
      </c>
      <c r="O764" s="4" t="s">
        <v>67</v>
      </c>
      <c r="P764" s="5" t="s">
        <v>4752</v>
      </c>
    </row>
    <row r="765" spans="1:16" ht="41.5" customHeight="1">
      <c r="A765" s="180">
        <v>186</v>
      </c>
      <c r="B765" s="41" t="s">
        <v>4745</v>
      </c>
      <c r="C765" s="12" t="s">
        <v>4748</v>
      </c>
      <c r="D765" s="4" t="s">
        <v>2430</v>
      </c>
      <c r="E765" s="4" t="s">
        <v>2431</v>
      </c>
      <c r="F765" s="4" t="s">
        <v>4751</v>
      </c>
      <c r="G765" s="4" t="s">
        <v>2308</v>
      </c>
      <c r="H765" s="4" t="s">
        <v>4750</v>
      </c>
      <c r="I765" s="22">
        <v>12.0621489</v>
      </c>
      <c r="J765" s="22">
        <v>2.4321755999999999</v>
      </c>
      <c r="K765" s="22">
        <f t="shared" si="9"/>
        <v>3333.3333333333335</v>
      </c>
      <c r="L765" s="4">
        <v>2002</v>
      </c>
      <c r="M765" s="4">
        <v>2002</v>
      </c>
      <c r="N765" s="22" t="s">
        <v>2308</v>
      </c>
      <c r="O765" s="4" t="s">
        <v>67</v>
      </c>
      <c r="P765" s="5" t="s">
        <v>4752</v>
      </c>
    </row>
    <row r="766" spans="1:16" ht="42.5" customHeight="1">
      <c r="A766" s="180">
        <v>187</v>
      </c>
      <c r="B766" s="41" t="s">
        <v>4766</v>
      </c>
      <c r="C766" s="12" t="s">
        <v>4767</v>
      </c>
      <c r="D766" s="4" t="s">
        <v>2430</v>
      </c>
      <c r="E766" s="4" t="s">
        <v>2432</v>
      </c>
      <c r="F766" s="4" t="s">
        <v>2308</v>
      </c>
      <c r="G766" s="4" t="s">
        <v>4769</v>
      </c>
      <c r="H766" s="4" t="s">
        <v>4768</v>
      </c>
      <c r="I766" s="22">
        <v>14.3130237</v>
      </c>
      <c r="J766" s="22">
        <v>33.456600700000003</v>
      </c>
      <c r="K766" s="22" t="s">
        <v>2308</v>
      </c>
      <c r="L766" s="4">
        <v>2000</v>
      </c>
      <c r="M766" s="4">
        <v>2007</v>
      </c>
      <c r="N766" s="22" t="s">
        <v>2308</v>
      </c>
      <c r="O766" s="4" t="s">
        <v>67</v>
      </c>
      <c r="P766" s="4" t="s">
        <v>4770</v>
      </c>
    </row>
    <row r="767" spans="1:16" ht="43" customHeight="1">
      <c r="A767" s="180">
        <v>187</v>
      </c>
      <c r="B767" s="41" t="s">
        <v>4771</v>
      </c>
      <c r="C767" s="12" t="s">
        <v>4772</v>
      </c>
      <c r="D767" s="4" t="s">
        <v>2430</v>
      </c>
      <c r="E767" s="4" t="s">
        <v>2431</v>
      </c>
      <c r="F767" s="4" t="s">
        <v>2308</v>
      </c>
      <c r="G767" s="4" t="s">
        <v>4773</v>
      </c>
      <c r="H767" s="4" t="s">
        <v>4768</v>
      </c>
      <c r="I767" s="22">
        <v>13.26074</v>
      </c>
      <c r="J767" s="22">
        <v>32.8455297</v>
      </c>
      <c r="K767" s="22" t="s">
        <v>2308</v>
      </c>
      <c r="L767" s="4">
        <v>2000</v>
      </c>
      <c r="M767" s="4">
        <v>2007</v>
      </c>
      <c r="N767" s="22" t="s">
        <v>2308</v>
      </c>
      <c r="O767" s="4" t="s">
        <v>67</v>
      </c>
      <c r="P767" s="4" t="s">
        <v>4770</v>
      </c>
    </row>
    <row r="768" spans="1:16" ht="39.5" customHeight="1">
      <c r="A768" s="180">
        <v>188</v>
      </c>
      <c r="B768" s="41" t="s">
        <v>4788</v>
      </c>
      <c r="C768" s="12" t="s">
        <v>4785</v>
      </c>
      <c r="D768" s="4" t="s">
        <v>2430</v>
      </c>
      <c r="E768" s="4" t="s">
        <v>2431</v>
      </c>
      <c r="F768" s="12" t="s">
        <v>4787</v>
      </c>
      <c r="G768" s="4" t="s">
        <v>2308</v>
      </c>
      <c r="H768" s="12" t="s">
        <v>4784</v>
      </c>
      <c r="I768" s="22">
        <v>37</v>
      </c>
      <c r="J768" s="22">
        <v>32.75</v>
      </c>
      <c r="K768" s="22" t="s">
        <v>2308</v>
      </c>
      <c r="L768" s="12">
        <v>2015</v>
      </c>
      <c r="M768" s="12">
        <v>2015</v>
      </c>
      <c r="N768" s="22" t="s">
        <v>2308</v>
      </c>
      <c r="O768" s="4" t="s">
        <v>67</v>
      </c>
      <c r="P768" s="4" t="s">
        <v>4770</v>
      </c>
    </row>
    <row r="769" spans="1:16" ht="39.5" customHeight="1">
      <c r="A769" s="180">
        <v>188</v>
      </c>
      <c r="B769" s="41" t="s">
        <v>4788</v>
      </c>
      <c r="C769" s="12" t="s">
        <v>4786</v>
      </c>
      <c r="D769" s="4" t="s">
        <v>2430</v>
      </c>
      <c r="E769" s="4" t="s">
        <v>2431</v>
      </c>
      <c r="F769" s="12" t="s">
        <v>4787</v>
      </c>
      <c r="G769" s="4" t="s">
        <v>2308</v>
      </c>
      <c r="H769" s="12" t="s">
        <v>4784</v>
      </c>
      <c r="I769" s="22">
        <v>37.158519300000002</v>
      </c>
      <c r="J769" s="22">
        <v>31.889355299999998</v>
      </c>
      <c r="K769" s="22" t="s">
        <v>2308</v>
      </c>
      <c r="L769" s="12">
        <v>2015</v>
      </c>
      <c r="M769" s="12">
        <v>2015</v>
      </c>
      <c r="N769" s="22" t="s">
        <v>2308</v>
      </c>
      <c r="O769" s="4" t="s">
        <v>67</v>
      </c>
      <c r="P769" s="4" t="s">
        <v>4770</v>
      </c>
    </row>
    <row r="770" spans="1:16" s="131" customFormat="1" ht="49.5" customHeight="1">
      <c r="A770" s="180">
        <v>189</v>
      </c>
      <c r="B770" s="41" t="s">
        <v>4794</v>
      </c>
      <c r="C770" s="12" t="s">
        <v>4793</v>
      </c>
      <c r="D770" s="4" t="s">
        <v>2430</v>
      </c>
      <c r="E770" s="4" t="s">
        <v>2432</v>
      </c>
      <c r="F770" s="12" t="s">
        <v>4795</v>
      </c>
      <c r="G770" s="12" t="s">
        <v>4624</v>
      </c>
      <c r="H770" s="12" t="s">
        <v>3819</v>
      </c>
      <c r="I770" s="22">
        <v>-27.901354300000001</v>
      </c>
      <c r="J770" s="22">
        <v>32.256438199999998</v>
      </c>
      <c r="K770" s="22">
        <v>900</v>
      </c>
      <c r="L770" s="4">
        <v>2000</v>
      </c>
      <c r="M770" s="4">
        <v>2000</v>
      </c>
      <c r="N770" s="22" t="s">
        <v>2308</v>
      </c>
      <c r="O770" s="4" t="s">
        <v>67</v>
      </c>
      <c r="P770" s="4" t="s">
        <v>4770</v>
      </c>
    </row>
    <row r="771" spans="1:16" s="131" customFormat="1" ht="49.5" customHeight="1">
      <c r="A771" s="180">
        <v>189</v>
      </c>
      <c r="B771" s="41" t="s">
        <v>4794</v>
      </c>
      <c r="C771" s="12" t="s">
        <v>4798</v>
      </c>
      <c r="D771" s="4" t="s">
        <v>2430</v>
      </c>
      <c r="E771" s="4" t="s">
        <v>2432</v>
      </c>
      <c r="F771" s="12" t="s">
        <v>4796</v>
      </c>
      <c r="G771" s="12" t="s">
        <v>4624</v>
      </c>
      <c r="H771" s="12" t="s">
        <v>3819</v>
      </c>
      <c r="I771" s="22">
        <v>-27.901354300000001</v>
      </c>
      <c r="J771" s="22">
        <v>32.256438199999998</v>
      </c>
      <c r="K771" s="22" t="s">
        <v>2308</v>
      </c>
      <c r="L771" s="4">
        <v>2000</v>
      </c>
      <c r="M771" s="4">
        <v>2000</v>
      </c>
      <c r="N771" s="22">
        <v>151</v>
      </c>
      <c r="O771" s="4" t="s">
        <v>67</v>
      </c>
      <c r="P771" s="4" t="s">
        <v>4770</v>
      </c>
    </row>
    <row r="772" spans="1:16" s="131" customFormat="1" ht="49.5" customHeight="1">
      <c r="A772" s="180">
        <v>189</v>
      </c>
      <c r="B772" s="41" t="s">
        <v>4794</v>
      </c>
      <c r="C772" s="12" t="s">
        <v>4799</v>
      </c>
      <c r="D772" s="4" t="s">
        <v>2430</v>
      </c>
      <c r="E772" s="4" t="s">
        <v>2432</v>
      </c>
      <c r="F772" s="12" t="s">
        <v>4797</v>
      </c>
      <c r="G772" s="12" t="s">
        <v>4624</v>
      </c>
      <c r="H772" s="12" t="s">
        <v>3819</v>
      </c>
      <c r="I772" s="22">
        <v>-27.901354300000001</v>
      </c>
      <c r="J772" s="22">
        <v>32.256438199999998</v>
      </c>
      <c r="K772" s="22" t="s">
        <v>2308</v>
      </c>
      <c r="L772" s="4">
        <v>2000</v>
      </c>
      <c r="M772" s="4">
        <v>2000</v>
      </c>
      <c r="N772" s="22">
        <v>1</v>
      </c>
      <c r="O772" s="4" t="s">
        <v>67</v>
      </c>
      <c r="P772" s="5" t="s">
        <v>4818</v>
      </c>
    </row>
    <row r="773" spans="1:16" ht="42" customHeight="1">
      <c r="A773" s="180">
        <v>190</v>
      </c>
      <c r="B773" s="41" t="s">
        <v>4819</v>
      </c>
      <c r="C773" s="4" t="s">
        <v>4824</v>
      </c>
      <c r="D773" s="4" t="s">
        <v>2430</v>
      </c>
      <c r="E773" s="4" t="s">
        <v>2431</v>
      </c>
      <c r="F773" s="12" t="s">
        <v>4823</v>
      </c>
      <c r="G773" s="12" t="s">
        <v>4624</v>
      </c>
      <c r="H773" s="12" t="s">
        <v>3819</v>
      </c>
      <c r="I773" s="22">
        <v>-28.042000000000002</v>
      </c>
      <c r="J773" s="22">
        <v>32.041960000000003</v>
      </c>
      <c r="K773" s="22">
        <v>25</v>
      </c>
      <c r="L773" s="4">
        <v>1955</v>
      </c>
      <c r="M773" s="4">
        <v>2000</v>
      </c>
      <c r="N773" s="22" t="s">
        <v>2308</v>
      </c>
      <c r="O773" s="4" t="s">
        <v>67</v>
      </c>
      <c r="P773" s="4"/>
    </row>
    <row r="774" spans="1:16" ht="39" customHeight="1">
      <c r="A774" s="180">
        <v>191</v>
      </c>
      <c r="B774" s="41" t="s">
        <v>4827</v>
      </c>
      <c r="C774" s="12" t="s">
        <v>4828</v>
      </c>
      <c r="D774" s="4" t="s">
        <v>2430</v>
      </c>
      <c r="E774" s="4" t="s">
        <v>2670</v>
      </c>
      <c r="F774" s="4" t="s">
        <v>4830</v>
      </c>
      <c r="G774" s="4" t="s">
        <v>4829</v>
      </c>
      <c r="H774" s="4" t="s">
        <v>1974</v>
      </c>
      <c r="I774" s="22">
        <v>0.93876939999999998</v>
      </c>
      <c r="J774" s="22">
        <v>36.035071299999998</v>
      </c>
      <c r="K774" s="22">
        <v>436</v>
      </c>
      <c r="L774" s="102">
        <v>2014</v>
      </c>
      <c r="M774" s="4">
        <v>2015</v>
      </c>
      <c r="N774" s="22">
        <v>27</v>
      </c>
      <c r="O774" s="4" t="s">
        <v>67</v>
      </c>
      <c r="P774" s="4"/>
    </row>
    <row r="775" spans="1:16" ht="66.5" customHeight="1">
      <c r="A775" s="180">
        <v>191</v>
      </c>
      <c r="B775" s="41" t="s">
        <v>4827</v>
      </c>
      <c r="C775" s="12" t="s">
        <v>4832</v>
      </c>
      <c r="D775" s="4" t="s">
        <v>2430</v>
      </c>
      <c r="E775" s="4" t="s">
        <v>2670</v>
      </c>
      <c r="F775" s="4" t="s">
        <v>4830</v>
      </c>
      <c r="G775" s="4" t="s">
        <v>4829</v>
      </c>
      <c r="H775" s="4" t="s">
        <v>1974</v>
      </c>
      <c r="I775" s="22">
        <v>0.93876939999999998</v>
      </c>
      <c r="J775" s="22">
        <v>36.035071299999998</v>
      </c>
      <c r="K775" s="22">
        <v>436</v>
      </c>
      <c r="L775" s="102">
        <v>1975</v>
      </c>
      <c r="M775" s="4">
        <v>1990</v>
      </c>
      <c r="N775" s="22" t="s">
        <v>2308</v>
      </c>
      <c r="O775" s="4" t="s">
        <v>67</v>
      </c>
      <c r="P775" s="20" t="s">
        <v>4833</v>
      </c>
    </row>
    <row r="776" spans="1:16" ht="72.5" customHeight="1">
      <c r="A776" s="180">
        <v>192</v>
      </c>
      <c r="B776" s="41" t="s">
        <v>4841</v>
      </c>
      <c r="C776" s="12" t="s">
        <v>4842</v>
      </c>
      <c r="D776" s="4" t="s">
        <v>2430</v>
      </c>
      <c r="E776" s="4" t="s">
        <v>2455</v>
      </c>
      <c r="F776" s="4" t="s">
        <v>4843</v>
      </c>
      <c r="G776" s="4" t="s">
        <v>4829</v>
      </c>
      <c r="H776" s="4" t="s">
        <v>1974</v>
      </c>
      <c r="I776" s="22">
        <v>0.93876939999999998</v>
      </c>
      <c r="J776" s="22">
        <v>36.035071299999998</v>
      </c>
      <c r="K776" s="22" t="s">
        <v>2308</v>
      </c>
      <c r="L776" s="102">
        <v>1950</v>
      </c>
      <c r="M776" s="4">
        <v>2000</v>
      </c>
      <c r="N776" s="22" t="s">
        <v>2308</v>
      </c>
      <c r="O776" s="4" t="s">
        <v>67</v>
      </c>
      <c r="P776" s="20" t="s">
        <v>4833</v>
      </c>
    </row>
    <row r="777" spans="1:16" ht="58" customHeight="1">
      <c r="A777" s="180">
        <v>192</v>
      </c>
      <c r="B777" s="41" t="s">
        <v>4841</v>
      </c>
      <c r="C777" s="12" t="s">
        <v>4844</v>
      </c>
      <c r="D777" s="4" t="s">
        <v>2430</v>
      </c>
      <c r="E777" s="4" t="s">
        <v>2455</v>
      </c>
      <c r="F777" s="4" t="s">
        <v>4843</v>
      </c>
      <c r="G777" s="4" t="s">
        <v>4829</v>
      </c>
      <c r="H777" s="4" t="s">
        <v>1974</v>
      </c>
      <c r="I777" s="22">
        <v>0.71382299999999999</v>
      </c>
      <c r="J777" s="22">
        <v>36.003399799999997</v>
      </c>
      <c r="K777" s="22" t="s">
        <v>2308</v>
      </c>
      <c r="L777" s="101">
        <v>2000</v>
      </c>
      <c r="M777" s="12">
        <v>2015</v>
      </c>
      <c r="N777" s="22" t="s">
        <v>2308</v>
      </c>
      <c r="O777" s="4" t="s">
        <v>67</v>
      </c>
      <c r="P777" s="4"/>
    </row>
    <row r="778" spans="1:16" ht="43" customHeight="1">
      <c r="A778" s="180">
        <v>193</v>
      </c>
      <c r="B778" s="41" t="s">
        <v>4849</v>
      </c>
      <c r="C778" s="12" t="s">
        <v>4850</v>
      </c>
      <c r="D778" s="12" t="s">
        <v>2430</v>
      </c>
      <c r="E778" s="4" t="s">
        <v>2455</v>
      </c>
      <c r="F778" s="4" t="s">
        <v>4852</v>
      </c>
      <c r="G778" s="4" t="s">
        <v>2308</v>
      </c>
      <c r="H778" s="4" t="s">
        <v>4081</v>
      </c>
      <c r="I778" s="22">
        <v>48</v>
      </c>
      <c r="J778" s="22">
        <v>107.5</v>
      </c>
      <c r="K778" s="22">
        <v>8735</v>
      </c>
      <c r="L778" s="102">
        <v>1924</v>
      </c>
      <c r="M778" s="4">
        <v>1990</v>
      </c>
      <c r="N778" s="22" t="s">
        <v>2308</v>
      </c>
      <c r="O778" s="4" t="s">
        <v>67</v>
      </c>
      <c r="P778" s="5" t="s">
        <v>4851</v>
      </c>
    </row>
    <row r="779" spans="1:16" ht="40" customHeight="1">
      <c r="A779" s="180">
        <v>193</v>
      </c>
      <c r="B779" s="41" t="s">
        <v>4849</v>
      </c>
      <c r="C779" s="12" t="s">
        <v>4853</v>
      </c>
      <c r="D779" s="12" t="s">
        <v>2430</v>
      </c>
      <c r="E779" s="4" t="s">
        <v>2455</v>
      </c>
      <c r="F779" s="4" t="s">
        <v>4852</v>
      </c>
      <c r="G779" s="4" t="s">
        <v>2308</v>
      </c>
      <c r="H779" s="4" t="s">
        <v>4081</v>
      </c>
      <c r="I779" s="22">
        <v>48</v>
      </c>
      <c r="J779" s="22">
        <v>107.5</v>
      </c>
      <c r="K779" s="22">
        <v>8735</v>
      </c>
      <c r="L779" s="101">
        <v>1990</v>
      </c>
      <c r="M779" s="12">
        <v>2009</v>
      </c>
      <c r="N779" s="22">
        <f>1221000/K779</f>
        <v>139.78248425872926</v>
      </c>
      <c r="O779" s="4" t="s">
        <v>67</v>
      </c>
      <c r="P779" s="5" t="s">
        <v>4851</v>
      </c>
    </row>
    <row r="780" spans="1:16" ht="45" customHeight="1">
      <c r="A780" s="180">
        <v>193</v>
      </c>
      <c r="B780" s="41" t="s">
        <v>4849</v>
      </c>
      <c r="C780" s="12" t="s">
        <v>4854</v>
      </c>
      <c r="D780" s="12" t="s">
        <v>2430</v>
      </c>
      <c r="E780" s="4" t="s">
        <v>2431</v>
      </c>
      <c r="F780" s="65" t="s">
        <v>4857</v>
      </c>
      <c r="G780" s="4" t="s">
        <v>4860</v>
      </c>
      <c r="H780" s="4" t="s">
        <v>4081</v>
      </c>
      <c r="I780" s="22">
        <v>48</v>
      </c>
      <c r="J780" s="22">
        <v>107</v>
      </c>
      <c r="K780" s="22">
        <v>2</v>
      </c>
      <c r="L780" s="101">
        <v>1990</v>
      </c>
      <c r="M780" s="12">
        <v>2009</v>
      </c>
      <c r="N780" s="22" t="s">
        <v>2308</v>
      </c>
      <c r="O780" s="4" t="s">
        <v>67</v>
      </c>
      <c r="P780" s="4" t="s">
        <v>2246</v>
      </c>
    </row>
    <row r="781" spans="1:16" ht="45" customHeight="1">
      <c r="A781" s="180">
        <v>193</v>
      </c>
      <c r="B781" s="41" t="s">
        <v>4849</v>
      </c>
      <c r="C781" s="12" t="s">
        <v>4855</v>
      </c>
      <c r="D781" s="12" t="s">
        <v>2430</v>
      </c>
      <c r="E781" s="4" t="s">
        <v>2431</v>
      </c>
      <c r="F781" s="65" t="s">
        <v>4858</v>
      </c>
      <c r="G781" s="4" t="s">
        <v>2308</v>
      </c>
      <c r="H781" s="4" t="s">
        <v>4081</v>
      </c>
      <c r="I781" s="22">
        <v>48</v>
      </c>
      <c r="J781" s="22">
        <v>107.5</v>
      </c>
      <c r="K781" s="22">
        <v>2</v>
      </c>
      <c r="L781" s="101">
        <v>1990</v>
      </c>
      <c r="M781" s="12">
        <v>2009</v>
      </c>
      <c r="N781" s="22" t="s">
        <v>2308</v>
      </c>
      <c r="O781" s="4" t="s">
        <v>67</v>
      </c>
      <c r="P781" s="4" t="s">
        <v>2246</v>
      </c>
    </row>
    <row r="782" spans="1:16" ht="45" customHeight="1">
      <c r="A782" s="180">
        <v>193</v>
      </c>
      <c r="B782" s="41" t="s">
        <v>4849</v>
      </c>
      <c r="C782" s="12" t="s">
        <v>4856</v>
      </c>
      <c r="D782" s="12" t="s">
        <v>2430</v>
      </c>
      <c r="E782" s="4" t="s">
        <v>2431</v>
      </c>
      <c r="F782" s="65" t="s">
        <v>4859</v>
      </c>
      <c r="G782" s="4" t="s">
        <v>2308</v>
      </c>
      <c r="H782" s="4" t="s">
        <v>4081</v>
      </c>
      <c r="I782" s="22">
        <v>48.2</v>
      </c>
      <c r="J782" s="22">
        <v>108</v>
      </c>
      <c r="K782" s="22">
        <v>3.6</v>
      </c>
      <c r="L782" s="101">
        <v>1990</v>
      </c>
      <c r="M782" s="12">
        <v>2009</v>
      </c>
      <c r="N782" s="22" t="s">
        <v>2308</v>
      </c>
      <c r="O782" s="4" t="s">
        <v>67</v>
      </c>
      <c r="P782" s="4" t="s">
        <v>2246</v>
      </c>
    </row>
    <row r="783" spans="1:16" ht="51" customHeight="1">
      <c r="A783" s="180">
        <v>194</v>
      </c>
      <c r="B783" s="41" t="s">
        <v>4901</v>
      </c>
      <c r="C783" s="12" t="s">
        <v>4884</v>
      </c>
      <c r="D783" s="12" t="s">
        <v>2430</v>
      </c>
      <c r="E783" s="12" t="s">
        <v>2431</v>
      </c>
      <c r="F783" s="4" t="s">
        <v>2308</v>
      </c>
      <c r="G783" s="4" t="s">
        <v>4367</v>
      </c>
      <c r="H783" s="4" t="s">
        <v>4365</v>
      </c>
      <c r="I783" s="22">
        <v>37.328295199999999</v>
      </c>
      <c r="J783" s="22">
        <v>-4.5042868</v>
      </c>
      <c r="K783" s="22">
        <f>6000/100</f>
        <v>60</v>
      </c>
      <c r="L783" s="4">
        <v>2010</v>
      </c>
      <c r="M783" s="4">
        <v>2018</v>
      </c>
      <c r="N783" s="22" t="s">
        <v>2308</v>
      </c>
      <c r="O783" s="4" t="s">
        <v>67</v>
      </c>
      <c r="P783" s="5" t="s">
        <v>4902</v>
      </c>
    </row>
    <row r="784" spans="1:16" ht="55" customHeight="1">
      <c r="A784" s="180">
        <v>195</v>
      </c>
      <c r="B784" s="58" t="s">
        <v>4909</v>
      </c>
      <c r="C784" s="12" t="s">
        <v>4908</v>
      </c>
      <c r="D784" s="12" t="s">
        <v>2430</v>
      </c>
      <c r="E784" s="12" t="s">
        <v>4907</v>
      </c>
      <c r="F784" s="4" t="s">
        <v>2308</v>
      </c>
      <c r="G784" s="24" t="s">
        <v>4367</v>
      </c>
      <c r="H784" s="24" t="s">
        <v>4365</v>
      </c>
      <c r="I784" s="22">
        <f>AVERAGE(I785:I808)</f>
        <v>-4.3734684538849988</v>
      </c>
      <c r="J784" s="22">
        <f>AVERAGE(J785:J808)</f>
        <v>37.298506191515123</v>
      </c>
      <c r="K784" s="83">
        <f>1549</f>
        <v>1549</v>
      </c>
      <c r="L784" s="24">
        <v>1988</v>
      </c>
      <c r="M784" s="12">
        <v>2000</v>
      </c>
      <c r="N784" s="80" t="s">
        <v>2308</v>
      </c>
      <c r="O784" s="12" t="s">
        <v>67</v>
      </c>
      <c r="P784" s="20" t="s">
        <v>4948</v>
      </c>
    </row>
    <row r="785" spans="1:16" ht="55" customHeight="1">
      <c r="A785" s="180">
        <v>195</v>
      </c>
      <c r="B785" s="58" t="s">
        <v>4909</v>
      </c>
      <c r="C785" s="12" t="s">
        <v>4910</v>
      </c>
      <c r="D785" s="12" t="s">
        <v>2430</v>
      </c>
      <c r="E785" s="12" t="s">
        <v>4907</v>
      </c>
      <c r="F785" s="188" t="s">
        <v>4934</v>
      </c>
      <c r="G785" s="24" t="s">
        <v>4367</v>
      </c>
      <c r="H785" s="24" t="s">
        <v>4365</v>
      </c>
      <c r="I785" s="22">
        <v>-2.1917559999999998</v>
      </c>
      <c r="J785" s="22">
        <v>36.722192</v>
      </c>
      <c r="K785" s="189">
        <f>45663/100</f>
        <v>456.63</v>
      </c>
      <c r="L785" s="24">
        <v>1988</v>
      </c>
      <c r="M785" s="12">
        <v>2000</v>
      </c>
      <c r="N785" s="80" t="s">
        <v>2308</v>
      </c>
      <c r="O785" s="12" t="s">
        <v>67</v>
      </c>
      <c r="P785" s="20"/>
    </row>
    <row r="786" spans="1:16" ht="55" customHeight="1">
      <c r="A786" s="180">
        <v>195</v>
      </c>
      <c r="B786" s="58" t="s">
        <v>4909</v>
      </c>
      <c r="C786" s="12" t="s">
        <v>4911</v>
      </c>
      <c r="D786" s="12" t="s">
        <v>2430</v>
      </c>
      <c r="E786" s="12" t="s">
        <v>4907</v>
      </c>
      <c r="F786" s="188" t="s">
        <v>4935</v>
      </c>
      <c r="G786" s="24" t="s">
        <v>4367</v>
      </c>
      <c r="H786" s="24" t="s">
        <v>4365</v>
      </c>
      <c r="I786" s="22">
        <v>-2.0469151000000001</v>
      </c>
      <c r="J786" s="22">
        <v>37.769821</v>
      </c>
      <c r="K786" s="83">
        <f>22670/100</f>
        <v>226.7</v>
      </c>
      <c r="L786" s="24">
        <v>1988</v>
      </c>
      <c r="M786" s="12">
        <v>2000</v>
      </c>
      <c r="N786" s="80" t="s">
        <v>2308</v>
      </c>
      <c r="O786" s="12" t="s">
        <v>67</v>
      </c>
      <c r="P786" s="20"/>
    </row>
    <row r="787" spans="1:16" ht="55" customHeight="1">
      <c r="A787" s="180">
        <v>195</v>
      </c>
      <c r="B787" s="58" t="s">
        <v>4909</v>
      </c>
      <c r="C787" s="12" t="s">
        <v>4912</v>
      </c>
      <c r="D787" s="12" t="s">
        <v>2430</v>
      </c>
      <c r="E787" s="12" t="s">
        <v>4907</v>
      </c>
      <c r="F787" s="24" t="s">
        <v>4936</v>
      </c>
      <c r="G787" s="24" t="s">
        <v>4367</v>
      </c>
      <c r="H787" s="24" t="s">
        <v>4365</v>
      </c>
      <c r="I787" s="22">
        <v>-5.3672516000000003</v>
      </c>
      <c r="J787" s="22">
        <v>36.759118000000001</v>
      </c>
      <c r="K787" s="83">
        <f>51695/100</f>
        <v>516.95000000000005</v>
      </c>
      <c r="L787" s="24">
        <v>1988</v>
      </c>
      <c r="M787" s="12">
        <v>2000</v>
      </c>
      <c r="N787" s="80" t="s">
        <v>2308</v>
      </c>
      <c r="O787" s="12" t="s">
        <v>67</v>
      </c>
      <c r="P787" s="20"/>
    </row>
    <row r="788" spans="1:16" ht="55" customHeight="1">
      <c r="A788" s="180">
        <v>195</v>
      </c>
      <c r="B788" s="58" t="s">
        <v>4909</v>
      </c>
      <c r="C788" s="12" t="s">
        <v>4913</v>
      </c>
      <c r="D788" s="12" t="s">
        <v>2430</v>
      </c>
      <c r="E788" s="12" t="s">
        <v>4907</v>
      </c>
      <c r="F788" s="24" t="s">
        <v>4937</v>
      </c>
      <c r="G788" s="24" t="s">
        <v>4367</v>
      </c>
      <c r="H788" s="24" t="s">
        <v>4365</v>
      </c>
      <c r="I788" s="22">
        <v>-6.1727332932400003</v>
      </c>
      <c r="J788" s="22">
        <v>36.418017296363203</v>
      </c>
      <c r="K788" s="83">
        <f>10522/100</f>
        <v>105.22</v>
      </c>
      <c r="L788" s="24">
        <v>1988</v>
      </c>
      <c r="M788" s="12">
        <v>2000</v>
      </c>
      <c r="N788" s="80" t="s">
        <v>2308</v>
      </c>
      <c r="O788" s="12" t="s">
        <v>67</v>
      </c>
      <c r="P788" s="20"/>
    </row>
    <row r="789" spans="1:16" ht="55" customHeight="1">
      <c r="A789" s="180">
        <v>195</v>
      </c>
      <c r="B789" s="58" t="s">
        <v>4909</v>
      </c>
      <c r="C789" s="12" t="s">
        <v>4914</v>
      </c>
      <c r="D789" s="12" t="s">
        <v>2430</v>
      </c>
      <c r="E789" s="12" t="s">
        <v>4907</v>
      </c>
      <c r="F789" s="24" t="s">
        <v>4938</v>
      </c>
      <c r="G789" s="24" t="s">
        <v>4367</v>
      </c>
      <c r="H789" s="24" t="s">
        <v>4365</v>
      </c>
      <c r="I789" s="22">
        <v>-5.6037464999999997</v>
      </c>
      <c r="J789" s="22">
        <v>36.3485941</v>
      </c>
      <c r="K789" s="83">
        <f>167767/100</f>
        <v>1677.67</v>
      </c>
      <c r="L789" s="24">
        <v>1988</v>
      </c>
      <c r="M789" s="12">
        <v>2000</v>
      </c>
      <c r="N789" s="80" t="s">
        <v>2308</v>
      </c>
      <c r="O789" s="12" t="s">
        <v>67</v>
      </c>
      <c r="P789" s="20"/>
    </row>
    <row r="790" spans="1:16" ht="55" customHeight="1">
      <c r="A790" s="180">
        <v>195</v>
      </c>
      <c r="B790" s="58" t="s">
        <v>4909</v>
      </c>
      <c r="C790" s="12" t="s">
        <v>4915</v>
      </c>
      <c r="D790" s="12" t="s">
        <v>2430</v>
      </c>
      <c r="E790" s="12" t="s">
        <v>4907</v>
      </c>
      <c r="F790" s="24" t="s">
        <v>4939</v>
      </c>
      <c r="G790" s="24" t="s">
        <v>4367</v>
      </c>
      <c r="H790" s="24" t="s">
        <v>4365</v>
      </c>
      <c r="I790" s="22">
        <v>-5.9487895999999996</v>
      </c>
      <c r="J790" s="22">
        <v>36.186901400000004</v>
      </c>
      <c r="K790" s="83">
        <f>4863/100</f>
        <v>48.63</v>
      </c>
      <c r="L790" s="24">
        <v>1988</v>
      </c>
      <c r="M790" s="12">
        <v>2000</v>
      </c>
      <c r="N790" s="80" t="s">
        <v>2308</v>
      </c>
      <c r="O790" s="12" t="s">
        <v>67</v>
      </c>
      <c r="P790" s="20"/>
    </row>
    <row r="791" spans="1:16" ht="55" customHeight="1">
      <c r="A791" s="180">
        <v>195</v>
      </c>
      <c r="B791" s="58" t="s">
        <v>4909</v>
      </c>
      <c r="C791" s="12" t="s">
        <v>4916</v>
      </c>
      <c r="D791" s="12" t="s">
        <v>2430</v>
      </c>
      <c r="E791" s="12" t="s">
        <v>4907</v>
      </c>
      <c r="F791" s="24" t="s">
        <v>4940</v>
      </c>
      <c r="G791" s="24" t="s">
        <v>4367</v>
      </c>
      <c r="H791" s="24" t="s">
        <v>4365</v>
      </c>
      <c r="I791" s="22">
        <v>-5.5894766999999996</v>
      </c>
      <c r="J791" s="22">
        <v>36.013178799999999</v>
      </c>
      <c r="K791" s="83">
        <f>18931/100</f>
        <v>189.31</v>
      </c>
      <c r="L791" s="24">
        <v>1988</v>
      </c>
      <c r="M791" s="12">
        <v>2000</v>
      </c>
      <c r="N791" s="80" t="s">
        <v>2308</v>
      </c>
      <c r="O791" s="12" t="s">
        <v>67</v>
      </c>
      <c r="P791" s="20"/>
    </row>
    <row r="792" spans="1:16" ht="55" customHeight="1">
      <c r="A792" s="180">
        <v>195</v>
      </c>
      <c r="B792" s="58" t="s">
        <v>4909</v>
      </c>
      <c r="C792" s="12" t="s">
        <v>4917</v>
      </c>
      <c r="D792" s="12" t="s">
        <v>2430</v>
      </c>
      <c r="E792" s="12" t="s">
        <v>4907</v>
      </c>
      <c r="F792" s="12" t="s">
        <v>4941</v>
      </c>
      <c r="G792" s="12" t="s">
        <v>4367</v>
      </c>
      <c r="H792" s="12" t="s">
        <v>4365</v>
      </c>
      <c r="I792" s="22">
        <v>-4.2739966999999996</v>
      </c>
      <c r="J792" s="22">
        <v>38.198005999999999</v>
      </c>
      <c r="K792" s="80">
        <f>38449/100</f>
        <v>384.49</v>
      </c>
      <c r="L792" s="12">
        <v>1988</v>
      </c>
      <c r="M792" s="12">
        <v>2000</v>
      </c>
      <c r="N792" s="80" t="s">
        <v>2308</v>
      </c>
      <c r="O792" s="12" t="s">
        <v>67</v>
      </c>
      <c r="P792" s="20"/>
    </row>
    <row r="793" spans="1:16" ht="55" customHeight="1">
      <c r="A793" s="180">
        <v>195</v>
      </c>
      <c r="B793" s="58" t="s">
        <v>4909</v>
      </c>
      <c r="C793" s="12" t="s">
        <v>4918</v>
      </c>
      <c r="D793" s="12" t="s">
        <v>2430</v>
      </c>
      <c r="E793" s="12" t="s">
        <v>4907</v>
      </c>
      <c r="F793" s="12" t="s">
        <v>4942</v>
      </c>
      <c r="G793" s="12" t="s">
        <v>4367</v>
      </c>
      <c r="H793" s="12" t="s">
        <v>4365</v>
      </c>
      <c r="I793" s="22">
        <v>-5.2688879999999996</v>
      </c>
      <c r="J793" s="22">
        <v>37.9029746</v>
      </c>
      <c r="K793" s="80">
        <f>60042/100</f>
        <v>600.41999999999996</v>
      </c>
      <c r="L793" s="12">
        <v>1988</v>
      </c>
      <c r="M793" s="12">
        <v>2000</v>
      </c>
      <c r="N793" s="80" t="s">
        <v>2308</v>
      </c>
      <c r="O793" s="12" t="s">
        <v>67</v>
      </c>
      <c r="P793" s="20"/>
    </row>
    <row r="794" spans="1:16" ht="55" customHeight="1">
      <c r="A794" s="180">
        <v>195</v>
      </c>
      <c r="B794" s="58" t="s">
        <v>4909</v>
      </c>
      <c r="C794" s="12" t="s">
        <v>4919</v>
      </c>
      <c r="D794" s="12" t="s">
        <v>2430</v>
      </c>
      <c r="E794" s="12" t="s">
        <v>4907</v>
      </c>
      <c r="F794" s="12" t="s">
        <v>4943</v>
      </c>
      <c r="G794" s="12" t="s">
        <v>4367</v>
      </c>
      <c r="H794" s="12" t="s">
        <v>4365</v>
      </c>
      <c r="I794" s="22">
        <v>-4.3359635000000001</v>
      </c>
      <c r="J794" s="22">
        <v>37.452826100000003</v>
      </c>
      <c r="K794" s="80">
        <f>32056/100</f>
        <v>320.56</v>
      </c>
      <c r="L794" s="12">
        <v>1988</v>
      </c>
      <c r="M794" s="12">
        <v>2000</v>
      </c>
      <c r="N794" s="80" t="s">
        <v>2308</v>
      </c>
      <c r="O794" s="12" t="s">
        <v>67</v>
      </c>
      <c r="P794" s="20"/>
    </row>
    <row r="795" spans="1:16" ht="55" customHeight="1">
      <c r="A795" s="180">
        <v>195</v>
      </c>
      <c r="B795" s="58" t="s">
        <v>4909</v>
      </c>
      <c r="C795" s="12" t="s">
        <v>4920</v>
      </c>
      <c r="D795" s="12" t="s">
        <v>2430</v>
      </c>
      <c r="E795" s="12" t="s">
        <v>4907</v>
      </c>
      <c r="F795" s="12" t="s">
        <v>4944</v>
      </c>
      <c r="G795" s="12" t="s">
        <v>4367</v>
      </c>
      <c r="H795" s="12" t="s">
        <v>4365</v>
      </c>
      <c r="I795" s="22">
        <v>-3.1620577999999999</v>
      </c>
      <c r="J795" s="22">
        <v>37.092430700000001</v>
      </c>
      <c r="K795" s="80">
        <f>86208/100</f>
        <v>862.08</v>
      </c>
      <c r="L795" s="12">
        <v>1988</v>
      </c>
      <c r="M795" s="12">
        <v>2000</v>
      </c>
      <c r="N795" s="80" t="s">
        <v>2308</v>
      </c>
      <c r="O795" s="12" t="s">
        <v>67</v>
      </c>
      <c r="P795" s="20"/>
    </row>
    <row r="796" spans="1:16" ht="55" customHeight="1">
      <c r="A796" s="180">
        <v>195</v>
      </c>
      <c r="B796" s="58" t="s">
        <v>4909</v>
      </c>
      <c r="C796" s="12" t="s">
        <v>4921</v>
      </c>
      <c r="D796" s="12" t="s">
        <v>2430</v>
      </c>
      <c r="E796" s="12" t="s">
        <v>4907</v>
      </c>
      <c r="F796" s="12" t="s">
        <v>4945</v>
      </c>
      <c r="G796" s="12" t="s">
        <v>4367</v>
      </c>
      <c r="H796" s="12" t="s">
        <v>4365</v>
      </c>
      <c r="I796" s="22">
        <v>-2.7488888999999999</v>
      </c>
      <c r="J796" s="22">
        <v>37.252222199999999</v>
      </c>
      <c r="K796" s="80">
        <f>53649/100</f>
        <v>536.49</v>
      </c>
      <c r="L796" s="12">
        <v>1988</v>
      </c>
      <c r="M796" s="12">
        <v>2000</v>
      </c>
      <c r="N796" s="80" t="s">
        <v>2308</v>
      </c>
      <c r="O796" s="12" t="s">
        <v>67</v>
      </c>
      <c r="P796" s="20"/>
    </row>
    <row r="797" spans="1:16" ht="55" customHeight="1">
      <c r="A797" s="180">
        <v>195</v>
      </c>
      <c r="B797" s="58" t="s">
        <v>4909</v>
      </c>
      <c r="C797" s="12" t="s">
        <v>4922</v>
      </c>
      <c r="D797" s="12" t="s">
        <v>2430</v>
      </c>
      <c r="E797" s="12" t="s">
        <v>4907</v>
      </c>
      <c r="F797" s="12" t="s">
        <v>4946</v>
      </c>
      <c r="G797" s="12" t="s">
        <v>4367</v>
      </c>
      <c r="H797" s="12" t="s">
        <v>4365</v>
      </c>
      <c r="I797" s="22">
        <v>-2.7580700999999999</v>
      </c>
      <c r="J797" s="22">
        <v>37.882684699999999</v>
      </c>
      <c r="K797" s="80">
        <f>12300/100</f>
        <v>123</v>
      </c>
      <c r="L797" s="12">
        <v>1988</v>
      </c>
      <c r="M797" s="12">
        <v>2000</v>
      </c>
      <c r="N797" s="80" t="s">
        <v>2308</v>
      </c>
      <c r="O797" s="12" t="s">
        <v>67</v>
      </c>
      <c r="P797" s="20"/>
    </row>
    <row r="798" spans="1:16" ht="55" customHeight="1">
      <c r="A798" s="180">
        <v>195</v>
      </c>
      <c r="B798" s="58" t="s">
        <v>4909</v>
      </c>
      <c r="C798" s="12" t="s">
        <v>4923</v>
      </c>
      <c r="D798" s="12" t="s">
        <v>2430</v>
      </c>
      <c r="E798" s="12" t="s">
        <v>4907</v>
      </c>
      <c r="F798" s="12" t="s">
        <v>4947</v>
      </c>
      <c r="G798" s="12" t="s">
        <v>4367</v>
      </c>
      <c r="H798" s="12" t="s">
        <v>4365</v>
      </c>
      <c r="I798" s="22">
        <v>-3.4884496</v>
      </c>
      <c r="J798" s="22">
        <v>37.253073399999998</v>
      </c>
      <c r="K798" s="80">
        <f>12128/100</f>
        <v>121.28</v>
      </c>
      <c r="L798" s="12">
        <v>1988</v>
      </c>
      <c r="M798" s="12">
        <v>2000</v>
      </c>
      <c r="N798" s="80" t="s">
        <v>2308</v>
      </c>
      <c r="O798" s="12" t="s">
        <v>67</v>
      </c>
      <c r="P798" s="20"/>
    </row>
    <row r="799" spans="1:16" ht="55" customHeight="1">
      <c r="A799" s="180">
        <v>195</v>
      </c>
      <c r="B799" s="58" t="s">
        <v>4909</v>
      </c>
      <c r="C799" s="12" t="s">
        <v>4924</v>
      </c>
      <c r="D799" s="12" t="s">
        <v>2430</v>
      </c>
      <c r="E799" s="12" t="s">
        <v>4907</v>
      </c>
      <c r="F799" s="12" t="s">
        <v>4949</v>
      </c>
      <c r="G799" s="12" t="s">
        <v>4367</v>
      </c>
      <c r="H799" s="12" t="s">
        <v>4365</v>
      </c>
      <c r="I799" s="22">
        <v>-6.4344466999999996</v>
      </c>
      <c r="J799" s="22">
        <v>37.0427289</v>
      </c>
      <c r="K799" s="80">
        <v>1300</v>
      </c>
      <c r="L799" s="12">
        <v>1988</v>
      </c>
      <c r="M799" s="12">
        <v>2000</v>
      </c>
      <c r="N799" s="80" t="s">
        <v>2308</v>
      </c>
      <c r="O799" s="12" t="s">
        <v>67</v>
      </c>
      <c r="P799" s="20"/>
    </row>
    <row r="800" spans="1:16" ht="55" customHeight="1">
      <c r="A800" s="180">
        <v>195</v>
      </c>
      <c r="B800" s="58" t="s">
        <v>4909</v>
      </c>
      <c r="C800" s="12" t="s">
        <v>4925</v>
      </c>
      <c r="D800" s="12" t="s">
        <v>2430</v>
      </c>
      <c r="E800" s="12" t="s">
        <v>4907</v>
      </c>
      <c r="F800" s="12" t="s">
        <v>4950</v>
      </c>
      <c r="G800" s="12" t="s">
        <v>4367</v>
      </c>
      <c r="H800" s="12" t="s">
        <v>4365</v>
      </c>
      <c r="I800" s="22">
        <v>-6.8333332999999996</v>
      </c>
      <c r="J800" s="22">
        <v>37.933333300000001</v>
      </c>
      <c r="K800" s="80">
        <f>184000/100</f>
        <v>1840</v>
      </c>
      <c r="L800" s="12">
        <v>1988</v>
      </c>
      <c r="M800" s="12">
        <v>2000</v>
      </c>
      <c r="N800" s="80" t="s">
        <v>2308</v>
      </c>
      <c r="O800" s="12" t="s">
        <v>67</v>
      </c>
      <c r="P800" s="20"/>
    </row>
    <row r="801" spans="1:16" ht="55" customHeight="1">
      <c r="A801" s="180">
        <v>195</v>
      </c>
      <c r="B801" s="58" t="s">
        <v>4909</v>
      </c>
      <c r="C801" s="12" t="s">
        <v>4926</v>
      </c>
      <c r="D801" s="12" t="s">
        <v>2430</v>
      </c>
      <c r="E801" s="12" t="s">
        <v>4907</v>
      </c>
      <c r="F801" s="12" t="s">
        <v>4951</v>
      </c>
      <c r="G801" s="12" t="s">
        <v>4367</v>
      </c>
      <c r="H801" s="12" t="s">
        <v>4365</v>
      </c>
      <c r="I801" s="22">
        <v>-3.561026</v>
      </c>
      <c r="J801" s="22">
        <v>38.410043199999997</v>
      </c>
      <c r="K801" s="80">
        <f>7649/100</f>
        <v>76.489999999999995</v>
      </c>
      <c r="L801" s="12">
        <v>1988</v>
      </c>
      <c r="M801" s="12">
        <v>2000</v>
      </c>
      <c r="N801" s="80" t="s">
        <v>2308</v>
      </c>
      <c r="O801" s="12" t="s">
        <v>67</v>
      </c>
      <c r="P801" s="20"/>
    </row>
    <row r="802" spans="1:16" ht="55" customHeight="1">
      <c r="A802" s="180">
        <v>195</v>
      </c>
      <c r="B802" s="58" t="s">
        <v>4909</v>
      </c>
      <c r="C802" s="12" t="s">
        <v>4927</v>
      </c>
      <c r="D802" s="12" t="s">
        <v>2430</v>
      </c>
      <c r="E802" s="12" t="s">
        <v>4907</v>
      </c>
      <c r="F802" s="12" t="s">
        <v>4952</v>
      </c>
      <c r="G802" s="12" t="s">
        <v>4367</v>
      </c>
      <c r="H802" s="12" t="s">
        <v>4365</v>
      </c>
      <c r="I802" s="22">
        <v>-4.0286780000000002</v>
      </c>
      <c r="J802" s="22">
        <v>38.2897569</v>
      </c>
      <c r="K802" s="80">
        <f>74774/100</f>
        <v>747.74</v>
      </c>
      <c r="L802" s="12">
        <v>1988</v>
      </c>
      <c r="M802" s="12">
        <v>2000</v>
      </c>
      <c r="N802" s="80" t="s">
        <v>2308</v>
      </c>
      <c r="O802" s="12" t="s">
        <v>67</v>
      </c>
      <c r="P802" s="20"/>
    </row>
    <row r="803" spans="1:16" ht="55" customHeight="1">
      <c r="A803" s="180">
        <v>195</v>
      </c>
      <c r="B803" s="58" t="s">
        <v>4909</v>
      </c>
      <c r="C803" s="12" t="s">
        <v>4928</v>
      </c>
      <c r="D803" s="12" t="s">
        <v>2430</v>
      </c>
      <c r="E803" s="12" t="s">
        <v>4907</v>
      </c>
      <c r="F803" s="20" t="s">
        <v>4953</v>
      </c>
      <c r="G803" s="12" t="s">
        <v>4367</v>
      </c>
      <c r="H803" s="12" t="s">
        <v>4365</v>
      </c>
      <c r="I803" s="22">
        <v>-2.7381671999999999</v>
      </c>
      <c r="J803" s="22">
        <v>38.158175999999997</v>
      </c>
      <c r="K803" s="80">
        <f>209920/100</f>
        <v>2099.1999999999998</v>
      </c>
      <c r="L803" s="12">
        <v>1988</v>
      </c>
      <c r="M803" s="12">
        <v>2000</v>
      </c>
      <c r="N803" s="80" t="s">
        <v>2308</v>
      </c>
      <c r="O803" s="12" t="s">
        <v>67</v>
      </c>
      <c r="P803" s="20"/>
    </row>
    <row r="804" spans="1:16" ht="55" customHeight="1">
      <c r="A804" s="180">
        <v>195</v>
      </c>
      <c r="B804" s="58" t="s">
        <v>4909</v>
      </c>
      <c r="C804" s="12" t="s">
        <v>4929</v>
      </c>
      <c r="D804" s="12" t="s">
        <v>2430</v>
      </c>
      <c r="E804" s="12" t="s">
        <v>4907</v>
      </c>
      <c r="F804" s="12" t="s">
        <v>4954</v>
      </c>
      <c r="G804" s="12" t="s">
        <v>4367</v>
      </c>
      <c r="H804" s="12" t="s">
        <v>4365</v>
      </c>
      <c r="I804" s="22">
        <v>-3.4291667000000001</v>
      </c>
      <c r="J804" s="22">
        <v>37.745833300000001</v>
      </c>
      <c r="K804" s="80">
        <f>19000/100</f>
        <v>190</v>
      </c>
      <c r="L804" s="12">
        <v>1988</v>
      </c>
      <c r="M804" s="12">
        <v>2000</v>
      </c>
      <c r="N804" s="80" t="s">
        <v>2308</v>
      </c>
      <c r="O804" s="12" t="s">
        <v>67</v>
      </c>
      <c r="P804" s="20"/>
    </row>
    <row r="805" spans="1:16" ht="55" customHeight="1">
      <c r="A805" s="180">
        <v>195</v>
      </c>
      <c r="B805" s="58" t="s">
        <v>4909</v>
      </c>
      <c r="C805" s="12" t="s">
        <v>4930</v>
      </c>
      <c r="D805" s="12" t="s">
        <v>2430</v>
      </c>
      <c r="E805" s="12" t="s">
        <v>4907</v>
      </c>
      <c r="F805" s="12" t="s">
        <v>4955</v>
      </c>
      <c r="G805" s="12" t="s">
        <v>4367</v>
      </c>
      <c r="H805" s="12" t="s">
        <v>4365</v>
      </c>
      <c r="I805" s="22">
        <v>-4.3667907000000001</v>
      </c>
      <c r="J805" s="22">
        <v>36.841895800000003</v>
      </c>
      <c r="K805" s="80">
        <f>4996/100</f>
        <v>49.96</v>
      </c>
      <c r="L805" s="12">
        <v>1988</v>
      </c>
      <c r="M805" s="12">
        <v>2000</v>
      </c>
      <c r="N805" s="80" t="s">
        <v>2308</v>
      </c>
      <c r="O805" s="12" t="s">
        <v>67</v>
      </c>
      <c r="P805" s="20"/>
    </row>
    <row r="806" spans="1:16" ht="55" customHeight="1">
      <c r="A806" s="180">
        <v>195</v>
      </c>
      <c r="B806" s="58" t="s">
        <v>4909</v>
      </c>
      <c r="C806" s="12" t="s">
        <v>4931</v>
      </c>
      <c r="D806" s="12" t="s">
        <v>2430</v>
      </c>
      <c r="E806" s="12" t="s">
        <v>4907</v>
      </c>
      <c r="F806" s="20" t="s">
        <v>4956</v>
      </c>
      <c r="G806" s="12" t="s">
        <v>4367</v>
      </c>
      <c r="H806" s="12" t="s">
        <v>4365</v>
      </c>
      <c r="I806" s="22">
        <v>-3.8652695000000001</v>
      </c>
      <c r="J806" s="22">
        <v>36.847572800000002</v>
      </c>
      <c r="K806" s="80">
        <f>40663/100</f>
        <v>406.63</v>
      </c>
      <c r="L806" s="12">
        <v>1988</v>
      </c>
      <c r="M806" s="12">
        <v>2000</v>
      </c>
      <c r="N806" s="80" t="s">
        <v>2308</v>
      </c>
      <c r="O806" s="12" t="s">
        <v>67</v>
      </c>
      <c r="P806" s="20"/>
    </row>
    <row r="807" spans="1:16" ht="55" customHeight="1">
      <c r="A807" s="180">
        <v>195</v>
      </c>
      <c r="B807" s="58" t="s">
        <v>4909</v>
      </c>
      <c r="C807" s="12" t="s">
        <v>4932</v>
      </c>
      <c r="D807" s="12" t="s">
        <v>2430</v>
      </c>
      <c r="E807" s="12" t="s">
        <v>4907</v>
      </c>
      <c r="F807" s="12" t="s">
        <v>4957</v>
      </c>
      <c r="G807" s="12" t="s">
        <v>4367</v>
      </c>
      <c r="H807" s="12" t="s">
        <v>4365</v>
      </c>
      <c r="I807" s="22">
        <v>-4.9350928999999999</v>
      </c>
      <c r="J807" s="22">
        <v>36.722982799999997</v>
      </c>
      <c r="K807" s="80">
        <f>18530/100</f>
        <v>185.3</v>
      </c>
      <c r="L807" s="12">
        <v>1988</v>
      </c>
      <c r="M807" s="12">
        <v>2000</v>
      </c>
      <c r="N807" s="80" t="s">
        <v>2308</v>
      </c>
      <c r="O807" s="12" t="s">
        <v>67</v>
      </c>
      <c r="P807" s="20"/>
    </row>
    <row r="808" spans="1:16" ht="55" customHeight="1">
      <c r="A808" s="180">
        <v>195</v>
      </c>
      <c r="B808" s="58" t="s">
        <v>4909</v>
      </c>
      <c r="C808" s="12" t="s">
        <v>4933</v>
      </c>
      <c r="D808" s="12" t="s">
        <v>2430</v>
      </c>
      <c r="E808" s="12" t="s">
        <v>4907</v>
      </c>
      <c r="F808" s="12" t="s">
        <v>4958</v>
      </c>
      <c r="G808" s="12" t="s">
        <v>4367</v>
      </c>
      <c r="H808" s="12" t="s">
        <v>4365</v>
      </c>
      <c r="I808" s="22">
        <v>-5.8142885</v>
      </c>
      <c r="J808" s="22">
        <v>37.919785300000001</v>
      </c>
      <c r="K808" s="80">
        <f>177484/100</f>
        <v>1774.84</v>
      </c>
      <c r="L808" s="12">
        <v>1988</v>
      </c>
      <c r="M808" s="12">
        <v>2000</v>
      </c>
      <c r="N808" s="80" t="s">
        <v>2308</v>
      </c>
      <c r="O808" s="12" t="s">
        <v>67</v>
      </c>
      <c r="P808" s="20"/>
    </row>
    <row r="809" spans="1:16" ht="43.5" customHeight="1">
      <c r="A809" s="180">
        <v>196</v>
      </c>
      <c r="B809" s="41" t="s">
        <v>4984</v>
      </c>
      <c r="C809" s="12" t="s">
        <v>4985</v>
      </c>
      <c r="D809" s="12" t="s">
        <v>2430</v>
      </c>
      <c r="E809" s="12" t="s">
        <v>2431</v>
      </c>
      <c r="F809" s="4" t="s">
        <v>4988</v>
      </c>
      <c r="G809" s="4" t="s">
        <v>4987</v>
      </c>
      <c r="H809" s="4" t="s">
        <v>4986</v>
      </c>
      <c r="I809" s="22">
        <v>31.64686</v>
      </c>
      <c r="J809" s="22">
        <v>-6.4636088000000003</v>
      </c>
      <c r="K809" s="22" t="s">
        <v>2308</v>
      </c>
      <c r="L809" s="4">
        <v>2004</v>
      </c>
      <c r="M809" s="4">
        <v>2009</v>
      </c>
      <c r="N809" s="22" t="s">
        <v>2308</v>
      </c>
      <c r="O809" s="4" t="s">
        <v>2674</v>
      </c>
      <c r="P809" s="4" t="s">
        <v>4990</v>
      </c>
    </row>
    <row r="810" spans="1:16" ht="41.5" customHeight="1">
      <c r="A810" s="180">
        <v>196</v>
      </c>
      <c r="B810" s="41" t="s">
        <v>4984</v>
      </c>
      <c r="C810" s="12" t="s">
        <v>4989</v>
      </c>
      <c r="D810" s="12" t="s">
        <v>2430</v>
      </c>
      <c r="E810" s="12" t="s">
        <v>2431</v>
      </c>
      <c r="F810" s="4" t="s">
        <v>4992</v>
      </c>
      <c r="G810" s="4" t="s">
        <v>4991</v>
      </c>
      <c r="H810" s="4" t="s">
        <v>4986</v>
      </c>
      <c r="I810" s="22">
        <v>31.213474099999999</v>
      </c>
      <c r="J810" s="22">
        <v>-9.5471030999999993</v>
      </c>
      <c r="K810" s="22" t="s">
        <v>2308</v>
      </c>
      <c r="L810" s="4">
        <v>2004</v>
      </c>
      <c r="M810" s="4">
        <v>2009</v>
      </c>
      <c r="N810" s="22" t="s">
        <v>2308</v>
      </c>
      <c r="O810" s="4" t="s">
        <v>2674</v>
      </c>
      <c r="P810" s="4" t="s">
        <v>4990</v>
      </c>
    </row>
    <row r="811" spans="1:16" ht="39" customHeight="1">
      <c r="A811" s="180">
        <v>197</v>
      </c>
      <c r="B811" s="41" t="s">
        <v>5018</v>
      </c>
      <c r="C811" s="12" t="s">
        <v>4999</v>
      </c>
      <c r="D811" s="12" t="s">
        <v>2430</v>
      </c>
      <c r="E811" s="12" t="s">
        <v>4907</v>
      </c>
      <c r="F811" s="4" t="s">
        <v>2308</v>
      </c>
      <c r="G811" s="4" t="s">
        <v>5001</v>
      </c>
      <c r="H811" s="4" t="s">
        <v>5002</v>
      </c>
      <c r="I811" s="22">
        <v>40.061622800000002</v>
      </c>
      <c r="J811" s="22">
        <v>8.9789212000000003</v>
      </c>
      <c r="K811" s="22">
        <f>2346169/100</f>
        <v>23461.69</v>
      </c>
      <c r="L811" s="12">
        <v>2000</v>
      </c>
      <c r="M811" s="12">
        <v>2004</v>
      </c>
      <c r="N811" s="22" t="s">
        <v>2308</v>
      </c>
      <c r="O811" s="12" t="s">
        <v>67</v>
      </c>
      <c r="P811" s="4" t="s">
        <v>5000</v>
      </c>
    </row>
    <row r="812" spans="1:16" ht="31.5" customHeight="1">
      <c r="A812" s="180">
        <v>198</v>
      </c>
      <c r="B812" s="41" t="s">
        <v>5019</v>
      </c>
      <c r="C812" s="12" t="s">
        <v>5020</v>
      </c>
      <c r="D812" s="4" t="s">
        <v>2666</v>
      </c>
      <c r="E812" s="4" t="s">
        <v>2669</v>
      </c>
      <c r="F812" s="4" t="s">
        <v>2308</v>
      </c>
      <c r="G812" s="4" t="s">
        <v>5021</v>
      </c>
      <c r="H812" s="4" t="s">
        <v>1973</v>
      </c>
      <c r="I812" s="22">
        <v>7.5135350000000001</v>
      </c>
      <c r="J812" s="22">
        <v>44.339283000000002</v>
      </c>
      <c r="K812" s="22" t="s">
        <v>2308</v>
      </c>
      <c r="L812" s="4">
        <v>2002</v>
      </c>
      <c r="M812" s="4">
        <v>2009</v>
      </c>
      <c r="N812" s="22" t="s">
        <v>2308</v>
      </c>
      <c r="O812" s="12" t="s">
        <v>67</v>
      </c>
      <c r="P812" s="4"/>
    </row>
    <row r="813" spans="1:16" ht="36.5" customHeight="1">
      <c r="A813" s="180">
        <v>198</v>
      </c>
      <c r="B813" s="41" t="s">
        <v>5019</v>
      </c>
      <c r="C813" s="12" t="s">
        <v>5024</v>
      </c>
      <c r="D813" s="4" t="s">
        <v>2666</v>
      </c>
      <c r="E813" s="4" t="s">
        <v>2669</v>
      </c>
      <c r="F813" s="4" t="s">
        <v>2308</v>
      </c>
      <c r="G813" s="4" t="s">
        <v>5025</v>
      </c>
      <c r="H813" s="4" t="s">
        <v>1973</v>
      </c>
      <c r="I813" s="22">
        <v>4.8210772999999998</v>
      </c>
      <c r="J813" s="22">
        <v>39.848957800000001</v>
      </c>
      <c r="K813" s="22" t="s">
        <v>2308</v>
      </c>
      <c r="L813" s="4">
        <v>2002</v>
      </c>
      <c r="M813" s="4">
        <v>2009</v>
      </c>
      <c r="N813" s="22" t="s">
        <v>2308</v>
      </c>
      <c r="O813" s="12" t="s">
        <v>67</v>
      </c>
      <c r="P813" s="4" t="s">
        <v>4714</v>
      </c>
    </row>
    <row r="814" spans="1:16" ht="41.5" customHeight="1">
      <c r="A814" s="180">
        <v>198</v>
      </c>
      <c r="B814" s="41" t="s">
        <v>5019</v>
      </c>
      <c r="C814" s="12" t="s">
        <v>5030</v>
      </c>
      <c r="D814" s="4" t="s">
        <v>2666</v>
      </c>
      <c r="E814" s="4" t="s">
        <v>2669</v>
      </c>
      <c r="F814" s="4" t="s">
        <v>2308</v>
      </c>
      <c r="G814" s="12" t="s">
        <v>5029</v>
      </c>
      <c r="H814" s="12" t="s">
        <v>3625</v>
      </c>
      <c r="I814" s="22">
        <v>2.8156618999999998</v>
      </c>
      <c r="J814" s="22">
        <v>34.278856599999997</v>
      </c>
      <c r="K814" s="22" t="s">
        <v>2308</v>
      </c>
      <c r="L814" s="4">
        <v>2001</v>
      </c>
      <c r="M814" s="4">
        <v>2011</v>
      </c>
      <c r="N814" s="22" t="s">
        <v>2308</v>
      </c>
      <c r="O814" s="12" t="s">
        <v>67</v>
      </c>
      <c r="P814" s="4"/>
    </row>
    <row r="815" spans="1:16" ht="40.5" customHeight="1">
      <c r="A815" s="180">
        <v>198</v>
      </c>
      <c r="B815" s="41" t="s">
        <v>5019</v>
      </c>
      <c r="C815" s="12" t="s">
        <v>5032</v>
      </c>
      <c r="D815" s="4" t="s">
        <v>2666</v>
      </c>
      <c r="E815" s="4" t="s">
        <v>2669</v>
      </c>
      <c r="F815" s="4" t="s">
        <v>2308</v>
      </c>
      <c r="G815" s="4" t="s">
        <v>5034</v>
      </c>
      <c r="H815" s="12" t="s">
        <v>5033</v>
      </c>
      <c r="I815" s="22">
        <v>9.2034134000000005</v>
      </c>
      <c r="J815" s="22">
        <v>29.936733499999999</v>
      </c>
      <c r="K815" s="22" t="s">
        <v>2308</v>
      </c>
      <c r="L815" s="12">
        <v>2002</v>
      </c>
      <c r="M815" s="12">
        <v>2013</v>
      </c>
      <c r="N815" s="22" t="s">
        <v>2308</v>
      </c>
      <c r="O815" s="12" t="s">
        <v>67</v>
      </c>
      <c r="P815" s="4"/>
    </row>
    <row r="816" spans="1:16" ht="42" customHeight="1">
      <c r="A816" s="180">
        <v>198</v>
      </c>
      <c r="B816" s="41" t="s">
        <v>5019</v>
      </c>
      <c r="C816" s="12" t="s">
        <v>5036</v>
      </c>
      <c r="D816" s="4" t="s">
        <v>2666</v>
      </c>
      <c r="E816" s="4" t="s">
        <v>2669</v>
      </c>
      <c r="F816" s="4" t="s">
        <v>2308</v>
      </c>
      <c r="G816" s="4" t="s">
        <v>5034</v>
      </c>
      <c r="H816" s="12" t="s">
        <v>5033</v>
      </c>
      <c r="I816" s="22">
        <v>10.6282593</v>
      </c>
      <c r="J816" s="22">
        <v>41.107728299999998</v>
      </c>
      <c r="K816" s="22" t="s">
        <v>2308</v>
      </c>
      <c r="L816" s="12">
        <v>2002</v>
      </c>
      <c r="M816" s="12">
        <v>2013</v>
      </c>
      <c r="N816" s="22" t="s">
        <v>2308</v>
      </c>
      <c r="O816" s="12" t="s">
        <v>67</v>
      </c>
      <c r="P816" s="4"/>
    </row>
    <row r="817" spans="1:16" ht="48.5" customHeight="1">
      <c r="A817" s="180">
        <v>199</v>
      </c>
      <c r="B817" s="41" t="s">
        <v>5039</v>
      </c>
      <c r="C817" s="12" t="s">
        <v>5037</v>
      </c>
      <c r="D817" s="4" t="s">
        <v>2430</v>
      </c>
      <c r="E817" s="4" t="s">
        <v>2455</v>
      </c>
      <c r="F817" s="12" t="s">
        <v>5041</v>
      </c>
      <c r="G817" s="12" t="s">
        <v>5040</v>
      </c>
      <c r="H817" s="12" t="s">
        <v>1971</v>
      </c>
      <c r="I817" s="22">
        <v>-25.25</v>
      </c>
      <c r="J817" s="22">
        <v>21.75</v>
      </c>
      <c r="K817" s="22" t="s">
        <v>2308</v>
      </c>
      <c r="L817" s="4">
        <v>1976</v>
      </c>
      <c r="M817" s="174">
        <v>2004</v>
      </c>
      <c r="N817" s="22" t="s">
        <v>2308</v>
      </c>
      <c r="O817" s="12" t="s">
        <v>67</v>
      </c>
      <c r="P817" s="5" t="s">
        <v>5042</v>
      </c>
    </row>
    <row r="818" spans="1:16" ht="43" customHeight="1">
      <c r="A818" s="180">
        <v>200</v>
      </c>
      <c r="B818" s="42" t="s">
        <v>5053</v>
      </c>
      <c r="C818" s="12" t="s">
        <v>5054</v>
      </c>
      <c r="D818" s="4" t="s">
        <v>2449</v>
      </c>
      <c r="E818" s="4" t="s">
        <v>2431</v>
      </c>
      <c r="F818" s="65" t="s">
        <v>5055</v>
      </c>
      <c r="G818" s="4" t="s">
        <v>2308</v>
      </c>
      <c r="H818" s="12" t="s">
        <v>3767</v>
      </c>
      <c r="I818" s="22">
        <v>-20.514149499999998</v>
      </c>
      <c r="J818" s="22">
        <v>20</v>
      </c>
      <c r="K818" s="22" t="s">
        <v>2308</v>
      </c>
      <c r="L818" s="12">
        <v>1994</v>
      </c>
      <c r="M818" s="12">
        <v>1994</v>
      </c>
      <c r="N818" s="22" t="s">
        <v>2308</v>
      </c>
      <c r="O818" s="12" t="s">
        <v>67</v>
      </c>
      <c r="P818" s="5" t="s">
        <v>5056</v>
      </c>
    </row>
    <row r="819" spans="1:16">
      <c r="G819" s="6"/>
    </row>
  </sheetData>
  <phoneticPr fontId="6" type="noConversion"/>
  <dataValidations xWindow="1531" yWindow="702" count="11">
    <dataValidation allowBlank="1" showInputMessage="1" showErrorMessage="1" prompt="Study ID + letter denoting case study: 1a, 1b, 1c etc." sqref="C1:C2 C4:C545 B626 C552:C1048576" xr:uid="{9374E2CD-94D9-4A92-AD82-9461014E3E97}"/>
    <dataValidation allowBlank="1" showInputMessage="1" showErrorMessage="1" prompt="Study ID + letter denoting each unique reported case study: 1a, 1b, 1c etc." sqref="C3" xr:uid="{A0907F1C-FDA1-414F-8A94-99247AB45F0F}"/>
    <dataValidation allowBlank="1" showInputMessage="1" showErrorMessage="1" prompt="Smallest geographic unit reported for each case study location" sqref="G186 G230:G231 G227 G224 G220:G221 G212 G206:G207 G199:G202 G197 G194:G195 G192 G189:G190 G530:G533 F1:F537 N546:N553 K546:K553 G552:G553 G558:G561 K555:K560 N556:N563 G568:G582 F543:F622 F624:F625 F627:F636 F639:F646 F648:F653 F654:G661 G701:G716 G699 G726 F662:F727 G732:G737 L732 F731:F743 G766:G767 F749:F765 G774:G777 F768:F773 F778:F782 F787:F1048576 G818:G819" xr:uid="{0517056B-BACE-49C5-86F9-A4F8A34D582B}"/>
    <dataValidation allowBlank="1" showInputMessage="1" showErrorMessage="1" prompt="Study region or district - should be smallest geographic unit that covers all study case studies. " sqref="G228:G229 G225:G226 G222:G223 G213:G219 G208:G211 G203:G205 G198 G196 G193 G191 G187:G188 G1:G185 G232:G529 G534:G551 G554:G557 G562:G567 F623 F626 F637:F638 F647 G778:G817 G662:G670 G672:G698 G700 G717:G721 G723:G725 F728:F730 M732 G727:G731 G738:G765 F766:F767 F774:F777 G768:G773 F783:F784 G820:G1048576 G583:G653" xr:uid="{47FB08EF-D038-4D63-B609-A6E5D6502394}"/>
    <dataValidation type="decimal" allowBlank="1" showInputMessage="1" showErrorMessage="1" prompt="Decimal degrees_x000a_" sqref="I394:I397 I1:I101 I103:I128 I132:I392 J551 J557 J589 I402:I601 I603:I604 I606:I622 I624:I625 I627:I636 J784 I639:I1048576" xr:uid="{FBEF606C-2F64-48AE-9A82-C772FF9DE0D3}">
      <formula1>-180</formula1>
      <formula2>180</formula2>
    </dataValidation>
    <dataValidation type="decimal" allowBlank="1" showInputMessage="1" showErrorMessage="1" prompt="Decimal degrees" sqref="J394:J397 J1:J101 J103:J128 J132:J392 J402:J550 J552:J556 J558:J588 J590:J601 J603:J604 J606:J622 J624:J625 J627:J636 J639:J783 J785:J1048576" xr:uid="{7F56BB7E-77E9-4B7A-B1F6-2E386663FC03}">
      <formula1>-180</formula1>
      <formula2>180</formula2>
    </dataValidation>
    <dataValidation type="decimal" allowBlank="1" showInputMessage="1" showErrorMessage="1" sqref="N1:N101 N103:N128 K512:K513 K515:K529 N132:N536 N554:N555 N564:N606 N610:N611 N625 N643:N644 N649:N650 N698 N819:N1048576" xr:uid="{8D451252-5970-4FD9-87E3-E0C4148A7E2A}">
      <formula1>0</formula1>
      <formula2>9999</formula2>
    </dataValidation>
    <dataValidation allowBlank="1" showInputMessage="1" showErrorMessage="1" prompt="Author's first name place study date, include web link if available. " sqref="B239:B537 B1:B237 B543:B625 B627:B1048576" xr:uid="{3409840B-1A98-45C1-B48F-BC4480DF0F93}"/>
    <dataValidation allowBlank="1" showInputMessage="1" showErrorMessage="1" prompt="The same as Case study ID in Record Info_x000a_" sqref="C546:C551" xr:uid="{4DF351CC-3880-43BA-B715-71F2F423F0BC}"/>
    <dataValidation type="whole" allowBlank="1" showInputMessage="1" showErrorMessage="1" sqref="M642 L1:M641 L680:L691 M725:M727 L695:L718 L643:M676 M680:M718 L719:M724 L731:M731 L733:M773 L777 L779:L1048576 M774:M1048576" xr:uid="{D110D921-D533-4146-96C4-8574C50CFBF8}">
      <formula1>1900</formula1>
      <formula2>2020</formula2>
    </dataValidation>
    <dataValidation type="whole" showInputMessage="1" showErrorMessage="1" prompt="Sequential integer_x000a_" sqref="A1:A1048576" xr:uid="{BD0F2B49-AB39-4B14-9512-824E9B4B2A01}">
      <formula1>1</formula1>
      <formula2>99999999</formula2>
    </dataValidation>
  </dataValidations>
  <hyperlinks>
    <hyperlink ref="B346" r:id="rId1" xr:uid="{924EB177-9C29-419C-9132-70BE66727310}"/>
    <hyperlink ref="B345" r:id="rId2" xr:uid="{3F612C05-EA91-4BBE-8F12-628BEAE4BDD6}"/>
    <hyperlink ref="B344" r:id="rId3" xr:uid="{F342CEB3-7D80-4001-BFA0-94007C75A95F}"/>
    <hyperlink ref="B343" r:id="rId4" xr:uid="{B4ABE960-F895-42BC-B984-D1EB03E92678}"/>
    <hyperlink ref="B342" r:id="rId5" xr:uid="{E3BC3CB7-2EB2-4E83-BDE0-B450F2AA847A}"/>
    <hyperlink ref="B341" r:id="rId6" xr:uid="{3530B8F2-DF6A-47AE-816A-B59A60675905}"/>
    <hyperlink ref="B340" r:id="rId7" xr:uid="{EAFB4FAF-8EC6-4237-BA89-F6D9725D874E}"/>
    <hyperlink ref="B339" r:id="rId8" xr:uid="{1AB9914B-AABA-4EE5-BDF7-6325F5E2397E}"/>
    <hyperlink ref="B338" r:id="rId9" xr:uid="{F4EA10E7-FF4C-405A-B31B-24D392482DEE}"/>
    <hyperlink ref="B337" r:id="rId10" xr:uid="{23EB9D4D-57AC-4CF7-96E3-9D13F28735FF}"/>
    <hyperlink ref="B336" r:id="rId11" xr:uid="{7BB8D1A9-4529-47AA-A1D7-FCC87CD472FC}"/>
    <hyperlink ref="B335" r:id="rId12" xr:uid="{228CFC6C-28D5-4D3C-9532-25C9186288E2}"/>
    <hyperlink ref="B334" r:id="rId13" xr:uid="{CD21B6F8-A545-46D8-AB6E-DFF3AC639733}"/>
    <hyperlink ref="B333" r:id="rId14" xr:uid="{34FBAD13-D652-437C-96A8-0B9764026221}"/>
    <hyperlink ref="B332" r:id="rId15" xr:uid="{B0E1FBC8-AE55-41AE-9E8A-DC1295A52956}"/>
    <hyperlink ref="B331" r:id="rId16" xr:uid="{84553DD2-2B0C-4B34-8231-46CD380C86E9}"/>
    <hyperlink ref="B330" r:id="rId17" xr:uid="{B4158D2E-0D75-4275-BB41-27596059F70E}"/>
    <hyperlink ref="B329" r:id="rId18" xr:uid="{B89E429B-2622-4376-80D9-B83FEE34BF8A}"/>
    <hyperlink ref="B328" r:id="rId19" xr:uid="{9A3BAD71-0EAB-46C3-9A72-3583860E293E}"/>
    <hyperlink ref="B327" r:id="rId20" xr:uid="{1DF04734-56BF-4F95-93FB-159CF78796DE}"/>
    <hyperlink ref="B326" r:id="rId21" xr:uid="{4E773628-1BED-4F6A-B26F-A894376AB110}"/>
    <hyperlink ref="B325" r:id="rId22" xr:uid="{39E76E0A-39EC-43C9-8304-D2872958740B}"/>
    <hyperlink ref="B324" r:id="rId23" xr:uid="{E83CA7D8-358D-4859-AFBF-D30A3F89C63B}"/>
    <hyperlink ref="B323" r:id="rId24" xr:uid="{88F6B07E-480D-4BBD-901E-F9BBFD40775A}"/>
    <hyperlink ref="B322" r:id="rId25" xr:uid="{36B1AD96-E320-4534-A188-C187C240F30A}"/>
    <hyperlink ref="B320" r:id="rId26" xr:uid="{38F0546F-C364-4C25-860F-1976A41A4A4B}"/>
    <hyperlink ref="B319" r:id="rId27" xr:uid="{1DD71B82-2D26-4767-A9F9-1650AB5856E6}"/>
    <hyperlink ref="B318" r:id="rId28" xr:uid="{E4A83D25-57BB-4E55-9E4E-CA03E6633F8B}"/>
    <hyperlink ref="B317" r:id="rId29" xr:uid="{77998DB5-466A-473B-A8B6-EAC3A2D5E45B}"/>
    <hyperlink ref="B316" r:id="rId30" xr:uid="{02C7556E-6DE5-4F27-8283-9D5C1FC0CE5D}"/>
    <hyperlink ref="B315" r:id="rId31" xr:uid="{4AC14268-A65E-4EE5-8756-9461B328BA16}"/>
    <hyperlink ref="B314" r:id="rId32" xr:uid="{14200560-F5ED-4522-BFB2-58F579D4FA86}"/>
    <hyperlink ref="B313" r:id="rId33" xr:uid="{8391440F-6A3A-457F-8A0E-F0BAB55DE5FC}"/>
    <hyperlink ref="B312" r:id="rId34" xr:uid="{45811FF6-117D-4283-9C8D-F9852786105A}"/>
    <hyperlink ref="B311" r:id="rId35" xr:uid="{9A3B9B94-82FE-4EDE-BC14-B7B75DA91F88}"/>
    <hyperlink ref="B310" r:id="rId36" xr:uid="{410A643A-959B-44A3-A090-4BA93C73E474}"/>
    <hyperlink ref="B309" r:id="rId37" xr:uid="{DBC33B7D-2910-41A8-AD4B-7C59EE8BF083}"/>
    <hyperlink ref="B308" r:id="rId38" xr:uid="{C418F21F-1AD5-4C55-B038-CC06E053B93F}"/>
    <hyperlink ref="B307" r:id="rId39" xr:uid="{7AF19A0F-EC6F-4638-83C8-A0D2DD19B8A4}"/>
    <hyperlink ref="B306" r:id="rId40" xr:uid="{45C10E73-FC2A-4191-9442-B178718B09D8}"/>
    <hyperlink ref="B305" r:id="rId41" xr:uid="{75C5D33C-9D4B-49B6-B2F3-5CEE879542BD}"/>
    <hyperlink ref="B304" r:id="rId42" xr:uid="{DFF392B2-561C-4DDA-AEDC-683EAE710209}"/>
    <hyperlink ref="B303" r:id="rId43" xr:uid="{95826993-BC08-4377-9F4F-E8EF29E6C6F3}"/>
    <hyperlink ref="B302" r:id="rId44" xr:uid="{0C6A6055-E77E-43E7-A5F5-00A50AB6F5C4}"/>
    <hyperlink ref="B301" r:id="rId45" xr:uid="{0BBA29C4-B0B1-401E-9227-8589B010805A}"/>
    <hyperlink ref="B300" r:id="rId46" xr:uid="{7311F932-BD26-406D-A23F-23E6B6B42779}"/>
    <hyperlink ref="B299" r:id="rId47" xr:uid="{0C641A0B-2106-44FF-94FB-230D73756569}"/>
    <hyperlink ref="B298" r:id="rId48" xr:uid="{C190EAF1-9392-4FA1-958E-57C60A31722F}"/>
    <hyperlink ref="B297" r:id="rId49" xr:uid="{BDA58555-13D6-4D2F-B907-6768D7792B9E}"/>
    <hyperlink ref="B296" r:id="rId50" xr:uid="{14A4BC66-A020-422A-A8C0-203197D48677}"/>
    <hyperlink ref="B321" r:id="rId51" xr:uid="{F4632E92-3A19-4183-BD68-3123C5C490FB}"/>
    <hyperlink ref="B267:B268" r:id="rId52" display="Watanabe 2004" xr:uid="{8F4DCD24-8B22-4E10-97CB-C2EDE04343CF}"/>
    <hyperlink ref="B255:B256" r:id="rId53" display="Roder 2001" xr:uid="{1D020443-4686-4DC3-B7CF-987A0DEEDB99}"/>
    <hyperlink ref="B254" r:id="rId54" xr:uid="{DDB3082E-BE80-4931-AB31-0EEA7DFEC836}"/>
    <hyperlink ref="B258:B262" r:id="rId55" display="Linquist et al 2007" xr:uid="{B4B5890A-A067-4682-B034-50F0AFCA8ADC}"/>
    <hyperlink ref="B240" r:id="rId56" xr:uid="{051A688A-0694-466D-86B4-28D5EC1C1B8B}"/>
    <hyperlink ref="B239" r:id="rId57" xr:uid="{30611325-0DA3-43C5-83B8-F0D55850D92A}"/>
    <hyperlink ref="B231" r:id="rId58" xr:uid="{1410F228-1AD2-4A13-98BF-75C3FA03309E}"/>
    <hyperlink ref="B202:B206" r:id="rId59" display="Pingali et al 1987" xr:uid="{97692A82-8DE2-4740-B49A-3BC09B458588}"/>
    <hyperlink ref="B186:B199" r:id="rId60" display="Pingali et al 1987" xr:uid="{E20B9A5C-79D7-4BB6-BD36-41AA7DB7F1E3}"/>
    <hyperlink ref="B211:B228" r:id="rId61" display="Pingali et al 1987" xr:uid="{65F63D60-B344-4005-8735-F872550B6922}"/>
    <hyperlink ref="B183" r:id="rId62" xr:uid="{F2063C06-2168-4D37-ADA3-390841C589D2}"/>
    <hyperlink ref="B182" r:id="rId63" xr:uid="{D1F2CDED-2485-4C6E-800F-E549A1176FFF}"/>
    <hyperlink ref="B181" r:id="rId64" xr:uid="{30373822-D6EA-4C93-A464-9EEF2433EB6C}"/>
    <hyperlink ref="B180" r:id="rId65" xr:uid="{C958AC00-D406-4AC4-BC30-8507B961DA3E}"/>
    <hyperlink ref="B179" r:id="rId66" xr:uid="{3D89C891-16D9-420E-85BD-6B94617C705B}"/>
    <hyperlink ref="B178" r:id="rId67" xr:uid="{F6E8EC76-C29C-4E55-8E8F-B3840E6570DE}"/>
    <hyperlink ref="B177" r:id="rId68" xr:uid="{C5A13DD8-D002-4049-8163-F5789D06F1B9}"/>
    <hyperlink ref="B176" r:id="rId69" xr:uid="{825920BD-5C95-438D-91D8-785033DAB879}"/>
    <hyperlink ref="B175" r:id="rId70" xr:uid="{781F1E80-7666-439B-A806-6BC0C53903F2}"/>
    <hyperlink ref="B174" r:id="rId71" xr:uid="{08582022-FA95-493F-B1D9-48B704DF57F1}"/>
    <hyperlink ref="B173" r:id="rId72" xr:uid="{CD8F6685-FD52-47CE-8B5D-5985C978E4E2}"/>
    <hyperlink ref="B172" r:id="rId73" xr:uid="{AE1F024F-10A2-4655-BDCA-2D2CA0978E08}"/>
    <hyperlink ref="B171" r:id="rId74" xr:uid="{62560A0A-05B5-43C5-A4E2-B28E880A9E3D}"/>
    <hyperlink ref="B170" r:id="rId75" xr:uid="{F79C77C1-E642-4A3A-A6A8-9A3375B55A41}"/>
    <hyperlink ref="B169" r:id="rId76" xr:uid="{340441C9-F45B-4EEC-9D35-AAED06B919E1}"/>
    <hyperlink ref="B168" r:id="rId77" xr:uid="{B2432E9B-9EAD-417F-B9F2-2D91F0AC4D7D}"/>
    <hyperlink ref="B167" r:id="rId78" xr:uid="{867BD718-F448-4ED7-B817-68A528C2A110}"/>
    <hyperlink ref="B166" r:id="rId79" xr:uid="{F40C3C17-AF38-4439-82DD-CE4663276612}"/>
    <hyperlink ref="B165" r:id="rId80" xr:uid="{3ACAE4F0-C3FF-4E9C-8121-FF451CC157DD}"/>
    <hyperlink ref="B164" r:id="rId81" xr:uid="{49ADCD61-034B-4B34-9C04-2E1C0F585A90}"/>
    <hyperlink ref="B163" r:id="rId82" xr:uid="{E6645318-8BE6-4958-8E6E-B17865F5E70C}"/>
    <hyperlink ref="B162" r:id="rId83" xr:uid="{61DEC500-5FF4-456D-8616-C62FAF6BE45E}"/>
    <hyperlink ref="B161" r:id="rId84" xr:uid="{93810FFB-12DF-4499-BD75-7B5FCBBF4430}"/>
    <hyperlink ref="B160" r:id="rId85" xr:uid="{FAFEB70E-4758-4838-A2F6-8812321221DF}"/>
    <hyperlink ref="B159" r:id="rId86" xr:uid="{3A8B8138-6E9B-4053-B4DC-E33E4DCC7527}"/>
    <hyperlink ref="B158" r:id="rId87" xr:uid="{73A23A0B-7B10-47D9-A3EB-4AB689EC21EF}"/>
    <hyperlink ref="B157" r:id="rId88" xr:uid="{2BBA50B2-CCBA-458B-BD02-39D0ABE8D5D2}"/>
    <hyperlink ref="B156" r:id="rId89" xr:uid="{D4053879-2840-4F5E-853B-DFB079C58217}"/>
    <hyperlink ref="B155" r:id="rId90" xr:uid="{CA4D0854-92B3-466B-B478-B2BBF60148A9}"/>
    <hyperlink ref="B154" r:id="rId91" xr:uid="{AEA73179-475B-4D38-A3B0-473612C6B52D}"/>
    <hyperlink ref="B153" r:id="rId92" xr:uid="{DCB7FEBF-2C5D-4F23-A82D-F3C41F00E531}"/>
    <hyperlink ref="B152" r:id="rId93" xr:uid="{A13622A5-A9C8-482B-BCD4-2A9A82E277C2}"/>
    <hyperlink ref="B151" r:id="rId94" xr:uid="{44CA8BE6-4634-423C-B855-168952232DE5}"/>
    <hyperlink ref="B150" r:id="rId95" xr:uid="{30778A95-4B76-4EC1-BEE5-9D0B4600F55A}"/>
    <hyperlink ref="B149" r:id="rId96" xr:uid="{55ECB9BE-7A63-4B35-A4BB-5AA0C4721E12}"/>
    <hyperlink ref="B148" r:id="rId97" xr:uid="{2719328F-9C1E-4614-9896-20047CBF4D08}"/>
    <hyperlink ref="B147" r:id="rId98" xr:uid="{62CA355C-0A2F-4442-B69B-A223133BC230}"/>
    <hyperlink ref="B146" r:id="rId99" xr:uid="{633FDA25-6996-4C9C-B1D4-CF1F05BEF878}"/>
    <hyperlink ref="B145" r:id="rId100" xr:uid="{1FAEA4C8-6371-4A7A-BB4A-E06E8FA2FC97}"/>
    <hyperlink ref="B144" r:id="rId101" xr:uid="{1E051BA5-74FF-4F79-AD6C-5D83443531DD}"/>
    <hyperlink ref="B143" r:id="rId102" xr:uid="{5B86A006-6778-4BA3-BB00-7742A87D8E5F}"/>
    <hyperlink ref="B142" r:id="rId103" xr:uid="{012D0B70-E960-42AE-BDD7-2581D3739D3C}"/>
    <hyperlink ref="B141" r:id="rId104" xr:uid="{CB9891E0-5424-4A2A-A0D8-53B85BC49FF3}"/>
    <hyperlink ref="B140" r:id="rId105" xr:uid="{7E975089-4CEC-45AD-A2BA-4062EF91FE8B}"/>
    <hyperlink ref="B139" r:id="rId106" xr:uid="{B4A5C58C-D636-45D9-B476-49595C8B774A}"/>
    <hyperlink ref="B138" r:id="rId107" xr:uid="{89CD3F31-F096-4229-9956-1B28D6EA7516}"/>
    <hyperlink ref="B137" r:id="rId108" xr:uid="{335F5A38-3691-4241-93EB-6BD7A8271A0F}"/>
    <hyperlink ref="B404:B476" r:id="rId109" display="Nepstad 1999" xr:uid="{17320715-7F37-4183-BC2B-57C6AA95D974}"/>
    <hyperlink ref="B403" r:id="rId110" xr:uid="{AD6EC268-3F26-48A2-B27C-011BF1959DE7}"/>
    <hyperlink ref="B97" r:id="rId111" xr:uid="{6ECF77D9-6CF0-4729-94AB-63EB4C4B2DB4}"/>
    <hyperlink ref="B96" r:id="rId112" xr:uid="{1F0394DA-7C9A-4C54-874E-F1C24B06D2EA}"/>
    <hyperlink ref="B95" r:id="rId113" xr:uid="{975A46E7-3201-4EA5-9E95-35F313884301}"/>
    <hyperlink ref="B94" r:id="rId114" xr:uid="{4B767D04-99AA-48C0-BF02-2E48C51B6E1B}"/>
    <hyperlink ref="B93" r:id="rId115" xr:uid="{4D89E0EE-CB44-4728-A172-B5F9597623D6}"/>
    <hyperlink ref="B92" r:id="rId116" xr:uid="{E74477D3-23AD-4567-AF4F-0F6CB95FE573}"/>
    <hyperlink ref="B91" r:id="rId117" xr:uid="{CD2B6249-14D6-4340-AE48-3B1E3F678B20}"/>
    <hyperlink ref="B90" r:id="rId118" xr:uid="{E78AA2DC-704A-4579-9B87-4CBC57D39B1A}"/>
    <hyperlink ref="B89" r:id="rId119" xr:uid="{0857C171-7797-4F8D-8BD7-1B1BA295D49D}"/>
    <hyperlink ref="B88" r:id="rId120" xr:uid="{F740CE04-1631-4E1F-80FD-0A0489B9F414}"/>
    <hyperlink ref="B87" r:id="rId121" xr:uid="{AAC36337-0750-4491-B1D0-8C938D6039B1}"/>
    <hyperlink ref="B84" r:id="rId122" xr:uid="{DCBDE9D4-8736-4502-BCF6-FA5FBE729D56}"/>
    <hyperlink ref="B83" r:id="rId123" xr:uid="{3F2E5415-832E-430D-93CC-25A56C34E47D}"/>
    <hyperlink ref="B82" r:id="rId124" xr:uid="{88C52268-5837-489E-8C98-D60EA2B90A39}"/>
    <hyperlink ref="B81" r:id="rId125" xr:uid="{8BF83F29-2628-4143-A792-610BD56F9D00}"/>
    <hyperlink ref="B80" r:id="rId126" xr:uid="{99B661A0-3399-4244-8657-1B3A2ADC51B1}"/>
    <hyperlink ref="B79" r:id="rId127" xr:uid="{BD36BD36-F899-4BDE-AAD2-5D4BC15036C1}"/>
    <hyperlink ref="B78" r:id="rId128" xr:uid="{7EC86BF9-E833-4D8F-8A7E-04023150A10C}"/>
    <hyperlink ref="B77" r:id="rId129" xr:uid="{84229150-B29E-4700-8DDC-C37158DFADDF}"/>
    <hyperlink ref="B76" r:id="rId130" xr:uid="{ABEA245E-7BB7-49DF-B168-E1B38201ACCE}"/>
    <hyperlink ref="B75" r:id="rId131" xr:uid="{0B75E075-3C4D-4257-847D-217A5EDC37B9}"/>
    <hyperlink ref="B74" r:id="rId132" xr:uid="{0CC66AE4-1F2C-419C-B23F-BDAB0F458C09}"/>
    <hyperlink ref="B72:B73" r:id="rId133" display="Kumar et al 2015" xr:uid="{AA3BAB7B-0B03-4DCA-A55D-93AC61D544EC}"/>
    <hyperlink ref="B489" r:id="rId134" xr:uid="{74761506-392D-4C31-835F-B10AFCE7EB92}"/>
    <hyperlink ref="B488" r:id="rId135" xr:uid="{E2A3E5E2-3535-4131-97C0-AFBCBF577E46}"/>
    <hyperlink ref="B485:B487" r:id="rId136" display="Shen et al 2017" xr:uid="{F4FB4B7D-8853-44A8-B182-7956A1A17149}"/>
    <hyperlink ref="B484" r:id="rId137" xr:uid="{0637F26F-E6A6-4469-980D-372176588CEA}"/>
    <hyperlink ref="B482:B483" r:id="rId138" display="Tran Duc Vein 2009" xr:uid="{3AAD701C-2AE1-412B-9D71-7A9E7AA5D4B9}"/>
    <hyperlink ref="B481" r:id="rId139" xr:uid="{D73B1847-F7B6-408D-8C21-AB3324F91721}"/>
    <hyperlink ref="B480" r:id="rId140" location="v=onepage&amp;q=human%20impacts%20on%20amazonia%202006&amp;f=false" xr:uid="{27E82156-372F-4EA8-964C-C5817659646D}"/>
    <hyperlink ref="B479" r:id="rId141" xr:uid="{9A6A57C3-1D3B-48A2-B19D-38FCE2B718C4}"/>
    <hyperlink ref="B478" r:id="rId142" xr:uid="{F0ABA9B7-6130-4B39-808B-58A191E06EEC}"/>
    <hyperlink ref="B477" r:id="rId143" xr:uid="{7830537A-9FB6-4C65-8A03-33FBA81B30C4}"/>
    <hyperlink ref="B402" r:id="rId144" xr:uid="{816D367D-9546-4C57-B799-1D547CA5ADA7}"/>
    <hyperlink ref="B398" r:id="rId145" location="v=onepage&amp;q=rudel%202005%20tropical%20forests&amp;f=false" xr:uid="{DB6DBD9B-1841-4922-9FF2-D44F547C859A}"/>
    <hyperlink ref="B397" r:id="rId146" xr:uid="{BECC7B21-8757-430F-8DD2-94D3D905709E}"/>
    <hyperlink ref="B395" r:id="rId147" display="Chokkalingam 2009" xr:uid="{083A973D-4CD9-41EB-982B-BB7BEE60AE13}"/>
    <hyperlink ref="B394" r:id="rId148" xr:uid="{E7C47C48-2E20-4DCA-A185-FEEE9A8DFB0C}"/>
    <hyperlink ref="B393" r:id="rId149" xr:uid="{0B9E672F-A88F-45C1-B887-C0C96C908B6A}"/>
    <hyperlink ref="B391" r:id="rId150" xr:uid="{D345E9D5-1044-4C14-B70D-8DA0C116459A}"/>
    <hyperlink ref="B392" r:id="rId151" xr:uid="{12B14B7F-1086-408C-A639-F93A99B63F83}"/>
    <hyperlink ref="B390" r:id="rId152" xr:uid="{908AAA64-D435-407D-B776-4A26D9E2BD81}"/>
    <hyperlink ref="B386:B389" r:id="rId153" display="Fox 2009" xr:uid="{3B13A43E-A4B4-4062-B079-107F686C2ED4}"/>
    <hyperlink ref="B385" r:id="rId154" xr:uid="{129442C7-5215-43ED-B6F6-9B6AF24F1A94}"/>
    <hyperlink ref="B384" r:id="rId155" xr:uid="{BEB8DD9F-2395-426D-B022-F7A6C3B63668}"/>
    <hyperlink ref="B383" r:id="rId156" xr:uid="{913CED50-31B0-4E97-87A0-8835DC2E2F86}"/>
    <hyperlink ref="B382" r:id="rId157" xr:uid="{91C68431-50DE-44A9-8CF2-C0F9E1E9ACEC}"/>
    <hyperlink ref="B381" r:id="rId158" xr:uid="{7C518985-9FD6-4235-BAC3-804305D5953E}"/>
    <hyperlink ref="B373:B380" r:id="rId159" display="Fu 2005" xr:uid="{3E44BB99-AAF2-4338-A4E8-21B3A550060F}"/>
    <hyperlink ref="B372" r:id="rId160" xr:uid="{E1E769A8-9BDE-4289-A72F-E106DBCBC63E}"/>
    <hyperlink ref="B370:B371" r:id="rId161" display="Fox 2008" xr:uid="{8BA067DD-6AEC-4358-BF05-F734CE276A34}"/>
    <hyperlink ref="B369" r:id="rId162" xr:uid="{CC77C3CB-0262-4527-8B4C-D29E3EF81D12}"/>
    <hyperlink ref="B368" r:id="rId163" xr:uid="{B3233E33-B083-406B-A2C2-31DCC4E1C78F}"/>
    <hyperlink ref="B366:B367" r:id="rId164" display="Lestrelin 2007" xr:uid="{CC44AA58-206B-471B-8F45-8778CE5E25AE}"/>
    <hyperlink ref="B365" r:id="rId165" xr:uid="{0F230D28-BE95-4A56-BC69-CA53FE517FBD}"/>
    <hyperlink ref="B364" r:id="rId166" xr:uid="{CC4919A6-25EE-4FA8-A783-7A249B8BD371}"/>
    <hyperlink ref="B362" r:id="rId167" xr:uid="{35AC8118-A29B-41F8-81AE-FA9C6C3369E3}"/>
    <hyperlink ref="B361" r:id="rId168" xr:uid="{7852D8B9-7695-497D-B4D9-5802975300BB}"/>
    <hyperlink ref="B360" r:id="rId169" xr:uid="{3B1FB53C-CD46-46CE-B4B9-FDCB8759C190}"/>
    <hyperlink ref="B359" r:id="rId170" xr:uid="{1E734A3A-5104-40DB-918C-D5AFF4813115}"/>
    <hyperlink ref="B356" r:id="rId171" xr:uid="{99AEA690-5ADC-46EF-B7B4-F8ADBA0B83AD}"/>
    <hyperlink ref="B355" r:id="rId172" xr:uid="{89281586-7AA2-4305-8FE3-B549E4989797}"/>
    <hyperlink ref="B353:B354" r:id="rId173" display="Padoch 2008" xr:uid="{A99819F3-3059-47BF-AC87-8C9C3705388A}"/>
    <hyperlink ref="B357" r:id="rId174" location="metadata_info_tab_contents" xr:uid="{A3227424-CF5D-43A9-AD5A-FB0A8FB24DAB}"/>
    <hyperlink ref="B352" r:id="rId175" xr:uid="{C98495C9-6A34-4B8E-B084-1C7326D1D3DF}"/>
    <hyperlink ref="B351" r:id="rId176" xr:uid="{2A3192C9-A025-490C-9302-1985AF76E79D}"/>
    <hyperlink ref="B350" r:id="rId177" display="Lawrence 2005" xr:uid="{A9AC8FFE-C6A8-4A23-8C86-1A37C06DCFA5}"/>
    <hyperlink ref="B349" r:id="rId178" xr:uid="{29EA9AF0-6DFD-414C-A79F-F74F2FFB103B}"/>
    <hyperlink ref="B348" r:id="rId179" xr:uid="{792E6438-1039-4D73-90B1-13A718020892}"/>
    <hyperlink ref="B347" r:id="rId180" xr:uid="{18B507E3-198B-4D88-8257-F2A49C40F953}"/>
    <hyperlink ref="B295" r:id="rId181" xr:uid="{40981B75-7AE0-459C-83F6-8E672D396F8E}"/>
    <hyperlink ref="B294" r:id="rId182" xr:uid="{F1FCB0EB-6424-49DB-ABEB-36D511B4E212}"/>
    <hyperlink ref="B289:B293" r:id="rId183" display="Hartter 2008" xr:uid="{2B14C829-FA16-4B3E-AAC0-E28FAEB26A56}"/>
    <hyperlink ref="B288" r:id="rId184" xr:uid="{37DBC280-04BD-4F4D-B9E5-BBAB8F3B94D9}"/>
    <hyperlink ref="B287" r:id="rId185" xr:uid="{A658DDE3-C8CA-4923-9B6E-BF781F52AF10}"/>
    <hyperlink ref="B286" r:id="rId186" xr:uid="{952817F0-10F0-4C48-AFE1-96FF59CF8EF5}"/>
    <hyperlink ref="B285" r:id="rId187" xr:uid="{1F18A683-A622-4122-8ED3-9C32D9C3BF5A}"/>
    <hyperlink ref="B284" r:id="rId188" display="Williams 1965" xr:uid="{42765FD0-9D29-462E-8825-429646A20340}"/>
    <hyperlink ref="B279:B283" r:id="rId189" display="Lim 1998" xr:uid="{742A36EB-58F2-4D9F-9D71-E3B523F9C121}"/>
    <hyperlink ref="B278" r:id="rId190" xr:uid="{800D9305-836A-4166-9E3E-F701373F582D}"/>
    <hyperlink ref="B277" r:id="rId191" xr:uid="{A4210191-D2D7-4550-BDBB-012DD17379C3}"/>
    <hyperlink ref="B276" r:id="rId192" xr:uid="{A1C689F9-1FB0-4FD7-8EE7-8DF86CB5CAA4}"/>
    <hyperlink ref="B275" r:id="rId193" xr:uid="{3E751E7D-282E-499A-A4B1-388AC1581595}"/>
    <hyperlink ref="B274" r:id="rId194" xr:uid="{87549F55-E400-43A4-8A10-77BC7EF3D660}"/>
    <hyperlink ref="B273" r:id="rId195" xr:uid="{5B4DA122-AB8D-45BA-9204-1DC1546EFCFD}"/>
    <hyperlink ref="B271:B272" r:id="rId196" display="Seidenberg 1999" xr:uid="{903C508C-64E9-410A-A86B-4C46E52B5FE0}"/>
    <hyperlink ref="B270" r:id="rId197" display="Seidenberg 1999" xr:uid="{1CA8A162-17FB-4B49-8DCA-2BAAB99818F0}"/>
    <hyperlink ref="B269" r:id="rId198" xr:uid="{3C640093-325B-49DA-82C6-E7A8021CF466}"/>
    <hyperlink ref="B266" r:id="rId199" xr:uid="{5F5E1A78-AC75-4427-BD69-20065895337D}"/>
    <hyperlink ref="B257" r:id="rId200" xr:uid="{63815E90-32AD-4D07-8205-DD3966184466}"/>
    <hyperlink ref="B252:B253" r:id="rId201" display="Roder 2001" xr:uid="{A52F2C60-8BD4-4F6D-A954-4EA1204E67DE}"/>
    <hyperlink ref="B251" r:id="rId202" xr:uid="{6B4B7EA0-58D9-4401-8B03-C888DCE7B9D2}"/>
    <hyperlink ref="B249:B250" r:id="rId203" display="Roder 2001" xr:uid="{28215E3E-3A8F-4B3E-929F-7B05D15D3013}"/>
    <hyperlink ref="B248" r:id="rId204" xr:uid="{95481607-5900-46B1-B8C6-BA1596441E6D}"/>
    <hyperlink ref="B247" r:id="rId205" xr:uid="{A5ACB399-C1D0-4D1E-9BA3-D23280CDB9A0}"/>
    <hyperlink ref="B246" r:id="rId206" xr:uid="{42BE0356-A385-4788-84C5-AD331E58DB31}"/>
    <hyperlink ref="B245" r:id="rId207" xr:uid="{8C93F0BD-4BEC-49AC-89AB-6AEAFF94B8F9}"/>
    <hyperlink ref="B244" r:id="rId208" xr:uid="{FBC75ED1-F1AE-4911-9179-BEA01DB1E49C}"/>
    <hyperlink ref="B243" r:id="rId209" xr:uid="{E631557A-ABEF-464B-AE91-5BB08ACC79DC}"/>
    <hyperlink ref="B242" r:id="rId210" xr:uid="{F5D1E3D9-49DA-45A6-A21E-F26545455703}"/>
    <hyperlink ref="B241" r:id="rId211" xr:uid="{B1FE4C09-7A97-4AD6-9F28-827663F23D6D}"/>
    <hyperlink ref="B236" r:id="rId212" location="v=onepage&amp;q=Forest%20farmers--the%20transformation%20of%20land%20use%20and%20society%20in%20eastern%20Madagascar%20%5B1985%5D%20oxby&amp;f=false" xr:uid="{2A5A5296-DCA9-4F89-941C-347AC29CD085}"/>
    <hyperlink ref="B233:B235" r:id="rId213" location="v=onepage&amp;q=Forest%20farmers--the%20transformation%20of%20land%20use%20and%20society%20in%20eastern%20Madagascar%20%5B1985%5D%20oxby&amp;f=false" display="Keck et al 1994" xr:uid="{85BA060E-9BC6-42B8-9C09-9E0014839D10}"/>
    <hyperlink ref="B232" r:id="rId214" location="v=onepage&amp;q=Forest%20farmers--the%20transformation%20of%20land%20use%20and%20society%20in%20eastern%20Madagascar%20%5B1985%5D%20oxby&amp;f=false" xr:uid="{4182BDCD-6999-4D07-8A66-51B3CA3E55E8}"/>
    <hyperlink ref="B230" r:id="rId215" xr:uid="{385F3B51-3117-4D45-AAA7-22AF76A2616C}"/>
    <hyperlink ref="B229" r:id="rId216" xr:uid="{8EAD7027-24D0-4755-AD3B-9397B59D785A}"/>
    <hyperlink ref="B227" r:id="rId217" xr:uid="{F4108521-3E14-41ED-B2A3-392C6FBB9BF4}"/>
    <hyperlink ref="B210" r:id="rId218" xr:uid="{4D334D6F-178C-4ACD-8361-EFFB2BA58620}"/>
    <hyperlink ref="B209" r:id="rId219" xr:uid="{9B5D218C-747D-4275-927A-6CA44BFC823E}"/>
    <hyperlink ref="B208" r:id="rId220" xr:uid="{8F637661-06AA-4FFF-9A49-01D2838B0B94}"/>
    <hyperlink ref="B207" r:id="rId221" xr:uid="{2C80D153-E1C0-4EF5-9618-8B07F458D616}"/>
    <hyperlink ref="B201" r:id="rId222" xr:uid="{F9B32039-2F01-4D9D-B2B0-28512F2019C9}"/>
    <hyperlink ref="B200" r:id="rId223" xr:uid="{71B13E4B-94D3-49D6-B6A6-27463CC71E3B}"/>
    <hyperlink ref="B185" r:id="rId224" xr:uid="{50549112-368C-43F3-8BF9-13D9E9EE89DE}"/>
    <hyperlink ref="B184" r:id="rId225" xr:uid="{7B8B6A5F-1BC3-4BFE-9085-4741A66826D4}"/>
    <hyperlink ref="B136" r:id="rId226" xr:uid="{AE85BFBB-A34B-4A18-86A9-3172109DD25E}"/>
    <hyperlink ref="B135" r:id="rId227" xr:uid="{70561CA2-9F10-4E2C-BE46-B9E61AEB1450}"/>
    <hyperlink ref="B134" r:id="rId228" xr:uid="{FEDDD08F-385B-4EEB-8A6F-02167EF80A24}"/>
    <hyperlink ref="B133" r:id="rId229" xr:uid="{A14C19C0-C6CE-49CB-8097-760F57287CD3}"/>
    <hyperlink ref="B132" r:id="rId230" xr:uid="{80D06F6F-AFE1-4E9F-ADF6-B17BCC549C6E}"/>
    <hyperlink ref="B128" r:id="rId231" xr:uid="{D5AAC3E1-D78F-40B8-BC5F-A69B28E28BE6}"/>
    <hyperlink ref="B127" r:id="rId232" xr:uid="{2300D115-BBD5-41FD-8123-52BB2F417979}"/>
    <hyperlink ref="B126" r:id="rId233" xr:uid="{79BEEC94-543A-4323-92DA-7DD672F017B0}"/>
    <hyperlink ref="B123:B125" r:id="rId234" display="Grogan et al 2013" xr:uid="{2BA7C4AB-15F6-4E4D-96AF-EC1B99AA681E}"/>
    <hyperlink ref="B122" r:id="rId235" xr:uid="{C9FFB63E-48C3-4B4F-8C1C-4FA21BD2EC9D}"/>
    <hyperlink ref="B121" r:id="rId236" xr:uid="{866E1D26-BE5E-474D-AEC6-AF250EC6AA2A}"/>
    <hyperlink ref="B120" r:id="rId237" xr:uid="{ADB047D3-80D2-4351-8060-19869784D7CA}"/>
    <hyperlink ref="B119" r:id="rId238" xr:uid="{EC9E2B4B-9FEB-4499-BDA5-B394F1536150}"/>
    <hyperlink ref="B118" r:id="rId239" display="Norrlund and Brus 2004" xr:uid="{4E9F5C56-FB5A-4B8C-9714-F9BEDAD190D2}"/>
    <hyperlink ref="B117" r:id="rId240" display="Mwampamba and Scwartz (2011)" xr:uid="{082FA318-6CB0-42CE-A208-6D72449D12E0}"/>
    <hyperlink ref="B116" r:id="rId241" display="Chidumayo 1987" xr:uid="{19829012-14A8-45D4-BBF1-6E9DD5F6673C}"/>
    <hyperlink ref="B115" r:id="rId242" xr:uid="{27F76683-A1BB-47B7-BC4C-ACA36387E4BA}"/>
    <hyperlink ref="B114" r:id="rId243" xr:uid="{A6BA0B06-D95E-4E0D-BAB4-D34C13E3B892}"/>
    <hyperlink ref="B113" r:id="rId244" xr:uid="{533A9AD9-B53C-45B4-95A0-947D50B73372}"/>
    <hyperlink ref="B112" r:id="rId245" xr:uid="{F909BAAE-8F96-4A94-A11C-137010A81497}"/>
    <hyperlink ref="B111" r:id="rId246" xr:uid="{139715B9-7CC7-4D17-A097-CFBEB5580BA4}"/>
    <hyperlink ref="B110" r:id="rId247" xr:uid="{34164A09-4EB4-41C1-9639-67B14898F5C5}"/>
    <hyperlink ref="B109" r:id="rId248" xr:uid="{65DF76F4-6540-4A84-8C34-E5B803EC980F}"/>
    <hyperlink ref="B40:B70" r:id="rId249" location="ercab056cf3" display="Liu et al 2019" xr:uid="{02B9AC6B-D978-4E88-8703-F95FFE5CDBDB}"/>
    <hyperlink ref="B9:B38" r:id="rId250" location="ercab056cf3" display="Liu et al 2019" xr:uid="{E81D38F8-F72A-4867-98FB-35977F70355C}"/>
    <hyperlink ref="B107:B108" r:id="rId251" display="Brown 2006" xr:uid="{066BBC45-14FF-4254-B1B7-E661C06709EF}"/>
    <hyperlink ref="B106" r:id="rId252" xr:uid="{7A5E034C-6EB5-4CDE-93D6-37A974C59310}"/>
    <hyperlink ref="B105" r:id="rId253" location="fig0035" xr:uid="{ECAEC198-4BC5-44C6-8C83-F60AD7FFF819}"/>
    <hyperlink ref="B104" r:id="rId254" location="fig0035" xr:uid="{778B3DC4-E02C-40DE-94A1-C5F04D3266E5}"/>
    <hyperlink ref="B103" r:id="rId255" xr:uid="{6B32C124-FCBB-40DE-B118-DFE49228EF00}"/>
    <hyperlink ref="B100:B101" r:id="rId256" display="Armenteras et al 2013" xr:uid="{A13A7D52-8F3D-4A46-B02B-E275BB81B445}"/>
    <hyperlink ref="B99" r:id="rId257" xr:uid="{73C59CEA-E481-4C33-AE0F-7BF59A49F471}"/>
    <hyperlink ref="B98" r:id="rId258" xr:uid="{FAC4A8BF-6F0C-47E2-AF19-9D36418C33FD}"/>
    <hyperlink ref="B86" r:id="rId259" xr:uid="{3E3D9B72-D2CE-405A-B9CC-7A5377BD9890}"/>
    <hyperlink ref="B85" r:id="rId260" xr:uid="{C393583F-6DA2-473B-9A4F-EF46D0F08C59}"/>
    <hyperlink ref="B71" r:id="rId261" xr:uid="{E21080E7-61FE-41E2-9ABB-DFF427C2CE67}"/>
    <hyperlink ref="B39" r:id="rId262" location="ercab056cf3" xr:uid="{BA68DB10-F598-49E6-A9FB-256ADF93FE1B}"/>
    <hyperlink ref="B8" r:id="rId263" location="ercab056cf3" xr:uid="{9F307120-EA20-4707-861F-B74917A33E47}"/>
    <hyperlink ref="B7" r:id="rId264" xr:uid="{C0E9D273-765F-4B3E-ADBA-4B74FD0E2177}"/>
    <hyperlink ref="B3:B6" r:id="rId265" display="Kull 2004" xr:uid="{62BC8572-EFD2-47E7-BB75-AAAD52BF728B}"/>
    <hyperlink ref="B2" r:id="rId266" xr:uid="{0DAABDE2-208F-4787-9197-0FA9B19066C2}"/>
    <hyperlink ref="B399:B401" r:id="rId267" location="v=onepage&amp;q=rudel%202005%20tropical%20forests&amp;f=false" display="Rudel 2005" xr:uid="{A59F13FC-C6A7-4457-941A-E94365B7262D}"/>
    <hyperlink ref="B102" r:id="rId268" xr:uid="{A792A225-0C25-4C15-A302-1B6AF3BC9A79}"/>
    <hyperlink ref="B396" r:id="rId269" display="Chokkalingam 2009" xr:uid="{72184BFE-C855-4829-A765-50E8A5A5ABAC}"/>
    <hyperlink ref="B363" r:id="rId270" xr:uid="{364EA9B9-3359-4976-B2EB-67CD37A39275}"/>
    <hyperlink ref="B490" r:id="rId271" xr:uid="{25DF7585-AA38-4D1D-AB1F-817C8270CC4E}"/>
    <hyperlink ref="B491" r:id="rId272" xr:uid="{CAFB0861-84E4-47B6-A1A8-D8ACE1BD99C3}"/>
    <hyperlink ref="B492" r:id="rId273" xr:uid="{635736D4-2AA2-4788-8005-6ACF43AAD4F2}"/>
    <hyperlink ref="B493" r:id="rId274" xr:uid="{05DB9FC4-E1BA-46B2-A8A9-6E0AD8AAB8BC}"/>
    <hyperlink ref="B494:B508" r:id="rId275" display="Sati 2019" xr:uid="{10268274-B820-4297-92F5-1B21A3069F81}"/>
    <hyperlink ref="B508" r:id="rId276" xr:uid="{BB0D517C-6CB9-45D4-8F0D-A5EACB1ACC76}"/>
    <hyperlink ref="B509:B510" r:id="rId277" display="Sati 2019" xr:uid="{8CB7C39F-D455-40F8-B3B3-186CC38AD33D}"/>
    <hyperlink ref="B510" r:id="rId278" xr:uid="{00DF9799-9A5E-4257-BF66-01D05D728EE7}"/>
    <hyperlink ref="B512" r:id="rId279" xr:uid="{8769F504-D2B1-4CC6-8E2A-FAF0D749EBA6}"/>
    <hyperlink ref="B513" r:id="rId280" xr:uid="{76532516-FCFD-488C-9952-0C52BB1350D6}"/>
    <hyperlink ref="B514" r:id="rId281" xr:uid="{51C7730E-DE98-4F22-B221-18106B4C07BB}"/>
    <hyperlink ref="B515" r:id="rId282" xr:uid="{CCAF223F-ED3B-4838-B0B2-5B6087127FEE}"/>
    <hyperlink ref="B516" r:id="rId283" xr:uid="{3FB90F42-56EE-4996-8619-9ACD1FB5EE03}"/>
    <hyperlink ref="B517:B525" r:id="rId284" display="Cavechia 2014" xr:uid="{79034BE7-49A9-47E3-AF6B-D52E641286A4}"/>
    <hyperlink ref="B526" r:id="rId285" xr:uid="{5900CE5B-1DF3-48D4-BF4C-845632E1CED1}"/>
    <hyperlink ref="B528" r:id="rId286" xr:uid="{809D238C-5B0A-4110-8193-156F4C0F2AB7}"/>
    <hyperlink ref="B529" r:id="rId287" xr:uid="{757CCF2D-E0DF-4E7E-A0D9-3FB242F8C3E0}"/>
    <hyperlink ref="B527" r:id="rId288" xr:uid="{A9DD73B3-37DB-4C1B-A252-614983655171}"/>
    <hyperlink ref="B530" r:id="rId289" xr:uid="{49CC1F74-1CB5-4A15-BEBE-FA79C4E776D7}"/>
    <hyperlink ref="B531:B532" r:id="rId290" display="Carmenta 2019" xr:uid="{82352F61-2477-46C4-BA7D-3893D02D983A}"/>
    <hyperlink ref="B533" r:id="rId291" xr:uid="{44D9D3E9-3A52-452C-A7C0-9889D2667925}"/>
    <hyperlink ref="B534" r:id="rId292" xr:uid="{75CE9467-F9A3-4B87-82A5-D55A77ADEBDC}"/>
    <hyperlink ref="B535" r:id="rId293" xr:uid="{481690CA-2D61-421E-879A-4260990183A0}"/>
    <hyperlink ref="B536" r:id="rId294" display="Mertz 2011" xr:uid="{B8D4A10F-1CAE-4A7A-ACEF-9CA93E8C8FE6}"/>
    <hyperlink ref="B537" r:id="rId295" xr:uid="{3B9559D7-2C83-429E-8E76-1F8B04B4D4FF}"/>
    <hyperlink ref="B538" r:id="rId296" xr:uid="{C58CBA66-D117-4A5B-B2EA-4FB1CE1A3E38}"/>
    <hyperlink ref="B539" r:id="rId297" xr:uid="{86D965CA-4B8A-4045-9A2F-07F0546A28AB}"/>
    <hyperlink ref="B540" r:id="rId298" xr:uid="{FDD7920E-5EF9-4FDF-9FF1-ACFDDB982E0F}"/>
    <hyperlink ref="B541" r:id="rId299" xr:uid="{25AACDEC-C879-4973-AF40-5C58356D7825}"/>
    <hyperlink ref="B542" r:id="rId300" xr:uid="{EE1D6A28-E331-407F-8D7D-377474C50698}"/>
    <hyperlink ref="B543" r:id="rId301" xr:uid="{15036F62-3A6E-4704-925E-B4C7DF34B56E}"/>
    <hyperlink ref="B544:B545" r:id="rId302" display="Abate 2016 " xr:uid="{F28B0574-EA59-4CAF-8990-A99DFF4697CA}"/>
    <hyperlink ref="B546" r:id="rId303" display="Solomon 2006" xr:uid="{C9A528F7-B60C-454F-844D-EE003B261F56}"/>
    <hyperlink ref="B547:B549" r:id="rId304" display="Solomon 2006" xr:uid="{77AAEA1F-6633-4BB4-BBE4-9520E52599BB}"/>
    <hyperlink ref="B550" r:id="rId305" display="Solomon 2006" xr:uid="{10F8399B-FC14-4709-9E73-F79DE5434E9F}"/>
    <hyperlink ref="B551" r:id="rId306" display="Solomon 2006" xr:uid="{DF4479F5-6988-4F5D-AD95-7953054925C4}"/>
    <hyperlink ref="B552" r:id="rId307" xr:uid="{3C5D9F60-0C7B-4B54-A155-98F8CA04311A}"/>
    <hyperlink ref="B553" r:id="rId308" xr:uid="{4507B44A-74C4-473C-9164-6CC11A6DB8CE}"/>
    <hyperlink ref="B554" r:id="rId309" xr:uid="{76E60C4C-D7D8-4C3F-A38F-5565353580B6}"/>
    <hyperlink ref="B555" r:id="rId310" xr:uid="{44EE2C55-32E0-46E9-9F00-27FE783D963F}"/>
    <hyperlink ref="B556" r:id="rId311" xr:uid="{750E44CC-860E-4D2D-9D9C-42C7177C2034}"/>
    <hyperlink ref="B557" r:id="rId312" xr:uid="{D2E623C9-699B-4B9E-91CC-D02E1855869A}"/>
    <hyperlink ref="B558" r:id="rId313" xr:uid="{F600AFD8-9707-43AB-8DA2-0CAB9B594B47}"/>
    <hyperlink ref="B562" r:id="rId314" xr:uid="{E8A3B673-8837-4933-954A-962200EEFD6D}"/>
    <hyperlink ref="B563" r:id="rId315" xr:uid="{E8DD3B54-39BC-49C6-B918-2FA58C3639DE}"/>
    <hyperlink ref="B564" r:id="rId316" xr:uid="{2C718811-1A26-4579-9979-B8A5AA558D59}"/>
    <hyperlink ref="B559:B561" r:id="rId317" display="Smith 2019" xr:uid="{46899C3A-6972-44FB-A04F-68FB135C644C}"/>
    <hyperlink ref="B565" r:id="rId318" location="metadata_info_tab_contents" xr:uid="{2342D1BE-EAB9-49FA-B65D-D21A73D6D021}"/>
    <hyperlink ref="B566" r:id="rId319" display="Mbow 2002" xr:uid="{FE3D8174-398F-479C-AA8A-17BAF5EA6943}"/>
    <hyperlink ref="B567" r:id="rId320" xr:uid="{1C549246-AC20-4E28-80B6-E6520AEE1545}"/>
    <hyperlink ref="B568" r:id="rId321" xr:uid="{DD8D1F59-EF30-4FEA-A8BD-EB1C9B8BD952}"/>
    <hyperlink ref="B569" r:id="rId322" xr:uid="{EBF5B227-3B68-41A9-82E5-23C704351978}"/>
    <hyperlink ref="B570" r:id="rId323" xr:uid="{23605FC9-C37C-4FCD-B496-141A8D3C7320}"/>
    <hyperlink ref="B571" r:id="rId324" xr:uid="{C44D184D-DE52-4FD0-9F49-2154E0215F31}"/>
    <hyperlink ref="B572" r:id="rId325" xr:uid="{6C0620EA-9B47-4105-B34C-924234C4F8E5}"/>
    <hyperlink ref="B573" r:id="rId326" xr:uid="{A726E707-3F7C-4C56-B678-7011DB30FE02}"/>
    <hyperlink ref="B574:B578" r:id="rId327" display="Blanco 2013" xr:uid="{C6587855-FCC0-4B4E-A82F-E2C72E31BED0}"/>
    <hyperlink ref="B579" r:id="rId328" xr:uid="{205D39E4-E88D-4E6F-B7EF-E2F8A0D05FED}"/>
    <hyperlink ref="B580:B582" r:id="rId329" display="Bilbao 2019" xr:uid="{A74B28B5-3A51-4D72-AFCD-A055A90930BB}"/>
    <hyperlink ref="B237" r:id="rId330" display="Fujisaka 1996" xr:uid="{5F49620C-961A-4EFF-9419-CD3B3CC0A908}"/>
    <hyperlink ref="B583" r:id="rId331" xr:uid="{8DA5B3FC-06D9-4818-A900-875945E24040}"/>
    <hyperlink ref="B584" r:id="rId332" display="Siahaya 2016" xr:uid="{66231BFD-4D77-4C75-8E6D-73F787AE1502}"/>
    <hyperlink ref="B585" r:id="rId333" xr:uid="{3DE71865-9488-43C0-A47A-7A8340532753}"/>
    <hyperlink ref="B586" r:id="rId334" xr:uid="{DB53177E-4EE8-480C-A961-385B6A94C342}"/>
    <hyperlink ref="B587" r:id="rId335" xr:uid="{896E453F-7D74-4969-888D-0992C5269843}"/>
    <hyperlink ref="B588" r:id="rId336" xr:uid="{D1BEA84B-7915-4F5E-84C8-330811B5D98B}"/>
    <hyperlink ref="B589" r:id="rId337" xr:uid="{7507D9FA-0D5E-48DB-9D9E-8614C229738E}"/>
    <hyperlink ref="B590" r:id="rId338" xr:uid="{E29DCE10-4E91-4DD7-A488-407FEFAABBD2}"/>
    <hyperlink ref="B591" r:id="rId339" xr:uid="{FDCFFEFB-2EA0-41D6-A613-4AFC0AB63F3A}"/>
    <hyperlink ref="B592" r:id="rId340" xr:uid="{D1B2DB0B-4C4F-4670-B2A3-1ED7D30A9BD8}"/>
    <hyperlink ref="B593" r:id="rId341" xr:uid="{E25DD3CC-24A3-4ABA-A794-429DFF48BE61}"/>
    <hyperlink ref="B594" r:id="rId342" xr:uid="{D2CFDB95-05AA-4860-B0A0-658DFEC93CC6}"/>
    <hyperlink ref="B595" r:id="rId343" xr:uid="{617A5BAD-EA60-4515-A804-C1C63565E7F3}"/>
    <hyperlink ref="B596" r:id="rId344" xr:uid="{D9363BD6-5EF5-4540-BF88-744A65664D49}"/>
    <hyperlink ref="B597" r:id="rId345" xr:uid="{234F3059-A85D-4E83-A799-11F1A9F2848C}"/>
    <hyperlink ref="B598" r:id="rId346" xr:uid="{7BC754B1-0FFB-4C25-BE70-BE90A5527D03}"/>
    <hyperlink ref="B599" r:id="rId347" xr:uid="{0C130160-E4BB-46EA-AA46-3AC49BA84B8C}"/>
    <hyperlink ref="B600" r:id="rId348" xr:uid="{E67792DC-ECB2-417A-A750-92573106A4DE}"/>
    <hyperlink ref="B601" r:id="rId349" xr:uid="{3F3D6E73-6479-4600-9668-63B2E060493E}"/>
    <hyperlink ref="B602:B603" r:id="rId350" display="Gil-Romero 2011" xr:uid="{AA7A1087-0366-4444-99DC-CE880336B5E3}"/>
    <hyperlink ref="B604" r:id="rId351" xr:uid="{0A49EA56-BE6E-4794-A8AA-79E6799535A3}"/>
    <hyperlink ref="B605:B606" r:id="rId352" display="Gil-Romero 2011" xr:uid="{24EB7C69-A732-49EE-BA0C-7300D40A8C8B}"/>
    <hyperlink ref="B607" r:id="rId353" xr:uid="{D852EEA5-7A66-428A-A13B-23E8E68F9634}"/>
    <hyperlink ref="B608" r:id="rId354" xr:uid="{B48AC8EF-4E8D-4522-9500-5784CDB3C9BC}"/>
    <hyperlink ref="B609" r:id="rId355" xr:uid="{053FE459-A199-4CA2-BE3C-8CB3C1D5034C}"/>
    <hyperlink ref="B610" r:id="rId356" xr:uid="{BE831F83-FEC2-4886-9A23-CF2BBD1A577D}"/>
    <hyperlink ref="B611" r:id="rId357" xr:uid="{D6E9D387-18BA-41C9-8905-4CB06BF5BC21}"/>
    <hyperlink ref="B612" r:id="rId358" xr:uid="{66EA15F8-5A69-4710-96C6-BBF27CB2A83C}"/>
    <hyperlink ref="B613:B614" r:id="rId359" display="Angassa 2008" xr:uid="{CF17846A-8763-4A40-9534-5845BDFAC96E}"/>
    <hyperlink ref="B615" r:id="rId360" xr:uid="{186AA6E8-0456-44C0-8CA1-758183F514DC}"/>
    <hyperlink ref="B616" r:id="rId361" xr:uid="{A2B24CC8-D24B-4314-A507-54693E514508}"/>
    <hyperlink ref="B617" r:id="rId362" xr:uid="{4B4CF944-4DEC-4F55-84DC-E9B4DDB63C9F}"/>
    <hyperlink ref="B618" r:id="rId363" xr:uid="{4DDDE9C6-DA1A-4227-81D3-FCFCD4303F30}"/>
    <hyperlink ref="B619" r:id="rId364" xr:uid="{8E514F96-31A7-422A-8919-C118246C01DA}"/>
    <hyperlink ref="B620" r:id="rId365" xr:uid="{2D490A47-E1DD-42F4-8B9D-4F0581259BB4}"/>
    <hyperlink ref="B621" r:id="rId366" location="metadata_info_tab_contents" xr:uid="{4208BF7F-2DDB-4538-B95A-846F3FCC6B0E}"/>
    <hyperlink ref="B622" r:id="rId367" xr:uid="{5F98E4A7-3B37-417F-B8A7-451FAFA2A6B9}"/>
    <hyperlink ref="B623" r:id="rId368" xr:uid="{C974A034-0955-44AC-A026-C885EC9591F5}"/>
    <hyperlink ref="B624" r:id="rId369" xr:uid="{DF4B82D8-D8C6-4F7A-B285-05CC6144677B}"/>
    <hyperlink ref="B625" r:id="rId370" xr:uid="{AF11429E-B173-4AFE-A1EF-FDDE4195B65B}"/>
    <hyperlink ref="B626" r:id="rId371" xr:uid="{8CC12B20-2193-4B9B-8525-AAC27E7FA35A}"/>
    <hyperlink ref="B627" r:id="rId372" xr:uid="{78DF5CDC-9DCA-4A78-9248-6F4D0EB4D428}"/>
    <hyperlink ref="B628" r:id="rId373" xr:uid="{BB45032C-C92C-4ABC-96FC-E4751446AD56}"/>
    <hyperlink ref="B629" r:id="rId374" xr:uid="{22858D53-E4D6-4418-9824-8CF7FDC2F280}"/>
    <hyperlink ref="B630" r:id="rId375" xr:uid="{17A69D46-79F9-47E2-96B0-60CAB156765F}"/>
    <hyperlink ref="B631" r:id="rId376" xr:uid="{741677ED-9F40-44DA-8485-ECA1D0B7EE43}"/>
    <hyperlink ref="B632" r:id="rId377" xr:uid="{4EC540AE-2C78-453F-9EE8-9EA5151B7CFE}"/>
    <hyperlink ref="B633" r:id="rId378" xr:uid="{20E6E598-D298-465A-BD25-39DC7974F789}"/>
    <hyperlink ref="B636" r:id="rId379" xr:uid="{0FACBB86-E452-4C2A-A8D2-149BE756E7D0}"/>
    <hyperlink ref="B634" r:id="rId380" xr:uid="{B4A5F779-9056-4C5D-8E2F-FEB65972B9E4}"/>
    <hyperlink ref="B635" r:id="rId381" xr:uid="{6C69E7FA-EB6C-4245-BF6C-93E173FC1B44}"/>
    <hyperlink ref="B637" r:id="rId382" xr:uid="{2CBB1C41-9C3F-40E5-B344-1B2F215382EE}"/>
    <hyperlink ref="B638" r:id="rId383" xr:uid="{7B1A1683-027D-4F8D-BF8E-CFE6B766B9E9}"/>
    <hyperlink ref="B639" r:id="rId384" xr:uid="{2A35F2FD-0DEE-4191-A558-D1765829C249}"/>
    <hyperlink ref="B640" r:id="rId385" xr:uid="{1E0063CD-4C8B-448F-93EC-4026BB581120}"/>
    <hyperlink ref="B641" r:id="rId386" xr:uid="{5B48017C-8F72-459B-AACD-DC8F45923E0B}"/>
    <hyperlink ref="B642" r:id="rId387" display="Johnansson 2012" xr:uid="{A535AD8B-D929-42AB-AD57-C05036C37AAD}"/>
    <hyperlink ref="B643" r:id="rId388" xr:uid="{CFC01877-FAA6-4CB7-9B0E-A7FE8949B237}"/>
    <hyperlink ref="B644" r:id="rId389" xr:uid="{BE3137DC-A449-440C-8BCC-6C87D1212A5E}"/>
    <hyperlink ref="B645" r:id="rId390" xr:uid="{0B96B325-496E-4DD9-9DCE-5130AB785C57}"/>
    <hyperlink ref="B646" r:id="rId391" xr:uid="{4F725A67-064B-442A-8F53-3BC67964A9FB}"/>
    <hyperlink ref="B647" r:id="rId392" xr:uid="{19A034D5-38AC-4BCB-858F-C40C3410F3DA}"/>
    <hyperlink ref="B648" r:id="rId393" xr:uid="{04BEC219-F888-425F-B91C-4A5C019B46F0}"/>
    <hyperlink ref="B649" r:id="rId394" xr:uid="{077EAA76-B3DC-48F8-8BF2-AB207AC66E19}"/>
    <hyperlink ref="B650" r:id="rId395" xr:uid="{C9FBB126-C157-494E-9973-03E169818C85}"/>
    <hyperlink ref="B651" r:id="rId396" xr:uid="{8237538D-D580-4F9A-9EC0-CB5B1E5DA49C}"/>
    <hyperlink ref="B652" r:id="rId397" xr:uid="{3D7968A9-B520-48F9-B5CA-BFEEA7B3A719}"/>
    <hyperlink ref="B653" r:id="rId398" xr:uid="{93710818-2ACF-403D-ACA3-A64C025A1DA0}"/>
    <hyperlink ref="B654" r:id="rId399" xr:uid="{85353285-FCE7-408C-9CE2-F679A1DD40CA}"/>
    <hyperlink ref="B655" r:id="rId400" xr:uid="{030D2793-77F2-4DF2-84B8-6892703AEAC2}"/>
    <hyperlink ref="B656" r:id="rId401" xr:uid="{003CBE59-CBE2-4BAF-B2F7-3C3BEE63B550}"/>
    <hyperlink ref="B657:B661" r:id="rId402" display="Abubakari 2013" xr:uid="{54243ACD-23F8-4B4B-9618-B6DA667B16D5}"/>
    <hyperlink ref="B662" r:id="rId403" xr:uid="{008CD0CF-4930-4F31-89AF-80B45DC5A6AD}"/>
    <hyperlink ref="B663:B673" r:id="rId404" display="Ayantunde 2014" xr:uid="{279A7372-A242-4002-838C-8CF624B333CE}"/>
    <hyperlink ref="B674" r:id="rId405" xr:uid="{3458E6E8-4761-466F-94A5-C060199DE95F}"/>
    <hyperlink ref="B675" r:id="rId406" xr:uid="{CBFB0120-69F6-4215-B7F2-6688850205AF}"/>
    <hyperlink ref="B676" r:id="rId407" xr:uid="{BA1437C6-6ABC-418C-8E65-8BA7D7D7A4CB}"/>
    <hyperlink ref="B677" r:id="rId408" xr:uid="{442C957E-8810-4C47-A3C0-0C5FB809CE0A}"/>
    <hyperlink ref="B678" r:id="rId409" xr:uid="{CF5C0C95-C29D-46FD-80D0-60DFB68A4CBD}"/>
    <hyperlink ref="B679" r:id="rId410" xr:uid="{A24591D7-9447-49C0-A949-F0553B365B63}"/>
    <hyperlink ref="B680" r:id="rId411" xr:uid="{4917132A-0C0A-4CE0-9405-A8F3AB3E30B1}"/>
    <hyperlink ref="B681" r:id="rId412" xr:uid="{D7F769FD-25BE-48F2-B79D-220BCB319E92}"/>
    <hyperlink ref="B682" r:id="rId413" xr:uid="{3B0EB6FF-6712-46F8-84BB-378307488463}"/>
    <hyperlink ref="B683" r:id="rId414" xr:uid="{50DD756D-E866-4470-8133-0F20AEA41B93}"/>
    <hyperlink ref="B684" r:id="rId415" xr:uid="{0ECDA4B8-8C36-4F35-9BD2-D58D2A339A7E}"/>
    <hyperlink ref="B685" r:id="rId416" xr:uid="{2E163432-1942-46A5-8664-81DBEC173AA7}"/>
    <hyperlink ref="B686" r:id="rId417" xr:uid="{41456604-B9FF-4CBA-87A2-B4B7BFDDF3E9}"/>
    <hyperlink ref="B687" r:id="rId418" xr:uid="{4E39B97B-2161-4BD0-8173-12413146FD6F}"/>
    <hyperlink ref="B688" r:id="rId419" xr:uid="{230E7338-11F7-41C0-B8E3-4569DDC07921}"/>
    <hyperlink ref="B689" r:id="rId420" xr:uid="{A14856C9-F50B-4736-9DB5-05B32554FE32}"/>
    <hyperlink ref="B690" r:id="rId421" xr:uid="{97116897-D54E-4818-B5A7-7C4378C72879}"/>
    <hyperlink ref="B691" r:id="rId422" xr:uid="{0795EFF9-1CA9-4669-A52D-58BDB8D14F34}"/>
    <hyperlink ref="B692" r:id="rId423" xr:uid="{71F2F3FA-9251-46B6-ABDC-450FCC1E22BB}"/>
    <hyperlink ref="B693:B694" r:id="rId424" display="Hoy 1995" xr:uid="{4F53A9FD-6696-4F1E-B5A1-E85A54E82B71}"/>
    <hyperlink ref="B695" r:id="rId425" xr:uid="{BF8AA773-AA06-421B-9D9E-A532C08C15BF}"/>
    <hyperlink ref="B696" r:id="rId426" xr:uid="{004B0BDF-E180-4287-BEE3-1D0B88858E02}"/>
    <hyperlink ref="B697" r:id="rId427" xr:uid="{349A2B79-F783-4666-86B8-C60C52BEAF2D}"/>
    <hyperlink ref="B699" r:id="rId428" xr:uid="{F2C69382-163A-4406-A969-2CD8ECB15921}"/>
    <hyperlink ref="B700" r:id="rId429" xr:uid="{C0854803-4D4B-45F8-A42B-E678CFDC377B}"/>
    <hyperlink ref="B701" r:id="rId430" location="metadata_info_tab_contents" xr:uid="{F53A90F4-2B49-484A-BDEE-A2F5EA5C1082}"/>
    <hyperlink ref="B702" r:id="rId431" location="metadata_info_tab_contents" xr:uid="{C7856331-9070-4A08-83E9-C7B3E6A37ECE}"/>
    <hyperlink ref="B703" r:id="rId432" display="Meddour-Sahar" xr:uid="{5C8C8861-76B1-4A51-913C-0A7DD6142221}"/>
    <hyperlink ref="B704" r:id="rId433" display="Meddour-Sahar" xr:uid="{13148085-2EC1-49EF-A821-712E149FB58C}"/>
    <hyperlink ref="B705" r:id="rId434" display="Meddour-Sahar" xr:uid="{5604F5BD-C2B8-4A1C-82CA-C8FFE6D3102C}"/>
    <hyperlink ref="B706" r:id="rId435" xr:uid="{70C43109-1C5C-4589-8846-4B55E0D2E17B}"/>
    <hyperlink ref="B707" r:id="rId436" xr:uid="{D4540518-751A-4B15-9092-DE0DB4785859}"/>
    <hyperlink ref="B708" r:id="rId437" xr:uid="{CE10097D-F500-4310-A3ED-5D13A52FD15E}"/>
    <hyperlink ref="B709" r:id="rId438" xr:uid="{8B4D1FC3-7C33-4018-B976-BEC3ADD24B5C}"/>
    <hyperlink ref="B710" r:id="rId439" xr:uid="{E1CFF9E5-430D-476E-8E71-733AC6726A26}"/>
    <hyperlink ref="B711" r:id="rId440" xr:uid="{E7F353A0-8E5A-492B-9E82-F0FC3E7F5A4B}"/>
    <hyperlink ref="B712" r:id="rId441" xr:uid="{3B159832-3195-439F-B599-DA5F4A3BD515}"/>
    <hyperlink ref="B713" r:id="rId442" xr:uid="{6D6D9C2C-0A68-474D-ACCE-C7BB0F894B0E}"/>
    <hyperlink ref="B714" r:id="rId443" xr:uid="{310FBC23-4246-40A3-BB95-DF2CE2E7A989}"/>
    <hyperlink ref="B715" r:id="rId444" xr:uid="{8BC0F790-5BBA-4AF5-BCDA-B5365E0D2949}"/>
    <hyperlink ref="B716" r:id="rId445" xr:uid="{45B31612-50B0-4CE3-A793-CAE3E8549B8B}"/>
    <hyperlink ref="B717" r:id="rId446" location="Sec14" xr:uid="{E1525FBC-C043-42E3-B357-DC9FE1C7C706}"/>
    <hyperlink ref="B718" r:id="rId447" location="Sec14" xr:uid="{427F5584-2983-4428-A388-9E480D49A89A}"/>
    <hyperlink ref="B719" r:id="rId448" xr:uid="{FFD85D22-5ADD-47A4-83EE-4CBB17A59A52}"/>
    <hyperlink ref="B720:B721" r:id="rId449" display="Said 2014" xr:uid="{7E823320-7A67-43E3-ABE6-03B27E573055}"/>
    <hyperlink ref="B722" r:id="rId450" xr:uid="{7C806355-7AB7-404B-A758-2BCD396977B2}"/>
    <hyperlink ref="B723:B724" r:id="rId451" display="Said 2014" xr:uid="{D349E644-860E-49D1-B040-DADE9624F0D6}"/>
    <hyperlink ref="B725" r:id="rId452" xr:uid="{7D0CEAA8-B5BD-413A-9E37-B9FBB7E2F658}"/>
    <hyperlink ref="B726" r:id="rId453" xr:uid="{1FC0895B-6945-42F0-BCA6-87B010743BC9}"/>
    <hyperlink ref="B727" r:id="rId454" xr:uid="{17B465AD-8FF1-4305-935C-DBD8FA69AFAF}"/>
    <hyperlink ref="B728" r:id="rId455" xr:uid="{91C52B7D-E3AA-4188-BFAE-CB75F872CDE2}"/>
    <hyperlink ref="B729" r:id="rId456" xr:uid="{D3772F9D-58CD-46E1-ABF4-C541445DB3E6}"/>
    <hyperlink ref="B730" r:id="rId457" display="Nigh 2013" xr:uid="{6EABE037-5423-48D6-8579-F7393D59CA5F}"/>
    <hyperlink ref="B731" r:id="rId458" xr:uid="{83B01849-3C22-4DCD-9E6E-268E02805FBD}"/>
    <hyperlink ref="B732" r:id="rId459" xr:uid="{5C8B0192-2F5F-494B-AF1E-1D4F1EDAEBF4}"/>
    <hyperlink ref="B733:B735" r:id="rId460" display="Lamprey 2004" xr:uid="{DA2ECCBA-1515-4E73-A47C-A6851DBE91F7}"/>
    <hyperlink ref="B736" r:id="rId461" xr:uid="{AA993937-89B4-4703-B6A5-A294D42DA5F0}"/>
    <hyperlink ref="B737" r:id="rId462" xr:uid="{5E704FFB-2393-456B-B37D-D3087D8B2D54}"/>
    <hyperlink ref="B738" r:id="rId463" xr:uid="{2D8EFBDA-8D00-477D-BC0B-4D9F1B4173B3}"/>
    <hyperlink ref="B739:B742" r:id="rId464" display="Roques 2001" xr:uid="{D97AFF17-7E9F-4998-96C7-C333AD713BBE}"/>
    <hyperlink ref="B743" r:id="rId465" xr:uid="{5E30A3ED-78A9-426E-ABFE-4ADF2447F121}"/>
    <hyperlink ref="B744" r:id="rId466" xr:uid="{A899B51D-2EDE-412D-80DD-AB231021A177}"/>
    <hyperlink ref="B745" r:id="rId467" xr:uid="{7BC93322-8F56-4BF7-B9FF-9F7F4E337B39}"/>
    <hyperlink ref="B746" r:id="rId468" xr:uid="{FA790037-C475-4E4C-8000-EB73DAAC7E9F}"/>
    <hyperlink ref="B747" r:id="rId469" xr:uid="{058943A5-FE5A-4CD8-9F80-ACE1C4570D80}"/>
    <hyperlink ref="B748" r:id="rId470" xr:uid="{C2466F3E-DDE4-4DF7-9A2A-0714A7C60347}"/>
    <hyperlink ref="B749" r:id="rId471" location="patch" xr:uid="{61B40235-2929-4BC4-8C74-0814805F2016}"/>
    <hyperlink ref="B750" r:id="rId472" location="patch" xr:uid="{4A9F9438-64F8-4B0C-8FC4-B04725180B5D}"/>
    <hyperlink ref="B751:B752" r:id="rId473" location="patch" display="Brockett 2001, cited in Trollope 2004" xr:uid="{1C28E6EA-3639-4010-B7FC-D2344CC8F55F}"/>
    <hyperlink ref="B753" r:id="rId474" xr:uid="{18FA0911-F17E-4689-B0BE-D0BA5AB0296A}"/>
    <hyperlink ref="B754:B755" r:id="rId475" display="Reed 2006" xr:uid="{ADEAA97A-2061-4CC0-B593-E32CC963BB47}"/>
    <hyperlink ref="B756" r:id="rId476" xr:uid="{59826687-05F7-4E27-BCB6-79608C7D7002}"/>
    <hyperlink ref="B757" r:id="rId477" xr:uid="{0206EA75-59BF-4BC6-BE3F-BA260763F890}"/>
    <hyperlink ref="B758" r:id="rId478" xr:uid="{1A83E5B4-84C4-44DF-8521-06106B4C2839}"/>
    <hyperlink ref="B759" r:id="rId479" xr:uid="{CE669A73-D905-4736-BC8B-2D2B0FFA5CF4}"/>
    <hyperlink ref="B760:B762" r:id="rId480" display="Thompson 2002" xr:uid="{7E8010CE-84BE-4E99-96FE-AA7448841ABE}"/>
    <hyperlink ref="B763" r:id="rId481" xr:uid="{79120769-FE64-407F-AA8D-7C4804845BB6}"/>
    <hyperlink ref="B764:B765" r:id="rId482" display="Toutain 2004" xr:uid="{813F473C-2E06-48F7-9594-4D5EEFF6D8FC}"/>
    <hyperlink ref="B766" r:id="rId483" xr:uid="{04AD27F5-27C7-4B22-B2C6-406DD4BAE17F}"/>
    <hyperlink ref="B767" r:id="rId484" display="Trigg 2012" xr:uid="{7C2F1A24-2FD3-4DFE-AFDB-5DC84802EEDE}"/>
    <hyperlink ref="B768" r:id="rId485" xr:uid="{3227174E-B068-449A-BF7E-59A460B000FB}"/>
    <hyperlink ref="B769" r:id="rId486" xr:uid="{073894B1-9FA1-40E3-A0C0-ADA48464EE3E}"/>
    <hyperlink ref="B770" r:id="rId487" xr:uid="{773A196B-A118-49F1-8DF2-66EF8BCC56ED}"/>
    <hyperlink ref="B771" r:id="rId488" xr:uid="{1A7EE154-7740-4339-960C-3AA2971AA907}"/>
    <hyperlink ref="B772" r:id="rId489" xr:uid="{66EB2695-4D81-4D27-A16E-4F9C55978488}"/>
    <hyperlink ref="B773" r:id="rId490" xr:uid="{8935D0FE-3486-4BD6-9CBB-0ADB39F81B57}"/>
    <hyperlink ref="B774" r:id="rId491" xr:uid="{08BC3AE2-0ABE-4E78-8D20-48A06A50F53A}"/>
    <hyperlink ref="B775" r:id="rId492" xr:uid="{77062B5F-9E7E-42BB-9E5E-E56563F59946}"/>
    <hyperlink ref="B776" r:id="rId493" xr:uid="{1B476CD6-36B8-408A-B0F7-077F2510649D}"/>
    <hyperlink ref="B777" r:id="rId494" xr:uid="{546A13A8-42BA-4260-9D27-313E4E6D79E0}"/>
    <hyperlink ref="B778" r:id="rId495" xr:uid="{756B418E-B7B6-4D23-997E-5409223802A7}"/>
    <hyperlink ref="B779" r:id="rId496" xr:uid="{0748A507-4429-433C-870A-15672399E6B2}"/>
    <hyperlink ref="B780:B782" r:id="rId497" display="Saladyga 2013" xr:uid="{3DF128BE-993C-4506-A890-37BE31EC8B26}"/>
    <hyperlink ref="B783" r:id="rId498" xr:uid="{0989D636-406D-4CF3-A637-5536B7A7C261}"/>
    <hyperlink ref="B784" r:id="rId499" location="bib39" xr:uid="{F35251D1-F10B-45F1-BBC4-18E539968F44}"/>
    <hyperlink ref="B785" r:id="rId500" location="bib39" xr:uid="{46618DC1-BCBE-4E57-ADB3-6DAFF00210F5}"/>
    <hyperlink ref="B786" r:id="rId501" location="bib39" xr:uid="{4256C459-A81F-4F7D-92C7-86ABA74E587B}"/>
    <hyperlink ref="B787" r:id="rId502" location="bib39" xr:uid="{2D50C72D-14BF-4BEB-A0A1-2ABCFF194239}"/>
    <hyperlink ref="B788" r:id="rId503" location="bib39" xr:uid="{9BE693EB-F69B-4C92-816E-0CC26357D43D}"/>
    <hyperlink ref="B789" r:id="rId504" location="bib39" xr:uid="{3CA57033-FDC7-4245-B819-62BBA5CDCA78}"/>
    <hyperlink ref="B790" r:id="rId505" location="bib39" xr:uid="{1026D32C-5971-450C-AF8C-A0559D356108}"/>
    <hyperlink ref="B791" r:id="rId506" location="bib39" xr:uid="{B572B62B-6924-41B5-9528-C42BE3D70406}"/>
    <hyperlink ref="B792" r:id="rId507" location="bib39" xr:uid="{9AC6FD10-FF30-449B-A642-9C8F76231713}"/>
    <hyperlink ref="B793" r:id="rId508" location="bib39" xr:uid="{34DD6592-CA1F-4476-BD9B-B7F169ADC5AB}"/>
    <hyperlink ref="B794" r:id="rId509" location="bib39" xr:uid="{04D79A38-B5FC-4ACC-85F1-A5254CF63747}"/>
    <hyperlink ref="B795" r:id="rId510" location="bib39" xr:uid="{06D56878-65BB-4868-A490-2888F09192AF}"/>
    <hyperlink ref="B796" r:id="rId511" location="bib39" xr:uid="{18B17B54-1213-4308-BC90-703D4F128F77}"/>
    <hyperlink ref="B797" r:id="rId512" location="bib39" xr:uid="{FAA65160-BDB9-4F31-A8CD-DAE53884ECD1}"/>
    <hyperlink ref="B798" r:id="rId513" location="bib39" xr:uid="{238AAAE4-84D5-4307-A522-BCD82AEA8A08}"/>
    <hyperlink ref="B799" r:id="rId514" location="bib39" xr:uid="{5C2A5C99-0B99-4F39-B805-D1D1C996BE91}"/>
    <hyperlink ref="B800" r:id="rId515" location="bib39" xr:uid="{F0BD5D94-DEA1-4196-ADDB-92A6CBFE5047}"/>
    <hyperlink ref="B801" r:id="rId516" location="bib39" xr:uid="{A474A1CF-3317-4DEB-A137-5F321FA51DAD}"/>
    <hyperlink ref="B802" r:id="rId517" location="bib39" xr:uid="{CFAF10D8-1245-4F05-A846-F6261EF2A7D2}"/>
    <hyperlink ref="B803" r:id="rId518" location="bib39" xr:uid="{4958FAF6-E9A7-4FE2-93CC-D30A54FC7E2D}"/>
    <hyperlink ref="B804" r:id="rId519" location="bib39" xr:uid="{E96F580A-37B6-4198-8299-6627359D7B78}"/>
    <hyperlink ref="B805" r:id="rId520" location="bib39" xr:uid="{3A4CD37D-582B-46CF-8772-6D8DC07E75F2}"/>
    <hyperlink ref="B806" r:id="rId521" location="bib39" xr:uid="{E75EE766-BADB-4A29-A575-7688320356C8}"/>
    <hyperlink ref="B807" r:id="rId522" location="bib39" xr:uid="{865AEC21-BF8B-4EFC-A3EC-865D43D7EA79}"/>
    <hyperlink ref="B808" r:id="rId523" location="bib39" xr:uid="{63FFA3D3-F2A9-44DE-8035-C70236E49227}"/>
    <hyperlink ref="B809" r:id="rId524" xr:uid="{24B31EB3-4FCB-4C85-B7C2-4A3C7B4B7B42}"/>
    <hyperlink ref="B810" r:id="rId525" xr:uid="{6961E279-43F2-4049-A937-372CC18F29FA}"/>
    <hyperlink ref="B811" r:id="rId526" display="Bajocco 2008" xr:uid="{A3360F99-389F-4E2C-A107-C9A8D3DD6A13}"/>
    <hyperlink ref="B812" r:id="rId527" xr:uid="{5E1AE88E-255B-4F45-B862-6C904F9D2A1D}"/>
    <hyperlink ref="B813" r:id="rId528" xr:uid="{65C34978-99FD-4D8B-B4B9-896B303E113C}"/>
    <hyperlink ref="B814" r:id="rId529" xr:uid="{1723F6F7-B6E2-4369-A7CB-3982E83C68B1}"/>
    <hyperlink ref="B815" r:id="rId530" xr:uid="{F306DFAC-6E84-46F7-940A-F483E7147458}"/>
    <hyperlink ref="B816" r:id="rId531" xr:uid="{4CA682DE-8B37-4004-8930-477D13DAACCE}"/>
    <hyperlink ref="B817" r:id="rId532" xr:uid="{37C4D287-F7CB-4CC6-BC4D-2C2D47A9A677}"/>
    <hyperlink ref="B818" r:id="rId533" xr:uid="{CA8FB8DB-268C-4ECC-A7F2-004DEFF69073}"/>
  </hyperlinks>
  <pageMargins left="0.7" right="0.7" top="0.75" bottom="0.75" header="0.3" footer="0.3"/>
  <pageSetup orientation="portrait" r:id="rId534"/>
  <extLst>
    <ext xmlns:x14="http://schemas.microsoft.com/office/spreadsheetml/2009/9/main" uri="{CCE6A557-97BC-4b89-ADB6-D9C93CAAB3DF}">
      <x14:dataValidations xmlns:xm="http://schemas.microsoft.com/office/excel/2006/main" xWindow="1531" yWindow="702" count="3">
        <x14:dataValidation type="list" allowBlank="1" showInputMessage="1" showErrorMessage="1" prompt="One of: Academic, NGO, Government" xr:uid="{073DF15C-33D9-4998-810E-43EF7718177A}">
          <x14:formula1>
            <xm:f>'IGNORE Lookups'!$A$3:$A$6</xm:f>
          </x14:formula1>
          <xm:sqref>D1:D1048576</xm:sqref>
        </x14:dataValidation>
        <x14:dataValidation type="list" allowBlank="1" showInputMessage="1" showErrorMessage="1" xr:uid="{F8B2B011-EE17-4243-94B8-96F63429CB10}">
          <x14:formula1>
            <xm:f>'IGNORE Lookups'!$C$3:$C$6</xm:f>
          </x14:formula1>
          <xm:sqref>O1:O1048576</xm:sqref>
        </x14:dataValidation>
        <x14:dataValidation type="list" allowBlank="1" showInputMessage="1" showErrorMessage="1" prompt="One of: Primary, remote sensing, secondary, review (or combinations). If other, add note. " xr:uid="{59809682-6A9E-4141-9EDC-FE7445F2374B}">
          <x14:formula1>
            <xm:f>'IGNORE Lookups'!$B$3:$B$14</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58273-3A0D-4D5B-8873-DB8C469A1D26}">
  <dimension ref="A1:T816"/>
  <sheetViews>
    <sheetView zoomScale="55" zoomScaleNormal="55" workbookViewId="0">
      <pane ySplit="1" topLeftCell="A2" activePane="bottomLeft" state="frozen"/>
      <selection pane="bottomLeft" activeCell="E6" sqref="E6"/>
    </sheetView>
  </sheetViews>
  <sheetFormatPr defaultRowHeight="14.5"/>
  <cols>
    <col min="1" max="1" width="19.81640625" customWidth="1"/>
    <col min="2" max="2" width="18.1796875" customWidth="1"/>
    <col min="3" max="3" width="27.6328125" customWidth="1"/>
    <col min="4" max="4" width="27.36328125" customWidth="1"/>
    <col min="5" max="5" width="26.90625" customWidth="1"/>
    <col min="6" max="7" width="26.81640625" customWidth="1"/>
    <col min="8" max="8" width="23.1796875" style="15" customWidth="1"/>
    <col min="9" max="9" width="20.08984375" customWidth="1"/>
    <col min="10" max="10" width="18.90625" customWidth="1"/>
    <col min="11" max="11" width="23.7265625" customWidth="1"/>
    <col min="12" max="12" width="29.81640625" customWidth="1"/>
    <col min="13" max="13" width="31.08984375" customWidth="1"/>
    <col min="14" max="14" width="27.36328125" style="15" customWidth="1"/>
    <col min="15" max="15" width="19.36328125" style="15" customWidth="1"/>
    <col min="16" max="16" width="20.54296875" style="15" customWidth="1"/>
    <col min="17" max="18" width="19.36328125" style="15" customWidth="1"/>
    <col min="19" max="19" width="28" style="15" customWidth="1"/>
    <col min="20" max="20" width="85.08984375" customWidth="1"/>
  </cols>
  <sheetData>
    <row r="1" spans="1:20" ht="31.5" thickBot="1">
      <c r="A1" s="1" t="s">
        <v>2296</v>
      </c>
      <c r="B1" s="2" t="s">
        <v>13</v>
      </c>
      <c r="C1" s="16" t="s">
        <v>2311</v>
      </c>
      <c r="D1" s="2" t="s">
        <v>2312</v>
      </c>
      <c r="E1" s="2" t="s">
        <v>2313</v>
      </c>
      <c r="F1" s="2" t="s">
        <v>2314</v>
      </c>
      <c r="G1" s="2" t="s">
        <v>2315</v>
      </c>
      <c r="H1" s="76" t="s">
        <v>14</v>
      </c>
      <c r="I1" s="2" t="s">
        <v>2470</v>
      </c>
      <c r="J1" s="2" t="s">
        <v>78</v>
      </c>
      <c r="K1" s="16" t="s">
        <v>2386</v>
      </c>
      <c r="L1" s="28" t="s">
        <v>65</v>
      </c>
      <c r="M1" s="28" t="s">
        <v>1675</v>
      </c>
      <c r="N1" s="87" t="s">
        <v>2387</v>
      </c>
      <c r="O1" s="87" t="s">
        <v>152</v>
      </c>
      <c r="P1" s="87" t="s">
        <v>153</v>
      </c>
      <c r="Q1" s="87" t="s">
        <v>161</v>
      </c>
      <c r="R1" s="87" t="s">
        <v>154</v>
      </c>
      <c r="S1" s="87" t="s">
        <v>1161</v>
      </c>
      <c r="T1" s="17" t="s">
        <v>0</v>
      </c>
    </row>
    <row r="2" spans="1:20" ht="32" customHeight="1">
      <c r="A2" s="6" t="s">
        <v>15</v>
      </c>
      <c r="B2" s="6" t="s">
        <v>69</v>
      </c>
      <c r="C2" s="6" t="s">
        <v>402</v>
      </c>
      <c r="D2" s="6" t="s">
        <v>45</v>
      </c>
      <c r="E2" s="6" t="s">
        <v>136</v>
      </c>
      <c r="F2" s="6" t="s">
        <v>2308</v>
      </c>
      <c r="G2" s="6" t="s">
        <v>2308</v>
      </c>
      <c r="H2" s="26">
        <v>0.21299999999999999</v>
      </c>
      <c r="I2" s="91" t="s">
        <v>2308</v>
      </c>
      <c r="J2" s="91" t="s">
        <v>2308</v>
      </c>
      <c r="K2" s="91" t="s">
        <v>542</v>
      </c>
      <c r="L2" s="26">
        <v>2.4</v>
      </c>
      <c r="M2" s="26" t="s">
        <v>2308</v>
      </c>
      <c r="N2" s="26" t="s">
        <v>2308</v>
      </c>
      <c r="O2" s="26" t="s">
        <v>2308</v>
      </c>
      <c r="P2" s="26" t="s">
        <v>2308</v>
      </c>
      <c r="Q2" s="26" t="s">
        <v>2308</v>
      </c>
      <c r="R2" s="26" t="s">
        <v>2308</v>
      </c>
      <c r="S2" s="26" t="s">
        <v>2308</v>
      </c>
      <c r="T2" s="6"/>
    </row>
    <row r="3" spans="1:20" ht="37" customHeight="1">
      <c r="A3" s="4" t="s">
        <v>16</v>
      </c>
      <c r="B3" s="4" t="s">
        <v>69</v>
      </c>
      <c r="C3" s="6" t="s">
        <v>402</v>
      </c>
      <c r="D3" s="4" t="s">
        <v>45</v>
      </c>
      <c r="E3" s="10" t="s">
        <v>404</v>
      </c>
      <c r="F3" s="4" t="s">
        <v>2308</v>
      </c>
      <c r="G3" s="4" t="s">
        <v>2308</v>
      </c>
      <c r="H3" s="22">
        <v>0.19</v>
      </c>
      <c r="I3" s="22" t="s">
        <v>2308</v>
      </c>
      <c r="J3" s="22" t="s">
        <v>2308</v>
      </c>
      <c r="K3" s="22"/>
      <c r="L3" s="22" t="s">
        <v>2308</v>
      </c>
      <c r="M3" s="22" t="s">
        <v>2308</v>
      </c>
      <c r="N3" s="22" t="s">
        <v>2308</v>
      </c>
      <c r="O3" s="22" t="s">
        <v>2308</v>
      </c>
      <c r="P3" s="22" t="s">
        <v>2308</v>
      </c>
      <c r="Q3" s="22" t="s">
        <v>2308</v>
      </c>
      <c r="R3" s="22" t="s">
        <v>2308</v>
      </c>
      <c r="S3" s="22" t="s">
        <v>2308</v>
      </c>
      <c r="T3" s="4"/>
    </row>
    <row r="4" spans="1:20" ht="24.5" customHeight="1">
      <c r="A4" s="4" t="s">
        <v>17</v>
      </c>
      <c r="B4" s="4" t="s">
        <v>32</v>
      </c>
      <c r="C4" s="4" t="s">
        <v>12</v>
      </c>
      <c r="D4" s="5" t="s">
        <v>877</v>
      </c>
      <c r="E4" s="4" t="s">
        <v>45</v>
      </c>
      <c r="F4" s="4" t="s">
        <v>2308</v>
      </c>
      <c r="G4" s="4" t="s">
        <v>2308</v>
      </c>
      <c r="H4" s="22">
        <v>0.16</v>
      </c>
      <c r="I4" s="22" t="s">
        <v>2308</v>
      </c>
      <c r="J4" s="22" t="s">
        <v>2308</v>
      </c>
      <c r="K4" s="91" t="s">
        <v>542</v>
      </c>
      <c r="L4" s="22" t="s">
        <v>2308</v>
      </c>
      <c r="M4" s="22" t="s">
        <v>2308</v>
      </c>
      <c r="N4" s="22" t="s">
        <v>2308</v>
      </c>
      <c r="O4" s="22" t="s">
        <v>2308</v>
      </c>
      <c r="P4" s="22" t="s">
        <v>2308</v>
      </c>
      <c r="Q4" s="22" t="s">
        <v>2308</v>
      </c>
      <c r="R4" s="22" t="s">
        <v>2308</v>
      </c>
      <c r="S4" s="22" t="s">
        <v>2308</v>
      </c>
      <c r="T4" s="4"/>
    </row>
    <row r="5" spans="1:20" ht="31.5" customHeight="1">
      <c r="A5" s="4" t="s">
        <v>18</v>
      </c>
      <c r="B5" s="4" t="s">
        <v>70</v>
      </c>
      <c r="C5" s="4" t="s">
        <v>12</v>
      </c>
      <c r="D5" s="5" t="s">
        <v>404</v>
      </c>
      <c r="E5" s="4" t="s">
        <v>45</v>
      </c>
      <c r="F5" s="4" t="s">
        <v>2308</v>
      </c>
      <c r="G5" s="4" t="s">
        <v>2308</v>
      </c>
      <c r="H5" s="22">
        <v>0.62</v>
      </c>
      <c r="I5" s="22" t="s">
        <v>2308</v>
      </c>
      <c r="J5" s="22" t="s">
        <v>2308</v>
      </c>
      <c r="K5" s="22"/>
      <c r="L5" s="22" t="s">
        <v>2308</v>
      </c>
      <c r="M5" s="22" t="s">
        <v>2308</v>
      </c>
      <c r="N5" s="22" t="s">
        <v>2308</v>
      </c>
      <c r="O5" s="22" t="s">
        <v>2308</v>
      </c>
      <c r="P5" s="22" t="s">
        <v>2308</v>
      </c>
      <c r="Q5" s="22" t="s">
        <v>2308</v>
      </c>
      <c r="R5" s="22" t="s">
        <v>2308</v>
      </c>
      <c r="S5" s="22" t="s">
        <v>2308</v>
      </c>
      <c r="T5" s="4"/>
    </row>
    <row r="6" spans="1:20" ht="26" customHeight="1">
      <c r="A6" s="4" t="s">
        <v>19</v>
      </c>
      <c r="B6" s="4" t="s">
        <v>69</v>
      </c>
      <c r="C6" s="4" t="s">
        <v>12</v>
      </c>
      <c r="D6" s="4" t="s">
        <v>45</v>
      </c>
      <c r="E6" s="4" t="s">
        <v>143</v>
      </c>
      <c r="F6" s="4" t="s">
        <v>2308</v>
      </c>
      <c r="G6" s="4" t="s">
        <v>2308</v>
      </c>
      <c r="H6" s="22">
        <v>0.24299999999999999</v>
      </c>
      <c r="I6" s="22" t="s">
        <v>2308</v>
      </c>
      <c r="J6" s="22" t="s">
        <v>2308</v>
      </c>
      <c r="K6" s="22"/>
      <c r="L6" s="22" t="s">
        <v>2308</v>
      </c>
      <c r="M6" s="22" t="s">
        <v>2308</v>
      </c>
      <c r="N6" s="22" t="s">
        <v>2308</v>
      </c>
      <c r="O6" s="22" t="s">
        <v>2308</v>
      </c>
      <c r="P6" s="22" t="s">
        <v>2308</v>
      </c>
      <c r="Q6" s="22" t="s">
        <v>2308</v>
      </c>
      <c r="R6" s="22" t="s">
        <v>2308</v>
      </c>
      <c r="S6" s="22" t="s">
        <v>2308</v>
      </c>
      <c r="T6" s="4"/>
    </row>
    <row r="7" spans="1:20" ht="31" customHeight="1">
      <c r="A7" s="9" t="s">
        <v>71</v>
      </c>
      <c r="B7" s="9" t="s">
        <v>69</v>
      </c>
      <c r="C7" s="9" t="s">
        <v>402</v>
      </c>
      <c r="D7" s="10" t="s">
        <v>404</v>
      </c>
      <c r="E7" s="9" t="s">
        <v>2308</v>
      </c>
      <c r="F7" s="9" t="s">
        <v>2308</v>
      </c>
      <c r="G7" s="9" t="s">
        <v>2308</v>
      </c>
      <c r="H7" s="77" t="s">
        <v>2308</v>
      </c>
      <c r="I7" s="77">
        <v>0.625</v>
      </c>
      <c r="J7" s="77">
        <v>0.75</v>
      </c>
      <c r="K7" s="77"/>
      <c r="L7" s="77" t="s">
        <v>2308</v>
      </c>
      <c r="M7" s="77" t="s">
        <v>2308</v>
      </c>
      <c r="N7" s="77" t="s">
        <v>2308</v>
      </c>
      <c r="O7" s="77" t="s">
        <v>2308</v>
      </c>
      <c r="P7" s="77" t="s">
        <v>2308</v>
      </c>
      <c r="Q7" s="77" t="s">
        <v>2308</v>
      </c>
      <c r="R7" s="77" t="s">
        <v>2308</v>
      </c>
      <c r="S7" s="77" t="s">
        <v>2308</v>
      </c>
      <c r="T7" s="4"/>
    </row>
    <row r="8" spans="1:20" ht="29">
      <c r="A8" s="4" t="s">
        <v>81</v>
      </c>
      <c r="B8" s="4" t="s">
        <v>70</v>
      </c>
      <c r="C8" s="4" t="s">
        <v>12</v>
      </c>
      <c r="D8" s="5" t="s">
        <v>403</v>
      </c>
      <c r="E8" s="5" t="s">
        <v>404</v>
      </c>
      <c r="F8" s="4" t="s">
        <v>2308</v>
      </c>
      <c r="G8" s="4" t="s">
        <v>2308</v>
      </c>
      <c r="H8" s="22" t="s">
        <v>2308</v>
      </c>
      <c r="I8" s="22" t="s">
        <v>2308</v>
      </c>
      <c r="J8" s="22" t="s">
        <v>2308</v>
      </c>
      <c r="K8" s="22"/>
      <c r="L8" s="22" t="s">
        <v>2308</v>
      </c>
      <c r="M8" s="22" t="s">
        <v>2308</v>
      </c>
      <c r="N8" s="22" t="s">
        <v>2308</v>
      </c>
      <c r="O8" s="22" t="s">
        <v>2308</v>
      </c>
      <c r="P8" s="22" t="s">
        <v>2308</v>
      </c>
      <c r="Q8" s="22" t="s">
        <v>2308</v>
      </c>
      <c r="R8" s="22" t="s">
        <v>2308</v>
      </c>
      <c r="S8" s="22" t="s">
        <v>2308</v>
      </c>
      <c r="T8" s="4"/>
    </row>
    <row r="9" spans="1:20" ht="29">
      <c r="A9" s="32" t="s">
        <v>227</v>
      </c>
      <c r="B9" s="4" t="s">
        <v>70</v>
      </c>
      <c r="C9" s="4" t="s">
        <v>12</v>
      </c>
      <c r="D9" s="5" t="s">
        <v>403</v>
      </c>
      <c r="E9" s="5" t="s">
        <v>404</v>
      </c>
      <c r="F9" s="4" t="s">
        <v>2308</v>
      </c>
      <c r="G9" s="4" t="s">
        <v>2308</v>
      </c>
      <c r="H9" s="22" t="s">
        <v>2308</v>
      </c>
      <c r="I9" s="22" t="s">
        <v>2308</v>
      </c>
      <c r="J9" s="22" t="s">
        <v>2308</v>
      </c>
      <c r="K9" s="22"/>
      <c r="L9" s="22" t="s">
        <v>2308</v>
      </c>
      <c r="M9" s="22" t="s">
        <v>2308</v>
      </c>
      <c r="N9" s="22" t="s">
        <v>2308</v>
      </c>
      <c r="O9" s="22" t="s">
        <v>2308</v>
      </c>
      <c r="P9" s="22">
        <v>4.4253244399999998</v>
      </c>
      <c r="Q9" s="22" t="s">
        <v>2308</v>
      </c>
      <c r="R9" s="22" t="s">
        <v>2308</v>
      </c>
      <c r="S9" s="22" t="s">
        <v>2308</v>
      </c>
      <c r="T9" s="4"/>
    </row>
    <row r="10" spans="1:20" ht="29">
      <c r="A10" s="32" t="s">
        <v>228</v>
      </c>
      <c r="B10" s="4" t="s">
        <v>70</v>
      </c>
      <c r="C10" s="4" t="s">
        <v>12</v>
      </c>
      <c r="D10" s="5" t="s">
        <v>403</v>
      </c>
      <c r="E10" s="5" t="s">
        <v>404</v>
      </c>
      <c r="F10" s="4" t="s">
        <v>2308</v>
      </c>
      <c r="G10" s="4" t="s">
        <v>2308</v>
      </c>
      <c r="H10" s="22" t="s">
        <v>2308</v>
      </c>
      <c r="I10" s="22" t="s">
        <v>2308</v>
      </c>
      <c r="J10" s="22" t="s">
        <v>2308</v>
      </c>
      <c r="K10" s="22"/>
      <c r="L10" s="22" t="s">
        <v>2308</v>
      </c>
      <c r="M10" s="22" t="s">
        <v>2308</v>
      </c>
      <c r="N10" s="22" t="s">
        <v>2308</v>
      </c>
      <c r="O10" s="22" t="s">
        <v>2308</v>
      </c>
      <c r="P10" s="22">
        <v>17.827365879999999</v>
      </c>
      <c r="Q10" s="22" t="s">
        <v>2308</v>
      </c>
      <c r="R10" s="22" t="s">
        <v>2308</v>
      </c>
      <c r="S10" s="22" t="s">
        <v>2308</v>
      </c>
      <c r="T10" s="4"/>
    </row>
    <row r="11" spans="1:20" ht="29">
      <c r="A11" s="32" t="s">
        <v>229</v>
      </c>
      <c r="B11" s="4" t="s">
        <v>70</v>
      </c>
      <c r="C11" s="4" t="s">
        <v>12</v>
      </c>
      <c r="D11" s="5" t="s">
        <v>403</v>
      </c>
      <c r="E11" s="5" t="s">
        <v>404</v>
      </c>
      <c r="F11" s="4" t="s">
        <v>2308</v>
      </c>
      <c r="G11" s="4" t="s">
        <v>2308</v>
      </c>
      <c r="H11" s="22" t="s">
        <v>2308</v>
      </c>
      <c r="I11" s="22" t="s">
        <v>2308</v>
      </c>
      <c r="J11" s="22" t="s">
        <v>2308</v>
      </c>
      <c r="K11" s="22"/>
      <c r="L11" s="22" t="s">
        <v>2308</v>
      </c>
      <c r="M11" s="22" t="s">
        <v>2308</v>
      </c>
      <c r="N11" s="22" t="s">
        <v>2308</v>
      </c>
      <c r="O11" s="22" t="s">
        <v>2308</v>
      </c>
      <c r="P11" s="22">
        <v>1.58874859</v>
      </c>
      <c r="Q11" s="22" t="s">
        <v>2308</v>
      </c>
      <c r="R11" s="22" t="s">
        <v>2308</v>
      </c>
      <c r="S11" s="22" t="s">
        <v>2308</v>
      </c>
      <c r="T11" s="4"/>
    </row>
    <row r="12" spans="1:20" ht="29">
      <c r="A12" s="32" t="s">
        <v>230</v>
      </c>
      <c r="B12" s="4" t="s">
        <v>70</v>
      </c>
      <c r="C12" s="4" t="s">
        <v>12</v>
      </c>
      <c r="D12" s="5" t="s">
        <v>403</v>
      </c>
      <c r="E12" s="5" t="s">
        <v>404</v>
      </c>
      <c r="F12" s="4" t="s">
        <v>2308</v>
      </c>
      <c r="G12" s="4" t="s">
        <v>2308</v>
      </c>
      <c r="H12" s="22" t="s">
        <v>2308</v>
      </c>
      <c r="I12" s="22" t="s">
        <v>2308</v>
      </c>
      <c r="J12" s="22" t="s">
        <v>2308</v>
      </c>
      <c r="K12" s="22"/>
      <c r="L12" s="22" t="s">
        <v>2308</v>
      </c>
      <c r="M12" s="22" t="s">
        <v>2308</v>
      </c>
      <c r="N12" s="22" t="s">
        <v>2308</v>
      </c>
      <c r="O12" s="22" t="s">
        <v>2308</v>
      </c>
      <c r="P12" s="22">
        <v>2.7670798799999998</v>
      </c>
      <c r="Q12" s="22" t="s">
        <v>2308</v>
      </c>
      <c r="R12" s="22" t="s">
        <v>2308</v>
      </c>
      <c r="S12" s="22" t="s">
        <v>2308</v>
      </c>
      <c r="T12" s="4"/>
    </row>
    <row r="13" spans="1:20" ht="29">
      <c r="A13" s="32" t="s">
        <v>231</v>
      </c>
      <c r="B13" s="4" t="s">
        <v>70</v>
      </c>
      <c r="C13" s="4" t="s">
        <v>12</v>
      </c>
      <c r="D13" s="5" t="s">
        <v>403</v>
      </c>
      <c r="E13" s="5" t="s">
        <v>404</v>
      </c>
      <c r="F13" s="4" t="s">
        <v>2308</v>
      </c>
      <c r="G13" s="4" t="s">
        <v>2308</v>
      </c>
      <c r="H13" s="22" t="s">
        <v>2308</v>
      </c>
      <c r="I13" s="22" t="s">
        <v>2308</v>
      </c>
      <c r="J13" s="22" t="s">
        <v>2308</v>
      </c>
      <c r="K13" s="22"/>
      <c r="L13" s="22" t="s">
        <v>2308</v>
      </c>
      <c r="M13" s="22" t="s">
        <v>2308</v>
      </c>
      <c r="N13" s="22" t="s">
        <v>2308</v>
      </c>
      <c r="O13" s="22" t="s">
        <v>2308</v>
      </c>
      <c r="P13" s="22">
        <v>8.1162507099999992</v>
      </c>
      <c r="Q13" s="22" t="s">
        <v>2308</v>
      </c>
      <c r="R13" s="22" t="s">
        <v>2308</v>
      </c>
      <c r="S13" s="22" t="s">
        <v>2308</v>
      </c>
      <c r="T13" s="4"/>
    </row>
    <row r="14" spans="1:20" ht="29">
      <c r="A14" s="32" t="s">
        <v>263</v>
      </c>
      <c r="B14" s="4" t="s">
        <v>70</v>
      </c>
      <c r="C14" s="4" t="s">
        <v>12</v>
      </c>
      <c r="D14" s="5" t="s">
        <v>403</v>
      </c>
      <c r="E14" s="5" t="s">
        <v>404</v>
      </c>
      <c r="F14" s="4" t="s">
        <v>2308</v>
      </c>
      <c r="G14" s="4" t="s">
        <v>2308</v>
      </c>
      <c r="H14" s="22" t="s">
        <v>2308</v>
      </c>
      <c r="I14" s="22" t="s">
        <v>2308</v>
      </c>
      <c r="J14" s="22" t="s">
        <v>2308</v>
      </c>
      <c r="K14" s="22"/>
      <c r="L14" s="22" t="s">
        <v>2308</v>
      </c>
      <c r="M14" s="22" t="s">
        <v>2308</v>
      </c>
      <c r="N14" s="22" t="s">
        <v>2308</v>
      </c>
      <c r="O14" s="22" t="s">
        <v>2308</v>
      </c>
      <c r="P14" s="22">
        <v>8.1516353800000001</v>
      </c>
      <c r="Q14" s="22" t="s">
        <v>2308</v>
      </c>
      <c r="R14" s="22" t="s">
        <v>2308</v>
      </c>
      <c r="S14" s="22" t="s">
        <v>2308</v>
      </c>
      <c r="T14" s="4"/>
    </row>
    <row r="15" spans="1:20" ht="29">
      <c r="A15" s="32" t="s">
        <v>264</v>
      </c>
      <c r="B15" s="4" t="s">
        <v>70</v>
      </c>
      <c r="C15" s="4" t="s">
        <v>12</v>
      </c>
      <c r="D15" s="5" t="s">
        <v>403</v>
      </c>
      <c r="E15" s="5" t="s">
        <v>404</v>
      </c>
      <c r="F15" s="4" t="s">
        <v>2308</v>
      </c>
      <c r="G15" s="4" t="s">
        <v>2308</v>
      </c>
      <c r="H15" s="22" t="s">
        <v>2308</v>
      </c>
      <c r="I15" s="22" t="s">
        <v>2308</v>
      </c>
      <c r="J15" s="22" t="s">
        <v>2308</v>
      </c>
      <c r="K15" s="22"/>
      <c r="L15" s="22" t="s">
        <v>2308</v>
      </c>
      <c r="M15" s="22" t="s">
        <v>2308</v>
      </c>
      <c r="N15" s="22" t="s">
        <v>2308</v>
      </c>
      <c r="O15" s="22" t="s">
        <v>2308</v>
      </c>
      <c r="P15" s="22">
        <v>5.7751888899999999</v>
      </c>
      <c r="Q15" s="22" t="s">
        <v>2308</v>
      </c>
      <c r="R15" s="22" t="s">
        <v>2308</v>
      </c>
      <c r="S15" s="22" t="s">
        <v>2308</v>
      </c>
      <c r="T15" s="4"/>
    </row>
    <row r="16" spans="1:20" ht="29">
      <c r="A16" s="32" t="s">
        <v>265</v>
      </c>
      <c r="B16" s="4" t="s">
        <v>70</v>
      </c>
      <c r="C16" s="4" t="s">
        <v>12</v>
      </c>
      <c r="D16" s="5" t="s">
        <v>403</v>
      </c>
      <c r="E16" s="5" t="s">
        <v>404</v>
      </c>
      <c r="F16" s="4" t="s">
        <v>2308</v>
      </c>
      <c r="G16" s="4" t="s">
        <v>2308</v>
      </c>
      <c r="H16" s="22" t="s">
        <v>2308</v>
      </c>
      <c r="I16" s="22" t="s">
        <v>2308</v>
      </c>
      <c r="J16" s="22" t="s">
        <v>2308</v>
      </c>
      <c r="K16" s="22"/>
      <c r="L16" s="22" t="s">
        <v>2308</v>
      </c>
      <c r="M16" s="22" t="s">
        <v>2308</v>
      </c>
      <c r="N16" s="22" t="s">
        <v>2308</v>
      </c>
      <c r="O16" s="22" t="s">
        <v>2308</v>
      </c>
      <c r="P16" s="22">
        <v>2.7205620599999998</v>
      </c>
      <c r="Q16" s="22" t="s">
        <v>2308</v>
      </c>
      <c r="R16" s="22" t="s">
        <v>2308</v>
      </c>
      <c r="S16" s="22" t="s">
        <v>2308</v>
      </c>
      <c r="T16" s="4"/>
    </row>
    <row r="17" spans="1:20" ht="29">
      <c r="A17" s="32" t="s">
        <v>266</v>
      </c>
      <c r="B17" s="4" t="s">
        <v>70</v>
      </c>
      <c r="C17" s="4" t="s">
        <v>12</v>
      </c>
      <c r="D17" s="5" t="s">
        <v>403</v>
      </c>
      <c r="E17" s="5" t="s">
        <v>404</v>
      </c>
      <c r="F17" s="4" t="s">
        <v>2308</v>
      </c>
      <c r="G17" s="4" t="s">
        <v>2308</v>
      </c>
      <c r="H17" s="22" t="s">
        <v>2308</v>
      </c>
      <c r="I17" s="22" t="s">
        <v>2308</v>
      </c>
      <c r="J17" s="22" t="s">
        <v>2308</v>
      </c>
      <c r="K17" s="22"/>
      <c r="L17" s="22" t="s">
        <v>2308</v>
      </c>
      <c r="M17" s="22" t="s">
        <v>2308</v>
      </c>
      <c r="N17" s="22" t="s">
        <v>2308</v>
      </c>
      <c r="O17" s="22" t="s">
        <v>2308</v>
      </c>
      <c r="P17" s="22">
        <v>5.3150830899999999</v>
      </c>
      <c r="Q17" s="22" t="s">
        <v>2308</v>
      </c>
      <c r="R17" s="22" t="s">
        <v>2308</v>
      </c>
      <c r="S17" s="22" t="s">
        <v>2308</v>
      </c>
      <c r="T17" s="4"/>
    </row>
    <row r="18" spans="1:20" ht="29">
      <c r="A18" s="32" t="s">
        <v>267</v>
      </c>
      <c r="B18" s="4" t="s">
        <v>70</v>
      </c>
      <c r="C18" s="4" t="s">
        <v>12</v>
      </c>
      <c r="D18" s="5" t="s">
        <v>403</v>
      </c>
      <c r="E18" s="5" t="s">
        <v>404</v>
      </c>
      <c r="F18" s="4" t="s">
        <v>2308</v>
      </c>
      <c r="G18" s="4" t="s">
        <v>2308</v>
      </c>
      <c r="H18" s="22" t="s">
        <v>2308</v>
      </c>
      <c r="I18" s="22" t="s">
        <v>2308</v>
      </c>
      <c r="J18" s="22" t="s">
        <v>2308</v>
      </c>
      <c r="K18" s="22"/>
      <c r="L18" s="22" t="s">
        <v>2308</v>
      </c>
      <c r="M18" s="22" t="s">
        <v>2308</v>
      </c>
      <c r="N18" s="22" t="s">
        <v>2308</v>
      </c>
      <c r="O18" s="22" t="s">
        <v>2308</v>
      </c>
      <c r="P18" s="22">
        <v>1.5442003</v>
      </c>
      <c r="Q18" s="22" t="s">
        <v>2308</v>
      </c>
      <c r="R18" s="22" t="s">
        <v>2308</v>
      </c>
      <c r="S18" s="22" t="s">
        <v>2308</v>
      </c>
      <c r="T18" s="4"/>
    </row>
    <row r="19" spans="1:20" ht="29">
      <c r="A19" s="32" t="s">
        <v>268</v>
      </c>
      <c r="B19" s="4" t="s">
        <v>70</v>
      </c>
      <c r="C19" s="4" t="s">
        <v>12</v>
      </c>
      <c r="D19" s="5" t="s">
        <v>403</v>
      </c>
      <c r="E19" s="5" t="s">
        <v>404</v>
      </c>
      <c r="F19" s="4" t="s">
        <v>2308</v>
      </c>
      <c r="G19" s="4" t="s">
        <v>2308</v>
      </c>
      <c r="H19" s="22" t="s">
        <v>2308</v>
      </c>
      <c r="I19" s="22" t="s">
        <v>2308</v>
      </c>
      <c r="J19" s="22" t="s">
        <v>2308</v>
      </c>
      <c r="K19" s="22"/>
      <c r="L19" s="22" t="s">
        <v>2308</v>
      </c>
      <c r="M19" s="22" t="s">
        <v>2308</v>
      </c>
      <c r="N19" s="22" t="s">
        <v>2308</v>
      </c>
      <c r="O19" s="22" t="s">
        <v>2308</v>
      </c>
      <c r="P19" s="22">
        <v>24.43275843</v>
      </c>
      <c r="Q19" s="22" t="s">
        <v>2308</v>
      </c>
      <c r="R19" s="22" t="s">
        <v>2308</v>
      </c>
      <c r="S19" s="22" t="s">
        <v>2308</v>
      </c>
      <c r="T19" s="4"/>
    </row>
    <row r="20" spans="1:20" ht="29">
      <c r="A20" s="32" t="s">
        <v>269</v>
      </c>
      <c r="B20" s="4" t="s">
        <v>70</v>
      </c>
      <c r="C20" s="4" t="s">
        <v>12</v>
      </c>
      <c r="D20" s="5" t="s">
        <v>403</v>
      </c>
      <c r="E20" s="5" t="s">
        <v>404</v>
      </c>
      <c r="F20" s="4" t="s">
        <v>2308</v>
      </c>
      <c r="G20" s="4" t="s">
        <v>2308</v>
      </c>
      <c r="H20" s="22" t="s">
        <v>2308</v>
      </c>
      <c r="I20" s="22" t="s">
        <v>2308</v>
      </c>
      <c r="J20" s="22" t="s">
        <v>2308</v>
      </c>
      <c r="K20" s="22"/>
      <c r="L20" s="22" t="s">
        <v>2308</v>
      </c>
      <c r="M20" s="22" t="s">
        <v>2308</v>
      </c>
      <c r="N20" s="22" t="s">
        <v>2308</v>
      </c>
      <c r="O20" s="22" t="s">
        <v>2308</v>
      </c>
      <c r="P20" s="22">
        <v>21.25767566</v>
      </c>
      <c r="Q20" s="22" t="s">
        <v>2308</v>
      </c>
      <c r="R20" s="22" t="s">
        <v>2308</v>
      </c>
      <c r="S20" s="22" t="s">
        <v>2308</v>
      </c>
      <c r="T20" s="4"/>
    </row>
    <row r="21" spans="1:20" ht="29">
      <c r="A21" s="32" t="s">
        <v>270</v>
      </c>
      <c r="B21" s="4" t="s">
        <v>70</v>
      </c>
      <c r="C21" s="4" t="s">
        <v>12</v>
      </c>
      <c r="D21" s="5" t="s">
        <v>403</v>
      </c>
      <c r="E21" s="5" t="s">
        <v>404</v>
      </c>
      <c r="F21" s="4" t="s">
        <v>2308</v>
      </c>
      <c r="G21" s="4" t="s">
        <v>2308</v>
      </c>
      <c r="H21" s="22" t="s">
        <v>2308</v>
      </c>
      <c r="I21" s="22" t="s">
        <v>2308</v>
      </c>
      <c r="J21" s="22" t="s">
        <v>2308</v>
      </c>
      <c r="K21" s="22"/>
      <c r="L21" s="22" t="s">
        <v>2308</v>
      </c>
      <c r="M21" s="22" t="s">
        <v>2308</v>
      </c>
      <c r="N21" s="22" t="s">
        <v>2308</v>
      </c>
      <c r="O21" s="22" t="s">
        <v>2308</v>
      </c>
      <c r="P21" s="22">
        <v>8.05191093</v>
      </c>
      <c r="Q21" s="22" t="s">
        <v>2308</v>
      </c>
      <c r="R21" s="22" t="s">
        <v>2308</v>
      </c>
      <c r="S21" s="22" t="s">
        <v>2308</v>
      </c>
      <c r="T21" s="4"/>
    </row>
    <row r="22" spans="1:20" ht="29">
      <c r="A22" s="32" t="s">
        <v>271</v>
      </c>
      <c r="B22" s="4" t="s">
        <v>70</v>
      </c>
      <c r="C22" s="4" t="s">
        <v>12</v>
      </c>
      <c r="D22" s="5" t="s">
        <v>403</v>
      </c>
      <c r="E22" s="5" t="s">
        <v>404</v>
      </c>
      <c r="F22" s="4" t="s">
        <v>2308</v>
      </c>
      <c r="G22" s="4" t="s">
        <v>2308</v>
      </c>
      <c r="H22" s="22" t="s">
        <v>2308</v>
      </c>
      <c r="I22" s="22" t="s">
        <v>2308</v>
      </c>
      <c r="J22" s="22" t="s">
        <v>2308</v>
      </c>
      <c r="K22" s="22"/>
      <c r="L22" s="22" t="s">
        <v>2308</v>
      </c>
      <c r="M22" s="22" t="s">
        <v>2308</v>
      </c>
      <c r="N22" s="22" t="s">
        <v>2308</v>
      </c>
      <c r="O22" s="22" t="s">
        <v>2308</v>
      </c>
      <c r="P22" s="22">
        <v>14.56204236</v>
      </c>
      <c r="Q22" s="22" t="s">
        <v>2308</v>
      </c>
      <c r="R22" s="22" t="s">
        <v>2308</v>
      </c>
      <c r="S22" s="22" t="s">
        <v>2308</v>
      </c>
      <c r="T22" s="4"/>
    </row>
    <row r="23" spans="1:20" ht="29">
      <c r="A23" s="32" t="s">
        <v>272</v>
      </c>
      <c r="B23" s="4" t="s">
        <v>70</v>
      </c>
      <c r="C23" s="4" t="s">
        <v>12</v>
      </c>
      <c r="D23" s="5" t="s">
        <v>403</v>
      </c>
      <c r="E23" s="5" t="s">
        <v>404</v>
      </c>
      <c r="F23" s="4" t="s">
        <v>2308</v>
      </c>
      <c r="G23" s="4" t="s">
        <v>2308</v>
      </c>
      <c r="H23" s="22" t="s">
        <v>2308</v>
      </c>
      <c r="I23" s="22" t="s">
        <v>2308</v>
      </c>
      <c r="J23" s="22" t="s">
        <v>2308</v>
      </c>
      <c r="K23" s="22"/>
      <c r="L23" s="22" t="s">
        <v>2308</v>
      </c>
      <c r="M23" s="22" t="s">
        <v>2308</v>
      </c>
      <c r="N23" s="22" t="s">
        <v>2308</v>
      </c>
      <c r="O23" s="22" t="s">
        <v>2308</v>
      </c>
      <c r="P23" s="22">
        <v>7.4631208300000003</v>
      </c>
      <c r="Q23" s="22" t="s">
        <v>2308</v>
      </c>
      <c r="R23" s="22" t="s">
        <v>2308</v>
      </c>
      <c r="S23" s="22" t="s">
        <v>2308</v>
      </c>
      <c r="T23" s="4"/>
    </row>
    <row r="24" spans="1:20" ht="29">
      <c r="A24" s="32" t="s">
        <v>273</v>
      </c>
      <c r="B24" s="4" t="s">
        <v>70</v>
      </c>
      <c r="C24" s="4" t="s">
        <v>12</v>
      </c>
      <c r="D24" s="5" t="s">
        <v>403</v>
      </c>
      <c r="E24" s="5" t="s">
        <v>404</v>
      </c>
      <c r="F24" s="4" t="s">
        <v>2308</v>
      </c>
      <c r="G24" s="4" t="s">
        <v>2308</v>
      </c>
      <c r="H24" s="22" t="s">
        <v>2308</v>
      </c>
      <c r="I24" s="22" t="s">
        <v>2308</v>
      </c>
      <c r="J24" s="22" t="s">
        <v>2308</v>
      </c>
      <c r="K24" s="22"/>
      <c r="L24" s="22" t="s">
        <v>2308</v>
      </c>
      <c r="M24" s="22" t="s">
        <v>2308</v>
      </c>
      <c r="N24" s="22" t="s">
        <v>2308</v>
      </c>
      <c r="O24" s="22" t="s">
        <v>2308</v>
      </c>
      <c r="P24" s="22">
        <v>12.622747840000001</v>
      </c>
      <c r="Q24" s="22" t="s">
        <v>2308</v>
      </c>
      <c r="R24" s="22" t="s">
        <v>2308</v>
      </c>
      <c r="S24" s="22" t="s">
        <v>2308</v>
      </c>
      <c r="T24" s="4"/>
    </row>
    <row r="25" spans="1:20" ht="29">
      <c r="A25" s="32" t="s">
        <v>274</v>
      </c>
      <c r="B25" s="4" t="s">
        <v>70</v>
      </c>
      <c r="C25" s="4" t="s">
        <v>12</v>
      </c>
      <c r="D25" s="5" t="s">
        <v>403</v>
      </c>
      <c r="E25" s="5" t="s">
        <v>404</v>
      </c>
      <c r="F25" s="4" t="s">
        <v>2308</v>
      </c>
      <c r="G25" s="4" t="s">
        <v>2308</v>
      </c>
      <c r="H25" s="22" t="s">
        <v>2308</v>
      </c>
      <c r="I25" s="22" t="s">
        <v>2308</v>
      </c>
      <c r="J25" s="22" t="s">
        <v>2308</v>
      </c>
      <c r="K25" s="22"/>
      <c r="L25" s="22" t="s">
        <v>2308</v>
      </c>
      <c r="M25" s="22" t="s">
        <v>2308</v>
      </c>
      <c r="N25" s="22" t="s">
        <v>2308</v>
      </c>
      <c r="O25" s="22" t="s">
        <v>2308</v>
      </c>
      <c r="P25" s="22">
        <v>19.62538618</v>
      </c>
      <c r="Q25" s="22" t="s">
        <v>2308</v>
      </c>
      <c r="R25" s="22" t="s">
        <v>2308</v>
      </c>
      <c r="S25" s="22" t="s">
        <v>2308</v>
      </c>
      <c r="T25" s="4"/>
    </row>
    <row r="26" spans="1:20" ht="29">
      <c r="A26" s="32" t="s">
        <v>275</v>
      </c>
      <c r="B26" s="4" t="s">
        <v>70</v>
      </c>
      <c r="C26" s="4" t="s">
        <v>12</v>
      </c>
      <c r="D26" s="5" t="s">
        <v>403</v>
      </c>
      <c r="E26" s="5" t="s">
        <v>404</v>
      </c>
      <c r="F26" s="4" t="s">
        <v>2308</v>
      </c>
      <c r="G26" s="4" t="s">
        <v>2308</v>
      </c>
      <c r="H26" s="22" t="s">
        <v>2308</v>
      </c>
      <c r="I26" s="22" t="s">
        <v>2308</v>
      </c>
      <c r="J26" s="22" t="s">
        <v>2308</v>
      </c>
      <c r="K26" s="22"/>
      <c r="L26" s="22" t="s">
        <v>2308</v>
      </c>
      <c r="M26" s="22" t="s">
        <v>2308</v>
      </c>
      <c r="N26" s="22" t="s">
        <v>2308</v>
      </c>
      <c r="O26" s="22" t="s">
        <v>2308</v>
      </c>
      <c r="P26" s="22">
        <v>12.683202769999999</v>
      </c>
      <c r="Q26" s="22" t="s">
        <v>2308</v>
      </c>
      <c r="R26" s="22" t="s">
        <v>2308</v>
      </c>
      <c r="S26" s="22" t="s">
        <v>2308</v>
      </c>
      <c r="T26" s="4"/>
    </row>
    <row r="27" spans="1:20" ht="29">
      <c r="A27" s="32" t="s">
        <v>276</v>
      </c>
      <c r="B27" s="4" t="s">
        <v>70</v>
      </c>
      <c r="C27" s="4" t="s">
        <v>12</v>
      </c>
      <c r="D27" s="5" t="s">
        <v>403</v>
      </c>
      <c r="E27" s="5" t="s">
        <v>404</v>
      </c>
      <c r="F27" s="4" t="s">
        <v>2308</v>
      </c>
      <c r="G27" s="4" t="s">
        <v>2308</v>
      </c>
      <c r="H27" s="22" t="s">
        <v>2308</v>
      </c>
      <c r="I27" s="22" t="s">
        <v>2308</v>
      </c>
      <c r="J27" s="22" t="s">
        <v>2308</v>
      </c>
      <c r="K27" s="22"/>
      <c r="L27" s="22" t="s">
        <v>2308</v>
      </c>
      <c r="M27" s="22" t="s">
        <v>2308</v>
      </c>
      <c r="N27" s="22" t="s">
        <v>2308</v>
      </c>
      <c r="O27" s="22" t="s">
        <v>2308</v>
      </c>
      <c r="P27" s="22">
        <v>12.41278273</v>
      </c>
      <c r="Q27" s="22" t="s">
        <v>2308</v>
      </c>
      <c r="R27" s="22" t="s">
        <v>2308</v>
      </c>
      <c r="S27" s="22" t="s">
        <v>2308</v>
      </c>
      <c r="T27" s="4"/>
    </row>
    <row r="28" spans="1:20" ht="29">
      <c r="A28" s="32" t="s">
        <v>277</v>
      </c>
      <c r="B28" s="4" t="s">
        <v>70</v>
      </c>
      <c r="C28" s="4" t="s">
        <v>12</v>
      </c>
      <c r="D28" s="5" t="s">
        <v>403</v>
      </c>
      <c r="E28" s="5" t="s">
        <v>404</v>
      </c>
      <c r="F28" s="4" t="s">
        <v>2308</v>
      </c>
      <c r="G28" s="4" t="s">
        <v>2308</v>
      </c>
      <c r="H28" s="22" t="s">
        <v>2308</v>
      </c>
      <c r="I28" s="22" t="s">
        <v>2308</v>
      </c>
      <c r="J28" s="22" t="s">
        <v>2308</v>
      </c>
      <c r="K28" s="22"/>
      <c r="L28" s="22" t="s">
        <v>2308</v>
      </c>
      <c r="M28" s="22" t="s">
        <v>2308</v>
      </c>
      <c r="N28" s="22" t="s">
        <v>2308</v>
      </c>
      <c r="O28" s="22" t="s">
        <v>2308</v>
      </c>
      <c r="P28" s="22">
        <v>4.94039363</v>
      </c>
      <c r="Q28" s="22" t="s">
        <v>2308</v>
      </c>
      <c r="R28" s="22" t="s">
        <v>2308</v>
      </c>
      <c r="S28" s="22" t="s">
        <v>2308</v>
      </c>
      <c r="T28" s="4"/>
    </row>
    <row r="29" spans="1:20" ht="29">
      <c r="A29" s="32" t="s">
        <v>278</v>
      </c>
      <c r="B29" s="4" t="s">
        <v>70</v>
      </c>
      <c r="C29" s="4" t="s">
        <v>12</v>
      </c>
      <c r="D29" s="5" t="s">
        <v>403</v>
      </c>
      <c r="E29" s="5" t="s">
        <v>404</v>
      </c>
      <c r="F29" s="4" t="s">
        <v>2308</v>
      </c>
      <c r="G29" s="4" t="s">
        <v>2308</v>
      </c>
      <c r="H29" s="22" t="s">
        <v>2308</v>
      </c>
      <c r="I29" s="22" t="s">
        <v>2308</v>
      </c>
      <c r="J29" s="22" t="s">
        <v>2308</v>
      </c>
      <c r="K29" s="22"/>
      <c r="L29" s="22" t="s">
        <v>2308</v>
      </c>
      <c r="M29" s="22" t="s">
        <v>2308</v>
      </c>
      <c r="N29" s="22" t="s">
        <v>2308</v>
      </c>
      <c r="O29" s="22" t="s">
        <v>2308</v>
      </c>
      <c r="P29" s="22">
        <v>56.964293259999998</v>
      </c>
      <c r="Q29" s="22" t="s">
        <v>2308</v>
      </c>
      <c r="R29" s="22" t="s">
        <v>2308</v>
      </c>
      <c r="S29" s="22" t="s">
        <v>2308</v>
      </c>
      <c r="T29" s="4"/>
    </row>
    <row r="30" spans="1:20" ht="29">
      <c r="A30" s="32" t="s">
        <v>279</v>
      </c>
      <c r="B30" s="4" t="s">
        <v>70</v>
      </c>
      <c r="C30" s="4" t="s">
        <v>12</v>
      </c>
      <c r="D30" s="5" t="s">
        <v>403</v>
      </c>
      <c r="E30" s="5" t="s">
        <v>404</v>
      </c>
      <c r="F30" s="4" t="s">
        <v>2308</v>
      </c>
      <c r="G30" s="4" t="s">
        <v>2308</v>
      </c>
      <c r="H30" s="22" t="s">
        <v>2308</v>
      </c>
      <c r="I30" s="22" t="s">
        <v>2308</v>
      </c>
      <c r="J30" s="22" t="s">
        <v>2308</v>
      </c>
      <c r="K30" s="22"/>
      <c r="L30" s="22" t="s">
        <v>2308</v>
      </c>
      <c r="M30" s="22" t="s">
        <v>2308</v>
      </c>
      <c r="N30" s="22" t="s">
        <v>2308</v>
      </c>
      <c r="O30" s="22" t="s">
        <v>2308</v>
      </c>
      <c r="P30" s="22">
        <v>25.759365559999999</v>
      </c>
      <c r="Q30" s="22" t="s">
        <v>2308</v>
      </c>
      <c r="R30" s="22" t="s">
        <v>2308</v>
      </c>
      <c r="S30" s="22" t="s">
        <v>2308</v>
      </c>
      <c r="T30" s="4"/>
    </row>
    <row r="31" spans="1:20" ht="29">
      <c r="A31" s="32" t="s">
        <v>280</v>
      </c>
      <c r="B31" s="4" t="s">
        <v>70</v>
      </c>
      <c r="C31" s="4" t="s">
        <v>12</v>
      </c>
      <c r="D31" s="5" t="s">
        <v>403</v>
      </c>
      <c r="E31" s="5" t="s">
        <v>404</v>
      </c>
      <c r="F31" s="4" t="s">
        <v>2308</v>
      </c>
      <c r="G31" s="4" t="s">
        <v>2308</v>
      </c>
      <c r="H31" s="22" t="s">
        <v>2308</v>
      </c>
      <c r="I31" s="22" t="s">
        <v>2308</v>
      </c>
      <c r="J31" s="22" t="s">
        <v>2308</v>
      </c>
      <c r="K31" s="22"/>
      <c r="L31" s="22" t="s">
        <v>2308</v>
      </c>
      <c r="M31" s="22" t="s">
        <v>2308</v>
      </c>
      <c r="N31" s="22" t="s">
        <v>2308</v>
      </c>
      <c r="O31" s="22" t="s">
        <v>2308</v>
      </c>
      <c r="P31" s="22">
        <v>6.2032650900000004</v>
      </c>
      <c r="Q31" s="22" t="s">
        <v>2308</v>
      </c>
      <c r="R31" s="22" t="s">
        <v>2308</v>
      </c>
      <c r="S31" s="22" t="s">
        <v>2308</v>
      </c>
      <c r="T31" s="4"/>
    </row>
    <row r="32" spans="1:20" ht="29">
      <c r="A32" s="32" t="s">
        <v>281</v>
      </c>
      <c r="B32" s="4" t="s">
        <v>70</v>
      </c>
      <c r="C32" s="4" t="s">
        <v>12</v>
      </c>
      <c r="D32" s="5" t="s">
        <v>403</v>
      </c>
      <c r="E32" s="5" t="s">
        <v>404</v>
      </c>
      <c r="F32" s="4" t="s">
        <v>2308</v>
      </c>
      <c r="G32" s="4" t="s">
        <v>2308</v>
      </c>
      <c r="H32" s="22" t="s">
        <v>2308</v>
      </c>
      <c r="I32" s="22" t="s">
        <v>2308</v>
      </c>
      <c r="J32" s="22" t="s">
        <v>2308</v>
      </c>
      <c r="K32" s="22"/>
      <c r="L32" s="22" t="s">
        <v>2308</v>
      </c>
      <c r="M32" s="22" t="s">
        <v>2308</v>
      </c>
      <c r="N32" s="22" t="s">
        <v>2308</v>
      </c>
      <c r="O32" s="22" t="s">
        <v>2308</v>
      </c>
      <c r="P32" s="22">
        <v>7.8362094899999999</v>
      </c>
      <c r="Q32" s="22" t="s">
        <v>2308</v>
      </c>
      <c r="R32" s="22" t="s">
        <v>2308</v>
      </c>
      <c r="S32" s="22" t="s">
        <v>2308</v>
      </c>
      <c r="T32" s="4"/>
    </row>
    <row r="33" spans="1:20" ht="29">
      <c r="A33" s="32" t="s">
        <v>282</v>
      </c>
      <c r="B33" s="4" t="s">
        <v>70</v>
      </c>
      <c r="C33" s="4" t="s">
        <v>12</v>
      </c>
      <c r="D33" s="5" t="s">
        <v>403</v>
      </c>
      <c r="E33" s="5" t="s">
        <v>404</v>
      </c>
      <c r="F33" s="4" t="s">
        <v>2308</v>
      </c>
      <c r="G33" s="4" t="s">
        <v>2308</v>
      </c>
      <c r="H33" s="22" t="s">
        <v>2308</v>
      </c>
      <c r="I33" s="22" t="s">
        <v>2308</v>
      </c>
      <c r="J33" s="22" t="s">
        <v>2308</v>
      </c>
      <c r="K33" s="22"/>
      <c r="L33" s="22" t="s">
        <v>2308</v>
      </c>
      <c r="M33" s="22" t="s">
        <v>2308</v>
      </c>
      <c r="N33" s="22" t="s">
        <v>2308</v>
      </c>
      <c r="O33" s="22" t="s">
        <v>2308</v>
      </c>
      <c r="P33" s="22">
        <v>3.1861921600000001</v>
      </c>
      <c r="Q33" s="22" t="s">
        <v>2308</v>
      </c>
      <c r="R33" s="22" t="s">
        <v>2308</v>
      </c>
      <c r="S33" s="22" t="s">
        <v>2308</v>
      </c>
      <c r="T33" s="4"/>
    </row>
    <row r="34" spans="1:20" ht="29">
      <c r="A34" s="32" t="s">
        <v>283</v>
      </c>
      <c r="B34" s="4" t="s">
        <v>70</v>
      </c>
      <c r="C34" s="4" t="s">
        <v>12</v>
      </c>
      <c r="D34" s="5" t="s">
        <v>403</v>
      </c>
      <c r="E34" s="5" t="s">
        <v>404</v>
      </c>
      <c r="F34" s="4" t="s">
        <v>2308</v>
      </c>
      <c r="G34" s="4" t="s">
        <v>2308</v>
      </c>
      <c r="H34" s="22" t="s">
        <v>2308</v>
      </c>
      <c r="I34" s="22" t="s">
        <v>2308</v>
      </c>
      <c r="J34" s="22" t="s">
        <v>2308</v>
      </c>
      <c r="K34" s="22"/>
      <c r="L34" s="22" t="s">
        <v>2308</v>
      </c>
      <c r="M34" s="22" t="s">
        <v>2308</v>
      </c>
      <c r="N34" s="22" t="s">
        <v>2308</v>
      </c>
      <c r="O34" s="22" t="s">
        <v>2308</v>
      </c>
      <c r="P34" s="22">
        <v>7.9458094399999997</v>
      </c>
      <c r="Q34" s="22" t="s">
        <v>2308</v>
      </c>
      <c r="R34" s="22" t="s">
        <v>2308</v>
      </c>
      <c r="S34" s="22" t="s">
        <v>2308</v>
      </c>
      <c r="T34" s="4"/>
    </row>
    <row r="35" spans="1:20" ht="29">
      <c r="A35" s="32" t="s">
        <v>296</v>
      </c>
      <c r="B35" s="4" t="s">
        <v>70</v>
      </c>
      <c r="C35" s="4" t="s">
        <v>12</v>
      </c>
      <c r="D35" s="5" t="s">
        <v>403</v>
      </c>
      <c r="E35" s="5" t="s">
        <v>404</v>
      </c>
      <c r="F35" s="4" t="s">
        <v>2308</v>
      </c>
      <c r="G35" s="4" t="s">
        <v>2308</v>
      </c>
      <c r="H35" s="22" t="s">
        <v>2308</v>
      </c>
      <c r="I35" s="22" t="s">
        <v>2308</v>
      </c>
      <c r="J35" s="22" t="s">
        <v>2308</v>
      </c>
      <c r="K35" s="22"/>
      <c r="L35" s="22" t="s">
        <v>2308</v>
      </c>
      <c r="M35" s="22" t="s">
        <v>2308</v>
      </c>
      <c r="N35" s="22" t="s">
        <v>2308</v>
      </c>
      <c r="O35" s="22" t="s">
        <v>2308</v>
      </c>
      <c r="P35" s="22">
        <v>9.6931630500000008</v>
      </c>
      <c r="Q35" s="22" t="s">
        <v>2308</v>
      </c>
      <c r="R35" s="22" t="s">
        <v>2308</v>
      </c>
      <c r="S35" s="22" t="s">
        <v>2308</v>
      </c>
      <c r="T35" s="4"/>
    </row>
    <row r="36" spans="1:20" ht="29">
      <c r="A36" s="32" t="s">
        <v>297</v>
      </c>
      <c r="B36" s="4" t="s">
        <v>70</v>
      </c>
      <c r="C36" s="4" t="s">
        <v>12</v>
      </c>
      <c r="D36" s="5" t="s">
        <v>403</v>
      </c>
      <c r="E36" s="5" t="s">
        <v>404</v>
      </c>
      <c r="F36" s="4" t="s">
        <v>2308</v>
      </c>
      <c r="G36" s="4" t="s">
        <v>2308</v>
      </c>
      <c r="H36" s="22" t="s">
        <v>2308</v>
      </c>
      <c r="I36" s="22" t="s">
        <v>2308</v>
      </c>
      <c r="J36" s="22" t="s">
        <v>2308</v>
      </c>
      <c r="K36" s="22"/>
      <c r="L36" s="22" t="s">
        <v>2308</v>
      </c>
      <c r="M36" s="22" t="s">
        <v>2308</v>
      </c>
      <c r="N36" s="22" t="s">
        <v>2308</v>
      </c>
      <c r="O36" s="22" t="s">
        <v>2308</v>
      </c>
      <c r="P36" s="22">
        <v>28.10134132</v>
      </c>
      <c r="Q36" s="22" t="s">
        <v>2308</v>
      </c>
      <c r="R36" s="22" t="s">
        <v>2308</v>
      </c>
      <c r="S36" s="22" t="s">
        <v>2308</v>
      </c>
      <c r="T36" s="4"/>
    </row>
    <row r="37" spans="1:20" ht="29">
      <c r="A37" s="32" t="s">
        <v>298</v>
      </c>
      <c r="B37" s="4" t="s">
        <v>70</v>
      </c>
      <c r="C37" s="4" t="s">
        <v>12</v>
      </c>
      <c r="D37" s="5" t="s">
        <v>403</v>
      </c>
      <c r="E37" s="5" t="s">
        <v>404</v>
      </c>
      <c r="F37" s="4" t="s">
        <v>2308</v>
      </c>
      <c r="G37" s="4" t="s">
        <v>2308</v>
      </c>
      <c r="H37" s="22" t="s">
        <v>2308</v>
      </c>
      <c r="I37" s="22" t="s">
        <v>2308</v>
      </c>
      <c r="J37" s="22" t="s">
        <v>2308</v>
      </c>
      <c r="K37" s="22"/>
      <c r="L37" s="22" t="s">
        <v>2308</v>
      </c>
      <c r="M37" s="22" t="s">
        <v>2308</v>
      </c>
      <c r="N37" s="22" t="s">
        <v>2308</v>
      </c>
      <c r="O37" s="22" t="s">
        <v>2308</v>
      </c>
      <c r="P37" s="22">
        <v>20.484301760000001</v>
      </c>
      <c r="Q37" s="22" t="s">
        <v>2308</v>
      </c>
      <c r="R37" s="22" t="s">
        <v>2308</v>
      </c>
      <c r="S37" s="22" t="s">
        <v>2308</v>
      </c>
      <c r="T37" s="4"/>
    </row>
    <row r="38" spans="1:20" ht="29">
      <c r="A38" s="32" t="s">
        <v>299</v>
      </c>
      <c r="B38" s="4" t="s">
        <v>70</v>
      </c>
      <c r="C38" s="4" t="s">
        <v>12</v>
      </c>
      <c r="D38" s="5" t="s">
        <v>403</v>
      </c>
      <c r="E38" s="5" t="s">
        <v>404</v>
      </c>
      <c r="F38" s="4" t="s">
        <v>2308</v>
      </c>
      <c r="G38" s="4" t="s">
        <v>2308</v>
      </c>
      <c r="H38" s="22" t="s">
        <v>2308</v>
      </c>
      <c r="I38" s="22" t="s">
        <v>2308</v>
      </c>
      <c r="J38" s="22" t="s">
        <v>2308</v>
      </c>
      <c r="K38" s="22"/>
      <c r="L38" s="22" t="s">
        <v>2308</v>
      </c>
      <c r="M38" s="22" t="s">
        <v>2308</v>
      </c>
      <c r="N38" s="22" t="s">
        <v>2308</v>
      </c>
      <c r="O38" s="22" t="s">
        <v>2308</v>
      </c>
      <c r="P38" s="22">
        <v>19.729615849999998</v>
      </c>
      <c r="Q38" s="22" t="s">
        <v>2308</v>
      </c>
      <c r="R38" s="22" t="s">
        <v>2308</v>
      </c>
      <c r="S38" s="22" t="s">
        <v>2308</v>
      </c>
      <c r="T38" s="4"/>
    </row>
    <row r="39" spans="1:20" ht="29">
      <c r="A39" s="4" t="s">
        <v>89</v>
      </c>
      <c r="B39" s="4" t="s">
        <v>70</v>
      </c>
      <c r="C39" s="4" t="s">
        <v>12</v>
      </c>
      <c r="D39" s="5" t="s">
        <v>403</v>
      </c>
      <c r="E39" s="5" t="s">
        <v>404</v>
      </c>
      <c r="F39" s="4" t="s">
        <v>2308</v>
      </c>
      <c r="G39" s="4" t="s">
        <v>2308</v>
      </c>
      <c r="H39" s="22" t="s">
        <v>2308</v>
      </c>
      <c r="I39" s="22" t="s">
        <v>2308</v>
      </c>
      <c r="J39" s="22" t="s">
        <v>2308</v>
      </c>
      <c r="K39" s="22"/>
      <c r="L39" s="22" t="s">
        <v>2308</v>
      </c>
      <c r="M39" s="22" t="s">
        <v>2308</v>
      </c>
      <c r="N39" s="22" t="s">
        <v>2308</v>
      </c>
      <c r="O39" s="22" t="s">
        <v>2308</v>
      </c>
      <c r="P39" s="22" t="s">
        <v>2308</v>
      </c>
      <c r="Q39" s="22" t="s">
        <v>2308</v>
      </c>
      <c r="R39" s="22" t="s">
        <v>2308</v>
      </c>
      <c r="S39" s="22" t="s">
        <v>2308</v>
      </c>
      <c r="T39" s="4"/>
    </row>
    <row r="40" spans="1:20" ht="29">
      <c r="A40" s="32" t="s">
        <v>284</v>
      </c>
      <c r="B40" s="4" t="s">
        <v>70</v>
      </c>
      <c r="C40" s="4" t="s">
        <v>12</v>
      </c>
      <c r="D40" s="5" t="s">
        <v>403</v>
      </c>
      <c r="E40" s="5" t="s">
        <v>404</v>
      </c>
      <c r="F40" s="4" t="s">
        <v>2308</v>
      </c>
      <c r="G40" s="4" t="s">
        <v>2308</v>
      </c>
      <c r="H40" s="22" t="s">
        <v>2308</v>
      </c>
      <c r="I40" s="22" t="s">
        <v>2308</v>
      </c>
      <c r="J40" s="22" t="s">
        <v>2308</v>
      </c>
      <c r="K40" s="22"/>
      <c r="L40" s="22" t="s">
        <v>2308</v>
      </c>
      <c r="M40" s="22" t="s">
        <v>2308</v>
      </c>
      <c r="N40" s="22" t="s">
        <v>2308</v>
      </c>
      <c r="O40" s="22" t="s">
        <v>2308</v>
      </c>
      <c r="P40" s="22">
        <v>7.0097718999999996</v>
      </c>
      <c r="Q40" s="22" t="s">
        <v>2308</v>
      </c>
      <c r="R40" s="22" t="s">
        <v>2308</v>
      </c>
      <c r="S40" s="22" t="s">
        <v>2308</v>
      </c>
      <c r="T40" s="4"/>
    </row>
    <row r="41" spans="1:20" ht="29">
      <c r="A41" s="32" t="s">
        <v>285</v>
      </c>
      <c r="B41" s="4" t="s">
        <v>70</v>
      </c>
      <c r="C41" s="4" t="s">
        <v>12</v>
      </c>
      <c r="D41" s="5" t="s">
        <v>403</v>
      </c>
      <c r="E41" s="5" t="s">
        <v>404</v>
      </c>
      <c r="F41" s="4" t="s">
        <v>2308</v>
      </c>
      <c r="G41" s="4" t="s">
        <v>2308</v>
      </c>
      <c r="H41" s="22" t="s">
        <v>2308</v>
      </c>
      <c r="I41" s="22" t="s">
        <v>2308</v>
      </c>
      <c r="J41" s="22" t="s">
        <v>2308</v>
      </c>
      <c r="K41" s="22"/>
      <c r="L41" s="22" t="s">
        <v>2308</v>
      </c>
      <c r="M41" s="22" t="s">
        <v>2308</v>
      </c>
      <c r="N41" s="22" t="s">
        <v>2308</v>
      </c>
      <c r="O41" s="22" t="s">
        <v>2308</v>
      </c>
      <c r="P41" s="22">
        <v>20.564036389999998</v>
      </c>
      <c r="Q41" s="22" t="s">
        <v>2308</v>
      </c>
      <c r="R41" s="22" t="s">
        <v>2308</v>
      </c>
      <c r="S41" s="22" t="s">
        <v>2308</v>
      </c>
      <c r="T41" s="4"/>
    </row>
    <row r="42" spans="1:20" ht="29">
      <c r="A42" s="32" t="s">
        <v>286</v>
      </c>
      <c r="B42" s="4" t="s">
        <v>70</v>
      </c>
      <c r="C42" s="4" t="s">
        <v>12</v>
      </c>
      <c r="D42" s="5" t="s">
        <v>403</v>
      </c>
      <c r="E42" s="5" t="s">
        <v>404</v>
      </c>
      <c r="F42" s="4" t="s">
        <v>2308</v>
      </c>
      <c r="G42" s="4" t="s">
        <v>2308</v>
      </c>
      <c r="H42" s="22" t="s">
        <v>2308</v>
      </c>
      <c r="I42" s="22" t="s">
        <v>2308</v>
      </c>
      <c r="J42" s="22" t="s">
        <v>2308</v>
      </c>
      <c r="K42" s="22"/>
      <c r="L42" s="22" t="s">
        <v>2308</v>
      </c>
      <c r="M42" s="22" t="s">
        <v>2308</v>
      </c>
      <c r="N42" s="22" t="s">
        <v>2308</v>
      </c>
      <c r="O42" s="22" t="s">
        <v>2308</v>
      </c>
      <c r="P42" s="22">
        <v>23.855131369999999</v>
      </c>
      <c r="Q42" s="22" t="s">
        <v>2308</v>
      </c>
      <c r="R42" s="22" t="s">
        <v>2308</v>
      </c>
      <c r="S42" s="22" t="s">
        <v>2308</v>
      </c>
      <c r="T42" s="4"/>
    </row>
    <row r="43" spans="1:20" ht="29">
      <c r="A43" s="32" t="s">
        <v>287</v>
      </c>
      <c r="B43" s="4" t="s">
        <v>70</v>
      </c>
      <c r="C43" s="4" t="s">
        <v>12</v>
      </c>
      <c r="D43" s="5" t="s">
        <v>403</v>
      </c>
      <c r="E43" s="5" t="s">
        <v>404</v>
      </c>
      <c r="F43" s="4" t="s">
        <v>2308</v>
      </c>
      <c r="G43" s="4" t="s">
        <v>2308</v>
      </c>
      <c r="H43" s="22" t="s">
        <v>2308</v>
      </c>
      <c r="I43" s="22" t="s">
        <v>2308</v>
      </c>
      <c r="J43" s="22" t="s">
        <v>2308</v>
      </c>
      <c r="K43" s="22"/>
      <c r="L43" s="22" t="s">
        <v>2308</v>
      </c>
      <c r="M43" s="22" t="s">
        <v>2308</v>
      </c>
      <c r="N43" s="22" t="s">
        <v>2308</v>
      </c>
      <c r="O43" s="22" t="s">
        <v>2308</v>
      </c>
      <c r="P43" s="22">
        <v>10.091180960000001</v>
      </c>
      <c r="Q43" s="22" t="s">
        <v>2308</v>
      </c>
      <c r="R43" s="22" t="s">
        <v>2308</v>
      </c>
      <c r="S43" s="22" t="s">
        <v>2308</v>
      </c>
      <c r="T43" s="4"/>
    </row>
    <row r="44" spans="1:20" ht="29">
      <c r="A44" s="32" t="s">
        <v>288</v>
      </c>
      <c r="B44" s="4" t="s">
        <v>70</v>
      </c>
      <c r="C44" s="4" t="s">
        <v>12</v>
      </c>
      <c r="D44" s="5" t="s">
        <v>403</v>
      </c>
      <c r="E44" s="5" t="s">
        <v>404</v>
      </c>
      <c r="F44" s="4" t="s">
        <v>2308</v>
      </c>
      <c r="G44" s="4" t="s">
        <v>2308</v>
      </c>
      <c r="H44" s="22" t="s">
        <v>2308</v>
      </c>
      <c r="I44" s="22" t="s">
        <v>2308</v>
      </c>
      <c r="J44" s="22" t="s">
        <v>2308</v>
      </c>
      <c r="K44" s="22"/>
      <c r="L44" s="22" t="s">
        <v>2308</v>
      </c>
      <c r="M44" s="22" t="s">
        <v>2308</v>
      </c>
      <c r="N44" s="22" t="s">
        <v>2308</v>
      </c>
      <c r="O44" s="22" t="s">
        <v>2308</v>
      </c>
      <c r="P44" s="22">
        <v>16.62551208</v>
      </c>
      <c r="Q44" s="22" t="s">
        <v>2308</v>
      </c>
      <c r="R44" s="22" t="s">
        <v>2308</v>
      </c>
      <c r="S44" s="22" t="s">
        <v>2308</v>
      </c>
      <c r="T44" s="4"/>
    </row>
    <row r="45" spans="1:20" ht="29">
      <c r="A45" s="32" t="s">
        <v>289</v>
      </c>
      <c r="B45" s="4" t="s">
        <v>70</v>
      </c>
      <c r="C45" s="4" t="s">
        <v>12</v>
      </c>
      <c r="D45" s="5" t="s">
        <v>403</v>
      </c>
      <c r="E45" s="5" t="s">
        <v>404</v>
      </c>
      <c r="F45" s="4" t="s">
        <v>2308</v>
      </c>
      <c r="G45" s="4" t="s">
        <v>2308</v>
      </c>
      <c r="H45" s="22" t="s">
        <v>2308</v>
      </c>
      <c r="I45" s="22" t="s">
        <v>2308</v>
      </c>
      <c r="J45" s="22" t="s">
        <v>2308</v>
      </c>
      <c r="K45" s="22"/>
      <c r="L45" s="22" t="s">
        <v>2308</v>
      </c>
      <c r="M45" s="22" t="s">
        <v>2308</v>
      </c>
      <c r="N45" s="22" t="s">
        <v>2308</v>
      </c>
      <c r="O45" s="22" t="s">
        <v>2308</v>
      </c>
      <c r="P45" s="22">
        <v>41.584479739999999</v>
      </c>
      <c r="Q45" s="22" t="s">
        <v>2308</v>
      </c>
      <c r="R45" s="22" t="s">
        <v>2308</v>
      </c>
      <c r="S45" s="22" t="s">
        <v>2308</v>
      </c>
      <c r="T45" s="4"/>
    </row>
    <row r="46" spans="1:20" ht="29">
      <c r="A46" s="32" t="s">
        <v>290</v>
      </c>
      <c r="B46" s="4" t="s">
        <v>70</v>
      </c>
      <c r="C46" s="4" t="s">
        <v>12</v>
      </c>
      <c r="D46" s="5" t="s">
        <v>403</v>
      </c>
      <c r="E46" s="5" t="s">
        <v>404</v>
      </c>
      <c r="F46" s="4" t="s">
        <v>2308</v>
      </c>
      <c r="G46" s="4" t="s">
        <v>2308</v>
      </c>
      <c r="H46" s="22" t="s">
        <v>2308</v>
      </c>
      <c r="I46" s="22" t="s">
        <v>2308</v>
      </c>
      <c r="J46" s="22" t="s">
        <v>2308</v>
      </c>
      <c r="K46" s="22"/>
      <c r="L46" s="22" t="s">
        <v>2308</v>
      </c>
      <c r="M46" s="22" t="s">
        <v>2308</v>
      </c>
      <c r="N46" s="22" t="s">
        <v>2308</v>
      </c>
      <c r="O46" s="22" t="s">
        <v>2308</v>
      </c>
      <c r="P46" s="22">
        <v>11.16301174</v>
      </c>
      <c r="Q46" s="22" t="s">
        <v>2308</v>
      </c>
      <c r="R46" s="22" t="s">
        <v>2308</v>
      </c>
      <c r="S46" s="22" t="s">
        <v>2308</v>
      </c>
      <c r="T46" s="4"/>
    </row>
    <row r="47" spans="1:20" ht="29">
      <c r="A47" s="32" t="s">
        <v>291</v>
      </c>
      <c r="B47" s="4" t="s">
        <v>70</v>
      </c>
      <c r="C47" s="4" t="s">
        <v>12</v>
      </c>
      <c r="D47" s="5" t="s">
        <v>403</v>
      </c>
      <c r="E47" s="5" t="s">
        <v>404</v>
      </c>
      <c r="F47" s="4" t="s">
        <v>2308</v>
      </c>
      <c r="G47" s="4" t="s">
        <v>2308</v>
      </c>
      <c r="H47" s="22" t="s">
        <v>2308</v>
      </c>
      <c r="I47" s="22" t="s">
        <v>2308</v>
      </c>
      <c r="J47" s="22" t="s">
        <v>2308</v>
      </c>
      <c r="K47" s="22"/>
      <c r="L47" s="22" t="s">
        <v>2308</v>
      </c>
      <c r="M47" s="22" t="s">
        <v>2308</v>
      </c>
      <c r="N47" s="22" t="s">
        <v>2308</v>
      </c>
      <c r="O47" s="22" t="s">
        <v>2308</v>
      </c>
      <c r="P47" s="22">
        <v>23.359450800000001</v>
      </c>
      <c r="Q47" s="22" t="s">
        <v>2308</v>
      </c>
      <c r="R47" s="22" t="s">
        <v>2308</v>
      </c>
      <c r="S47" s="22" t="s">
        <v>2308</v>
      </c>
      <c r="T47" s="4"/>
    </row>
    <row r="48" spans="1:20" ht="29">
      <c r="A48" s="32" t="s">
        <v>292</v>
      </c>
      <c r="B48" s="4" t="s">
        <v>70</v>
      </c>
      <c r="C48" s="4" t="s">
        <v>12</v>
      </c>
      <c r="D48" s="5" t="s">
        <v>403</v>
      </c>
      <c r="E48" s="5" t="s">
        <v>404</v>
      </c>
      <c r="F48" s="4" t="s">
        <v>2308</v>
      </c>
      <c r="G48" s="4" t="s">
        <v>2308</v>
      </c>
      <c r="H48" s="22" t="s">
        <v>2308</v>
      </c>
      <c r="I48" s="22" t="s">
        <v>2308</v>
      </c>
      <c r="J48" s="22" t="s">
        <v>2308</v>
      </c>
      <c r="K48" s="22"/>
      <c r="L48" s="22" t="s">
        <v>2308</v>
      </c>
      <c r="M48" s="22" t="s">
        <v>2308</v>
      </c>
      <c r="N48" s="22" t="s">
        <v>2308</v>
      </c>
      <c r="O48" s="22" t="s">
        <v>2308</v>
      </c>
      <c r="P48" s="22">
        <v>4.0366516900000002</v>
      </c>
      <c r="Q48" s="22" t="s">
        <v>2308</v>
      </c>
      <c r="R48" s="22" t="s">
        <v>2308</v>
      </c>
      <c r="S48" s="22" t="s">
        <v>2308</v>
      </c>
      <c r="T48" s="4"/>
    </row>
    <row r="49" spans="1:20" ht="29">
      <c r="A49" s="32" t="s">
        <v>293</v>
      </c>
      <c r="B49" s="4" t="s">
        <v>70</v>
      </c>
      <c r="C49" s="4" t="s">
        <v>12</v>
      </c>
      <c r="D49" s="5" t="s">
        <v>403</v>
      </c>
      <c r="E49" s="5" t="s">
        <v>404</v>
      </c>
      <c r="F49" s="4" t="s">
        <v>2308</v>
      </c>
      <c r="G49" s="4" t="s">
        <v>2308</v>
      </c>
      <c r="H49" s="22" t="s">
        <v>2308</v>
      </c>
      <c r="I49" s="22" t="s">
        <v>2308</v>
      </c>
      <c r="J49" s="22" t="s">
        <v>2308</v>
      </c>
      <c r="K49" s="22"/>
      <c r="L49" s="22" t="s">
        <v>2308</v>
      </c>
      <c r="M49" s="22" t="s">
        <v>2308</v>
      </c>
      <c r="N49" s="22" t="s">
        <v>2308</v>
      </c>
      <c r="O49" s="22" t="s">
        <v>2308</v>
      </c>
      <c r="P49" s="22">
        <v>3.7979184799999999</v>
      </c>
      <c r="Q49" s="22" t="s">
        <v>2308</v>
      </c>
      <c r="R49" s="22" t="s">
        <v>2308</v>
      </c>
      <c r="S49" s="22" t="s">
        <v>2308</v>
      </c>
      <c r="T49" s="4"/>
    </row>
    <row r="50" spans="1:20" ht="29">
      <c r="A50" s="32" t="s">
        <v>294</v>
      </c>
      <c r="B50" s="4" t="s">
        <v>70</v>
      </c>
      <c r="C50" s="4" t="s">
        <v>12</v>
      </c>
      <c r="D50" s="5" t="s">
        <v>403</v>
      </c>
      <c r="E50" s="5" t="s">
        <v>404</v>
      </c>
      <c r="F50" s="4" t="s">
        <v>2308</v>
      </c>
      <c r="G50" s="4" t="s">
        <v>2308</v>
      </c>
      <c r="H50" s="22" t="s">
        <v>2308</v>
      </c>
      <c r="I50" s="22" t="s">
        <v>2308</v>
      </c>
      <c r="J50" s="22" t="s">
        <v>2308</v>
      </c>
      <c r="K50" s="22"/>
      <c r="L50" s="22" t="s">
        <v>2308</v>
      </c>
      <c r="M50" s="22" t="s">
        <v>2308</v>
      </c>
      <c r="N50" s="22" t="s">
        <v>2308</v>
      </c>
      <c r="O50" s="22" t="s">
        <v>2308</v>
      </c>
      <c r="P50" s="22">
        <v>11.620274029999999</v>
      </c>
      <c r="Q50" s="22" t="s">
        <v>2308</v>
      </c>
      <c r="R50" s="22" t="s">
        <v>2308</v>
      </c>
      <c r="S50" s="22" t="s">
        <v>2308</v>
      </c>
      <c r="T50" s="4"/>
    </row>
    <row r="51" spans="1:20" ht="29">
      <c r="A51" s="32" t="s">
        <v>295</v>
      </c>
      <c r="B51" s="4" t="s">
        <v>70</v>
      </c>
      <c r="C51" s="4" t="s">
        <v>12</v>
      </c>
      <c r="D51" s="5" t="s">
        <v>403</v>
      </c>
      <c r="E51" s="5" t="s">
        <v>404</v>
      </c>
      <c r="F51" s="4" t="s">
        <v>2308</v>
      </c>
      <c r="G51" s="4" t="s">
        <v>2308</v>
      </c>
      <c r="H51" s="22" t="s">
        <v>2308</v>
      </c>
      <c r="I51" s="22" t="s">
        <v>2308</v>
      </c>
      <c r="J51" s="22" t="s">
        <v>2308</v>
      </c>
      <c r="K51" s="22"/>
      <c r="L51" s="22" t="s">
        <v>2308</v>
      </c>
      <c r="M51" s="22" t="s">
        <v>2308</v>
      </c>
      <c r="N51" s="22" t="s">
        <v>2308</v>
      </c>
      <c r="O51" s="22" t="s">
        <v>2308</v>
      </c>
      <c r="P51" s="22">
        <v>13.74711025</v>
      </c>
      <c r="Q51" s="22" t="s">
        <v>2308</v>
      </c>
      <c r="R51" s="22" t="s">
        <v>2308</v>
      </c>
      <c r="S51" s="22" t="s">
        <v>2308</v>
      </c>
      <c r="T51" s="4"/>
    </row>
    <row r="52" spans="1:20" ht="29">
      <c r="A52" s="32" t="s">
        <v>300</v>
      </c>
      <c r="B52" s="4" t="s">
        <v>70</v>
      </c>
      <c r="C52" s="4" t="s">
        <v>12</v>
      </c>
      <c r="D52" s="5" t="s">
        <v>403</v>
      </c>
      <c r="E52" s="5" t="s">
        <v>404</v>
      </c>
      <c r="F52" s="4" t="s">
        <v>2308</v>
      </c>
      <c r="G52" s="4" t="s">
        <v>2308</v>
      </c>
      <c r="H52" s="22" t="s">
        <v>2308</v>
      </c>
      <c r="I52" s="22" t="s">
        <v>2308</v>
      </c>
      <c r="J52" s="22" t="s">
        <v>2308</v>
      </c>
      <c r="K52" s="22"/>
      <c r="L52" s="22" t="s">
        <v>2308</v>
      </c>
      <c r="M52" s="22" t="s">
        <v>2308</v>
      </c>
      <c r="N52" s="22" t="s">
        <v>2308</v>
      </c>
      <c r="O52" s="22" t="s">
        <v>2308</v>
      </c>
      <c r="P52" s="22">
        <v>3.1926252000000002</v>
      </c>
      <c r="Q52" s="22" t="s">
        <v>2308</v>
      </c>
      <c r="R52" s="22" t="s">
        <v>2308</v>
      </c>
      <c r="S52" s="22" t="s">
        <v>2308</v>
      </c>
      <c r="T52" s="4"/>
    </row>
    <row r="53" spans="1:20" ht="29">
      <c r="A53" s="32" t="s">
        <v>301</v>
      </c>
      <c r="B53" s="4" t="s">
        <v>70</v>
      </c>
      <c r="C53" s="4" t="s">
        <v>12</v>
      </c>
      <c r="D53" s="5" t="s">
        <v>403</v>
      </c>
      <c r="E53" s="5" t="s">
        <v>404</v>
      </c>
      <c r="F53" s="4" t="s">
        <v>2308</v>
      </c>
      <c r="G53" s="4" t="s">
        <v>2308</v>
      </c>
      <c r="H53" s="22" t="s">
        <v>2308</v>
      </c>
      <c r="I53" s="22" t="s">
        <v>2308</v>
      </c>
      <c r="J53" s="22" t="s">
        <v>2308</v>
      </c>
      <c r="K53" s="22"/>
      <c r="L53" s="22" t="s">
        <v>2308</v>
      </c>
      <c r="M53" s="22" t="s">
        <v>2308</v>
      </c>
      <c r="N53" s="22" t="s">
        <v>2308</v>
      </c>
      <c r="O53" s="22" t="s">
        <v>2308</v>
      </c>
      <c r="P53" s="22">
        <v>5.9426253600000001</v>
      </c>
      <c r="Q53" s="22" t="s">
        <v>2308</v>
      </c>
      <c r="R53" s="22" t="s">
        <v>2308</v>
      </c>
      <c r="S53" s="22" t="s">
        <v>2308</v>
      </c>
      <c r="T53" s="4"/>
    </row>
    <row r="54" spans="1:20" ht="29">
      <c r="A54" s="32" t="s">
        <v>302</v>
      </c>
      <c r="B54" s="4" t="s">
        <v>70</v>
      </c>
      <c r="C54" s="4" t="s">
        <v>12</v>
      </c>
      <c r="D54" s="5" t="s">
        <v>403</v>
      </c>
      <c r="E54" s="5" t="s">
        <v>404</v>
      </c>
      <c r="F54" s="4" t="s">
        <v>2308</v>
      </c>
      <c r="G54" s="4" t="s">
        <v>2308</v>
      </c>
      <c r="H54" s="22" t="s">
        <v>2308</v>
      </c>
      <c r="I54" s="22" t="s">
        <v>2308</v>
      </c>
      <c r="J54" s="22" t="s">
        <v>2308</v>
      </c>
      <c r="K54" s="22"/>
      <c r="L54" s="22" t="s">
        <v>2308</v>
      </c>
      <c r="M54" s="22" t="s">
        <v>2308</v>
      </c>
      <c r="N54" s="22" t="s">
        <v>2308</v>
      </c>
      <c r="O54" s="22" t="s">
        <v>2308</v>
      </c>
      <c r="P54" s="22">
        <v>57.605732949999997</v>
      </c>
      <c r="Q54" s="22" t="s">
        <v>2308</v>
      </c>
      <c r="R54" s="22" t="s">
        <v>2308</v>
      </c>
      <c r="S54" s="22" t="s">
        <v>2308</v>
      </c>
      <c r="T54" s="4"/>
    </row>
    <row r="55" spans="1:20" ht="29">
      <c r="A55" s="32" t="s">
        <v>303</v>
      </c>
      <c r="B55" s="4" t="s">
        <v>70</v>
      </c>
      <c r="C55" s="4" t="s">
        <v>12</v>
      </c>
      <c r="D55" s="5" t="s">
        <v>403</v>
      </c>
      <c r="E55" s="5" t="s">
        <v>404</v>
      </c>
      <c r="F55" s="4" t="s">
        <v>2308</v>
      </c>
      <c r="G55" s="4" t="s">
        <v>2308</v>
      </c>
      <c r="H55" s="22" t="s">
        <v>2308</v>
      </c>
      <c r="I55" s="22" t="s">
        <v>2308</v>
      </c>
      <c r="J55" s="22" t="s">
        <v>2308</v>
      </c>
      <c r="K55" s="22"/>
      <c r="L55" s="22" t="s">
        <v>2308</v>
      </c>
      <c r="M55" s="22" t="s">
        <v>2308</v>
      </c>
      <c r="N55" s="22" t="s">
        <v>2308</v>
      </c>
      <c r="O55" s="22" t="s">
        <v>2308</v>
      </c>
      <c r="P55" s="22">
        <v>4.1026212900000001</v>
      </c>
      <c r="Q55" s="22" t="s">
        <v>2308</v>
      </c>
      <c r="R55" s="22" t="s">
        <v>2308</v>
      </c>
      <c r="S55" s="22" t="s">
        <v>2308</v>
      </c>
      <c r="T55" s="4"/>
    </row>
    <row r="56" spans="1:20" ht="29">
      <c r="A56" s="32" t="s">
        <v>304</v>
      </c>
      <c r="B56" s="4" t="s">
        <v>70</v>
      </c>
      <c r="C56" s="4" t="s">
        <v>12</v>
      </c>
      <c r="D56" s="5" t="s">
        <v>403</v>
      </c>
      <c r="E56" s="5" t="s">
        <v>404</v>
      </c>
      <c r="F56" s="4" t="s">
        <v>2308</v>
      </c>
      <c r="G56" s="4" t="s">
        <v>2308</v>
      </c>
      <c r="H56" s="22" t="s">
        <v>2308</v>
      </c>
      <c r="I56" s="22" t="s">
        <v>2308</v>
      </c>
      <c r="J56" s="22" t="s">
        <v>2308</v>
      </c>
      <c r="K56" s="22"/>
      <c r="L56" s="22" t="s">
        <v>2308</v>
      </c>
      <c r="M56" s="22" t="s">
        <v>2308</v>
      </c>
      <c r="N56" s="22" t="s">
        <v>2308</v>
      </c>
      <c r="O56" s="22" t="s">
        <v>2308</v>
      </c>
      <c r="P56" s="22">
        <v>6.4205224699999999</v>
      </c>
      <c r="Q56" s="22" t="s">
        <v>2308</v>
      </c>
      <c r="R56" s="22" t="s">
        <v>2308</v>
      </c>
      <c r="S56" s="22" t="s">
        <v>2308</v>
      </c>
      <c r="T56" s="4"/>
    </row>
    <row r="57" spans="1:20" ht="29">
      <c r="A57" s="32" t="s">
        <v>305</v>
      </c>
      <c r="B57" s="4" t="s">
        <v>70</v>
      </c>
      <c r="C57" s="4" t="s">
        <v>12</v>
      </c>
      <c r="D57" s="5" t="s">
        <v>403</v>
      </c>
      <c r="E57" s="5" t="s">
        <v>404</v>
      </c>
      <c r="F57" s="4" t="s">
        <v>2308</v>
      </c>
      <c r="G57" s="4" t="s">
        <v>2308</v>
      </c>
      <c r="H57" s="22" t="s">
        <v>2308</v>
      </c>
      <c r="I57" s="22" t="s">
        <v>2308</v>
      </c>
      <c r="J57" s="22" t="s">
        <v>2308</v>
      </c>
      <c r="K57" s="22"/>
      <c r="L57" s="22" t="s">
        <v>2308</v>
      </c>
      <c r="M57" s="22" t="s">
        <v>2308</v>
      </c>
      <c r="N57" s="22" t="s">
        <v>2308</v>
      </c>
      <c r="O57" s="22" t="s">
        <v>2308</v>
      </c>
      <c r="P57" s="22">
        <v>9.1263055000000008</v>
      </c>
      <c r="Q57" s="22" t="s">
        <v>2308</v>
      </c>
      <c r="R57" s="22" t="s">
        <v>2308</v>
      </c>
      <c r="S57" s="22" t="s">
        <v>2308</v>
      </c>
      <c r="T57" s="4"/>
    </row>
    <row r="58" spans="1:20" ht="29">
      <c r="A58" s="32" t="s">
        <v>306</v>
      </c>
      <c r="B58" s="4" t="s">
        <v>70</v>
      </c>
      <c r="C58" s="4" t="s">
        <v>12</v>
      </c>
      <c r="D58" s="5" t="s">
        <v>403</v>
      </c>
      <c r="E58" s="5" t="s">
        <v>404</v>
      </c>
      <c r="F58" s="4" t="s">
        <v>2308</v>
      </c>
      <c r="G58" s="4" t="s">
        <v>2308</v>
      </c>
      <c r="H58" s="22" t="s">
        <v>2308</v>
      </c>
      <c r="I58" s="22" t="s">
        <v>2308</v>
      </c>
      <c r="J58" s="22" t="s">
        <v>2308</v>
      </c>
      <c r="K58" s="22"/>
      <c r="L58" s="22" t="s">
        <v>2308</v>
      </c>
      <c r="M58" s="22" t="s">
        <v>2308</v>
      </c>
      <c r="N58" s="22" t="s">
        <v>2308</v>
      </c>
      <c r="O58" s="22" t="s">
        <v>2308</v>
      </c>
      <c r="P58" s="22">
        <v>121.50697177000001</v>
      </c>
      <c r="Q58" s="22" t="s">
        <v>2308</v>
      </c>
      <c r="R58" s="22" t="s">
        <v>2308</v>
      </c>
      <c r="S58" s="22" t="s">
        <v>2308</v>
      </c>
      <c r="T58" s="4"/>
    </row>
    <row r="59" spans="1:20" ht="29">
      <c r="A59" s="32" t="s">
        <v>307</v>
      </c>
      <c r="B59" s="4" t="s">
        <v>70</v>
      </c>
      <c r="C59" s="4" t="s">
        <v>12</v>
      </c>
      <c r="D59" s="5" t="s">
        <v>403</v>
      </c>
      <c r="E59" s="5" t="s">
        <v>404</v>
      </c>
      <c r="F59" s="4" t="s">
        <v>2308</v>
      </c>
      <c r="G59" s="4" t="s">
        <v>2308</v>
      </c>
      <c r="H59" s="22" t="s">
        <v>2308</v>
      </c>
      <c r="I59" s="22" t="s">
        <v>2308</v>
      </c>
      <c r="J59" s="22" t="s">
        <v>2308</v>
      </c>
      <c r="K59" s="22"/>
      <c r="L59" s="22" t="s">
        <v>2308</v>
      </c>
      <c r="M59" s="22" t="s">
        <v>2308</v>
      </c>
      <c r="N59" s="22" t="s">
        <v>2308</v>
      </c>
      <c r="O59" s="22" t="s">
        <v>2308</v>
      </c>
      <c r="P59" s="22">
        <v>71.081879310000005</v>
      </c>
      <c r="Q59" s="22" t="s">
        <v>2308</v>
      </c>
      <c r="R59" s="22" t="s">
        <v>2308</v>
      </c>
      <c r="S59" s="22" t="s">
        <v>2308</v>
      </c>
      <c r="T59" s="4"/>
    </row>
    <row r="60" spans="1:20" ht="29">
      <c r="A60" s="32" t="s">
        <v>308</v>
      </c>
      <c r="B60" s="4" t="s">
        <v>70</v>
      </c>
      <c r="C60" s="4" t="s">
        <v>12</v>
      </c>
      <c r="D60" s="5" t="s">
        <v>403</v>
      </c>
      <c r="E60" s="5" t="s">
        <v>404</v>
      </c>
      <c r="F60" s="4" t="s">
        <v>2308</v>
      </c>
      <c r="G60" s="4" t="s">
        <v>2308</v>
      </c>
      <c r="H60" s="22" t="s">
        <v>2308</v>
      </c>
      <c r="I60" s="22" t="s">
        <v>2308</v>
      </c>
      <c r="J60" s="22" t="s">
        <v>2308</v>
      </c>
      <c r="K60" s="22"/>
      <c r="L60" s="22" t="s">
        <v>2308</v>
      </c>
      <c r="M60" s="22" t="s">
        <v>2308</v>
      </c>
      <c r="N60" s="22" t="s">
        <v>2308</v>
      </c>
      <c r="O60" s="22" t="s">
        <v>2308</v>
      </c>
      <c r="P60" s="22">
        <v>12.08484209</v>
      </c>
      <c r="Q60" s="22" t="s">
        <v>2308</v>
      </c>
      <c r="R60" s="22" t="s">
        <v>2308</v>
      </c>
      <c r="S60" s="22" t="s">
        <v>2308</v>
      </c>
      <c r="T60" s="4"/>
    </row>
    <row r="61" spans="1:20" ht="29">
      <c r="A61" s="32" t="s">
        <v>309</v>
      </c>
      <c r="B61" s="4" t="s">
        <v>70</v>
      </c>
      <c r="C61" s="4" t="s">
        <v>12</v>
      </c>
      <c r="D61" s="5" t="s">
        <v>403</v>
      </c>
      <c r="E61" s="5" t="s">
        <v>404</v>
      </c>
      <c r="F61" s="4" t="s">
        <v>2308</v>
      </c>
      <c r="G61" s="4" t="s">
        <v>2308</v>
      </c>
      <c r="H61" s="22" t="s">
        <v>2308</v>
      </c>
      <c r="I61" s="22" t="s">
        <v>2308</v>
      </c>
      <c r="J61" s="22" t="s">
        <v>2308</v>
      </c>
      <c r="K61" s="22"/>
      <c r="L61" s="22" t="s">
        <v>2308</v>
      </c>
      <c r="M61" s="22" t="s">
        <v>2308</v>
      </c>
      <c r="N61" s="22" t="s">
        <v>2308</v>
      </c>
      <c r="O61" s="22" t="s">
        <v>2308</v>
      </c>
      <c r="P61" s="22">
        <v>19.92462832</v>
      </c>
      <c r="Q61" s="22" t="s">
        <v>2308</v>
      </c>
      <c r="R61" s="22" t="s">
        <v>2308</v>
      </c>
      <c r="S61" s="22" t="s">
        <v>2308</v>
      </c>
      <c r="T61" s="4"/>
    </row>
    <row r="62" spans="1:20" ht="29">
      <c r="A62" s="32" t="s">
        <v>310</v>
      </c>
      <c r="B62" s="4" t="s">
        <v>70</v>
      </c>
      <c r="C62" s="4" t="s">
        <v>12</v>
      </c>
      <c r="D62" s="5" t="s">
        <v>403</v>
      </c>
      <c r="E62" s="5" t="s">
        <v>404</v>
      </c>
      <c r="F62" s="4" t="s">
        <v>2308</v>
      </c>
      <c r="G62" s="4" t="s">
        <v>2308</v>
      </c>
      <c r="H62" s="22" t="s">
        <v>2308</v>
      </c>
      <c r="I62" s="22" t="s">
        <v>2308</v>
      </c>
      <c r="J62" s="22" t="s">
        <v>2308</v>
      </c>
      <c r="K62" s="22"/>
      <c r="L62" s="22" t="s">
        <v>2308</v>
      </c>
      <c r="M62" s="22" t="s">
        <v>2308</v>
      </c>
      <c r="N62" s="22" t="s">
        <v>2308</v>
      </c>
      <c r="O62" s="22" t="s">
        <v>2308</v>
      </c>
      <c r="P62" s="22">
        <v>54.932544739999997</v>
      </c>
      <c r="Q62" s="22" t="s">
        <v>2308</v>
      </c>
      <c r="R62" s="22" t="s">
        <v>2308</v>
      </c>
      <c r="S62" s="22" t="s">
        <v>2308</v>
      </c>
      <c r="T62" s="4"/>
    </row>
    <row r="63" spans="1:20" ht="29">
      <c r="A63" s="32" t="s">
        <v>311</v>
      </c>
      <c r="B63" s="4" t="s">
        <v>70</v>
      </c>
      <c r="C63" s="4" t="s">
        <v>12</v>
      </c>
      <c r="D63" s="5" t="s">
        <v>403</v>
      </c>
      <c r="E63" s="5" t="s">
        <v>404</v>
      </c>
      <c r="F63" s="4" t="s">
        <v>2308</v>
      </c>
      <c r="G63" s="4" t="s">
        <v>2308</v>
      </c>
      <c r="H63" s="22" t="s">
        <v>2308</v>
      </c>
      <c r="I63" s="22" t="s">
        <v>2308</v>
      </c>
      <c r="J63" s="22" t="s">
        <v>2308</v>
      </c>
      <c r="K63" s="22"/>
      <c r="L63" s="22" t="s">
        <v>2308</v>
      </c>
      <c r="M63" s="22" t="s">
        <v>2308</v>
      </c>
      <c r="N63" s="22" t="s">
        <v>2308</v>
      </c>
      <c r="O63" s="22" t="s">
        <v>2308</v>
      </c>
      <c r="P63" s="22">
        <v>24.888227239999999</v>
      </c>
      <c r="Q63" s="22" t="s">
        <v>2308</v>
      </c>
      <c r="R63" s="22" t="s">
        <v>2308</v>
      </c>
      <c r="S63" s="22" t="s">
        <v>2308</v>
      </c>
      <c r="T63" s="4"/>
    </row>
    <row r="64" spans="1:20" ht="29">
      <c r="A64" s="32" t="s">
        <v>312</v>
      </c>
      <c r="B64" s="4" t="s">
        <v>70</v>
      </c>
      <c r="C64" s="4" t="s">
        <v>12</v>
      </c>
      <c r="D64" s="5" t="s">
        <v>403</v>
      </c>
      <c r="E64" s="5" t="s">
        <v>404</v>
      </c>
      <c r="F64" s="4" t="s">
        <v>2308</v>
      </c>
      <c r="G64" s="4" t="s">
        <v>2308</v>
      </c>
      <c r="H64" s="22" t="s">
        <v>2308</v>
      </c>
      <c r="I64" s="22" t="s">
        <v>2308</v>
      </c>
      <c r="J64" s="22" t="s">
        <v>2308</v>
      </c>
      <c r="K64" s="22"/>
      <c r="L64" s="22" t="s">
        <v>2308</v>
      </c>
      <c r="M64" s="22" t="s">
        <v>2308</v>
      </c>
      <c r="N64" s="22" t="s">
        <v>2308</v>
      </c>
      <c r="O64" s="22" t="s">
        <v>2308</v>
      </c>
      <c r="P64" s="22">
        <v>15.769765420000001</v>
      </c>
      <c r="Q64" s="22" t="s">
        <v>2308</v>
      </c>
      <c r="R64" s="22" t="s">
        <v>2308</v>
      </c>
      <c r="S64" s="22" t="s">
        <v>2308</v>
      </c>
      <c r="T64" s="4"/>
    </row>
    <row r="65" spans="1:20" ht="29">
      <c r="A65" s="32" t="s">
        <v>313</v>
      </c>
      <c r="B65" s="4" t="s">
        <v>70</v>
      </c>
      <c r="C65" s="4" t="s">
        <v>12</v>
      </c>
      <c r="D65" s="5" t="s">
        <v>403</v>
      </c>
      <c r="E65" s="5" t="s">
        <v>404</v>
      </c>
      <c r="F65" s="4" t="s">
        <v>2308</v>
      </c>
      <c r="G65" s="4" t="s">
        <v>2308</v>
      </c>
      <c r="H65" s="22" t="s">
        <v>2308</v>
      </c>
      <c r="I65" s="22" t="s">
        <v>2308</v>
      </c>
      <c r="J65" s="22" t="s">
        <v>2308</v>
      </c>
      <c r="K65" s="22"/>
      <c r="L65" s="22" t="s">
        <v>2308</v>
      </c>
      <c r="M65" s="22" t="s">
        <v>2308</v>
      </c>
      <c r="N65" s="22" t="s">
        <v>2308</v>
      </c>
      <c r="O65" s="22" t="s">
        <v>2308</v>
      </c>
      <c r="P65" s="22">
        <v>17.475767449999999</v>
      </c>
      <c r="Q65" s="22" t="s">
        <v>2308</v>
      </c>
      <c r="R65" s="22" t="s">
        <v>2308</v>
      </c>
      <c r="S65" s="22" t="s">
        <v>2308</v>
      </c>
      <c r="T65" s="4"/>
    </row>
    <row r="66" spans="1:20" ht="29">
      <c r="A66" s="32" t="s">
        <v>314</v>
      </c>
      <c r="B66" s="4" t="s">
        <v>70</v>
      </c>
      <c r="C66" s="4" t="s">
        <v>12</v>
      </c>
      <c r="D66" s="5" t="s">
        <v>403</v>
      </c>
      <c r="E66" s="5" t="s">
        <v>404</v>
      </c>
      <c r="F66" s="4" t="s">
        <v>2308</v>
      </c>
      <c r="G66" s="4" t="s">
        <v>2308</v>
      </c>
      <c r="H66" s="22" t="s">
        <v>2308</v>
      </c>
      <c r="I66" s="22" t="s">
        <v>2308</v>
      </c>
      <c r="J66" s="22" t="s">
        <v>2308</v>
      </c>
      <c r="K66" s="22"/>
      <c r="L66" s="22" t="s">
        <v>2308</v>
      </c>
      <c r="M66" s="22" t="s">
        <v>2308</v>
      </c>
      <c r="N66" s="22" t="s">
        <v>2308</v>
      </c>
      <c r="O66" s="22" t="s">
        <v>2308</v>
      </c>
      <c r="P66" s="22">
        <v>13.330206860000001</v>
      </c>
      <c r="Q66" s="22" t="s">
        <v>2308</v>
      </c>
      <c r="R66" s="22" t="s">
        <v>2308</v>
      </c>
      <c r="S66" s="22" t="s">
        <v>2308</v>
      </c>
      <c r="T66" s="4"/>
    </row>
    <row r="67" spans="1:20" ht="29">
      <c r="A67" s="32" t="s">
        <v>315</v>
      </c>
      <c r="B67" s="4" t="s">
        <v>70</v>
      </c>
      <c r="C67" s="4" t="s">
        <v>12</v>
      </c>
      <c r="D67" s="5" t="s">
        <v>403</v>
      </c>
      <c r="E67" s="5" t="s">
        <v>404</v>
      </c>
      <c r="F67" s="4" t="s">
        <v>2308</v>
      </c>
      <c r="G67" s="4" t="s">
        <v>2308</v>
      </c>
      <c r="H67" s="22" t="s">
        <v>2308</v>
      </c>
      <c r="I67" s="22" t="s">
        <v>2308</v>
      </c>
      <c r="J67" s="22" t="s">
        <v>2308</v>
      </c>
      <c r="K67" s="22"/>
      <c r="L67" s="22" t="s">
        <v>2308</v>
      </c>
      <c r="M67" s="22" t="s">
        <v>2308</v>
      </c>
      <c r="N67" s="22" t="s">
        <v>2308</v>
      </c>
      <c r="O67" s="22" t="s">
        <v>2308</v>
      </c>
      <c r="P67" s="22">
        <v>7.1252818099999997</v>
      </c>
      <c r="Q67" s="22" t="s">
        <v>2308</v>
      </c>
      <c r="R67" s="22" t="s">
        <v>2308</v>
      </c>
      <c r="S67" s="22" t="s">
        <v>2308</v>
      </c>
      <c r="T67" s="4"/>
    </row>
    <row r="68" spans="1:20" ht="29">
      <c r="A68" s="32" t="s">
        <v>316</v>
      </c>
      <c r="B68" s="4" t="s">
        <v>70</v>
      </c>
      <c r="C68" s="4" t="s">
        <v>12</v>
      </c>
      <c r="D68" s="5" t="s">
        <v>403</v>
      </c>
      <c r="E68" s="5" t="s">
        <v>404</v>
      </c>
      <c r="F68" s="4" t="s">
        <v>2308</v>
      </c>
      <c r="G68" s="4" t="s">
        <v>2308</v>
      </c>
      <c r="H68" s="22" t="s">
        <v>2308</v>
      </c>
      <c r="I68" s="22" t="s">
        <v>2308</v>
      </c>
      <c r="J68" s="22" t="s">
        <v>2308</v>
      </c>
      <c r="K68" s="22"/>
      <c r="L68" s="22" t="s">
        <v>2308</v>
      </c>
      <c r="M68" s="22" t="s">
        <v>2308</v>
      </c>
      <c r="N68" s="22" t="s">
        <v>2308</v>
      </c>
      <c r="O68" s="22" t="s">
        <v>2308</v>
      </c>
      <c r="P68" s="22">
        <v>11.91420484</v>
      </c>
      <c r="Q68" s="22" t="s">
        <v>2308</v>
      </c>
      <c r="R68" s="22" t="s">
        <v>2308</v>
      </c>
      <c r="S68" s="22" t="s">
        <v>2308</v>
      </c>
      <c r="T68" s="4"/>
    </row>
    <row r="69" spans="1:20" ht="29">
      <c r="A69" s="32" t="s">
        <v>317</v>
      </c>
      <c r="B69" s="4" t="s">
        <v>70</v>
      </c>
      <c r="C69" s="4" t="s">
        <v>12</v>
      </c>
      <c r="D69" s="5" t="s">
        <v>403</v>
      </c>
      <c r="E69" s="5" t="s">
        <v>404</v>
      </c>
      <c r="F69" s="4" t="s">
        <v>2308</v>
      </c>
      <c r="G69" s="4" t="s">
        <v>2308</v>
      </c>
      <c r="H69" s="22" t="s">
        <v>2308</v>
      </c>
      <c r="I69" s="22" t="s">
        <v>2308</v>
      </c>
      <c r="J69" s="22" t="s">
        <v>2308</v>
      </c>
      <c r="K69" s="22"/>
      <c r="L69" s="22" t="s">
        <v>2308</v>
      </c>
      <c r="M69" s="22" t="s">
        <v>2308</v>
      </c>
      <c r="N69" s="22" t="s">
        <v>2308</v>
      </c>
      <c r="O69" s="22" t="s">
        <v>2308</v>
      </c>
      <c r="P69" s="22">
        <v>5.6075728500000004</v>
      </c>
      <c r="Q69" s="22" t="s">
        <v>2308</v>
      </c>
      <c r="R69" s="22" t="s">
        <v>2308</v>
      </c>
      <c r="S69" s="22" t="s">
        <v>2308</v>
      </c>
      <c r="T69" s="4"/>
    </row>
    <row r="70" spans="1:20" ht="29">
      <c r="A70" s="32" t="s">
        <v>318</v>
      </c>
      <c r="B70" s="4" t="s">
        <v>70</v>
      </c>
      <c r="C70" s="4" t="s">
        <v>12</v>
      </c>
      <c r="D70" s="5" t="s">
        <v>403</v>
      </c>
      <c r="E70" s="5" t="s">
        <v>404</v>
      </c>
      <c r="F70" s="4" t="s">
        <v>2308</v>
      </c>
      <c r="G70" s="4" t="s">
        <v>2308</v>
      </c>
      <c r="H70" s="22" t="s">
        <v>2308</v>
      </c>
      <c r="I70" s="22" t="s">
        <v>2308</v>
      </c>
      <c r="J70" s="22" t="s">
        <v>2308</v>
      </c>
      <c r="K70" s="22"/>
      <c r="L70" s="22" t="s">
        <v>2308</v>
      </c>
      <c r="M70" s="22" t="s">
        <v>2308</v>
      </c>
      <c r="N70" s="22" t="s">
        <v>2308</v>
      </c>
      <c r="O70" s="22" t="s">
        <v>2308</v>
      </c>
      <c r="P70" s="22">
        <v>3.2086728199999999</v>
      </c>
      <c r="Q70" s="22" t="s">
        <v>2308</v>
      </c>
      <c r="R70" s="22" t="s">
        <v>2308</v>
      </c>
      <c r="S70" s="22" t="s">
        <v>2308</v>
      </c>
      <c r="T70" s="4"/>
    </row>
    <row r="71" spans="1:20" ht="39" customHeight="1">
      <c r="A71" s="4" t="s">
        <v>94</v>
      </c>
      <c r="B71" s="4" t="s">
        <v>70</v>
      </c>
      <c r="C71" s="4" t="s">
        <v>12</v>
      </c>
      <c r="D71" s="5" t="s">
        <v>403</v>
      </c>
      <c r="E71" s="5" t="s">
        <v>404</v>
      </c>
      <c r="F71" s="4" t="s">
        <v>2308</v>
      </c>
      <c r="G71" s="4" t="s">
        <v>2308</v>
      </c>
      <c r="H71" s="22" t="s">
        <v>2308</v>
      </c>
      <c r="I71" s="22">
        <v>6.07</v>
      </c>
      <c r="J71" s="22" t="s">
        <v>2308</v>
      </c>
      <c r="K71" s="22"/>
      <c r="L71" s="22" t="s">
        <v>2308</v>
      </c>
      <c r="M71" s="22" t="s">
        <v>2308</v>
      </c>
      <c r="N71" s="22" t="s">
        <v>2308</v>
      </c>
      <c r="O71" s="22" t="s">
        <v>2308</v>
      </c>
      <c r="P71" s="22" t="s">
        <v>2308</v>
      </c>
      <c r="Q71" s="22" t="s">
        <v>2308</v>
      </c>
      <c r="R71" s="22" t="s">
        <v>2308</v>
      </c>
      <c r="S71" s="22" t="s">
        <v>2308</v>
      </c>
      <c r="T71" s="4"/>
    </row>
    <row r="72" spans="1:20" ht="39" customHeight="1">
      <c r="A72" s="4" t="s">
        <v>1275</v>
      </c>
      <c r="B72" s="4" t="s">
        <v>70</v>
      </c>
      <c r="C72" s="4" t="s">
        <v>12</v>
      </c>
      <c r="D72" s="5" t="s">
        <v>403</v>
      </c>
      <c r="E72" s="5" t="s">
        <v>404</v>
      </c>
      <c r="F72" s="4" t="s">
        <v>2308</v>
      </c>
      <c r="G72" s="4" t="s">
        <v>2308</v>
      </c>
      <c r="H72" s="22" t="s">
        <v>2308</v>
      </c>
      <c r="I72" s="22">
        <v>8.43</v>
      </c>
      <c r="J72" s="22" t="s">
        <v>2308</v>
      </c>
      <c r="K72" s="22"/>
      <c r="L72" s="22" t="s">
        <v>2308</v>
      </c>
      <c r="M72" s="22" t="s">
        <v>2308</v>
      </c>
      <c r="N72" s="22" t="s">
        <v>2308</v>
      </c>
      <c r="O72" s="22" t="s">
        <v>2308</v>
      </c>
      <c r="P72" s="22" t="s">
        <v>2308</v>
      </c>
      <c r="Q72" s="22" t="s">
        <v>2308</v>
      </c>
      <c r="R72" s="22" t="s">
        <v>2308</v>
      </c>
      <c r="S72" s="22" t="s">
        <v>2308</v>
      </c>
      <c r="T72" s="4"/>
    </row>
    <row r="73" spans="1:20" ht="39" customHeight="1">
      <c r="A73" s="4" t="s">
        <v>1276</v>
      </c>
      <c r="B73" s="4" t="s">
        <v>70</v>
      </c>
      <c r="C73" s="4" t="s">
        <v>12</v>
      </c>
      <c r="D73" s="5" t="s">
        <v>403</v>
      </c>
      <c r="E73" s="5" t="s">
        <v>404</v>
      </c>
      <c r="F73" s="4" t="s">
        <v>2308</v>
      </c>
      <c r="G73" s="4" t="s">
        <v>2308</v>
      </c>
      <c r="H73" s="22" t="s">
        <v>2308</v>
      </c>
      <c r="I73" s="22">
        <v>6.86</v>
      </c>
      <c r="J73" s="22" t="s">
        <v>2308</v>
      </c>
      <c r="K73" s="22"/>
      <c r="L73" s="22" t="s">
        <v>2308</v>
      </c>
      <c r="M73" s="22" t="s">
        <v>2308</v>
      </c>
      <c r="N73" s="22" t="s">
        <v>2308</v>
      </c>
      <c r="O73" s="22" t="s">
        <v>2308</v>
      </c>
      <c r="P73" s="22" t="s">
        <v>2308</v>
      </c>
      <c r="Q73" s="22" t="s">
        <v>2308</v>
      </c>
      <c r="R73" s="22" t="s">
        <v>2308</v>
      </c>
      <c r="S73" s="22" t="s">
        <v>2308</v>
      </c>
      <c r="T73" s="4"/>
    </row>
    <row r="74" spans="1:20" ht="43" customHeight="1">
      <c r="A74" s="4" t="s">
        <v>98</v>
      </c>
      <c r="B74" s="4" t="s">
        <v>70</v>
      </c>
      <c r="C74" s="4" t="s">
        <v>12</v>
      </c>
      <c r="D74" s="5" t="s">
        <v>403</v>
      </c>
      <c r="E74" s="5" t="s">
        <v>404</v>
      </c>
      <c r="F74" s="4" t="s">
        <v>2308</v>
      </c>
      <c r="G74" s="4" t="s">
        <v>2308</v>
      </c>
      <c r="H74" s="22">
        <v>1.1282051</v>
      </c>
      <c r="I74" s="22">
        <v>11.7</v>
      </c>
      <c r="J74" s="22">
        <v>3.1320000000000001</v>
      </c>
      <c r="K74" s="22"/>
      <c r="L74" s="22" t="s">
        <v>2308</v>
      </c>
      <c r="M74" s="22" t="s">
        <v>2308</v>
      </c>
      <c r="N74" s="22" t="s">
        <v>2308</v>
      </c>
      <c r="O74" s="22" t="s">
        <v>2308</v>
      </c>
      <c r="P74" s="22" t="s">
        <v>2308</v>
      </c>
      <c r="Q74" s="22" t="s">
        <v>2308</v>
      </c>
      <c r="R74" s="22" t="s">
        <v>2308</v>
      </c>
      <c r="S74" s="22" t="s">
        <v>2308</v>
      </c>
      <c r="T74" s="4" t="s">
        <v>1339</v>
      </c>
    </row>
    <row r="75" spans="1:20" ht="43" customHeight="1">
      <c r="A75" s="4" t="s">
        <v>1294</v>
      </c>
      <c r="B75" s="4" t="s">
        <v>70</v>
      </c>
      <c r="C75" s="4" t="s">
        <v>12</v>
      </c>
      <c r="D75" s="5" t="s">
        <v>403</v>
      </c>
      <c r="E75" s="5" t="s">
        <v>404</v>
      </c>
      <c r="F75" s="4" t="s">
        <v>2308</v>
      </c>
      <c r="G75" s="4" t="s">
        <v>2308</v>
      </c>
      <c r="H75" s="22">
        <v>0.6238532</v>
      </c>
      <c r="I75" s="22">
        <v>10.9</v>
      </c>
      <c r="J75" s="22">
        <v>3.1320000000000001</v>
      </c>
      <c r="K75" s="22"/>
      <c r="L75" s="22" t="s">
        <v>2308</v>
      </c>
      <c r="M75" s="22" t="s">
        <v>2308</v>
      </c>
      <c r="N75" s="22" t="s">
        <v>2308</v>
      </c>
      <c r="O75" s="22" t="s">
        <v>2308</v>
      </c>
      <c r="P75" s="22" t="s">
        <v>2308</v>
      </c>
      <c r="Q75" s="22" t="s">
        <v>2308</v>
      </c>
      <c r="R75" s="22" t="s">
        <v>2308</v>
      </c>
      <c r="S75" s="22" t="s">
        <v>2308</v>
      </c>
      <c r="T75" s="4" t="s">
        <v>1339</v>
      </c>
    </row>
    <row r="76" spans="1:20" ht="43" customHeight="1">
      <c r="A76" s="4" t="s">
        <v>1295</v>
      </c>
      <c r="B76" s="4" t="s">
        <v>70</v>
      </c>
      <c r="C76" s="4" t="s">
        <v>12</v>
      </c>
      <c r="D76" s="5" t="s">
        <v>403</v>
      </c>
      <c r="E76" s="5" t="s">
        <v>404</v>
      </c>
      <c r="F76" s="4" t="s">
        <v>2308</v>
      </c>
      <c r="G76" s="4" t="s">
        <v>2308</v>
      </c>
      <c r="H76" s="22">
        <v>0.90625</v>
      </c>
      <c r="I76" s="22">
        <v>9.6</v>
      </c>
      <c r="J76" s="22">
        <v>3.1320000000000001</v>
      </c>
      <c r="K76" s="22"/>
      <c r="L76" s="22" t="s">
        <v>2308</v>
      </c>
      <c r="M76" s="22" t="s">
        <v>2308</v>
      </c>
      <c r="N76" s="22" t="s">
        <v>2308</v>
      </c>
      <c r="O76" s="22" t="s">
        <v>2308</v>
      </c>
      <c r="P76" s="22" t="s">
        <v>2308</v>
      </c>
      <c r="Q76" s="22" t="s">
        <v>2308</v>
      </c>
      <c r="R76" s="22" t="s">
        <v>2308</v>
      </c>
      <c r="S76" s="22" t="s">
        <v>2308</v>
      </c>
      <c r="T76" s="4" t="s">
        <v>1339</v>
      </c>
    </row>
    <row r="77" spans="1:20" ht="43" customHeight="1">
      <c r="A77" s="4" t="s">
        <v>1296</v>
      </c>
      <c r="B77" s="4" t="s">
        <v>70</v>
      </c>
      <c r="C77" s="4" t="s">
        <v>12</v>
      </c>
      <c r="D77" s="5" t="s">
        <v>403</v>
      </c>
      <c r="E77" s="5" t="s">
        <v>404</v>
      </c>
      <c r="F77" s="4" t="s">
        <v>2308</v>
      </c>
      <c r="G77" s="4" t="s">
        <v>2308</v>
      </c>
      <c r="H77" s="22">
        <v>0.99090909999999999</v>
      </c>
      <c r="I77" s="22">
        <v>11</v>
      </c>
      <c r="J77" s="22">
        <v>3.1320000000000001</v>
      </c>
      <c r="K77" s="22"/>
      <c r="L77" s="22" t="s">
        <v>2308</v>
      </c>
      <c r="M77" s="22" t="s">
        <v>2308</v>
      </c>
      <c r="N77" s="22" t="s">
        <v>2308</v>
      </c>
      <c r="O77" s="22" t="s">
        <v>2308</v>
      </c>
      <c r="P77" s="22" t="s">
        <v>2308</v>
      </c>
      <c r="Q77" s="22" t="s">
        <v>2308</v>
      </c>
      <c r="R77" s="22" t="s">
        <v>2308</v>
      </c>
      <c r="S77" s="22" t="s">
        <v>2308</v>
      </c>
      <c r="T77" s="4" t="s">
        <v>1339</v>
      </c>
    </row>
    <row r="78" spans="1:20" ht="43" customHeight="1">
      <c r="A78" s="4" t="s">
        <v>1297</v>
      </c>
      <c r="B78" s="4" t="s">
        <v>70</v>
      </c>
      <c r="C78" s="4" t="s">
        <v>12</v>
      </c>
      <c r="D78" s="5" t="s">
        <v>403</v>
      </c>
      <c r="E78" s="5" t="s">
        <v>404</v>
      </c>
      <c r="F78" s="4" t="s">
        <v>2308</v>
      </c>
      <c r="G78" s="4" t="s">
        <v>2308</v>
      </c>
      <c r="H78" s="22">
        <v>1.1869919</v>
      </c>
      <c r="I78" s="22">
        <v>12.3</v>
      </c>
      <c r="J78" s="22">
        <v>3.1320000000000001</v>
      </c>
      <c r="K78" s="22"/>
      <c r="L78" s="22" t="s">
        <v>2308</v>
      </c>
      <c r="M78" s="22" t="s">
        <v>2308</v>
      </c>
      <c r="N78" s="22" t="s">
        <v>2308</v>
      </c>
      <c r="O78" s="22" t="s">
        <v>2308</v>
      </c>
      <c r="P78" s="22" t="s">
        <v>2308</v>
      </c>
      <c r="Q78" s="22" t="s">
        <v>2308</v>
      </c>
      <c r="R78" s="22" t="s">
        <v>2308</v>
      </c>
      <c r="S78" s="22" t="s">
        <v>2308</v>
      </c>
      <c r="T78" s="4" t="s">
        <v>1339</v>
      </c>
    </row>
    <row r="79" spans="1:20" ht="43" customHeight="1">
      <c r="A79" s="4" t="s">
        <v>1298</v>
      </c>
      <c r="B79" s="4" t="s">
        <v>70</v>
      </c>
      <c r="C79" s="4" t="s">
        <v>12</v>
      </c>
      <c r="D79" s="5" t="s">
        <v>403</v>
      </c>
      <c r="E79" s="5" t="s">
        <v>404</v>
      </c>
      <c r="F79" s="4" t="s">
        <v>2308</v>
      </c>
      <c r="G79" s="4" t="s">
        <v>2308</v>
      </c>
      <c r="H79" s="22">
        <v>1.1954023</v>
      </c>
      <c r="I79" s="22">
        <v>8.6999999999999993</v>
      </c>
      <c r="J79" s="22">
        <v>3.1320000000000001</v>
      </c>
      <c r="K79" s="22"/>
      <c r="L79" s="22" t="s">
        <v>2308</v>
      </c>
      <c r="M79" s="22" t="s">
        <v>2308</v>
      </c>
      <c r="N79" s="22" t="s">
        <v>2308</v>
      </c>
      <c r="O79" s="22" t="s">
        <v>2308</v>
      </c>
      <c r="P79" s="22" t="s">
        <v>2308</v>
      </c>
      <c r="Q79" s="22" t="s">
        <v>2308</v>
      </c>
      <c r="R79" s="22" t="s">
        <v>2308</v>
      </c>
      <c r="S79" s="22" t="s">
        <v>2308</v>
      </c>
      <c r="T79" s="4" t="s">
        <v>1339</v>
      </c>
    </row>
    <row r="80" spans="1:20" ht="43" customHeight="1">
      <c r="A80" s="4" t="s">
        <v>1299</v>
      </c>
      <c r="B80" s="4" t="s">
        <v>70</v>
      </c>
      <c r="C80" s="4" t="s">
        <v>12</v>
      </c>
      <c r="D80" s="5" t="s">
        <v>403</v>
      </c>
      <c r="E80" s="5" t="s">
        <v>404</v>
      </c>
      <c r="F80" s="4" t="s">
        <v>2308</v>
      </c>
      <c r="G80" s="4" t="s">
        <v>2308</v>
      </c>
      <c r="H80" s="22">
        <v>0.93548390000000003</v>
      </c>
      <c r="I80" s="22">
        <v>9.3000000000000007</v>
      </c>
      <c r="J80" s="22">
        <v>3.1320000000000001</v>
      </c>
      <c r="K80" s="22"/>
      <c r="L80" s="22" t="s">
        <v>2308</v>
      </c>
      <c r="M80" s="22" t="s">
        <v>2308</v>
      </c>
      <c r="N80" s="22" t="s">
        <v>2308</v>
      </c>
      <c r="O80" s="22" t="s">
        <v>2308</v>
      </c>
      <c r="P80" s="22" t="s">
        <v>2308</v>
      </c>
      <c r="Q80" s="22" t="s">
        <v>2308</v>
      </c>
      <c r="R80" s="22" t="s">
        <v>2308</v>
      </c>
      <c r="S80" s="22" t="s">
        <v>2308</v>
      </c>
      <c r="T80" s="4" t="s">
        <v>1339</v>
      </c>
    </row>
    <row r="81" spans="1:20" ht="43" customHeight="1">
      <c r="A81" s="4" t="s">
        <v>1300</v>
      </c>
      <c r="B81" s="4" t="s">
        <v>70</v>
      </c>
      <c r="C81" s="4" t="s">
        <v>12</v>
      </c>
      <c r="D81" s="5" t="s">
        <v>403</v>
      </c>
      <c r="E81" s="5" t="s">
        <v>404</v>
      </c>
      <c r="F81" s="4" t="s">
        <v>2308</v>
      </c>
      <c r="G81" s="4" t="s">
        <v>2308</v>
      </c>
      <c r="H81" s="22">
        <v>1.5</v>
      </c>
      <c r="I81" s="22">
        <v>9.8000000000000007</v>
      </c>
      <c r="J81" s="22">
        <v>3.1320000000000001</v>
      </c>
      <c r="K81" s="22"/>
      <c r="L81" s="22" t="s">
        <v>2308</v>
      </c>
      <c r="M81" s="22" t="s">
        <v>2308</v>
      </c>
      <c r="N81" s="22" t="s">
        <v>2308</v>
      </c>
      <c r="O81" s="22" t="s">
        <v>2308</v>
      </c>
      <c r="P81" s="22" t="s">
        <v>2308</v>
      </c>
      <c r="Q81" s="22" t="s">
        <v>2308</v>
      </c>
      <c r="R81" s="22" t="s">
        <v>2308</v>
      </c>
      <c r="S81" s="22" t="s">
        <v>2308</v>
      </c>
      <c r="T81" s="4" t="s">
        <v>1339</v>
      </c>
    </row>
    <row r="82" spans="1:20" ht="43" customHeight="1">
      <c r="A82" s="4" t="s">
        <v>1316</v>
      </c>
      <c r="B82" s="4" t="s">
        <v>70</v>
      </c>
      <c r="C82" s="4" t="s">
        <v>12</v>
      </c>
      <c r="D82" s="5" t="s">
        <v>403</v>
      </c>
      <c r="E82" s="5" t="s">
        <v>404</v>
      </c>
      <c r="F82" s="4" t="s">
        <v>2308</v>
      </c>
      <c r="G82" s="4" t="s">
        <v>2308</v>
      </c>
      <c r="H82" s="22">
        <v>1.2666667</v>
      </c>
      <c r="I82" s="22">
        <v>9</v>
      </c>
      <c r="J82" s="22">
        <v>3.1320000000000001</v>
      </c>
      <c r="K82" s="22"/>
      <c r="L82" s="22" t="s">
        <v>2308</v>
      </c>
      <c r="M82" s="22" t="s">
        <v>2308</v>
      </c>
      <c r="N82" s="22" t="s">
        <v>2308</v>
      </c>
      <c r="O82" s="22" t="s">
        <v>2308</v>
      </c>
      <c r="P82" s="22" t="s">
        <v>2308</v>
      </c>
      <c r="Q82" s="22" t="s">
        <v>2308</v>
      </c>
      <c r="R82" s="22" t="s">
        <v>2308</v>
      </c>
      <c r="S82" s="22" t="s">
        <v>2308</v>
      </c>
      <c r="T82" s="4" t="s">
        <v>1339</v>
      </c>
    </row>
    <row r="83" spans="1:20" ht="43" customHeight="1">
      <c r="A83" s="4" t="s">
        <v>1302</v>
      </c>
      <c r="B83" s="4" t="s">
        <v>70</v>
      </c>
      <c r="C83" s="4" t="s">
        <v>12</v>
      </c>
      <c r="D83" s="5" t="s">
        <v>403</v>
      </c>
      <c r="E83" s="5" t="s">
        <v>404</v>
      </c>
      <c r="F83" s="4" t="s">
        <v>2308</v>
      </c>
      <c r="G83" s="4" t="s">
        <v>2308</v>
      </c>
      <c r="H83" s="22">
        <v>1</v>
      </c>
      <c r="I83" s="22">
        <v>10.7</v>
      </c>
      <c r="J83" s="22">
        <v>3.1320000000000001</v>
      </c>
      <c r="K83" s="22"/>
      <c r="L83" s="22" t="s">
        <v>2308</v>
      </c>
      <c r="M83" s="22" t="s">
        <v>2308</v>
      </c>
      <c r="N83" s="22" t="s">
        <v>2308</v>
      </c>
      <c r="O83" s="22" t="s">
        <v>2308</v>
      </c>
      <c r="P83" s="22" t="s">
        <v>2308</v>
      </c>
      <c r="Q83" s="22" t="s">
        <v>2308</v>
      </c>
      <c r="R83" s="22" t="s">
        <v>2308</v>
      </c>
      <c r="S83" s="22" t="s">
        <v>2308</v>
      </c>
      <c r="T83" s="4" t="s">
        <v>1339</v>
      </c>
    </row>
    <row r="84" spans="1:20" ht="43" customHeight="1">
      <c r="A84" s="4" t="s">
        <v>1303</v>
      </c>
      <c r="B84" s="4" t="s">
        <v>70</v>
      </c>
      <c r="C84" s="4" t="s">
        <v>12</v>
      </c>
      <c r="D84" s="5" t="s">
        <v>403</v>
      </c>
      <c r="E84" s="5" t="s">
        <v>404</v>
      </c>
      <c r="F84" s="4" t="s">
        <v>2308</v>
      </c>
      <c r="G84" s="4" t="s">
        <v>2308</v>
      </c>
      <c r="H84" s="22">
        <v>1</v>
      </c>
      <c r="I84" s="22">
        <v>9.9</v>
      </c>
      <c r="J84" s="22">
        <v>3.1320000000000001</v>
      </c>
      <c r="K84" s="22"/>
      <c r="L84" s="22" t="s">
        <v>2308</v>
      </c>
      <c r="M84" s="22" t="s">
        <v>2308</v>
      </c>
      <c r="N84" s="22" t="s">
        <v>2308</v>
      </c>
      <c r="O84" s="22" t="s">
        <v>2308</v>
      </c>
      <c r="P84" s="22" t="s">
        <v>2308</v>
      </c>
      <c r="Q84" s="22" t="s">
        <v>2308</v>
      </c>
      <c r="R84" s="22" t="s">
        <v>2308</v>
      </c>
      <c r="S84" s="22" t="s">
        <v>2308</v>
      </c>
      <c r="T84" s="4" t="s">
        <v>1339</v>
      </c>
    </row>
    <row r="85" spans="1:20" ht="39" customHeight="1">
      <c r="A85" s="4" t="s">
        <v>103</v>
      </c>
      <c r="B85" s="4" t="s">
        <v>70</v>
      </c>
      <c r="C85" s="4" t="s">
        <v>12</v>
      </c>
      <c r="D85" s="5" t="s">
        <v>403</v>
      </c>
      <c r="E85" s="4" t="s">
        <v>2308</v>
      </c>
      <c r="F85" s="4" t="s">
        <v>2308</v>
      </c>
      <c r="G85" s="4" t="s">
        <v>2308</v>
      </c>
      <c r="H85" s="22" t="s">
        <v>2308</v>
      </c>
      <c r="I85" s="22" t="s">
        <v>2308</v>
      </c>
      <c r="J85" s="22" t="s">
        <v>2308</v>
      </c>
      <c r="K85" s="22"/>
      <c r="L85" s="22" t="s">
        <v>2308</v>
      </c>
      <c r="M85" s="22" t="s">
        <v>2308</v>
      </c>
      <c r="N85" s="22" t="s">
        <v>2308</v>
      </c>
      <c r="O85" s="22" t="s">
        <v>2308</v>
      </c>
      <c r="P85" s="22" t="s">
        <v>2308</v>
      </c>
      <c r="Q85" s="22" t="s">
        <v>2308</v>
      </c>
      <c r="R85" s="22" t="s">
        <v>2308</v>
      </c>
      <c r="S85" s="22" t="s">
        <v>2308</v>
      </c>
      <c r="T85" s="4" t="s">
        <v>1339</v>
      </c>
    </row>
    <row r="86" spans="1:20" ht="48" customHeight="1">
      <c r="A86" s="4" t="s">
        <v>107</v>
      </c>
      <c r="B86" s="4" t="s">
        <v>70</v>
      </c>
      <c r="C86" s="4" t="s">
        <v>12</v>
      </c>
      <c r="D86" s="5" t="s">
        <v>403</v>
      </c>
      <c r="E86" s="5" t="s">
        <v>404</v>
      </c>
      <c r="F86" s="4" t="s">
        <v>2308</v>
      </c>
      <c r="G86" s="4" t="s">
        <v>2308</v>
      </c>
      <c r="H86" s="22" t="s">
        <v>2308</v>
      </c>
      <c r="I86" s="22">
        <v>6.53</v>
      </c>
      <c r="J86" s="22" t="s">
        <v>2308</v>
      </c>
      <c r="K86" s="22"/>
      <c r="L86" s="22" t="s">
        <v>2308</v>
      </c>
      <c r="M86" s="22" t="s">
        <v>2308</v>
      </c>
      <c r="N86" s="22" t="s">
        <v>2308</v>
      </c>
      <c r="O86" s="22" t="s">
        <v>2308</v>
      </c>
      <c r="P86" s="22" t="s">
        <v>2308</v>
      </c>
      <c r="Q86" s="22" t="s">
        <v>2308</v>
      </c>
      <c r="R86" s="22" t="s">
        <v>2308</v>
      </c>
      <c r="S86" s="22" t="s">
        <v>2308</v>
      </c>
      <c r="T86" s="5" t="s">
        <v>1383</v>
      </c>
    </row>
    <row r="87" spans="1:20" ht="35.5" customHeight="1">
      <c r="A87" s="4" t="s">
        <v>1340</v>
      </c>
      <c r="B87" s="4" t="s">
        <v>70</v>
      </c>
      <c r="C87" s="4" t="s">
        <v>12</v>
      </c>
      <c r="D87" s="5" t="s">
        <v>403</v>
      </c>
      <c r="E87" s="5" t="s">
        <v>404</v>
      </c>
      <c r="F87" s="4" t="s">
        <v>2308</v>
      </c>
      <c r="G87" s="4" t="s">
        <v>2308</v>
      </c>
      <c r="H87" s="22" t="s">
        <v>2308</v>
      </c>
      <c r="I87" s="22">
        <v>8.6199999999999992</v>
      </c>
      <c r="J87" s="22" t="s">
        <v>2308</v>
      </c>
      <c r="K87" s="22"/>
      <c r="L87" s="22" t="s">
        <v>2308</v>
      </c>
      <c r="M87" s="22" t="s">
        <v>2308</v>
      </c>
      <c r="N87" s="22" t="s">
        <v>2308</v>
      </c>
      <c r="O87" s="22" t="s">
        <v>2308</v>
      </c>
      <c r="P87" s="22" t="s">
        <v>2308</v>
      </c>
      <c r="Q87" s="22" t="s">
        <v>2308</v>
      </c>
      <c r="R87" s="22" t="s">
        <v>2308</v>
      </c>
      <c r="S87" s="22" t="s">
        <v>2308</v>
      </c>
      <c r="T87" s="5" t="s">
        <v>1383</v>
      </c>
    </row>
    <row r="88" spans="1:20" ht="35.5" customHeight="1">
      <c r="A88" s="4" t="s">
        <v>1341</v>
      </c>
      <c r="B88" s="4" t="s">
        <v>70</v>
      </c>
      <c r="C88" s="4" t="s">
        <v>12</v>
      </c>
      <c r="D88" s="5" t="s">
        <v>403</v>
      </c>
      <c r="E88" s="5" t="s">
        <v>404</v>
      </c>
      <c r="F88" s="4" t="s">
        <v>2308</v>
      </c>
      <c r="G88" s="4" t="s">
        <v>2308</v>
      </c>
      <c r="H88" s="22" t="s">
        <v>2308</v>
      </c>
      <c r="I88" s="22">
        <v>11.61</v>
      </c>
      <c r="J88" s="22" t="s">
        <v>2308</v>
      </c>
      <c r="K88" s="22"/>
      <c r="L88" s="22" t="s">
        <v>2308</v>
      </c>
      <c r="M88" s="22" t="s">
        <v>2308</v>
      </c>
      <c r="N88" s="22" t="s">
        <v>2308</v>
      </c>
      <c r="O88" s="22" t="s">
        <v>2308</v>
      </c>
      <c r="P88" s="22" t="s">
        <v>2308</v>
      </c>
      <c r="Q88" s="22" t="s">
        <v>2308</v>
      </c>
      <c r="R88" s="22" t="s">
        <v>2308</v>
      </c>
      <c r="S88" s="22" t="s">
        <v>2308</v>
      </c>
      <c r="T88" s="5" t="s">
        <v>1383</v>
      </c>
    </row>
    <row r="89" spans="1:20" ht="35.5" customHeight="1">
      <c r="A89" s="4" t="s">
        <v>1342</v>
      </c>
      <c r="B89" s="4" t="s">
        <v>70</v>
      </c>
      <c r="C89" s="4" t="s">
        <v>12</v>
      </c>
      <c r="D89" s="5" t="s">
        <v>403</v>
      </c>
      <c r="E89" s="5" t="s">
        <v>404</v>
      </c>
      <c r="F89" s="4" t="s">
        <v>2308</v>
      </c>
      <c r="G89" s="4" t="s">
        <v>2308</v>
      </c>
      <c r="H89" s="22" t="s">
        <v>2308</v>
      </c>
      <c r="I89" s="22">
        <v>5.23</v>
      </c>
      <c r="J89" s="22" t="s">
        <v>2308</v>
      </c>
      <c r="K89" s="22"/>
      <c r="L89" s="22" t="s">
        <v>2308</v>
      </c>
      <c r="M89" s="22" t="s">
        <v>2308</v>
      </c>
      <c r="N89" s="22" t="s">
        <v>2308</v>
      </c>
      <c r="O89" s="22" t="s">
        <v>2308</v>
      </c>
      <c r="P89" s="22" t="s">
        <v>2308</v>
      </c>
      <c r="Q89" s="22" t="s">
        <v>2308</v>
      </c>
      <c r="R89" s="22" t="s">
        <v>2308</v>
      </c>
      <c r="S89" s="22" t="s">
        <v>2308</v>
      </c>
      <c r="T89" s="5" t="s">
        <v>1383</v>
      </c>
    </row>
    <row r="90" spans="1:20" ht="35.5" customHeight="1">
      <c r="A90" s="4" t="s">
        <v>1343</v>
      </c>
      <c r="B90" s="4" t="s">
        <v>70</v>
      </c>
      <c r="C90" s="4" t="s">
        <v>12</v>
      </c>
      <c r="D90" s="5" t="s">
        <v>403</v>
      </c>
      <c r="E90" s="5" t="s">
        <v>404</v>
      </c>
      <c r="F90" s="4" t="s">
        <v>2308</v>
      </c>
      <c r="G90" s="4" t="s">
        <v>2308</v>
      </c>
      <c r="H90" s="22" t="s">
        <v>2308</v>
      </c>
      <c r="I90" s="22">
        <v>6.99</v>
      </c>
      <c r="J90" s="22" t="s">
        <v>2308</v>
      </c>
      <c r="K90" s="22"/>
      <c r="L90" s="22" t="s">
        <v>2308</v>
      </c>
      <c r="M90" s="22" t="s">
        <v>2308</v>
      </c>
      <c r="N90" s="22" t="s">
        <v>2308</v>
      </c>
      <c r="O90" s="22" t="s">
        <v>2308</v>
      </c>
      <c r="P90" s="22" t="s">
        <v>2308</v>
      </c>
      <c r="Q90" s="22" t="s">
        <v>2308</v>
      </c>
      <c r="R90" s="22" t="s">
        <v>2308</v>
      </c>
      <c r="S90" s="22" t="s">
        <v>2308</v>
      </c>
      <c r="T90" s="5" t="s">
        <v>1383</v>
      </c>
    </row>
    <row r="91" spans="1:20" ht="35.5" customHeight="1">
      <c r="A91" s="4" t="s">
        <v>1344</v>
      </c>
      <c r="B91" s="4" t="s">
        <v>70</v>
      </c>
      <c r="C91" s="4" t="s">
        <v>12</v>
      </c>
      <c r="D91" s="5" t="s">
        <v>403</v>
      </c>
      <c r="E91" s="5" t="s">
        <v>404</v>
      </c>
      <c r="F91" s="4" t="s">
        <v>2308</v>
      </c>
      <c r="G91" s="4" t="s">
        <v>2308</v>
      </c>
      <c r="H91" s="22" t="s">
        <v>2308</v>
      </c>
      <c r="I91" s="22">
        <v>3.62</v>
      </c>
      <c r="J91" s="22" t="s">
        <v>2308</v>
      </c>
      <c r="K91" s="22"/>
      <c r="L91" s="22" t="s">
        <v>2308</v>
      </c>
      <c r="M91" s="22" t="s">
        <v>2308</v>
      </c>
      <c r="N91" s="22" t="s">
        <v>2308</v>
      </c>
      <c r="O91" s="22" t="s">
        <v>2308</v>
      </c>
      <c r="P91" s="22" t="s">
        <v>2308</v>
      </c>
      <c r="Q91" s="22" t="s">
        <v>2308</v>
      </c>
      <c r="R91" s="22" t="s">
        <v>2308</v>
      </c>
      <c r="S91" s="22" t="s">
        <v>2308</v>
      </c>
      <c r="T91" s="5" t="s">
        <v>1383</v>
      </c>
    </row>
    <row r="92" spans="1:20" ht="35.5" customHeight="1">
      <c r="A92" s="4" t="s">
        <v>1345</v>
      </c>
      <c r="B92" s="4" t="s">
        <v>70</v>
      </c>
      <c r="C92" s="4" t="s">
        <v>12</v>
      </c>
      <c r="D92" s="5" t="s">
        <v>403</v>
      </c>
      <c r="E92" s="5" t="s">
        <v>404</v>
      </c>
      <c r="F92" s="4" t="s">
        <v>2308</v>
      </c>
      <c r="G92" s="4" t="s">
        <v>2308</v>
      </c>
      <c r="H92" s="22" t="s">
        <v>2308</v>
      </c>
      <c r="I92" s="22">
        <v>5.48</v>
      </c>
      <c r="J92" s="22" t="s">
        <v>2308</v>
      </c>
      <c r="K92" s="22"/>
      <c r="L92" s="22" t="s">
        <v>2308</v>
      </c>
      <c r="M92" s="22" t="s">
        <v>2308</v>
      </c>
      <c r="N92" s="22" t="s">
        <v>2308</v>
      </c>
      <c r="O92" s="22" t="s">
        <v>2308</v>
      </c>
      <c r="P92" s="22" t="s">
        <v>2308</v>
      </c>
      <c r="Q92" s="22" t="s">
        <v>2308</v>
      </c>
      <c r="R92" s="22" t="s">
        <v>2308</v>
      </c>
      <c r="S92" s="22" t="s">
        <v>2308</v>
      </c>
      <c r="T92" s="5" t="s">
        <v>1383</v>
      </c>
    </row>
    <row r="93" spans="1:20" ht="35.5" customHeight="1">
      <c r="A93" s="4" t="s">
        <v>1346</v>
      </c>
      <c r="B93" s="4" t="s">
        <v>70</v>
      </c>
      <c r="C93" s="4" t="s">
        <v>12</v>
      </c>
      <c r="D93" s="5" t="s">
        <v>403</v>
      </c>
      <c r="E93" s="5" t="s">
        <v>404</v>
      </c>
      <c r="F93" s="4" t="s">
        <v>2308</v>
      </c>
      <c r="G93" s="4" t="s">
        <v>2308</v>
      </c>
      <c r="H93" s="22" t="s">
        <v>2308</v>
      </c>
      <c r="I93" s="22">
        <v>4.0999999999999996</v>
      </c>
      <c r="J93" s="22" t="s">
        <v>2308</v>
      </c>
      <c r="K93" s="22"/>
      <c r="L93" s="22" t="s">
        <v>2308</v>
      </c>
      <c r="M93" s="22" t="s">
        <v>2308</v>
      </c>
      <c r="N93" s="22" t="s">
        <v>2308</v>
      </c>
      <c r="O93" s="22" t="s">
        <v>2308</v>
      </c>
      <c r="P93" s="22" t="s">
        <v>2308</v>
      </c>
      <c r="Q93" s="22" t="s">
        <v>2308</v>
      </c>
      <c r="R93" s="22" t="s">
        <v>2308</v>
      </c>
      <c r="S93" s="22" t="s">
        <v>2308</v>
      </c>
      <c r="T93" s="5" t="s">
        <v>1383</v>
      </c>
    </row>
    <row r="94" spans="1:20" ht="35.5" customHeight="1">
      <c r="A94" s="4" t="s">
        <v>1347</v>
      </c>
      <c r="B94" s="4" t="s">
        <v>70</v>
      </c>
      <c r="C94" s="4" t="s">
        <v>12</v>
      </c>
      <c r="D94" s="5" t="s">
        <v>403</v>
      </c>
      <c r="E94" s="5" t="s">
        <v>404</v>
      </c>
      <c r="F94" s="4" t="s">
        <v>2308</v>
      </c>
      <c r="G94" s="4" t="s">
        <v>2308</v>
      </c>
      <c r="H94" s="22" t="s">
        <v>2308</v>
      </c>
      <c r="I94" s="22">
        <v>9.31</v>
      </c>
      <c r="J94" s="22" t="s">
        <v>2308</v>
      </c>
      <c r="K94" s="22"/>
      <c r="L94" s="22" t="s">
        <v>2308</v>
      </c>
      <c r="M94" s="22" t="s">
        <v>2308</v>
      </c>
      <c r="N94" s="22" t="s">
        <v>2308</v>
      </c>
      <c r="O94" s="22" t="s">
        <v>2308</v>
      </c>
      <c r="P94" s="22" t="s">
        <v>2308</v>
      </c>
      <c r="Q94" s="22" t="s">
        <v>2308</v>
      </c>
      <c r="R94" s="22" t="s">
        <v>2308</v>
      </c>
      <c r="S94" s="22" t="s">
        <v>2308</v>
      </c>
      <c r="T94" s="5" t="s">
        <v>1383</v>
      </c>
    </row>
    <row r="95" spans="1:20" ht="35.5" customHeight="1">
      <c r="A95" s="4" t="s">
        <v>1348</v>
      </c>
      <c r="B95" s="4" t="s">
        <v>70</v>
      </c>
      <c r="C95" s="4" t="s">
        <v>12</v>
      </c>
      <c r="D95" s="5" t="s">
        <v>403</v>
      </c>
      <c r="E95" s="5" t="s">
        <v>404</v>
      </c>
      <c r="F95" s="4" t="s">
        <v>2308</v>
      </c>
      <c r="G95" s="4" t="s">
        <v>2308</v>
      </c>
      <c r="H95" s="22" t="s">
        <v>2308</v>
      </c>
      <c r="I95" s="22">
        <v>6.83</v>
      </c>
      <c r="J95" s="22" t="s">
        <v>2308</v>
      </c>
      <c r="K95" s="22"/>
      <c r="L95" s="22" t="s">
        <v>2308</v>
      </c>
      <c r="M95" s="22" t="s">
        <v>2308</v>
      </c>
      <c r="N95" s="22" t="s">
        <v>2308</v>
      </c>
      <c r="O95" s="22" t="s">
        <v>2308</v>
      </c>
      <c r="P95" s="22" t="s">
        <v>2308</v>
      </c>
      <c r="Q95" s="22" t="s">
        <v>2308</v>
      </c>
      <c r="R95" s="22" t="s">
        <v>2308</v>
      </c>
      <c r="S95" s="22" t="s">
        <v>2308</v>
      </c>
      <c r="T95" s="5" t="s">
        <v>1383</v>
      </c>
    </row>
    <row r="96" spans="1:20" ht="35.5" customHeight="1">
      <c r="A96" s="4" t="s">
        <v>1349</v>
      </c>
      <c r="B96" s="4" t="s">
        <v>70</v>
      </c>
      <c r="C96" s="4" t="s">
        <v>12</v>
      </c>
      <c r="D96" s="5" t="s">
        <v>403</v>
      </c>
      <c r="E96" s="5" t="s">
        <v>404</v>
      </c>
      <c r="F96" s="4" t="s">
        <v>2308</v>
      </c>
      <c r="G96" s="4" t="s">
        <v>2308</v>
      </c>
      <c r="H96" s="22" t="s">
        <v>2308</v>
      </c>
      <c r="I96" s="22">
        <v>9.48</v>
      </c>
      <c r="J96" s="22" t="s">
        <v>2308</v>
      </c>
      <c r="K96" s="22"/>
      <c r="L96" s="22" t="s">
        <v>2308</v>
      </c>
      <c r="M96" s="22" t="s">
        <v>2308</v>
      </c>
      <c r="N96" s="22" t="s">
        <v>2308</v>
      </c>
      <c r="O96" s="22" t="s">
        <v>2308</v>
      </c>
      <c r="P96" s="22" t="s">
        <v>2308</v>
      </c>
      <c r="Q96" s="22" t="s">
        <v>2308</v>
      </c>
      <c r="R96" s="22" t="s">
        <v>2308</v>
      </c>
      <c r="S96" s="22" t="s">
        <v>2308</v>
      </c>
      <c r="T96" s="5" t="s">
        <v>1383</v>
      </c>
    </row>
    <row r="97" spans="1:20" ht="35.5" customHeight="1">
      <c r="A97" s="4" t="s">
        <v>1384</v>
      </c>
      <c r="B97" s="4" t="s">
        <v>70</v>
      </c>
      <c r="C97" s="4" t="s">
        <v>12</v>
      </c>
      <c r="D97" s="5" t="s">
        <v>403</v>
      </c>
      <c r="E97" s="5" t="s">
        <v>404</v>
      </c>
      <c r="F97" s="4" t="s">
        <v>2308</v>
      </c>
      <c r="G97" s="4" t="s">
        <v>2308</v>
      </c>
      <c r="H97" s="22" t="s">
        <v>2308</v>
      </c>
      <c r="I97" s="22">
        <v>7.72</v>
      </c>
      <c r="J97" s="22" t="s">
        <v>2308</v>
      </c>
      <c r="K97" s="22"/>
      <c r="L97" s="22" t="s">
        <v>2308</v>
      </c>
      <c r="M97" s="22" t="s">
        <v>2308</v>
      </c>
      <c r="N97" s="22" t="s">
        <v>2308</v>
      </c>
      <c r="O97" s="22" t="s">
        <v>2308</v>
      </c>
      <c r="P97" s="22" t="s">
        <v>2308</v>
      </c>
      <c r="Q97" s="22" t="s">
        <v>2308</v>
      </c>
      <c r="R97" s="22" t="s">
        <v>2308</v>
      </c>
      <c r="S97" s="22" t="s">
        <v>2308</v>
      </c>
      <c r="T97" s="5" t="s">
        <v>1383</v>
      </c>
    </row>
    <row r="98" spans="1:20" ht="31" customHeight="1">
      <c r="A98" s="4" t="s">
        <v>112</v>
      </c>
      <c r="B98" s="4"/>
      <c r="C98" s="4" t="s">
        <v>2678</v>
      </c>
      <c r="D98" s="4" t="s">
        <v>84</v>
      </c>
      <c r="E98" s="4" t="s">
        <v>2308</v>
      </c>
      <c r="F98" s="4" t="s">
        <v>2308</v>
      </c>
      <c r="G98" s="4" t="s">
        <v>2308</v>
      </c>
      <c r="H98" s="22" t="s">
        <v>2308</v>
      </c>
      <c r="I98" s="22" t="s">
        <v>2308</v>
      </c>
      <c r="J98" s="22" t="s">
        <v>2308</v>
      </c>
      <c r="K98" s="22"/>
      <c r="L98" s="22" t="s">
        <v>2308</v>
      </c>
      <c r="M98" s="22" t="s">
        <v>2308</v>
      </c>
      <c r="N98" s="22" t="s">
        <v>2308</v>
      </c>
      <c r="O98" s="22" t="s">
        <v>2308</v>
      </c>
      <c r="P98" s="22" t="s">
        <v>2308</v>
      </c>
      <c r="Q98" s="22" t="s">
        <v>2308</v>
      </c>
      <c r="R98" s="22" t="s">
        <v>2308</v>
      </c>
      <c r="S98" s="22" t="s">
        <v>2308</v>
      </c>
      <c r="T98" s="5" t="s">
        <v>1388</v>
      </c>
    </row>
    <row r="99" spans="1:20" ht="51" customHeight="1">
      <c r="A99" s="4" t="s">
        <v>129</v>
      </c>
      <c r="B99" s="4" t="s">
        <v>69</v>
      </c>
      <c r="C99" s="4" t="s">
        <v>402</v>
      </c>
      <c r="D99" s="4" t="s">
        <v>136</v>
      </c>
      <c r="E99" s="4" t="s">
        <v>2308</v>
      </c>
      <c r="F99" s="4" t="s">
        <v>2308</v>
      </c>
      <c r="G99" s="4" t="s">
        <v>2308</v>
      </c>
      <c r="H99" s="22" t="s">
        <v>2308</v>
      </c>
      <c r="I99" s="22">
        <v>2</v>
      </c>
      <c r="J99" s="22" t="s">
        <v>2308</v>
      </c>
      <c r="K99" s="22"/>
      <c r="L99" s="22" t="s">
        <v>2308</v>
      </c>
      <c r="M99" s="22" t="s">
        <v>2308</v>
      </c>
      <c r="N99" s="22" t="s">
        <v>2308</v>
      </c>
      <c r="O99" s="22" t="s">
        <v>2308</v>
      </c>
      <c r="P99" s="22" t="s">
        <v>2308</v>
      </c>
      <c r="Q99" s="22" t="s">
        <v>2308</v>
      </c>
      <c r="R99" s="22" t="s">
        <v>2308</v>
      </c>
      <c r="S99" s="22" t="s">
        <v>2308</v>
      </c>
      <c r="T99" s="5" t="s">
        <v>135</v>
      </c>
    </row>
    <row r="100" spans="1:20" ht="46" customHeight="1">
      <c r="A100" s="12" t="s">
        <v>139</v>
      </c>
      <c r="B100" s="12" t="s">
        <v>1218</v>
      </c>
      <c r="C100" s="12" t="s">
        <v>12</v>
      </c>
      <c r="D100" s="20" t="s">
        <v>143</v>
      </c>
      <c r="E100" s="12" t="s">
        <v>136</v>
      </c>
      <c r="F100" s="12" t="s">
        <v>2308</v>
      </c>
      <c r="G100" s="12" t="s">
        <v>2308</v>
      </c>
      <c r="H100" s="22" t="s">
        <v>2308</v>
      </c>
      <c r="I100" s="22" t="s">
        <v>2308</v>
      </c>
      <c r="J100" s="22" t="s">
        <v>2308</v>
      </c>
      <c r="K100" s="22"/>
      <c r="L100" s="22" t="s">
        <v>2308</v>
      </c>
      <c r="M100" s="22" t="s">
        <v>2308</v>
      </c>
      <c r="N100" s="22" t="s">
        <v>2308</v>
      </c>
      <c r="O100" s="22" t="s">
        <v>2308</v>
      </c>
      <c r="P100" s="22" t="s">
        <v>2308</v>
      </c>
      <c r="Q100" s="22" t="s">
        <v>2308</v>
      </c>
      <c r="R100" s="22" t="s">
        <v>2308</v>
      </c>
      <c r="S100" s="22" t="s">
        <v>2308</v>
      </c>
      <c r="T100" s="4"/>
    </row>
    <row r="101" spans="1:20" ht="52" customHeight="1">
      <c r="A101" s="4" t="s">
        <v>142</v>
      </c>
      <c r="B101" s="4" t="s">
        <v>70</v>
      </c>
      <c r="C101" s="4" t="s">
        <v>12</v>
      </c>
      <c r="D101" s="4" t="s">
        <v>45</v>
      </c>
      <c r="E101" s="5" t="s">
        <v>404</v>
      </c>
      <c r="F101" s="5" t="s">
        <v>2308</v>
      </c>
      <c r="G101" s="5" t="s">
        <v>2308</v>
      </c>
      <c r="H101" s="22" t="s">
        <v>2308</v>
      </c>
      <c r="I101" s="22" t="s">
        <v>2308</v>
      </c>
      <c r="J101" s="22" t="s">
        <v>2308</v>
      </c>
      <c r="K101" s="22"/>
      <c r="L101" s="22" t="s">
        <v>2308</v>
      </c>
      <c r="M101" s="22" t="s">
        <v>2308</v>
      </c>
      <c r="N101" s="22" t="s">
        <v>2308</v>
      </c>
      <c r="O101" s="22" t="s">
        <v>2308</v>
      </c>
      <c r="P101" s="22" t="s">
        <v>2308</v>
      </c>
      <c r="Q101" s="22" t="s">
        <v>2308</v>
      </c>
      <c r="R101" s="22" t="s">
        <v>2308</v>
      </c>
      <c r="S101" s="22" t="s">
        <v>2308</v>
      </c>
      <c r="T101" s="5" t="s">
        <v>147</v>
      </c>
    </row>
    <row r="102" spans="1:20" ht="52" customHeight="1">
      <c r="A102" s="12" t="s">
        <v>151</v>
      </c>
      <c r="B102" s="12"/>
      <c r="C102" s="12" t="s">
        <v>402</v>
      </c>
      <c r="D102" s="12" t="s">
        <v>116</v>
      </c>
      <c r="E102" s="20" t="s">
        <v>136</v>
      </c>
      <c r="F102" s="20" t="s">
        <v>877</v>
      </c>
      <c r="G102" s="20" t="s">
        <v>2308</v>
      </c>
      <c r="H102" s="80" t="s">
        <v>2308</v>
      </c>
      <c r="I102" s="80" t="s">
        <v>2308</v>
      </c>
      <c r="J102" s="80" t="s">
        <v>2308</v>
      </c>
      <c r="K102" s="80" t="s">
        <v>542</v>
      </c>
      <c r="L102" s="80" t="s">
        <v>2308</v>
      </c>
      <c r="M102" s="80" t="s">
        <v>2308</v>
      </c>
      <c r="N102" s="80" t="s">
        <v>2308</v>
      </c>
      <c r="O102" s="80" t="s">
        <v>2308</v>
      </c>
      <c r="P102" s="80" t="s">
        <v>2308</v>
      </c>
      <c r="Q102" s="80" t="s">
        <v>2308</v>
      </c>
      <c r="R102" s="80" t="s">
        <v>2308</v>
      </c>
      <c r="S102" s="80" t="s">
        <v>2308</v>
      </c>
      <c r="T102" s="20"/>
    </row>
    <row r="103" spans="1:20" ht="95" customHeight="1">
      <c r="A103" s="4" t="s">
        <v>156</v>
      </c>
      <c r="B103" s="29" t="s">
        <v>32</v>
      </c>
      <c r="C103" s="4" t="s">
        <v>12</v>
      </c>
      <c r="D103" s="30" t="s">
        <v>45</v>
      </c>
      <c r="E103" s="29" t="s">
        <v>136</v>
      </c>
      <c r="F103" s="30" t="s">
        <v>403</v>
      </c>
      <c r="G103" s="29" t="s">
        <v>2308</v>
      </c>
      <c r="H103" s="22" t="s">
        <v>2308</v>
      </c>
      <c r="I103" s="22" t="s">
        <v>2308</v>
      </c>
      <c r="J103" s="22" t="s">
        <v>2308</v>
      </c>
      <c r="K103" s="22"/>
      <c r="L103" s="22" t="s">
        <v>2308</v>
      </c>
      <c r="M103" s="22" t="s">
        <v>2308</v>
      </c>
      <c r="N103" s="22" t="s">
        <v>2308</v>
      </c>
      <c r="O103" s="22">
        <v>9.1750000000000007</v>
      </c>
      <c r="P103" s="22">
        <v>1.27</v>
      </c>
      <c r="Q103" s="22">
        <v>4.7300000000000004</v>
      </c>
      <c r="R103" s="22">
        <v>83.5</v>
      </c>
      <c r="S103" s="22">
        <v>0.06</v>
      </c>
      <c r="T103" s="5" t="s">
        <v>1409</v>
      </c>
    </row>
    <row r="104" spans="1:20" ht="67.5" customHeight="1">
      <c r="A104" s="12" t="s">
        <v>168</v>
      </c>
      <c r="B104" s="4" t="s">
        <v>70</v>
      </c>
      <c r="C104" s="4" t="s">
        <v>2678</v>
      </c>
      <c r="D104" s="4" t="s">
        <v>84</v>
      </c>
      <c r="E104" s="30" t="s">
        <v>45</v>
      </c>
      <c r="F104" s="5" t="s">
        <v>403</v>
      </c>
      <c r="G104" s="4" t="s">
        <v>2308</v>
      </c>
      <c r="H104" s="22" t="s">
        <v>2308</v>
      </c>
      <c r="I104" s="22">
        <v>1504</v>
      </c>
      <c r="J104" s="22" t="s">
        <v>2308</v>
      </c>
      <c r="K104" s="22"/>
      <c r="L104" s="22" t="s">
        <v>2308</v>
      </c>
      <c r="M104" s="22" t="s">
        <v>2308</v>
      </c>
      <c r="N104" s="22" t="s">
        <v>2308</v>
      </c>
      <c r="O104" s="22" t="s">
        <v>2308</v>
      </c>
      <c r="P104" s="22" t="s">
        <v>2308</v>
      </c>
      <c r="Q104" s="22" t="s">
        <v>2308</v>
      </c>
      <c r="R104" s="22" t="s">
        <v>2308</v>
      </c>
      <c r="S104" s="22">
        <v>4.68</v>
      </c>
      <c r="T104" s="5" t="s">
        <v>1433</v>
      </c>
    </row>
    <row r="105" spans="1:20" ht="70" customHeight="1">
      <c r="A105" s="12" t="s">
        <v>169</v>
      </c>
      <c r="B105" s="4" t="s">
        <v>70</v>
      </c>
      <c r="C105" s="4" t="s">
        <v>12</v>
      </c>
      <c r="D105" s="30" t="s">
        <v>45</v>
      </c>
      <c r="E105" s="4" t="s">
        <v>84</v>
      </c>
      <c r="F105" s="5" t="s">
        <v>403</v>
      </c>
      <c r="G105" s="4" t="s">
        <v>2308</v>
      </c>
      <c r="H105" s="22" t="s">
        <v>2308</v>
      </c>
      <c r="I105" s="22">
        <v>483</v>
      </c>
      <c r="J105" s="22" t="s">
        <v>2308</v>
      </c>
      <c r="K105" s="22"/>
      <c r="L105" s="22" t="s">
        <v>2308</v>
      </c>
      <c r="M105" s="22" t="s">
        <v>2308</v>
      </c>
      <c r="N105" s="22" t="s">
        <v>2308</v>
      </c>
      <c r="O105" s="22" t="s">
        <v>2308</v>
      </c>
      <c r="P105" s="22" t="s">
        <v>2308</v>
      </c>
      <c r="Q105" s="22" t="s">
        <v>2308</v>
      </c>
      <c r="R105" s="22" t="s">
        <v>2308</v>
      </c>
      <c r="S105" s="22">
        <v>5.72</v>
      </c>
      <c r="T105" s="5" t="s">
        <v>1434</v>
      </c>
    </row>
    <row r="106" spans="1:20" ht="44.5" customHeight="1">
      <c r="A106" s="12" t="s">
        <v>180</v>
      </c>
      <c r="B106" s="4" t="s">
        <v>69</v>
      </c>
      <c r="C106" s="12" t="s">
        <v>12</v>
      </c>
      <c r="D106" s="5" t="s">
        <v>404</v>
      </c>
      <c r="E106" s="31" t="s">
        <v>2308</v>
      </c>
      <c r="F106" s="31" t="s">
        <v>2308</v>
      </c>
      <c r="G106" s="31" t="s">
        <v>2308</v>
      </c>
      <c r="H106" s="22" t="s">
        <v>2308</v>
      </c>
      <c r="I106" s="22" t="s">
        <v>2308</v>
      </c>
      <c r="J106" s="22" t="s">
        <v>2308</v>
      </c>
      <c r="K106" s="22"/>
      <c r="L106" s="22" t="s">
        <v>2308</v>
      </c>
      <c r="M106" s="22" t="s">
        <v>2308</v>
      </c>
      <c r="N106" s="22" t="s">
        <v>2308</v>
      </c>
      <c r="O106" s="22" t="s">
        <v>2308</v>
      </c>
      <c r="P106" s="22" t="s">
        <v>2308</v>
      </c>
      <c r="Q106" s="22" t="s">
        <v>2308</v>
      </c>
      <c r="R106" s="22" t="s">
        <v>2308</v>
      </c>
      <c r="S106" s="22" t="s">
        <v>2308</v>
      </c>
      <c r="T106" s="5" t="s">
        <v>196</v>
      </c>
    </row>
    <row r="107" spans="1:20" ht="34.5" customHeight="1">
      <c r="A107" s="12" t="s">
        <v>181</v>
      </c>
      <c r="B107" s="4" t="s">
        <v>69</v>
      </c>
      <c r="C107" s="12" t="s">
        <v>402</v>
      </c>
      <c r="D107" s="31" t="s">
        <v>136</v>
      </c>
      <c r="E107" s="12" t="s">
        <v>2308</v>
      </c>
      <c r="F107" s="12" t="s">
        <v>2308</v>
      </c>
      <c r="G107" s="12" t="s">
        <v>2308</v>
      </c>
      <c r="H107" s="22" t="s">
        <v>2308</v>
      </c>
      <c r="I107" s="22" t="s">
        <v>2308</v>
      </c>
      <c r="J107" s="22" t="s">
        <v>2308</v>
      </c>
      <c r="K107" s="22"/>
      <c r="L107" s="22" t="s">
        <v>2308</v>
      </c>
      <c r="M107" s="22" t="s">
        <v>2308</v>
      </c>
      <c r="N107" s="22" t="s">
        <v>2308</v>
      </c>
      <c r="O107" s="22" t="s">
        <v>2308</v>
      </c>
      <c r="P107" s="22" t="s">
        <v>2308</v>
      </c>
      <c r="Q107" s="22" t="s">
        <v>2308</v>
      </c>
      <c r="R107" s="22" t="s">
        <v>2308</v>
      </c>
      <c r="S107" s="22" t="s">
        <v>2308</v>
      </c>
      <c r="T107" s="5" t="s">
        <v>190</v>
      </c>
    </row>
    <row r="108" spans="1:20" ht="32" customHeight="1">
      <c r="A108" s="12" t="s">
        <v>182</v>
      </c>
      <c r="B108" s="4" t="s">
        <v>32</v>
      </c>
      <c r="C108" s="12" t="s">
        <v>402</v>
      </c>
      <c r="D108" s="12" t="s">
        <v>136</v>
      </c>
      <c r="E108" s="4" t="s">
        <v>2308</v>
      </c>
      <c r="F108" s="4" t="s">
        <v>2308</v>
      </c>
      <c r="G108" s="4" t="s">
        <v>2308</v>
      </c>
      <c r="H108" s="22" t="s">
        <v>2308</v>
      </c>
      <c r="I108" s="22" t="s">
        <v>2308</v>
      </c>
      <c r="J108" s="22" t="s">
        <v>2308</v>
      </c>
      <c r="K108" s="22"/>
      <c r="L108" s="22" t="s">
        <v>2308</v>
      </c>
      <c r="M108" s="22" t="s">
        <v>2308</v>
      </c>
      <c r="N108" s="22" t="s">
        <v>2308</v>
      </c>
      <c r="O108" s="22" t="s">
        <v>2308</v>
      </c>
      <c r="P108" s="22" t="s">
        <v>2308</v>
      </c>
      <c r="Q108" s="22" t="s">
        <v>2308</v>
      </c>
      <c r="R108" s="22" t="s">
        <v>2308</v>
      </c>
      <c r="S108" s="22" t="s">
        <v>2308</v>
      </c>
      <c r="T108" s="5" t="s">
        <v>190</v>
      </c>
    </row>
    <row r="109" spans="1:20" ht="71" customHeight="1">
      <c r="A109" s="12" t="s">
        <v>379</v>
      </c>
      <c r="B109" s="12" t="s">
        <v>69</v>
      </c>
      <c r="C109" s="12" t="s">
        <v>12</v>
      </c>
      <c r="D109" s="5" t="s">
        <v>404</v>
      </c>
      <c r="E109" s="12" t="s">
        <v>45</v>
      </c>
      <c r="F109" s="5" t="s">
        <v>2308</v>
      </c>
      <c r="G109" s="5" t="s">
        <v>2308</v>
      </c>
      <c r="H109" s="22" t="s">
        <v>2308</v>
      </c>
      <c r="I109" s="22">
        <v>44</v>
      </c>
      <c r="J109" s="22" t="s">
        <v>2308</v>
      </c>
      <c r="K109" s="22"/>
      <c r="L109" s="22" t="s">
        <v>2308</v>
      </c>
      <c r="M109" s="22" t="s">
        <v>2308</v>
      </c>
      <c r="N109" s="22" t="s">
        <v>2308</v>
      </c>
      <c r="O109" s="22">
        <v>20</v>
      </c>
      <c r="P109" s="22">
        <v>9</v>
      </c>
      <c r="Q109" s="22">
        <v>20</v>
      </c>
      <c r="R109" s="22">
        <v>48</v>
      </c>
      <c r="S109" s="22" t="s">
        <v>2308</v>
      </c>
      <c r="T109" s="5" t="s">
        <v>383</v>
      </c>
    </row>
    <row r="110" spans="1:20" ht="63" customHeight="1">
      <c r="A110" s="12" t="s">
        <v>388</v>
      </c>
      <c r="B110" s="12" t="s">
        <v>69</v>
      </c>
      <c r="C110" s="12" t="s">
        <v>12</v>
      </c>
      <c r="D110" s="5" t="s">
        <v>404</v>
      </c>
      <c r="E110" s="12" t="s">
        <v>136</v>
      </c>
      <c r="F110" s="4" t="s">
        <v>2308</v>
      </c>
      <c r="G110" s="4" t="s">
        <v>2308</v>
      </c>
      <c r="H110" s="22" t="s">
        <v>2308</v>
      </c>
      <c r="I110" s="22" t="s">
        <v>2308</v>
      </c>
      <c r="J110" s="22" t="s">
        <v>2308</v>
      </c>
      <c r="K110" s="22"/>
      <c r="L110" s="22" t="s">
        <v>2308</v>
      </c>
      <c r="M110" s="22" t="s">
        <v>2308</v>
      </c>
      <c r="N110" s="22" t="s">
        <v>2308</v>
      </c>
      <c r="O110" s="22" t="s">
        <v>2308</v>
      </c>
      <c r="P110" s="22">
        <v>43.571428570000002</v>
      </c>
      <c r="Q110" s="22">
        <v>5.4285714</v>
      </c>
      <c r="R110" s="22">
        <v>51</v>
      </c>
      <c r="S110" s="22">
        <v>1.35</v>
      </c>
      <c r="T110" s="5" t="s">
        <v>1483</v>
      </c>
    </row>
    <row r="111" spans="1:20" ht="61" customHeight="1">
      <c r="A111" s="12" t="s">
        <v>394</v>
      </c>
      <c r="B111" s="12" t="s">
        <v>69</v>
      </c>
      <c r="C111" s="12" t="s">
        <v>12</v>
      </c>
      <c r="D111" s="5" t="s">
        <v>404</v>
      </c>
      <c r="E111" s="12" t="s">
        <v>136</v>
      </c>
      <c r="F111" s="4" t="s">
        <v>2308</v>
      </c>
      <c r="G111" s="4" t="s">
        <v>2308</v>
      </c>
      <c r="H111" s="22" t="s">
        <v>2308</v>
      </c>
      <c r="I111" s="22" t="s">
        <v>2308</v>
      </c>
      <c r="J111" s="22" t="s">
        <v>2308</v>
      </c>
      <c r="K111" s="22"/>
      <c r="L111" s="22" t="s">
        <v>2308</v>
      </c>
      <c r="M111" s="22" t="s">
        <v>2308</v>
      </c>
      <c r="N111" s="22" t="s">
        <v>2308</v>
      </c>
      <c r="O111" s="22" t="s">
        <v>2308</v>
      </c>
      <c r="P111" s="22">
        <v>50.375</v>
      </c>
      <c r="Q111" s="22">
        <v>8.625</v>
      </c>
      <c r="R111" s="22">
        <v>41</v>
      </c>
      <c r="S111" s="22">
        <v>1.77</v>
      </c>
      <c r="T111" s="5" t="s">
        <v>1484</v>
      </c>
    </row>
    <row r="112" spans="1:20" ht="64.5" customHeight="1">
      <c r="A112" s="12" t="s">
        <v>395</v>
      </c>
      <c r="B112" s="20" t="s">
        <v>1218</v>
      </c>
      <c r="C112" s="12" t="s">
        <v>12</v>
      </c>
      <c r="D112" s="5" t="s">
        <v>404</v>
      </c>
      <c r="E112" s="12" t="s">
        <v>136</v>
      </c>
      <c r="F112" s="4" t="s">
        <v>2308</v>
      </c>
      <c r="G112" s="4" t="s">
        <v>2308</v>
      </c>
      <c r="H112" s="22" t="s">
        <v>2308</v>
      </c>
      <c r="I112" s="22">
        <v>1.153</v>
      </c>
      <c r="J112" s="22">
        <v>0.48599999999999999</v>
      </c>
      <c r="K112" s="22"/>
      <c r="L112" s="22" t="s">
        <v>2308</v>
      </c>
      <c r="M112" s="22" t="s">
        <v>2308</v>
      </c>
      <c r="N112" s="22" t="s">
        <v>2308</v>
      </c>
      <c r="O112" s="22" t="s">
        <v>2308</v>
      </c>
      <c r="P112" s="22">
        <v>50.388888889999997</v>
      </c>
      <c r="Q112" s="22">
        <v>6.6111110999999996</v>
      </c>
      <c r="R112" s="22">
        <v>43</v>
      </c>
      <c r="S112" s="22">
        <v>1.35</v>
      </c>
      <c r="T112" s="5" t="s">
        <v>1485</v>
      </c>
    </row>
    <row r="113" spans="1:20" ht="57" customHeight="1">
      <c r="A113" s="12" t="s">
        <v>396</v>
      </c>
      <c r="B113" s="20" t="s">
        <v>2290</v>
      </c>
      <c r="C113" s="12" t="s">
        <v>12</v>
      </c>
      <c r="D113" s="5" t="s">
        <v>404</v>
      </c>
      <c r="E113" s="12" t="s">
        <v>136</v>
      </c>
      <c r="F113" s="4" t="s">
        <v>45</v>
      </c>
      <c r="G113" s="4" t="s">
        <v>2308</v>
      </c>
      <c r="H113" s="22" t="s">
        <v>2308</v>
      </c>
      <c r="I113" s="22">
        <v>1.41</v>
      </c>
      <c r="J113" s="22">
        <v>0.28799999999999998</v>
      </c>
      <c r="K113" s="22"/>
      <c r="L113" s="22" t="s">
        <v>2308</v>
      </c>
      <c r="M113" s="22" t="s">
        <v>2308</v>
      </c>
      <c r="N113" s="22" t="s">
        <v>2308</v>
      </c>
      <c r="O113" s="22" t="s">
        <v>2308</v>
      </c>
      <c r="P113" s="22">
        <v>69</v>
      </c>
      <c r="Q113" s="22">
        <v>6</v>
      </c>
      <c r="R113" s="22">
        <v>25</v>
      </c>
      <c r="S113" s="22">
        <v>1.77</v>
      </c>
      <c r="T113" s="5" t="s">
        <v>1486</v>
      </c>
    </row>
    <row r="114" spans="1:20" ht="77.5" customHeight="1">
      <c r="A114" s="12" t="s">
        <v>423</v>
      </c>
      <c r="B114" s="4"/>
      <c r="C114" s="12" t="s">
        <v>402</v>
      </c>
      <c r="D114" s="12" t="s">
        <v>136</v>
      </c>
      <c r="E114" s="5" t="s">
        <v>404</v>
      </c>
      <c r="F114" s="4" t="s">
        <v>116</v>
      </c>
      <c r="G114" s="4" t="s">
        <v>2308</v>
      </c>
      <c r="H114" s="22">
        <v>0</v>
      </c>
      <c r="I114" s="22">
        <v>4.25</v>
      </c>
      <c r="J114" s="22" t="s">
        <v>2308</v>
      </c>
      <c r="K114" s="22"/>
      <c r="L114" s="22">
        <v>3.306748E-3</v>
      </c>
      <c r="M114" s="22" t="s">
        <v>2308</v>
      </c>
      <c r="N114" s="22" t="s">
        <v>2308</v>
      </c>
      <c r="O114" s="22" t="s">
        <v>2308</v>
      </c>
      <c r="P114" s="22" t="s">
        <v>2308</v>
      </c>
      <c r="Q114" s="22" t="s">
        <v>2308</v>
      </c>
      <c r="R114" s="22" t="s">
        <v>2308</v>
      </c>
      <c r="S114" s="22" t="s">
        <v>2308</v>
      </c>
      <c r="T114" s="5" t="s">
        <v>1497</v>
      </c>
    </row>
    <row r="115" spans="1:20" ht="114.5" customHeight="1">
      <c r="A115" s="4" t="s">
        <v>427</v>
      </c>
      <c r="B115" s="4"/>
      <c r="C115" s="4" t="s">
        <v>402</v>
      </c>
      <c r="D115" s="4" t="s">
        <v>136</v>
      </c>
      <c r="E115" s="4" t="s">
        <v>2308</v>
      </c>
      <c r="F115" s="4" t="s">
        <v>2308</v>
      </c>
      <c r="G115" s="4" t="s">
        <v>2308</v>
      </c>
      <c r="H115" s="22" t="s">
        <v>2308</v>
      </c>
      <c r="I115" s="22" t="s">
        <v>2308</v>
      </c>
      <c r="J115" s="92">
        <v>0.94299999999999995</v>
      </c>
      <c r="K115" s="92"/>
      <c r="L115" s="22" t="s">
        <v>2308</v>
      </c>
      <c r="M115" s="22" t="s">
        <v>2308</v>
      </c>
      <c r="N115" s="22" t="s">
        <v>2308</v>
      </c>
      <c r="O115" s="22" t="s">
        <v>2308</v>
      </c>
      <c r="P115" s="22">
        <v>3.2094637600000002</v>
      </c>
      <c r="Q115" s="22">
        <v>38.513565100000001</v>
      </c>
      <c r="R115" s="22">
        <v>58.276969999999999</v>
      </c>
      <c r="S115" s="22" t="s">
        <v>2308</v>
      </c>
      <c r="T115" s="5" t="s">
        <v>1499</v>
      </c>
    </row>
    <row r="116" spans="1:20" ht="120.5" customHeight="1">
      <c r="A116" s="4" t="s">
        <v>434</v>
      </c>
      <c r="B116" s="4"/>
      <c r="C116" s="4" t="s">
        <v>402</v>
      </c>
      <c r="D116" s="4" t="s">
        <v>136</v>
      </c>
      <c r="E116" s="4" t="s">
        <v>2308</v>
      </c>
      <c r="F116" s="4" t="s">
        <v>2308</v>
      </c>
      <c r="G116" s="4" t="s">
        <v>2308</v>
      </c>
      <c r="H116" s="22" t="s">
        <v>2308</v>
      </c>
      <c r="I116" s="22" t="s">
        <v>2308</v>
      </c>
      <c r="J116" s="92">
        <v>1.1000000000000001</v>
      </c>
      <c r="K116" s="92"/>
      <c r="L116" s="22" t="s">
        <v>2308</v>
      </c>
      <c r="M116" s="22" t="s">
        <v>2308</v>
      </c>
      <c r="N116" s="22" t="s">
        <v>2308</v>
      </c>
      <c r="O116" s="22" t="s">
        <v>2308</v>
      </c>
      <c r="P116" s="22" t="s">
        <v>2308</v>
      </c>
      <c r="Q116" s="22" t="s">
        <v>2308</v>
      </c>
      <c r="R116" s="22" t="s">
        <v>2308</v>
      </c>
      <c r="S116" s="22" t="s">
        <v>2308</v>
      </c>
      <c r="T116" s="5" t="s">
        <v>1500</v>
      </c>
    </row>
    <row r="117" spans="1:20" ht="67.5" customHeight="1">
      <c r="A117" s="12" t="s">
        <v>437</v>
      </c>
      <c r="B117" s="4"/>
      <c r="C117" s="4" t="s">
        <v>402</v>
      </c>
      <c r="D117" s="4" t="s">
        <v>136</v>
      </c>
      <c r="E117" s="4" t="s">
        <v>2308</v>
      </c>
      <c r="F117" s="4" t="s">
        <v>2308</v>
      </c>
      <c r="G117" s="4" t="s">
        <v>2308</v>
      </c>
      <c r="H117" s="22" t="s">
        <v>2308</v>
      </c>
      <c r="I117" s="22" t="s">
        <v>2308</v>
      </c>
      <c r="J117" s="22" t="s">
        <v>2308</v>
      </c>
      <c r="K117" s="22"/>
      <c r="L117" s="22" t="s">
        <v>2308</v>
      </c>
      <c r="M117" s="22" t="s">
        <v>2308</v>
      </c>
      <c r="N117" s="22" t="s">
        <v>2308</v>
      </c>
      <c r="O117" s="22" t="s">
        <v>2308</v>
      </c>
      <c r="P117" s="22" t="s">
        <v>2308</v>
      </c>
      <c r="Q117" s="22" t="s">
        <v>2308</v>
      </c>
      <c r="R117" s="22" t="s">
        <v>2308</v>
      </c>
      <c r="S117" s="22" t="s">
        <v>2308</v>
      </c>
      <c r="T117" s="4"/>
    </row>
    <row r="118" spans="1:20" ht="63.5" customHeight="1">
      <c r="A118" s="12" t="s">
        <v>445</v>
      </c>
      <c r="B118" s="5" t="s">
        <v>1218</v>
      </c>
      <c r="C118" s="12" t="s">
        <v>12</v>
      </c>
      <c r="D118" s="4" t="s">
        <v>136</v>
      </c>
      <c r="E118" s="5" t="s">
        <v>404</v>
      </c>
      <c r="F118" s="4" t="s">
        <v>2308</v>
      </c>
      <c r="G118" s="4" t="s">
        <v>2308</v>
      </c>
      <c r="H118" s="22" t="s">
        <v>2308</v>
      </c>
      <c r="I118" s="22">
        <v>4.8600000000000003</v>
      </c>
      <c r="J118" s="22" t="s">
        <v>2308</v>
      </c>
      <c r="K118" s="22"/>
      <c r="L118" s="22" t="s">
        <v>2308</v>
      </c>
      <c r="M118" s="22" t="s">
        <v>2308</v>
      </c>
      <c r="N118" s="22" t="s">
        <v>2308</v>
      </c>
      <c r="O118" s="22" t="s">
        <v>2308</v>
      </c>
      <c r="P118" s="22" t="s">
        <v>2308</v>
      </c>
      <c r="Q118" s="22" t="s">
        <v>2308</v>
      </c>
      <c r="R118" s="22" t="s">
        <v>2308</v>
      </c>
      <c r="S118" s="22" t="s">
        <v>2308</v>
      </c>
      <c r="T118" s="20" t="s">
        <v>1505</v>
      </c>
    </row>
    <row r="119" spans="1:20" ht="98.5" customHeight="1">
      <c r="A119" s="12" t="s">
        <v>454</v>
      </c>
      <c r="B119" s="4" t="s">
        <v>69</v>
      </c>
      <c r="C119" s="12" t="s">
        <v>12</v>
      </c>
      <c r="D119" s="4" t="s">
        <v>136</v>
      </c>
      <c r="E119" s="5" t="s">
        <v>403</v>
      </c>
      <c r="F119" s="4" t="s">
        <v>45</v>
      </c>
      <c r="G119" s="4" t="s">
        <v>2308</v>
      </c>
      <c r="H119" s="22" t="s">
        <v>2308</v>
      </c>
      <c r="I119" s="22" t="s">
        <v>2308</v>
      </c>
      <c r="J119" s="22" t="s">
        <v>2308</v>
      </c>
      <c r="K119" s="22"/>
      <c r="L119" s="22" t="s">
        <v>2308</v>
      </c>
      <c r="M119" s="22" t="s">
        <v>2308</v>
      </c>
      <c r="N119" s="22" t="s">
        <v>2308</v>
      </c>
      <c r="O119" s="22" t="s">
        <v>2308</v>
      </c>
      <c r="P119" s="22" t="s">
        <v>2308</v>
      </c>
      <c r="Q119" s="22" t="s">
        <v>2308</v>
      </c>
      <c r="R119" s="22" t="s">
        <v>2308</v>
      </c>
      <c r="S119" s="22" t="s">
        <v>2308</v>
      </c>
      <c r="T119" s="5" t="s">
        <v>461</v>
      </c>
    </row>
    <row r="120" spans="1:20" ht="88.5" customHeight="1">
      <c r="A120" s="4" t="s">
        <v>462</v>
      </c>
      <c r="B120" s="4"/>
      <c r="C120" s="4" t="s">
        <v>12</v>
      </c>
      <c r="D120" s="5" t="s">
        <v>403</v>
      </c>
      <c r="E120" s="5" t="s">
        <v>2308</v>
      </c>
      <c r="F120" s="4" t="s">
        <v>2308</v>
      </c>
      <c r="G120" s="4" t="s">
        <v>2308</v>
      </c>
      <c r="H120" s="22" t="s">
        <v>2308</v>
      </c>
      <c r="I120" s="22" t="s">
        <v>2308</v>
      </c>
      <c r="J120" s="22" t="s">
        <v>2308</v>
      </c>
      <c r="K120" s="22"/>
      <c r="L120" s="22" t="s">
        <v>2308</v>
      </c>
      <c r="M120" s="22" t="s">
        <v>2308</v>
      </c>
      <c r="N120" s="22" t="s">
        <v>2308</v>
      </c>
      <c r="O120" s="22" t="s">
        <v>2308</v>
      </c>
      <c r="P120" s="22" t="s">
        <v>2308</v>
      </c>
      <c r="Q120" s="22" t="s">
        <v>2308</v>
      </c>
      <c r="R120" s="22" t="s">
        <v>2308</v>
      </c>
      <c r="S120" s="22" t="s">
        <v>2308</v>
      </c>
      <c r="T120" s="5" t="s">
        <v>468</v>
      </c>
    </row>
    <row r="121" spans="1:20" ht="82" customHeight="1">
      <c r="A121" s="4" t="s">
        <v>463</v>
      </c>
      <c r="B121" s="4"/>
      <c r="C121" s="4" t="s">
        <v>12</v>
      </c>
      <c r="D121" s="5" t="s">
        <v>403</v>
      </c>
      <c r="E121" s="4" t="s">
        <v>136</v>
      </c>
      <c r="F121" s="4" t="s">
        <v>2308</v>
      </c>
      <c r="G121" s="4" t="s">
        <v>2308</v>
      </c>
      <c r="H121" s="22" t="s">
        <v>2308</v>
      </c>
      <c r="I121" s="22" t="s">
        <v>2308</v>
      </c>
      <c r="J121" s="22" t="s">
        <v>2308</v>
      </c>
      <c r="K121" s="22"/>
      <c r="L121" s="22" t="s">
        <v>2308</v>
      </c>
      <c r="M121" s="22" t="s">
        <v>2308</v>
      </c>
      <c r="N121" s="22" t="s">
        <v>2308</v>
      </c>
      <c r="O121" s="22" t="s">
        <v>2308</v>
      </c>
      <c r="P121" s="22" t="s">
        <v>2308</v>
      </c>
      <c r="Q121" s="22" t="s">
        <v>2308</v>
      </c>
      <c r="R121" s="22" t="s">
        <v>2308</v>
      </c>
      <c r="S121" s="22" t="s">
        <v>2308</v>
      </c>
      <c r="T121" s="5" t="s">
        <v>500</v>
      </c>
    </row>
    <row r="122" spans="1:20" ht="81.5" customHeight="1">
      <c r="A122" s="4" t="s">
        <v>474</v>
      </c>
      <c r="B122" s="4"/>
      <c r="C122" s="4" t="s">
        <v>12</v>
      </c>
      <c r="D122" s="5" t="s">
        <v>404</v>
      </c>
      <c r="E122" s="4" t="s">
        <v>136</v>
      </c>
      <c r="F122" s="4" t="s">
        <v>2308</v>
      </c>
      <c r="G122" s="4" t="s">
        <v>2308</v>
      </c>
      <c r="H122" s="22" t="s">
        <v>2308</v>
      </c>
      <c r="I122" s="22" t="s">
        <v>2308</v>
      </c>
      <c r="J122" s="22" t="s">
        <v>2308</v>
      </c>
      <c r="K122" s="22"/>
      <c r="L122" s="22" t="s">
        <v>2308</v>
      </c>
      <c r="M122" s="22" t="s">
        <v>2308</v>
      </c>
      <c r="N122" s="22" t="s">
        <v>2308</v>
      </c>
      <c r="O122" s="22" t="s">
        <v>2308</v>
      </c>
      <c r="P122" s="22" t="s">
        <v>2308</v>
      </c>
      <c r="Q122" s="22" t="s">
        <v>2308</v>
      </c>
      <c r="R122" s="22" t="s">
        <v>2308</v>
      </c>
      <c r="S122" s="22" t="s">
        <v>2308</v>
      </c>
      <c r="T122" s="5" t="s">
        <v>501</v>
      </c>
    </row>
    <row r="123" spans="1:20" ht="64" customHeight="1">
      <c r="A123" s="4" t="s">
        <v>475</v>
      </c>
      <c r="B123" s="4"/>
      <c r="C123" s="4" t="s">
        <v>12</v>
      </c>
      <c r="D123" s="5" t="s">
        <v>404</v>
      </c>
      <c r="E123" s="4" t="s">
        <v>136</v>
      </c>
      <c r="F123" s="4" t="s">
        <v>2308</v>
      </c>
      <c r="G123" s="4" t="s">
        <v>2308</v>
      </c>
      <c r="H123" s="22" t="s">
        <v>2308</v>
      </c>
      <c r="I123" s="22" t="s">
        <v>2308</v>
      </c>
      <c r="J123" s="22" t="s">
        <v>2308</v>
      </c>
      <c r="K123" s="22"/>
      <c r="L123" s="22" t="s">
        <v>2308</v>
      </c>
      <c r="M123" s="22" t="s">
        <v>2308</v>
      </c>
      <c r="N123" s="22" t="s">
        <v>2308</v>
      </c>
      <c r="O123" s="22" t="s">
        <v>2308</v>
      </c>
      <c r="P123" s="22" t="s">
        <v>2308</v>
      </c>
      <c r="Q123" s="22" t="s">
        <v>2308</v>
      </c>
      <c r="R123" s="22" t="s">
        <v>2308</v>
      </c>
      <c r="S123" s="22" t="s">
        <v>2308</v>
      </c>
      <c r="T123" s="5" t="s">
        <v>502</v>
      </c>
    </row>
    <row r="124" spans="1:20" ht="60" customHeight="1">
      <c r="A124" s="4" t="s">
        <v>476</v>
      </c>
      <c r="B124" s="4" t="s">
        <v>69</v>
      </c>
      <c r="C124" s="4" t="s">
        <v>12</v>
      </c>
      <c r="D124" s="5" t="s">
        <v>404</v>
      </c>
      <c r="E124" s="4" t="s">
        <v>136</v>
      </c>
      <c r="F124" s="4" t="s">
        <v>2308</v>
      </c>
      <c r="G124" s="4" t="s">
        <v>2308</v>
      </c>
      <c r="H124" s="22" t="s">
        <v>2308</v>
      </c>
      <c r="I124" s="22" t="s">
        <v>2308</v>
      </c>
      <c r="J124" s="22" t="s">
        <v>2308</v>
      </c>
      <c r="K124" s="22"/>
      <c r="L124" s="22" t="s">
        <v>2308</v>
      </c>
      <c r="M124" s="22" t="s">
        <v>2308</v>
      </c>
      <c r="N124" s="22" t="s">
        <v>2308</v>
      </c>
      <c r="O124" s="22" t="s">
        <v>2308</v>
      </c>
      <c r="P124" s="22" t="s">
        <v>2308</v>
      </c>
      <c r="Q124" s="22" t="s">
        <v>2308</v>
      </c>
      <c r="R124" s="22" t="s">
        <v>2308</v>
      </c>
      <c r="S124" s="22" t="s">
        <v>2308</v>
      </c>
      <c r="T124" s="4" t="s">
        <v>504</v>
      </c>
    </row>
    <row r="125" spans="1:20" ht="52" customHeight="1">
      <c r="A125" s="4" t="s">
        <v>477</v>
      </c>
      <c r="B125" s="4" t="s">
        <v>69</v>
      </c>
      <c r="C125" s="4" t="s">
        <v>12</v>
      </c>
      <c r="D125" s="4" t="s">
        <v>136</v>
      </c>
      <c r="E125" s="5" t="s">
        <v>404</v>
      </c>
      <c r="F125" s="4" t="s">
        <v>2308</v>
      </c>
      <c r="G125" s="4" t="s">
        <v>2308</v>
      </c>
      <c r="H125" s="22" t="s">
        <v>2308</v>
      </c>
      <c r="I125" s="22" t="s">
        <v>2308</v>
      </c>
      <c r="J125" s="22" t="s">
        <v>2308</v>
      </c>
      <c r="K125" s="22"/>
      <c r="L125" s="22" t="s">
        <v>2308</v>
      </c>
      <c r="M125" s="22" t="s">
        <v>2308</v>
      </c>
      <c r="N125" s="22" t="s">
        <v>2308</v>
      </c>
      <c r="O125" s="22" t="s">
        <v>2308</v>
      </c>
      <c r="P125" s="22" t="s">
        <v>2308</v>
      </c>
      <c r="Q125" s="22" t="s">
        <v>2308</v>
      </c>
      <c r="R125" s="22" t="s">
        <v>2308</v>
      </c>
      <c r="S125" s="22" t="s">
        <v>2308</v>
      </c>
      <c r="T125" s="4" t="s">
        <v>503</v>
      </c>
    </row>
    <row r="126" spans="1:20" ht="49" customHeight="1">
      <c r="A126" s="12" t="s">
        <v>505</v>
      </c>
      <c r="B126" s="4"/>
      <c r="C126" s="4" t="s">
        <v>12</v>
      </c>
      <c r="D126" s="5" t="s">
        <v>404</v>
      </c>
      <c r="E126" s="4" t="s">
        <v>136</v>
      </c>
      <c r="F126" s="4" t="s">
        <v>2308</v>
      </c>
      <c r="G126" s="4" t="s">
        <v>2308</v>
      </c>
      <c r="H126" s="22" t="s">
        <v>2308</v>
      </c>
      <c r="I126" s="22" t="s">
        <v>2308</v>
      </c>
      <c r="J126" s="22" t="s">
        <v>2308</v>
      </c>
      <c r="K126" s="22"/>
      <c r="L126" s="22" t="s">
        <v>2308</v>
      </c>
      <c r="M126" s="22" t="s">
        <v>2308</v>
      </c>
      <c r="N126" s="22" t="s">
        <v>2308</v>
      </c>
      <c r="O126" s="22" t="s">
        <v>2308</v>
      </c>
      <c r="P126" s="22" t="s">
        <v>2308</v>
      </c>
      <c r="Q126" s="22" t="s">
        <v>2308</v>
      </c>
      <c r="R126" s="22" t="s">
        <v>2308</v>
      </c>
      <c r="S126" s="22" t="s">
        <v>2308</v>
      </c>
      <c r="T126" s="4"/>
    </row>
    <row r="127" spans="1:20" ht="38" customHeight="1">
      <c r="A127" s="12" t="s">
        <v>506</v>
      </c>
      <c r="B127" s="4"/>
      <c r="C127" s="4" t="s">
        <v>12</v>
      </c>
      <c r="D127" s="4" t="s">
        <v>136</v>
      </c>
      <c r="E127" s="5" t="s">
        <v>404</v>
      </c>
      <c r="F127" s="4" t="s">
        <v>2308</v>
      </c>
      <c r="G127" s="4" t="s">
        <v>2308</v>
      </c>
      <c r="H127" s="22" t="s">
        <v>2308</v>
      </c>
      <c r="I127" s="22" t="s">
        <v>2308</v>
      </c>
      <c r="J127" s="22" t="s">
        <v>2308</v>
      </c>
      <c r="K127" s="22"/>
      <c r="L127" s="22" t="s">
        <v>2308</v>
      </c>
      <c r="M127" s="22" t="s">
        <v>2308</v>
      </c>
      <c r="N127" s="22" t="s">
        <v>2308</v>
      </c>
      <c r="O127" s="22" t="s">
        <v>2308</v>
      </c>
      <c r="P127" s="22" t="s">
        <v>2308</v>
      </c>
      <c r="Q127" s="22" t="s">
        <v>2308</v>
      </c>
      <c r="R127" s="22" t="s">
        <v>2308</v>
      </c>
      <c r="S127" s="22" t="s">
        <v>2308</v>
      </c>
      <c r="T127" s="4" t="s">
        <v>516</v>
      </c>
    </row>
    <row r="128" spans="1:20" ht="44" customHeight="1">
      <c r="A128" s="12" t="s">
        <v>507</v>
      </c>
      <c r="B128" s="4" t="s">
        <v>69</v>
      </c>
      <c r="C128" s="4" t="s">
        <v>12</v>
      </c>
      <c r="D128" s="5" t="s">
        <v>404</v>
      </c>
      <c r="E128" s="4" t="s">
        <v>136</v>
      </c>
      <c r="F128" s="4" t="s">
        <v>2308</v>
      </c>
      <c r="G128" s="4" t="s">
        <v>2308</v>
      </c>
      <c r="H128" s="22" t="s">
        <v>2308</v>
      </c>
      <c r="I128" s="22" t="s">
        <v>2308</v>
      </c>
      <c r="J128" s="22" t="s">
        <v>2308</v>
      </c>
      <c r="K128" s="22"/>
      <c r="L128" s="22" t="s">
        <v>2308</v>
      </c>
      <c r="M128" s="22" t="s">
        <v>2308</v>
      </c>
      <c r="N128" s="22" t="s">
        <v>2308</v>
      </c>
      <c r="O128" s="22" t="s">
        <v>2308</v>
      </c>
      <c r="P128" s="22" t="s">
        <v>2308</v>
      </c>
      <c r="Q128" s="22" t="s">
        <v>2308</v>
      </c>
      <c r="R128" s="22" t="s">
        <v>2308</v>
      </c>
      <c r="S128" s="22" t="s">
        <v>2308</v>
      </c>
      <c r="T128" s="4" t="s">
        <v>516</v>
      </c>
    </row>
    <row r="129" spans="1:20" ht="44" customHeight="1">
      <c r="A129" s="12" t="s">
        <v>517</v>
      </c>
      <c r="B129" s="12"/>
      <c r="C129" s="12" t="s">
        <v>402</v>
      </c>
      <c r="D129" s="20" t="s">
        <v>116</v>
      </c>
      <c r="E129" s="12" t="s">
        <v>2308</v>
      </c>
      <c r="F129" s="12" t="s">
        <v>2308</v>
      </c>
      <c r="G129" s="12" t="s">
        <v>2308</v>
      </c>
      <c r="H129" s="80" t="s">
        <v>2308</v>
      </c>
      <c r="I129" s="80" t="s">
        <v>2308</v>
      </c>
      <c r="J129" s="80" t="s">
        <v>2308</v>
      </c>
      <c r="K129" s="80"/>
      <c r="L129" s="80" t="s">
        <v>2308</v>
      </c>
      <c r="M129" s="80" t="s">
        <v>2308</v>
      </c>
      <c r="N129" s="80" t="s">
        <v>2308</v>
      </c>
      <c r="O129" s="80">
        <v>0</v>
      </c>
      <c r="P129" s="22" t="s">
        <v>2308</v>
      </c>
      <c r="Q129" s="80">
        <f>AVERAGE(9.8+19.3+15.4, 16.6+18.1+11.3)</f>
        <v>45.25</v>
      </c>
      <c r="R129" s="80">
        <f>AVERAGE(52.9, 54)</f>
        <v>53.45</v>
      </c>
      <c r="S129" s="80" t="s">
        <v>2308</v>
      </c>
      <c r="T129" s="12" t="s">
        <v>2340</v>
      </c>
    </row>
    <row r="130" spans="1:20" ht="44" customHeight="1">
      <c r="A130" s="12" t="s">
        <v>2347</v>
      </c>
      <c r="B130" s="12"/>
      <c r="C130" s="12" t="s">
        <v>402</v>
      </c>
      <c r="D130" s="20" t="s">
        <v>116</v>
      </c>
      <c r="E130" s="12" t="s">
        <v>2308</v>
      </c>
      <c r="F130" s="12" t="s">
        <v>2308</v>
      </c>
      <c r="G130" s="12" t="s">
        <v>2308</v>
      </c>
      <c r="H130" s="80" t="s">
        <v>2308</v>
      </c>
      <c r="I130" s="80" t="s">
        <v>2308</v>
      </c>
      <c r="J130" s="80" t="s">
        <v>2308</v>
      </c>
      <c r="K130" s="80"/>
      <c r="L130" s="80" t="s">
        <v>2308</v>
      </c>
      <c r="M130" s="80" t="s">
        <v>2308</v>
      </c>
      <c r="N130" s="80" t="s">
        <v>2308</v>
      </c>
      <c r="O130" s="80">
        <v>0</v>
      </c>
      <c r="P130" s="22" t="s">
        <v>2308</v>
      </c>
      <c r="Q130" s="80">
        <f>AVERAGE(16.6+18.1+11.3, 9.3+11.4+10.7)</f>
        <v>38.700000000000003</v>
      </c>
      <c r="R130" s="80">
        <f>AVERAGE(62.7, 54)</f>
        <v>58.35</v>
      </c>
      <c r="S130" s="80" t="s">
        <v>2308</v>
      </c>
      <c r="T130" s="12" t="s">
        <v>2340</v>
      </c>
    </row>
    <row r="131" spans="1:20" ht="44" customHeight="1">
      <c r="A131" s="12" t="s">
        <v>2348</v>
      </c>
      <c r="B131" s="12"/>
      <c r="C131" s="12" t="s">
        <v>402</v>
      </c>
      <c r="D131" s="20" t="s">
        <v>116</v>
      </c>
      <c r="E131" s="12" t="s">
        <v>2308</v>
      </c>
      <c r="F131" s="12" t="s">
        <v>2308</v>
      </c>
      <c r="G131" s="12" t="s">
        <v>2308</v>
      </c>
      <c r="H131" s="80" t="s">
        <v>2308</v>
      </c>
      <c r="I131" s="80" t="s">
        <v>2308</v>
      </c>
      <c r="J131" s="80" t="s">
        <v>2308</v>
      </c>
      <c r="K131" s="80"/>
      <c r="L131" s="80" t="s">
        <v>2308</v>
      </c>
      <c r="M131" s="80" t="s">
        <v>2308</v>
      </c>
      <c r="N131" s="80" t="s">
        <v>2308</v>
      </c>
      <c r="O131" s="80">
        <v>0</v>
      </c>
      <c r="P131" s="22" t="s">
        <v>2308</v>
      </c>
      <c r="Q131" s="80">
        <f>AVERAGE(25.2+33+30.1, 9.3+11.4+10.7)</f>
        <v>59.850000000000009</v>
      </c>
      <c r="R131" s="80">
        <f>AVERAGE(62.7, 4.4)</f>
        <v>33.550000000000004</v>
      </c>
      <c r="S131" s="80" t="s">
        <v>2308</v>
      </c>
      <c r="T131" s="12" t="s">
        <v>2340</v>
      </c>
    </row>
    <row r="132" spans="1:20" ht="58" customHeight="1">
      <c r="A132" s="12" t="s">
        <v>518</v>
      </c>
      <c r="B132" s="4" t="s">
        <v>69</v>
      </c>
      <c r="C132" s="12" t="s">
        <v>402</v>
      </c>
      <c r="D132" s="20" t="s">
        <v>136</v>
      </c>
      <c r="E132" s="20" t="s">
        <v>404</v>
      </c>
      <c r="F132" s="4" t="s">
        <v>2308</v>
      </c>
      <c r="G132" s="4" t="s">
        <v>2308</v>
      </c>
      <c r="H132" s="22" t="s">
        <v>2308</v>
      </c>
      <c r="I132" s="22" t="s">
        <v>2308</v>
      </c>
      <c r="J132" s="22">
        <v>2.25</v>
      </c>
      <c r="K132" s="22"/>
      <c r="L132" s="22" t="s">
        <v>2308</v>
      </c>
      <c r="M132" s="22" t="s">
        <v>2308</v>
      </c>
      <c r="N132" s="22" t="s">
        <v>2308</v>
      </c>
      <c r="O132" s="22" t="s">
        <v>2308</v>
      </c>
      <c r="P132" s="22" t="s">
        <v>2308</v>
      </c>
      <c r="Q132" s="22" t="s">
        <v>2308</v>
      </c>
      <c r="R132" s="22" t="s">
        <v>2308</v>
      </c>
      <c r="S132" s="22" t="s">
        <v>2308</v>
      </c>
      <c r="T132" s="5" t="s">
        <v>521</v>
      </c>
    </row>
    <row r="133" spans="1:20" ht="61" customHeight="1">
      <c r="A133" s="12" t="s">
        <v>528</v>
      </c>
      <c r="B133" s="4" t="s">
        <v>32</v>
      </c>
      <c r="C133" s="12" t="s">
        <v>402</v>
      </c>
      <c r="D133" s="4" t="s">
        <v>136</v>
      </c>
      <c r="E133" s="5" t="s">
        <v>404</v>
      </c>
      <c r="F133" s="4" t="s">
        <v>45</v>
      </c>
      <c r="G133" s="4" t="s">
        <v>877</v>
      </c>
      <c r="H133" s="22" t="s">
        <v>2308</v>
      </c>
      <c r="I133" s="22" t="s">
        <v>2308</v>
      </c>
      <c r="J133" s="22" t="s">
        <v>2308</v>
      </c>
      <c r="K133" s="22"/>
      <c r="L133" s="22" t="s">
        <v>2308</v>
      </c>
      <c r="M133" s="22" t="s">
        <v>2308</v>
      </c>
      <c r="N133" s="22" t="s">
        <v>2308</v>
      </c>
      <c r="O133" s="22" t="s">
        <v>2308</v>
      </c>
      <c r="P133" s="22">
        <v>11</v>
      </c>
      <c r="Q133" s="22" t="s">
        <v>2308</v>
      </c>
      <c r="R133" s="22">
        <v>30</v>
      </c>
      <c r="S133" s="22">
        <v>1.25</v>
      </c>
      <c r="T133" s="5" t="s">
        <v>1523</v>
      </c>
    </row>
    <row r="134" spans="1:20" ht="61" customHeight="1">
      <c r="A134" s="12" t="s">
        <v>555</v>
      </c>
      <c r="B134" s="4"/>
      <c r="C134" s="12" t="s">
        <v>402</v>
      </c>
      <c r="D134" s="4" t="s">
        <v>136</v>
      </c>
      <c r="E134" s="5" t="s">
        <v>2308</v>
      </c>
      <c r="F134" s="4" t="s">
        <v>2308</v>
      </c>
      <c r="G134" s="4" t="s">
        <v>2308</v>
      </c>
      <c r="H134" s="22" t="s">
        <v>2308</v>
      </c>
      <c r="I134" s="22" t="s">
        <v>2308</v>
      </c>
      <c r="J134" s="22" t="s">
        <v>2308</v>
      </c>
      <c r="K134" s="22"/>
      <c r="L134" s="22" t="s">
        <v>2308</v>
      </c>
      <c r="M134" s="22" t="s">
        <v>2308</v>
      </c>
      <c r="N134" s="22" t="s">
        <v>2308</v>
      </c>
      <c r="O134" s="22" t="s">
        <v>2308</v>
      </c>
      <c r="P134" s="22">
        <v>3.3723530000000002E-2</v>
      </c>
      <c r="Q134" s="22">
        <v>0.21583060000000001</v>
      </c>
      <c r="R134" s="22">
        <v>99.232740000000007</v>
      </c>
      <c r="S134" s="22">
        <v>2.5477710000000001E-2</v>
      </c>
      <c r="T134" s="4"/>
    </row>
    <row r="135" spans="1:20" ht="61" customHeight="1">
      <c r="A135" s="12" t="s">
        <v>556</v>
      </c>
      <c r="B135" s="4"/>
      <c r="C135" s="12" t="s">
        <v>402</v>
      </c>
      <c r="D135" s="4" t="s">
        <v>136</v>
      </c>
      <c r="E135" s="5" t="s">
        <v>2308</v>
      </c>
      <c r="F135" s="4" t="s">
        <v>2308</v>
      </c>
      <c r="G135" s="4" t="s">
        <v>2308</v>
      </c>
      <c r="H135" s="22" t="s">
        <v>2308</v>
      </c>
      <c r="I135" s="22" t="s">
        <v>2308</v>
      </c>
      <c r="J135" s="22" t="s">
        <v>2308</v>
      </c>
      <c r="K135" s="22"/>
      <c r="L135" s="22" t="s">
        <v>2308</v>
      </c>
      <c r="M135" s="22" t="s">
        <v>2308</v>
      </c>
      <c r="N135" s="22" t="s">
        <v>2308</v>
      </c>
      <c r="O135" s="22" t="s">
        <v>2308</v>
      </c>
      <c r="P135" s="22">
        <v>0.16669102999999999</v>
      </c>
      <c r="Q135" s="22">
        <v>0.85012430000000005</v>
      </c>
      <c r="R135" s="22">
        <v>98.983180000000004</v>
      </c>
      <c r="S135" s="22">
        <v>3.133333E-2</v>
      </c>
      <c r="T135" s="4"/>
    </row>
    <row r="136" spans="1:20" ht="61" customHeight="1">
      <c r="A136" s="25" t="s">
        <v>1751</v>
      </c>
      <c r="B136" s="4"/>
      <c r="C136" s="4" t="s">
        <v>12</v>
      </c>
      <c r="D136" s="5" t="s">
        <v>404</v>
      </c>
      <c r="E136" s="5" t="s">
        <v>2308</v>
      </c>
      <c r="F136" s="4" t="s">
        <v>2308</v>
      </c>
      <c r="G136" s="4" t="s">
        <v>2308</v>
      </c>
      <c r="H136" s="22" t="s">
        <v>2308</v>
      </c>
      <c r="I136" s="22" t="s">
        <v>2308</v>
      </c>
      <c r="J136" s="22" t="s">
        <v>2308</v>
      </c>
      <c r="K136" s="22"/>
      <c r="L136" s="22" t="s">
        <v>2308</v>
      </c>
      <c r="M136" s="22" t="s">
        <v>2308</v>
      </c>
      <c r="N136" s="22" t="s">
        <v>2308</v>
      </c>
      <c r="O136" s="22" t="s">
        <v>2308</v>
      </c>
      <c r="P136" s="22" t="s">
        <v>2308</v>
      </c>
      <c r="Q136" s="22" t="s">
        <v>2308</v>
      </c>
      <c r="R136" s="22" t="s">
        <v>2308</v>
      </c>
      <c r="S136" s="22" t="s">
        <v>2308</v>
      </c>
      <c r="T136" s="4"/>
    </row>
    <row r="137" spans="1:20" ht="61" customHeight="1">
      <c r="A137" s="25" t="s">
        <v>1750</v>
      </c>
      <c r="B137" s="4"/>
      <c r="C137" s="4" t="s">
        <v>12</v>
      </c>
      <c r="D137" s="5" t="s">
        <v>404</v>
      </c>
      <c r="E137" s="5" t="s">
        <v>2308</v>
      </c>
      <c r="F137" s="4" t="s">
        <v>2308</v>
      </c>
      <c r="G137" s="4" t="s">
        <v>2308</v>
      </c>
      <c r="H137" s="22" t="s">
        <v>2308</v>
      </c>
      <c r="I137" s="22" t="s">
        <v>2308</v>
      </c>
      <c r="J137" s="22" t="s">
        <v>2308</v>
      </c>
      <c r="K137" s="22"/>
      <c r="L137" s="22" t="s">
        <v>2308</v>
      </c>
      <c r="M137" s="22" t="s">
        <v>2308</v>
      </c>
      <c r="N137" s="22" t="s">
        <v>2308</v>
      </c>
      <c r="O137" s="22" t="s">
        <v>2308</v>
      </c>
      <c r="P137" s="22" t="s">
        <v>2308</v>
      </c>
      <c r="Q137" s="22" t="s">
        <v>2308</v>
      </c>
      <c r="R137" s="22" t="s">
        <v>2308</v>
      </c>
      <c r="S137" s="22" t="s">
        <v>2308</v>
      </c>
      <c r="T137" s="4"/>
    </row>
    <row r="138" spans="1:20" ht="61" customHeight="1">
      <c r="A138" s="25" t="s">
        <v>1752</v>
      </c>
      <c r="B138" s="4"/>
      <c r="C138" s="4" t="s">
        <v>12</v>
      </c>
      <c r="D138" s="5" t="s">
        <v>404</v>
      </c>
      <c r="E138" s="5" t="s">
        <v>2308</v>
      </c>
      <c r="F138" s="4" t="s">
        <v>2308</v>
      </c>
      <c r="G138" s="4" t="s">
        <v>2308</v>
      </c>
      <c r="H138" s="22" t="s">
        <v>2308</v>
      </c>
      <c r="I138" s="22" t="s">
        <v>2308</v>
      </c>
      <c r="J138" s="22" t="s">
        <v>2308</v>
      </c>
      <c r="K138" s="22"/>
      <c r="L138" s="22" t="s">
        <v>2308</v>
      </c>
      <c r="M138" s="22" t="s">
        <v>2308</v>
      </c>
      <c r="N138" s="22" t="s">
        <v>2308</v>
      </c>
      <c r="O138" s="22" t="s">
        <v>2308</v>
      </c>
      <c r="P138" s="22" t="s">
        <v>2308</v>
      </c>
      <c r="Q138" s="22" t="s">
        <v>2308</v>
      </c>
      <c r="R138" s="22" t="s">
        <v>2308</v>
      </c>
      <c r="S138" s="22" t="s">
        <v>2308</v>
      </c>
      <c r="T138" s="4"/>
    </row>
    <row r="139" spans="1:20" ht="61" customHeight="1">
      <c r="A139" s="25" t="s">
        <v>1753</v>
      </c>
      <c r="B139" s="4"/>
      <c r="C139" s="4" t="s">
        <v>402</v>
      </c>
      <c r="D139" s="5" t="s">
        <v>136</v>
      </c>
      <c r="E139" s="5" t="s">
        <v>2308</v>
      </c>
      <c r="F139" s="4" t="s">
        <v>2308</v>
      </c>
      <c r="G139" s="4" t="s">
        <v>2308</v>
      </c>
      <c r="H139" s="22" t="s">
        <v>2308</v>
      </c>
      <c r="I139" s="22" t="s">
        <v>2308</v>
      </c>
      <c r="J139" s="22" t="s">
        <v>2308</v>
      </c>
      <c r="K139" s="22"/>
      <c r="L139" s="22" t="s">
        <v>2308</v>
      </c>
      <c r="M139" s="22" t="s">
        <v>2308</v>
      </c>
      <c r="N139" s="22" t="s">
        <v>2308</v>
      </c>
      <c r="O139" s="22" t="s">
        <v>2308</v>
      </c>
      <c r="P139" s="22" t="s">
        <v>2308</v>
      </c>
      <c r="Q139" s="22" t="s">
        <v>2308</v>
      </c>
      <c r="R139" s="22" t="s">
        <v>2308</v>
      </c>
      <c r="S139" s="22" t="s">
        <v>2308</v>
      </c>
      <c r="T139" s="4"/>
    </row>
    <row r="140" spans="1:20" ht="61" customHeight="1">
      <c r="A140" s="25" t="s">
        <v>1754</v>
      </c>
      <c r="B140" s="4"/>
      <c r="C140" s="4" t="s">
        <v>12</v>
      </c>
      <c r="D140" s="5" t="s">
        <v>404</v>
      </c>
      <c r="E140" s="5" t="s">
        <v>2308</v>
      </c>
      <c r="F140" s="4" t="s">
        <v>2308</v>
      </c>
      <c r="G140" s="4" t="s">
        <v>2308</v>
      </c>
      <c r="H140" s="22" t="s">
        <v>2308</v>
      </c>
      <c r="I140" s="22" t="s">
        <v>2308</v>
      </c>
      <c r="J140" s="22" t="s">
        <v>2308</v>
      </c>
      <c r="K140" s="22"/>
      <c r="L140" s="22" t="s">
        <v>2308</v>
      </c>
      <c r="M140" s="22" t="s">
        <v>2308</v>
      </c>
      <c r="N140" s="22" t="s">
        <v>2308</v>
      </c>
      <c r="O140" s="22" t="s">
        <v>2308</v>
      </c>
      <c r="P140" s="22" t="s">
        <v>2308</v>
      </c>
      <c r="Q140" s="22" t="s">
        <v>2308</v>
      </c>
      <c r="R140" s="22" t="s">
        <v>2308</v>
      </c>
      <c r="S140" s="22" t="s">
        <v>2308</v>
      </c>
      <c r="T140" s="4"/>
    </row>
    <row r="141" spans="1:20" ht="61" customHeight="1">
      <c r="A141" s="25" t="s">
        <v>1757</v>
      </c>
      <c r="B141" s="4"/>
      <c r="C141" s="4" t="s">
        <v>402</v>
      </c>
      <c r="D141" s="5" t="s">
        <v>136</v>
      </c>
      <c r="E141" s="5" t="s">
        <v>2308</v>
      </c>
      <c r="F141" s="4" t="s">
        <v>2308</v>
      </c>
      <c r="G141" s="4" t="s">
        <v>2308</v>
      </c>
      <c r="H141" s="22" t="s">
        <v>2308</v>
      </c>
      <c r="I141" s="22" t="s">
        <v>2308</v>
      </c>
      <c r="J141" s="22" t="s">
        <v>2308</v>
      </c>
      <c r="K141" s="22"/>
      <c r="L141" s="22" t="s">
        <v>2308</v>
      </c>
      <c r="M141" s="22" t="s">
        <v>2308</v>
      </c>
      <c r="N141" s="22" t="s">
        <v>2308</v>
      </c>
      <c r="O141" s="22" t="s">
        <v>2308</v>
      </c>
      <c r="P141" s="22" t="s">
        <v>2308</v>
      </c>
      <c r="Q141" s="22" t="s">
        <v>2308</v>
      </c>
      <c r="R141" s="22" t="s">
        <v>2308</v>
      </c>
      <c r="S141" s="22" t="s">
        <v>2308</v>
      </c>
      <c r="T141" s="4"/>
    </row>
    <row r="142" spans="1:20" ht="61" customHeight="1">
      <c r="A142" s="25" t="s">
        <v>1758</v>
      </c>
      <c r="B142" s="4"/>
      <c r="C142" s="4" t="s">
        <v>402</v>
      </c>
      <c r="D142" s="5" t="s">
        <v>136</v>
      </c>
      <c r="E142" s="5" t="s">
        <v>2308</v>
      </c>
      <c r="F142" s="4" t="s">
        <v>2308</v>
      </c>
      <c r="G142" s="4" t="s">
        <v>2308</v>
      </c>
      <c r="H142" s="22" t="s">
        <v>2308</v>
      </c>
      <c r="I142" s="22" t="s">
        <v>2308</v>
      </c>
      <c r="J142" s="22" t="s">
        <v>2308</v>
      </c>
      <c r="K142" s="22"/>
      <c r="L142" s="22" t="s">
        <v>2308</v>
      </c>
      <c r="M142" s="22" t="s">
        <v>2308</v>
      </c>
      <c r="N142" s="22" t="s">
        <v>2308</v>
      </c>
      <c r="O142" s="22" t="s">
        <v>2308</v>
      </c>
      <c r="P142" s="22" t="s">
        <v>2308</v>
      </c>
      <c r="Q142" s="22" t="s">
        <v>2308</v>
      </c>
      <c r="R142" s="22" t="s">
        <v>2308</v>
      </c>
      <c r="S142" s="22" t="s">
        <v>2308</v>
      </c>
      <c r="T142" s="4"/>
    </row>
    <row r="143" spans="1:20" ht="61" customHeight="1">
      <c r="A143" s="25" t="s">
        <v>1755</v>
      </c>
      <c r="B143" s="4"/>
      <c r="C143" s="4" t="s">
        <v>402</v>
      </c>
      <c r="D143" s="5" t="s">
        <v>136</v>
      </c>
      <c r="E143" s="5" t="s">
        <v>2308</v>
      </c>
      <c r="F143" s="4" t="s">
        <v>2308</v>
      </c>
      <c r="G143" s="4" t="s">
        <v>2308</v>
      </c>
      <c r="H143" s="22" t="s">
        <v>2308</v>
      </c>
      <c r="I143" s="22" t="s">
        <v>2308</v>
      </c>
      <c r="J143" s="22" t="s">
        <v>2308</v>
      </c>
      <c r="K143" s="22"/>
      <c r="L143" s="22" t="s">
        <v>2308</v>
      </c>
      <c r="M143" s="22" t="s">
        <v>2308</v>
      </c>
      <c r="N143" s="22" t="s">
        <v>2308</v>
      </c>
      <c r="O143" s="22" t="s">
        <v>2308</v>
      </c>
      <c r="P143" s="22" t="s">
        <v>2308</v>
      </c>
      <c r="Q143" s="22" t="s">
        <v>2308</v>
      </c>
      <c r="R143" s="22" t="s">
        <v>2308</v>
      </c>
      <c r="S143" s="22" t="s">
        <v>2308</v>
      </c>
      <c r="T143" s="4"/>
    </row>
    <row r="144" spans="1:20" ht="61" customHeight="1">
      <c r="A144" s="25" t="s">
        <v>1756</v>
      </c>
      <c r="B144" s="4"/>
      <c r="C144" s="4" t="s">
        <v>402</v>
      </c>
      <c r="D144" s="5" t="s">
        <v>136</v>
      </c>
      <c r="E144" s="5" t="s">
        <v>2308</v>
      </c>
      <c r="F144" s="4" t="s">
        <v>2308</v>
      </c>
      <c r="G144" s="4" t="s">
        <v>2308</v>
      </c>
      <c r="H144" s="22" t="s">
        <v>2308</v>
      </c>
      <c r="I144" s="22" t="s">
        <v>2308</v>
      </c>
      <c r="J144" s="22" t="s">
        <v>2308</v>
      </c>
      <c r="K144" s="22"/>
      <c r="L144" s="22" t="s">
        <v>2308</v>
      </c>
      <c r="M144" s="22" t="s">
        <v>2308</v>
      </c>
      <c r="N144" s="22" t="s">
        <v>2308</v>
      </c>
      <c r="O144" s="22" t="s">
        <v>2308</v>
      </c>
      <c r="P144" s="22" t="s">
        <v>2308</v>
      </c>
      <c r="Q144" s="22" t="s">
        <v>2308</v>
      </c>
      <c r="R144" s="22" t="s">
        <v>2308</v>
      </c>
      <c r="S144" s="22" t="s">
        <v>2308</v>
      </c>
      <c r="T144" s="4"/>
    </row>
    <row r="145" spans="1:20" ht="61" customHeight="1">
      <c r="A145" s="25" t="s">
        <v>1759</v>
      </c>
      <c r="B145" s="4"/>
      <c r="C145" s="4" t="s">
        <v>402</v>
      </c>
      <c r="D145" s="5" t="s">
        <v>136</v>
      </c>
      <c r="E145" s="5" t="s">
        <v>2308</v>
      </c>
      <c r="F145" s="4" t="s">
        <v>2308</v>
      </c>
      <c r="G145" s="4" t="s">
        <v>2308</v>
      </c>
      <c r="H145" s="22" t="s">
        <v>2308</v>
      </c>
      <c r="I145" s="22" t="s">
        <v>2308</v>
      </c>
      <c r="J145" s="22" t="s">
        <v>2308</v>
      </c>
      <c r="K145" s="22"/>
      <c r="L145" s="22" t="s">
        <v>2308</v>
      </c>
      <c r="M145" s="22" t="s">
        <v>2308</v>
      </c>
      <c r="N145" s="22" t="s">
        <v>2308</v>
      </c>
      <c r="O145" s="22" t="s">
        <v>2308</v>
      </c>
      <c r="P145" s="22" t="s">
        <v>2308</v>
      </c>
      <c r="Q145" s="22" t="s">
        <v>2308</v>
      </c>
      <c r="R145" s="22" t="s">
        <v>2308</v>
      </c>
      <c r="S145" s="22" t="s">
        <v>2308</v>
      </c>
      <c r="T145" s="4"/>
    </row>
    <row r="146" spans="1:20" ht="61" customHeight="1">
      <c r="A146" s="25" t="s">
        <v>1760</v>
      </c>
      <c r="B146" s="4"/>
      <c r="C146" s="4" t="s">
        <v>12</v>
      </c>
      <c r="D146" s="5" t="s">
        <v>404</v>
      </c>
      <c r="E146" s="5" t="s">
        <v>2308</v>
      </c>
      <c r="F146" s="4" t="s">
        <v>2308</v>
      </c>
      <c r="G146" s="4" t="s">
        <v>2308</v>
      </c>
      <c r="H146" s="22" t="s">
        <v>2308</v>
      </c>
      <c r="I146" s="22" t="s">
        <v>2308</v>
      </c>
      <c r="J146" s="22" t="s">
        <v>2308</v>
      </c>
      <c r="K146" s="22"/>
      <c r="L146" s="22" t="s">
        <v>2308</v>
      </c>
      <c r="M146" s="22" t="s">
        <v>2308</v>
      </c>
      <c r="N146" s="22" t="s">
        <v>2308</v>
      </c>
      <c r="O146" s="22" t="s">
        <v>2308</v>
      </c>
      <c r="P146" s="22" t="s">
        <v>2308</v>
      </c>
      <c r="Q146" s="22" t="s">
        <v>2308</v>
      </c>
      <c r="R146" s="22" t="s">
        <v>2308</v>
      </c>
      <c r="S146" s="22" t="s">
        <v>2308</v>
      </c>
      <c r="T146" s="4"/>
    </row>
    <row r="147" spans="1:20" ht="61" customHeight="1">
      <c r="A147" s="25" t="s">
        <v>1761</v>
      </c>
      <c r="B147" s="4"/>
      <c r="C147" s="4" t="s">
        <v>402</v>
      </c>
      <c r="D147" s="5" t="s">
        <v>136</v>
      </c>
      <c r="E147" s="5" t="s">
        <v>2308</v>
      </c>
      <c r="F147" s="4" t="s">
        <v>2308</v>
      </c>
      <c r="G147" s="4" t="s">
        <v>2308</v>
      </c>
      <c r="H147" s="22" t="s">
        <v>2308</v>
      </c>
      <c r="I147" s="22" t="s">
        <v>2308</v>
      </c>
      <c r="J147" s="22" t="s">
        <v>2308</v>
      </c>
      <c r="K147" s="22"/>
      <c r="L147" s="22" t="s">
        <v>2308</v>
      </c>
      <c r="M147" s="22" t="s">
        <v>2308</v>
      </c>
      <c r="N147" s="22" t="s">
        <v>2308</v>
      </c>
      <c r="O147" s="22" t="s">
        <v>2308</v>
      </c>
      <c r="P147" s="22" t="s">
        <v>2308</v>
      </c>
      <c r="Q147" s="22" t="s">
        <v>2308</v>
      </c>
      <c r="R147" s="22" t="s">
        <v>2308</v>
      </c>
      <c r="S147" s="22" t="s">
        <v>2308</v>
      </c>
      <c r="T147" s="4"/>
    </row>
    <row r="148" spans="1:20" ht="61" customHeight="1">
      <c r="A148" s="25" t="s">
        <v>1762</v>
      </c>
      <c r="B148" s="4"/>
      <c r="C148" s="4" t="s">
        <v>12</v>
      </c>
      <c r="D148" s="5" t="s">
        <v>404</v>
      </c>
      <c r="E148" s="5" t="s">
        <v>136</v>
      </c>
      <c r="F148" s="4" t="s">
        <v>2308</v>
      </c>
      <c r="G148" s="4" t="s">
        <v>2308</v>
      </c>
      <c r="H148" s="22" t="s">
        <v>2308</v>
      </c>
      <c r="I148" s="22" t="s">
        <v>2308</v>
      </c>
      <c r="J148" s="22" t="s">
        <v>2308</v>
      </c>
      <c r="K148" s="22"/>
      <c r="L148" s="22" t="s">
        <v>2308</v>
      </c>
      <c r="M148" s="22" t="s">
        <v>2308</v>
      </c>
      <c r="N148" s="22" t="s">
        <v>2308</v>
      </c>
      <c r="O148" s="22" t="s">
        <v>2308</v>
      </c>
      <c r="P148" s="22" t="s">
        <v>2308</v>
      </c>
      <c r="Q148" s="22" t="s">
        <v>2308</v>
      </c>
      <c r="R148" s="22" t="s">
        <v>2308</v>
      </c>
      <c r="S148" s="22" t="s">
        <v>2308</v>
      </c>
      <c r="T148" s="4"/>
    </row>
    <row r="149" spans="1:20" ht="61" customHeight="1">
      <c r="A149" s="25" t="s">
        <v>1763</v>
      </c>
      <c r="B149" s="4"/>
      <c r="C149" s="4" t="s">
        <v>12</v>
      </c>
      <c r="D149" s="5" t="s">
        <v>404</v>
      </c>
      <c r="E149" s="5" t="s">
        <v>2308</v>
      </c>
      <c r="F149" s="4" t="s">
        <v>2308</v>
      </c>
      <c r="G149" s="4" t="s">
        <v>2308</v>
      </c>
      <c r="H149" s="22" t="s">
        <v>2308</v>
      </c>
      <c r="I149" s="22" t="s">
        <v>2308</v>
      </c>
      <c r="J149" s="22" t="s">
        <v>2308</v>
      </c>
      <c r="K149" s="22"/>
      <c r="L149" s="22" t="s">
        <v>2308</v>
      </c>
      <c r="M149" s="22" t="s">
        <v>2308</v>
      </c>
      <c r="N149" s="22" t="s">
        <v>2308</v>
      </c>
      <c r="O149" s="22" t="s">
        <v>2308</v>
      </c>
      <c r="P149" s="22" t="s">
        <v>2308</v>
      </c>
      <c r="Q149" s="22" t="s">
        <v>2308</v>
      </c>
      <c r="R149" s="22" t="s">
        <v>2308</v>
      </c>
      <c r="S149" s="22" t="s">
        <v>2308</v>
      </c>
      <c r="T149" s="4"/>
    </row>
    <row r="150" spans="1:20" ht="61" customHeight="1">
      <c r="A150" s="25" t="s">
        <v>1764</v>
      </c>
      <c r="B150" s="4"/>
      <c r="C150" s="4" t="s">
        <v>402</v>
      </c>
      <c r="D150" s="5" t="s">
        <v>136</v>
      </c>
      <c r="E150" s="5" t="s">
        <v>2308</v>
      </c>
      <c r="F150" s="4" t="s">
        <v>2308</v>
      </c>
      <c r="G150" s="4" t="s">
        <v>2308</v>
      </c>
      <c r="H150" s="22" t="s">
        <v>2308</v>
      </c>
      <c r="I150" s="22" t="s">
        <v>2308</v>
      </c>
      <c r="J150" s="22" t="s">
        <v>2308</v>
      </c>
      <c r="K150" s="22"/>
      <c r="L150" s="22" t="s">
        <v>2308</v>
      </c>
      <c r="M150" s="22" t="s">
        <v>2308</v>
      </c>
      <c r="N150" s="22" t="s">
        <v>2308</v>
      </c>
      <c r="O150" s="22" t="s">
        <v>2308</v>
      </c>
      <c r="P150" s="22" t="s">
        <v>2308</v>
      </c>
      <c r="Q150" s="22" t="s">
        <v>2308</v>
      </c>
      <c r="R150" s="22" t="s">
        <v>2308</v>
      </c>
      <c r="S150" s="22" t="s">
        <v>2308</v>
      </c>
      <c r="T150" s="4"/>
    </row>
    <row r="151" spans="1:20" ht="61" customHeight="1">
      <c r="A151" s="25" t="s">
        <v>1765</v>
      </c>
      <c r="B151" s="4"/>
      <c r="C151" s="4" t="s">
        <v>402</v>
      </c>
      <c r="D151" s="5" t="s">
        <v>136</v>
      </c>
      <c r="E151" s="5" t="s">
        <v>2308</v>
      </c>
      <c r="F151" s="4" t="s">
        <v>2308</v>
      </c>
      <c r="G151" s="4" t="s">
        <v>2308</v>
      </c>
      <c r="H151" s="22" t="s">
        <v>2308</v>
      </c>
      <c r="I151" s="22" t="s">
        <v>2308</v>
      </c>
      <c r="J151" s="22" t="s">
        <v>2308</v>
      </c>
      <c r="K151" s="22"/>
      <c r="L151" s="22" t="s">
        <v>2308</v>
      </c>
      <c r="M151" s="22" t="s">
        <v>2308</v>
      </c>
      <c r="N151" s="22" t="s">
        <v>2308</v>
      </c>
      <c r="O151" s="22" t="s">
        <v>2308</v>
      </c>
      <c r="P151" s="22" t="s">
        <v>2308</v>
      </c>
      <c r="Q151" s="22" t="s">
        <v>2308</v>
      </c>
      <c r="R151" s="22" t="s">
        <v>2308</v>
      </c>
      <c r="S151" s="22" t="s">
        <v>2308</v>
      </c>
      <c r="T151" s="4"/>
    </row>
    <row r="152" spans="1:20" ht="61" customHeight="1">
      <c r="A152" s="25" t="s">
        <v>1766</v>
      </c>
      <c r="B152" s="4"/>
      <c r="C152" s="4" t="s">
        <v>12</v>
      </c>
      <c r="D152" s="5" t="s">
        <v>404</v>
      </c>
      <c r="E152" s="5" t="s">
        <v>136</v>
      </c>
      <c r="F152" s="4" t="s">
        <v>2308</v>
      </c>
      <c r="G152" s="4" t="s">
        <v>2308</v>
      </c>
      <c r="H152" s="22" t="s">
        <v>2308</v>
      </c>
      <c r="I152" s="22" t="s">
        <v>2308</v>
      </c>
      <c r="J152" s="22" t="s">
        <v>2308</v>
      </c>
      <c r="K152" s="22"/>
      <c r="L152" s="22" t="s">
        <v>2308</v>
      </c>
      <c r="M152" s="22" t="s">
        <v>2308</v>
      </c>
      <c r="N152" s="22" t="s">
        <v>2308</v>
      </c>
      <c r="O152" s="22" t="s">
        <v>2308</v>
      </c>
      <c r="P152" s="22" t="s">
        <v>2308</v>
      </c>
      <c r="Q152" s="22" t="s">
        <v>2308</v>
      </c>
      <c r="R152" s="22" t="s">
        <v>2308</v>
      </c>
      <c r="S152" s="22" t="s">
        <v>2308</v>
      </c>
      <c r="T152" s="4"/>
    </row>
    <row r="153" spans="1:20" ht="61" customHeight="1">
      <c r="A153" s="25" t="s">
        <v>1767</v>
      </c>
      <c r="B153" s="4"/>
      <c r="C153" s="4" t="s">
        <v>12</v>
      </c>
      <c r="D153" s="5" t="s">
        <v>404</v>
      </c>
      <c r="E153" s="5" t="s">
        <v>136</v>
      </c>
      <c r="F153" s="4" t="s">
        <v>2308</v>
      </c>
      <c r="G153" s="4" t="s">
        <v>2308</v>
      </c>
      <c r="H153" s="22" t="s">
        <v>2308</v>
      </c>
      <c r="I153" s="22" t="s">
        <v>2308</v>
      </c>
      <c r="J153" s="22" t="s">
        <v>2308</v>
      </c>
      <c r="K153" s="22"/>
      <c r="L153" s="22" t="s">
        <v>2308</v>
      </c>
      <c r="M153" s="22" t="s">
        <v>2308</v>
      </c>
      <c r="N153" s="22" t="s">
        <v>2308</v>
      </c>
      <c r="O153" s="22" t="s">
        <v>2308</v>
      </c>
      <c r="P153" s="22" t="s">
        <v>2308</v>
      </c>
      <c r="Q153" s="22" t="s">
        <v>2308</v>
      </c>
      <c r="R153" s="22" t="s">
        <v>2308</v>
      </c>
      <c r="S153" s="22" t="s">
        <v>2308</v>
      </c>
      <c r="T153" s="4"/>
    </row>
    <row r="154" spans="1:20" ht="61" customHeight="1">
      <c r="A154" s="25" t="s">
        <v>1768</v>
      </c>
      <c r="B154" s="4"/>
      <c r="C154" s="4" t="s">
        <v>12</v>
      </c>
      <c r="D154" s="5" t="s">
        <v>404</v>
      </c>
      <c r="E154" s="5" t="s">
        <v>2308</v>
      </c>
      <c r="F154" s="4" t="s">
        <v>2308</v>
      </c>
      <c r="G154" s="4" t="s">
        <v>2308</v>
      </c>
      <c r="H154" s="22" t="s">
        <v>2308</v>
      </c>
      <c r="I154" s="22" t="s">
        <v>2308</v>
      </c>
      <c r="J154" s="22" t="s">
        <v>2308</v>
      </c>
      <c r="K154" s="22"/>
      <c r="L154" s="22" t="s">
        <v>2308</v>
      </c>
      <c r="M154" s="22" t="s">
        <v>2308</v>
      </c>
      <c r="N154" s="22" t="s">
        <v>2308</v>
      </c>
      <c r="O154" s="22" t="s">
        <v>2308</v>
      </c>
      <c r="P154" s="22" t="s">
        <v>2308</v>
      </c>
      <c r="Q154" s="22" t="s">
        <v>2308</v>
      </c>
      <c r="R154" s="22" t="s">
        <v>2308</v>
      </c>
      <c r="S154" s="22" t="s">
        <v>2308</v>
      </c>
      <c r="T154" s="4"/>
    </row>
    <row r="155" spans="1:20" ht="61" customHeight="1">
      <c r="A155" s="25" t="s">
        <v>1769</v>
      </c>
      <c r="B155" s="4"/>
      <c r="C155" s="4" t="s">
        <v>12</v>
      </c>
      <c r="D155" s="5" t="s">
        <v>404</v>
      </c>
      <c r="E155" s="5" t="s">
        <v>136</v>
      </c>
      <c r="F155" s="4" t="s">
        <v>2308</v>
      </c>
      <c r="G155" s="4" t="s">
        <v>2308</v>
      </c>
      <c r="H155" s="22" t="s">
        <v>2308</v>
      </c>
      <c r="I155" s="22" t="s">
        <v>2308</v>
      </c>
      <c r="J155" s="22" t="s">
        <v>2308</v>
      </c>
      <c r="K155" s="22"/>
      <c r="L155" s="22" t="s">
        <v>2308</v>
      </c>
      <c r="M155" s="22" t="s">
        <v>2308</v>
      </c>
      <c r="N155" s="22" t="s">
        <v>2308</v>
      </c>
      <c r="O155" s="22" t="s">
        <v>2308</v>
      </c>
      <c r="P155" s="22" t="s">
        <v>2308</v>
      </c>
      <c r="Q155" s="22" t="s">
        <v>2308</v>
      </c>
      <c r="R155" s="22" t="s">
        <v>2308</v>
      </c>
      <c r="S155" s="22" t="s">
        <v>2308</v>
      </c>
      <c r="T155" s="4"/>
    </row>
    <row r="156" spans="1:20" ht="61" customHeight="1">
      <c r="A156" s="25" t="s">
        <v>1770</v>
      </c>
      <c r="B156" s="4"/>
      <c r="C156" s="4" t="s">
        <v>12</v>
      </c>
      <c r="D156" s="5" t="s">
        <v>404</v>
      </c>
      <c r="E156" s="5" t="s">
        <v>2308</v>
      </c>
      <c r="F156" s="4" t="s">
        <v>2308</v>
      </c>
      <c r="G156" s="4" t="s">
        <v>2308</v>
      </c>
      <c r="H156" s="22" t="s">
        <v>2308</v>
      </c>
      <c r="I156" s="22" t="s">
        <v>2308</v>
      </c>
      <c r="J156" s="22" t="s">
        <v>2308</v>
      </c>
      <c r="K156" s="22"/>
      <c r="L156" s="22" t="s">
        <v>2308</v>
      </c>
      <c r="M156" s="22" t="s">
        <v>2308</v>
      </c>
      <c r="N156" s="22" t="s">
        <v>2308</v>
      </c>
      <c r="O156" s="22" t="s">
        <v>2308</v>
      </c>
      <c r="P156" s="22" t="s">
        <v>2308</v>
      </c>
      <c r="Q156" s="22" t="s">
        <v>2308</v>
      </c>
      <c r="R156" s="22" t="s">
        <v>2308</v>
      </c>
      <c r="S156" s="22" t="s">
        <v>2308</v>
      </c>
      <c r="T156" s="4"/>
    </row>
    <row r="157" spans="1:20" ht="61" customHeight="1">
      <c r="A157" s="25" t="s">
        <v>1771</v>
      </c>
      <c r="B157" s="4"/>
      <c r="C157" s="4" t="s">
        <v>12</v>
      </c>
      <c r="D157" s="5" t="s">
        <v>404</v>
      </c>
      <c r="E157" s="5" t="s">
        <v>2308</v>
      </c>
      <c r="F157" s="4" t="s">
        <v>2308</v>
      </c>
      <c r="G157" s="4" t="s">
        <v>2308</v>
      </c>
      <c r="H157" s="22" t="s">
        <v>2308</v>
      </c>
      <c r="I157" s="22" t="s">
        <v>2308</v>
      </c>
      <c r="J157" s="22" t="s">
        <v>2308</v>
      </c>
      <c r="K157" s="22"/>
      <c r="L157" s="22" t="s">
        <v>2308</v>
      </c>
      <c r="M157" s="22" t="s">
        <v>2308</v>
      </c>
      <c r="N157" s="22" t="s">
        <v>2308</v>
      </c>
      <c r="O157" s="22" t="s">
        <v>2308</v>
      </c>
      <c r="P157" s="22" t="s">
        <v>2308</v>
      </c>
      <c r="Q157" s="22" t="s">
        <v>2308</v>
      </c>
      <c r="R157" s="22" t="s">
        <v>2308</v>
      </c>
      <c r="S157" s="22" t="s">
        <v>2308</v>
      </c>
      <c r="T157" s="4"/>
    </row>
    <row r="158" spans="1:20" ht="61" customHeight="1">
      <c r="A158" s="25" t="s">
        <v>1772</v>
      </c>
      <c r="B158" s="4"/>
      <c r="C158" s="4" t="s">
        <v>12</v>
      </c>
      <c r="D158" s="5" t="s">
        <v>404</v>
      </c>
      <c r="E158" s="5" t="s">
        <v>136</v>
      </c>
      <c r="F158" s="4" t="s">
        <v>2308</v>
      </c>
      <c r="G158" s="4" t="s">
        <v>2308</v>
      </c>
      <c r="H158" s="22" t="s">
        <v>2308</v>
      </c>
      <c r="I158" s="22" t="s">
        <v>2308</v>
      </c>
      <c r="J158" s="22" t="s">
        <v>2308</v>
      </c>
      <c r="K158" s="22"/>
      <c r="L158" s="22" t="s">
        <v>2308</v>
      </c>
      <c r="M158" s="22" t="s">
        <v>2308</v>
      </c>
      <c r="N158" s="22" t="s">
        <v>2308</v>
      </c>
      <c r="O158" s="22" t="s">
        <v>2308</v>
      </c>
      <c r="P158" s="22" t="s">
        <v>2308</v>
      </c>
      <c r="Q158" s="22" t="s">
        <v>2308</v>
      </c>
      <c r="R158" s="22" t="s">
        <v>2308</v>
      </c>
      <c r="S158" s="22" t="s">
        <v>2308</v>
      </c>
      <c r="T158" s="4"/>
    </row>
    <row r="159" spans="1:20" ht="61" customHeight="1">
      <c r="A159" s="25" t="s">
        <v>1773</v>
      </c>
      <c r="B159" s="4"/>
      <c r="C159" s="4" t="s">
        <v>12</v>
      </c>
      <c r="D159" s="5" t="s">
        <v>404</v>
      </c>
      <c r="E159" s="5" t="s">
        <v>2308</v>
      </c>
      <c r="F159" s="4" t="s">
        <v>2308</v>
      </c>
      <c r="G159" s="4" t="s">
        <v>2308</v>
      </c>
      <c r="H159" s="22" t="s">
        <v>2308</v>
      </c>
      <c r="I159" s="22" t="s">
        <v>2308</v>
      </c>
      <c r="J159" s="22" t="s">
        <v>2308</v>
      </c>
      <c r="K159" s="22"/>
      <c r="L159" s="22" t="s">
        <v>2308</v>
      </c>
      <c r="M159" s="22" t="s">
        <v>2308</v>
      </c>
      <c r="N159" s="22" t="s">
        <v>2308</v>
      </c>
      <c r="O159" s="22" t="s">
        <v>2308</v>
      </c>
      <c r="P159" s="22" t="s">
        <v>2308</v>
      </c>
      <c r="Q159" s="22" t="s">
        <v>2308</v>
      </c>
      <c r="R159" s="22" t="s">
        <v>2308</v>
      </c>
      <c r="S159" s="22" t="s">
        <v>2308</v>
      </c>
      <c r="T159" s="4"/>
    </row>
    <row r="160" spans="1:20" ht="61" customHeight="1">
      <c r="A160" s="25" t="s">
        <v>1774</v>
      </c>
      <c r="B160" s="4"/>
      <c r="C160" s="4" t="s">
        <v>12</v>
      </c>
      <c r="D160" s="5" t="s">
        <v>404</v>
      </c>
      <c r="E160" s="5" t="s">
        <v>2308</v>
      </c>
      <c r="F160" s="4" t="s">
        <v>2308</v>
      </c>
      <c r="G160" s="4" t="s">
        <v>2308</v>
      </c>
      <c r="H160" s="22" t="s">
        <v>2308</v>
      </c>
      <c r="I160" s="22" t="s">
        <v>2308</v>
      </c>
      <c r="J160" s="22" t="s">
        <v>2308</v>
      </c>
      <c r="K160" s="22"/>
      <c r="L160" s="22" t="s">
        <v>2308</v>
      </c>
      <c r="M160" s="22" t="s">
        <v>2308</v>
      </c>
      <c r="N160" s="22" t="s">
        <v>2308</v>
      </c>
      <c r="O160" s="22" t="s">
        <v>2308</v>
      </c>
      <c r="P160" s="22" t="s">
        <v>2308</v>
      </c>
      <c r="Q160" s="22" t="s">
        <v>2308</v>
      </c>
      <c r="R160" s="22" t="s">
        <v>2308</v>
      </c>
      <c r="S160" s="22" t="s">
        <v>2308</v>
      </c>
      <c r="T160" s="4"/>
    </row>
    <row r="161" spans="1:20" ht="61" customHeight="1">
      <c r="A161" s="25" t="s">
        <v>1775</v>
      </c>
      <c r="B161" s="4"/>
      <c r="C161" s="4" t="s">
        <v>12</v>
      </c>
      <c r="D161" s="5" t="s">
        <v>404</v>
      </c>
      <c r="E161" s="5" t="s">
        <v>136</v>
      </c>
      <c r="F161" s="4" t="s">
        <v>2308</v>
      </c>
      <c r="G161" s="4" t="s">
        <v>2308</v>
      </c>
      <c r="H161" s="22" t="s">
        <v>2308</v>
      </c>
      <c r="I161" s="22" t="s">
        <v>2308</v>
      </c>
      <c r="J161" s="22" t="s">
        <v>2308</v>
      </c>
      <c r="K161" s="22"/>
      <c r="L161" s="22" t="s">
        <v>2308</v>
      </c>
      <c r="M161" s="22" t="s">
        <v>2308</v>
      </c>
      <c r="N161" s="22" t="s">
        <v>2308</v>
      </c>
      <c r="O161" s="22" t="s">
        <v>2308</v>
      </c>
      <c r="P161" s="22" t="s">
        <v>2308</v>
      </c>
      <c r="Q161" s="22" t="s">
        <v>2308</v>
      </c>
      <c r="R161" s="22" t="s">
        <v>2308</v>
      </c>
      <c r="S161" s="22" t="s">
        <v>2308</v>
      </c>
      <c r="T161" s="4"/>
    </row>
    <row r="162" spans="1:20" ht="61" customHeight="1">
      <c r="A162" s="25" t="s">
        <v>1776</v>
      </c>
      <c r="B162" s="4"/>
      <c r="C162" s="4" t="s">
        <v>402</v>
      </c>
      <c r="D162" s="5" t="s">
        <v>136</v>
      </c>
      <c r="E162" s="5" t="s">
        <v>2308</v>
      </c>
      <c r="F162" s="4" t="s">
        <v>2308</v>
      </c>
      <c r="G162" s="4" t="s">
        <v>2308</v>
      </c>
      <c r="H162" s="22" t="s">
        <v>2308</v>
      </c>
      <c r="I162" s="22" t="s">
        <v>2308</v>
      </c>
      <c r="J162" s="22" t="s">
        <v>2308</v>
      </c>
      <c r="K162" s="22"/>
      <c r="L162" s="22" t="s">
        <v>2308</v>
      </c>
      <c r="M162" s="22" t="s">
        <v>2308</v>
      </c>
      <c r="N162" s="22" t="s">
        <v>2308</v>
      </c>
      <c r="O162" s="22" t="s">
        <v>2308</v>
      </c>
      <c r="P162" s="22" t="s">
        <v>2308</v>
      </c>
      <c r="Q162" s="22" t="s">
        <v>2308</v>
      </c>
      <c r="R162" s="22" t="s">
        <v>2308</v>
      </c>
      <c r="S162" s="22" t="s">
        <v>2308</v>
      </c>
      <c r="T162" s="4"/>
    </row>
    <row r="163" spans="1:20" ht="61" customHeight="1">
      <c r="A163" s="25" t="s">
        <v>1777</v>
      </c>
      <c r="B163" s="4"/>
      <c r="C163" s="4" t="s">
        <v>12</v>
      </c>
      <c r="D163" s="5" t="s">
        <v>404</v>
      </c>
      <c r="E163" s="5" t="s">
        <v>2308</v>
      </c>
      <c r="F163" s="4" t="s">
        <v>2308</v>
      </c>
      <c r="G163" s="4" t="s">
        <v>2308</v>
      </c>
      <c r="H163" s="22" t="s">
        <v>2308</v>
      </c>
      <c r="I163" s="22" t="s">
        <v>2308</v>
      </c>
      <c r="J163" s="22" t="s">
        <v>2308</v>
      </c>
      <c r="K163" s="22"/>
      <c r="L163" s="22" t="s">
        <v>2308</v>
      </c>
      <c r="M163" s="22" t="s">
        <v>2308</v>
      </c>
      <c r="N163" s="22" t="s">
        <v>2308</v>
      </c>
      <c r="O163" s="22" t="s">
        <v>2308</v>
      </c>
      <c r="P163" s="22" t="s">
        <v>2308</v>
      </c>
      <c r="Q163" s="22" t="s">
        <v>2308</v>
      </c>
      <c r="R163" s="22" t="s">
        <v>2308</v>
      </c>
      <c r="S163" s="22" t="s">
        <v>2308</v>
      </c>
      <c r="T163" s="4"/>
    </row>
    <row r="164" spans="1:20" ht="61" customHeight="1">
      <c r="A164" s="25" t="s">
        <v>1778</v>
      </c>
      <c r="B164" s="4"/>
      <c r="C164" s="4" t="s">
        <v>402</v>
      </c>
      <c r="D164" s="5" t="s">
        <v>136</v>
      </c>
      <c r="E164" s="5" t="s">
        <v>2308</v>
      </c>
      <c r="F164" s="4" t="s">
        <v>2308</v>
      </c>
      <c r="G164" s="4" t="s">
        <v>2308</v>
      </c>
      <c r="H164" s="22" t="s">
        <v>2308</v>
      </c>
      <c r="I164" s="22" t="s">
        <v>2308</v>
      </c>
      <c r="J164" s="22" t="s">
        <v>2308</v>
      </c>
      <c r="K164" s="22"/>
      <c r="L164" s="22" t="s">
        <v>2308</v>
      </c>
      <c r="M164" s="22" t="s">
        <v>2308</v>
      </c>
      <c r="N164" s="22" t="s">
        <v>2308</v>
      </c>
      <c r="O164" s="22" t="s">
        <v>2308</v>
      </c>
      <c r="P164" s="22" t="s">
        <v>2308</v>
      </c>
      <c r="Q164" s="22" t="s">
        <v>2308</v>
      </c>
      <c r="R164" s="22" t="s">
        <v>2308</v>
      </c>
      <c r="S164" s="22" t="s">
        <v>2308</v>
      </c>
      <c r="T164" s="4"/>
    </row>
    <row r="165" spans="1:20" ht="61" customHeight="1">
      <c r="A165" s="25" t="s">
        <v>1779</v>
      </c>
      <c r="B165" s="4"/>
      <c r="C165" s="4" t="s">
        <v>402</v>
      </c>
      <c r="D165" s="5" t="s">
        <v>136</v>
      </c>
      <c r="E165" s="5" t="s">
        <v>2308</v>
      </c>
      <c r="F165" s="4" t="s">
        <v>2308</v>
      </c>
      <c r="G165" s="4" t="s">
        <v>2308</v>
      </c>
      <c r="H165" s="22" t="s">
        <v>2308</v>
      </c>
      <c r="I165" s="22" t="s">
        <v>2308</v>
      </c>
      <c r="J165" s="22" t="s">
        <v>2308</v>
      </c>
      <c r="K165" s="22"/>
      <c r="L165" s="22" t="s">
        <v>2308</v>
      </c>
      <c r="M165" s="22" t="s">
        <v>2308</v>
      </c>
      <c r="N165" s="22" t="s">
        <v>2308</v>
      </c>
      <c r="O165" s="22" t="s">
        <v>2308</v>
      </c>
      <c r="P165" s="22" t="s">
        <v>2308</v>
      </c>
      <c r="Q165" s="22" t="s">
        <v>2308</v>
      </c>
      <c r="R165" s="22" t="s">
        <v>2308</v>
      </c>
      <c r="S165" s="22" t="s">
        <v>2308</v>
      </c>
      <c r="T165" s="4"/>
    </row>
    <row r="166" spans="1:20" ht="61" customHeight="1">
      <c r="A166" s="25" t="s">
        <v>1780</v>
      </c>
      <c r="B166" s="4"/>
      <c r="C166" s="4" t="s">
        <v>12</v>
      </c>
      <c r="D166" s="5" t="s">
        <v>404</v>
      </c>
      <c r="E166" s="5" t="s">
        <v>136</v>
      </c>
      <c r="F166" s="4" t="s">
        <v>2308</v>
      </c>
      <c r="G166" s="4" t="s">
        <v>2308</v>
      </c>
      <c r="H166" s="22" t="s">
        <v>2308</v>
      </c>
      <c r="I166" s="22" t="s">
        <v>2308</v>
      </c>
      <c r="J166" s="22" t="s">
        <v>2308</v>
      </c>
      <c r="K166" s="22"/>
      <c r="L166" s="22" t="s">
        <v>2308</v>
      </c>
      <c r="M166" s="22" t="s">
        <v>2308</v>
      </c>
      <c r="N166" s="22" t="s">
        <v>2308</v>
      </c>
      <c r="O166" s="22" t="s">
        <v>2308</v>
      </c>
      <c r="P166" s="22" t="s">
        <v>2308</v>
      </c>
      <c r="Q166" s="22" t="s">
        <v>2308</v>
      </c>
      <c r="R166" s="22" t="s">
        <v>2308</v>
      </c>
      <c r="S166" s="22" t="s">
        <v>2308</v>
      </c>
      <c r="T166" s="4"/>
    </row>
    <row r="167" spans="1:20" ht="61" customHeight="1">
      <c r="A167" s="25" t="s">
        <v>1781</v>
      </c>
      <c r="B167" s="4"/>
      <c r="C167" s="4" t="s">
        <v>12</v>
      </c>
      <c r="D167" s="5" t="s">
        <v>404</v>
      </c>
      <c r="E167" s="5" t="s">
        <v>136</v>
      </c>
      <c r="F167" s="4" t="s">
        <v>2308</v>
      </c>
      <c r="G167" s="4" t="s">
        <v>2308</v>
      </c>
      <c r="H167" s="22" t="s">
        <v>2308</v>
      </c>
      <c r="I167" s="22" t="s">
        <v>2308</v>
      </c>
      <c r="J167" s="22" t="s">
        <v>2308</v>
      </c>
      <c r="K167" s="22"/>
      <c r="L167" s="22" t="s">
        <v>2308</v>
      </c>
      <c r="M167" s="22" t="s">
        <v>2308</v>
      </c>
      <c r="N167" s="22" t="s">
        <v>2308</v>
      </c>
      <c r="O167" s="22" t="s">
        <v>2308</v>
      </c>
      <c r="P167" s="22" t="s">
        <v>2308</v>
      </c>
      <c r="Q167" s="22" t="s">
        <v>2308</v>
      </c>
      <c r="R167" s="22" t="s">
        <v>2308</v>
      </c>
      <c r="S167" s="22" t="s">
        <v>2308</v>
      </c>
      <c r="T167" s="4"/>
    </row>
    <row r="168" spans="1:20" ht="61" customHeight="1">
      <c r="A168" s="25" t="s">
        <v>1782</v>
      </c>
      <c r="B168" s="4"/>
      <c r="C168" s="4" t="s">
        <v>402</v>
      </c>
      <c r="D168" s="5" t="s">
        <v>136</v>
      </c>
      <c r="E168" s="5" t="s">
        <v>2308</v>
      </c>
      <c r="F168" s="4" t="s">
        <v>2308</v>
      </c>
      <c r="G168" s="4" t="s">
        <v>2308</v>
      </c>
      <c r="H168" s="22" t="s">
        <v>2308</v>
      </c>
      <c r="I168" s="22" t="s">
        <v>2308</v>
      </c>
      <c r="J168" s="22" t="s">
        <v>2308</v>
      </c>
      <c r="K168" s="22"/>
      <c r="L168" s="22" t="s">
        <v>2308</v>
      </c>
      <c r="M168" s="22" t="s">
        <v>2308</v>
      </c>
      <c r="N168" s="22" t="s">
        <v>2308</v>
      </c>
      <c r="O168" s="22" t="s">
        <v>2308</v>
      </c>
      <c r="P168" s="22" t="s">
        <v>2308</v>
      </c>
      <c r="Q168" s="22" t="s">
        <v>2308</v>
      </c>
      <c r="R168" s="22" t="s">
        <v>2308</v>
      </c>
      <c r="S168" s="22" t="s">
        <v>2308</v>
      </c>
      <c r="T168" s="4"/>
    </row>
    <row r="169" spans="1:20" ht="61" customHeight="1">
      <c r="A169" s="25" t="s">
        <v>1783</v>
      </c>
      <c r="B169" s="4"/>
      <c r="C169" s="4" t="s">
        <v>12</v>
      </c>
      <c r="D169" s="5" t="s">
        <v>404</v>
      </c>
      <c r="E169" s="5" t="s">
        <v>136</v>
      </c>
      <c r="F169" s="4" t="s">
        <v>2308</v>
      </c>
      <c r="G169" s="4" t="s">
        <v>2308</v>
      </c>
      <c r="H169" s="22" t="s">
        <v>2308</v>
      </c>
      <c r="I169" s="22" t="s">
        <v>2308</v>
      </c>
      <c r="J169" s="22" t="s">
        <v>2308</v>
      </c>
      <c r="K169" s="22"/>
      <c r="L169" s="22" t="s">
        <v>2308</v>
      </c>
      <c r="M169" s="22" t="s">
        <v>2308</v>
      </c>
      <c r="N169" s="22" t="s">
        <v>2308</v>
      </c>
      <c r="O169" s="22" t="s">
        <v>2308</v>
      </c>
      <c r="P169" s="22" t="s">
        <v>2308</v>
      </c>
      <c r="Q169" s="22" t="s">
        <v>2308</v>
      </c>
      <c r="R169" s="22" t="s">
        <v>2308</v>
      </c>
      <c r="S169" s="22" t="s">
        <v>2308</v>
      </c>
      <c r="T169" s="4"/>
    </row>
    <row r="170" spans="1:20" ht="61" customHeight="1">
      <c r="A170" s="25" t="s">
        <v>1784</v>
      </c>
      <c r="B170" s="4"/>
      <c r="C170" s="4" t="s">
        <v>12</v>
      </c>
      <c r="D170" s="5" t="s">
        <v>404</v>
      </c>
      <c r="E170" s="5" t="s">
        <v>136</v>
      </c>
      <c r="F170" s="4" t="s">
        <v>2308</v>
      </c>
      <c r="G170" s="4" t="s">
        <v>2308</v>
      </c>
      <c r="H170" s="22" t="s">
        <v>2308</v>
      </c>
      <c r="I170" s="22" t="s">
        <v>2308</v>
      </c>
      <c r="J170" s="22" t="s">
        <v>2308</v>
      </c>
      <c r="K170" s="22"/>
      <c r="L170" s="22" t="s">
        <v>2308</v>
      </c>
      <c r="M170" s="22" t="s">
        <v>2308</v>
      </c>
      <c r="N170" s="22" t="s">
        <v>2308</v>
      </c>
      <c r="O170" s="22" t="s">
        <v>2308</v>
      </c>
      <c r="P170" s="22" t="s">
        <v>2308</v>
      </c>
      <c r="Q170" s="22" t="s">
        <v>2308</v>
      </c>
      <c r="R170" s="22" t="s">
        <v>2308</v>
      </c>
      <c r="S170" s="22" t="s">
        <v>2308</v>
      </c>
      <c r="T170" s="4"/>
    </row>
    <row r="171" spans="1:20" ht="61" customHeight="1">
      <c r="A171" s="25" t="s">
        <v>1785</v>
      </c>
      <c r="B171" s="4"/>
      <c r="C171" s="4" t="s">
        <v>12</v>
      </c>
      <c r="D171" s="5" t="s">
        <v>404</v>
      </c>
      <c r="E171" s="5" t="s">
        <v>136</v>
      </c>
      <c r="F171" s="4" t="s">
        <v>2308</v>
      </c>
      <c r="G171" s="4" t="s">
        <v>2308</v>
      </c>
      <c r="H171" s="22" t="s">
        <v>2308</v>
      </c>
      <c r="I171" s="22" t="s">
        <v>2308</v>
      </c>
      <c r="J171" s="22" t="s">
        <v>2308</v>
      </c>
      <c r="K171" s="22"/>
      <c r="L171" s="22" t="s">
        <v>2308</v>
      </c>
      <c r="M171" s="22" t="s">
        <v>2308</v>
      </c>
      <c r="N171" s="22" t="s">
        <v>2308</v>
      </c>
      <c r="O171" s="22" t="s">
        <v>2308</v>
      </c>
      <c r="P171" s="22" t="s">
        <v>2308</v>
      </c>
      <c r="Q171" s="22" t="s">
        <v>2308</v>
      </c>
      <c r="R171" s="22" t="s">
        <v>2308</v>
      </c>
      <c r="S171" s="22" t="s">
        <v>2308</v>
      </c>
      <c r="T171" s="4"/>
    </row>
    <row r="172" spans="1:20" ht="61" customHeight="1">
      <c r="A172" s="25" t="s">
        <v>1786</v>
      </c>
      <c r="B172" s="4"/>
      <c r="C172" s="4" t="s">
        <v>12</v>
      </c>
      <c r="D172" s="5" t="s">
        <v>404</v>
      </c>
      <c r="E172" s="5" t="s">
        <v>136</v>
      </c>
      <c r="F172" s="4" t="s">
        <v>2308</v>
      </c>
      <c r="G172" s="4" t="s">
        <v>2308</v>
      </c>
      <c r="H172" s="22" t="s">
        <v>2308</v>
      </c>
      <c r="I172" s="22" t="s">
        <v>2308</v>
      </c>
      <c r="J172" s="22" t="s">
        <v>2308</v>
      </c>
      <c r="K172" s="22"/>
      <c r="L172" s="22" t="s">
        <v>2308</v>
      </c>
      <c r="M172" s="22" t="s">
        <v>2308</v>
      </c>
      <c r="N172" s="22" t="s">
        <v>2308</v>
      </c>
      <c r="O172" s="22" t="s">
        <v>2308</v>
      </c>
      <c r="P172" s="22" t="s">
        <v>2308</v>
      </c>
      <c r="Q172" s="22" t="s">
        <v>2308</v>
      </c>
      <c r="R172" s="22" t="s">
        <v>2308</v>
      </c>
      <c r="S172" s="22" t="s">
        <v>2308</v>
      </c>
      <c r="T172" s="4"/>
    </row>
    <row r="173" spans="1:20" ht="61" customHeight="1">
      <c r="A173" s="25" t="s">
        <v>1787</v>
      </c>
      <c r="B173" s="4"/>
      <c r="C173" s="4" t="s">
        <v>402</v>
      </c>
      <c r="D173" s="5" t="s">
        <v>136</v>
      </c>
      <c r="E173" s="5" t="s">
        <v>2308</v>
      </c>
      <c r="F173" s="4" t="s">
        <v>2308</v>
      </c>
      <c r="G173" s="4" t="s">
        <v>2308</v>
      </c>
      <c r="H173" s="22" t="s">
        <v>2308</v>
      </c>
      <c r="I173" s="22" t="s">
        <v>2308</v>
      </c>
      <c r="J173" s="22" t="s">
        <v>2308</v>
      </c>
      <c r="K173" s="22"/>
      <c r="L173" s="22" t="s">
        <v>2308</v>
      </c>
      <c r="M173" s="22" t="s">
        <v>2308</v>
      </c>
      <c r="N173" s="22" t="s">
        <v>2308</v>
      </c>
      <c r="O173" s="22" t="s">
        <v>2308</v>
      </c>
      <c r="P173" s="22" t="s">
        <v>2308</v>
      </c>
      <c r="Q173" s="22" t="s">
        <v>2308</v>
      </c>
      <c r="R173" s="22" t="s">
        <v>2308</v>
      </c>
      <c r="S173" s="22" t="s">
        <v>2308</v>
      </c>
      <c r="T173" s="4"/>
    </row>
    <row r="174" spans="1:20" ht="61" customHeight="1">
      <c r="A174" s="25" t="s">
        <v>1788</v>
      </c>
      <c r="B174" s="4"/>
      <c r="C174" s="4" t="s">
        <v>12</v>
      </c>
      <c r="D174" s="5" t="s">
        <v>404</v>
      </c>
      <c r="E174" s="5" t="s">
        <v>136</v>
      </c>
      <c r="F174" s="4" t="s">
        <v>2308</v>
      </c>
      <c r="G174" s="4" t="s">
        <v>2308</v>
      </c>
      <c r="H174" s="22" t="s">
        <v>2308</v>
      </c>
      <c r="I174" s="22" t="s">
        <v>2308</v>
      </c>
      <c r="J174" s="22" t="s">
        <v>2308</v>
      </c>
      <c r="K174" s="22"/>
      <c r="L174" s="22" t="s">
        <v>2308</v>
      </c>
      <c r="M174" s="22" t="s">
        <v>2308</v>
      </c>
      <c r="N174" s="22" t="s">
        <v>2308</v>
      </c>
      <c r="O174" s="22" t="s">
        <v>2308</v>
      </c>
      <c r="P174" s="22" t="s">
        <v>2308</v>
      </c>
      <c r="Q174" s="22" t="s">
        <v>2308</v>
      </c>
      <c r="R174" s="22" t="s">
        <v>2308</v>
      </c>
      <c r="S174" s="22" t="s">
        <v>2308</v>
      </c>
      <c r="T174" s="4"/>
    </row>
    <row r="175" spans="1:20" ht="61" customHeight="1">
      <c r="A175" s="25" t="s">
        <v>1789</v>
      </c>
      <c r="B175" s="4"/>
      <c r="C175" s="4" t="s">
        <v>402</v>
      </c>
      <c r="D175" s="5" t="s">
        <v>136</v>
      </c>
      <c r="E175" s="5" t="s">
        <v>2308</v>
      </c>
      <c r="F175" s="4" t="s">
        <v>2308</v>
      </c>
      <c r="G175" s="4" t="s">
        <v>2308</v>
      </c>
      <c r="H175" s="22" t="s">
        <v>2308</v>
      </c>
      <c r="I175" s="22" t="s">
        <v>2308</v>
      </c>
      <c r="J175" s="22" t="s">
        <v>2308</v>
      </c>
      <c r="K175" s="22"/>
      <c r="L175" s="22" t="s">
        <v>2308</v>
      </c>
      <c r="M175" s="22" t="s">
        <v>2308</v>
      </c>
      <c r="N175" s="22" t="s">
        <v>2308</v>
      </c>
      <c r="O175" s="22" t="s">
        <v>2308</v>
      </c>
      <c r="P175" s="22" t="s">
        <v>2308</v>
      </c>
      <c r="Q175" s="22" t="s">
        <v>2308</v>
      </c>
      <c r="R175" s="22" t="s">
        <v>2308</v>
      </c>
      <c r="S175" s="22" t="s">
        <v>2308</v>
      </c>
      <c r="T175" s="4"/>
    </row>
    <row r="176" spans="1:20" ht="61" customHeight="1">
      <c r="A176" s="25" t="s">
        <v>1790</v>
      </c>
      <c r="B176" s="4"/>
      <c r="C176" s="4" t="s">
        <v>12</v>
      </c>
      <c r="D176" s="5" t="s">
        <v>404</v>
      </c>
      <c r="E176" s="5" t="s">
        <v>2308</v>
      </c>
      <c r="F176" s="4" t="s">
        <v>2308</v>
      </c>
      <c r="G176" s="4" t="s">
        <v>2308</v>
      </c>
      <c r="H176" s="22" t="s">
        <v>2308</v>
      </c>
      <c r="I176" s="22" t="s">
        <v>2308</v>
      </c>
      <c r="J176" s="22" t="s">
        <v>2308</v>
      </c>
      <c r="K176" s="22"/>
      <c r="L176" s="22" t="s">
        <v>2308</v>
      </c>
      <c r="M176" s="22" t="s">
        <v>2308</v>
      </c>
      <c r="N176" s="22" t="s">
        <v>2308</v>
      </c>
      <c r="O176" s="22" t="s">
        <v>2308</v>
      </c>
      <c r="P176" s="22" t="s">
        <v>2308</v>
      </c>
      <c r="Q176" s="22" t="s">
        <v>2308</v>
      </c>
      <c r="R176" s="22" t="s">
        <v>2308</v>
      </c>
      <c r="S176" s="22" t="s">
        <v>2308</v>
      </c>
      <c r="T176" s="4"/>
    </row>
    <row r="177" spans="1:20" ht="61" customHeight="1">
      <c r="A177" s="25" t="s">
        <v>1791</v>
      </c>
      <c r="B177" s="4"/>
      <c r="C177" s="4" t="s">
        <v>12</v>
      </c>
      <c r="D177" s="5" t="s">
        <v>404</v>
      </c>
      <c r="E177" s="5" t="s">
        <v>2308</v>
      </c>
      <c r="F177" s="4" t="s">
        <v>2308</v>
      </c>
      <c r="G177" s="4" t="s">
        <v>2308</v>
      </c>
      <c r="H177" s="22" t="s">
        <v>2308</v>
      </c>
      <c r="I177" s="22" t="s">
        <v>2308</v>
      </c>
      <c r="J177" s="22" t="s">
        <v>2308</v>
      </c>
      <c r="K177" s="22"/>
      <c r="L177" s="22" t="s">
        <v>2308</v>
      </c>
      <c r="M177" s="22" t="s">
        <v>2308</v>
      </c>
      <c r="N177" s="22" t="s">
        <v>2308</v>
      </c>
      <c r="O177" s="22" t="s">
        <v>2308</v>
      </c>
      <c r="P177" s="22" t="s">
        <v>2308</v>
      </c>
      <c r="Q177" s="22" t="s">
        <v>2308</v>
      </c>
      <c r="R177" s="22" t="s">
        <v>2308</v>
      </c>
      <c r="S177" s="22" t="s">
        <v>2308</v>
      </c>
      <c r="T177" s="4"/>
    </row>
    <row r="178" spans="1:20" ht="61" customHeight="1">
      <c r="A178" s="25" t="s">
        <v>1792</v>
      </c>
      <c r="B178" s="4"/>
      <c r="C178" s="4" t="s">
        <v>12</v>
      </c>
      <c r="D178" s="5" t="s">
        <v>404</v>
      </c>
      <c r="E178" s="5" t="s">
        <v>136</v>
      </c>
      <c r="F178" s="4" t="s">
        <v>2308</v>
      </c>
      <c r="G178" s="4" t="s">
        <v>2308</v>
      </c>
      <c r="H178" s="22" t="s">
        <v>2308</v>
      </c>
      <c r="I178" s="22" t="s">
        <v>2308</v>
      </c>
      <c r="J178" s="22" t="s">
        <v>2308</v>
      </c>
      <c r="K178" s="22"/>
      <c r="L178" s="22" t="s">
        <v>2308</v>
      </c>
      <c r="M178" s="22" t="s">
        <v>2308</v>
      </c>
      <c r="N178" s="22" t="s">
        <v>2308</v>
      </c>
      <c r="O178" s="22" t="s">
        <v>2308</v>
      </c>
      <c r="P178" s="22" t="s">
        <v>2308</v>
      </c>
      <c r="Q178" s="22" t="s">
        <v>2308</v>
      </c>
      <c r="R178" s="22" t="s">
        <v>2308</v>
      </c>
      <c r="S178" s="22" t="s">
        <v>2308</v>
      </c>
      <c r="T178" s="4"/>
    </row>
    <row r="179" spans="1:20" ht="61" customHeight="1">
      <c r="A179" s="25" t="s">
        <v>1793</v>
      </c>
      <c r="B179" s="4"/>
      <c r="C179" s="4" t="s">
        <v>12</v>
      </c>
      <c r="D179" s="5" t="s">
        <v>404</v>
      </c>
      <c r="E179" s="5" t="s">
        <v>136</v>
      </c>
      <c r="F179" s="4" t="s">
        <v>2308</v>
      </c>
      <c r="G179" s="4" t="s">
        <v>2308</v>
      </c>
      <c r="H179" s="22" t="s">
        <v>2308</v>
      </c>
      <c r="I179" s="22" t="s">
        <v>2308</v>
      </c>
      <c r="J179" s="22" t="s">
        <v>2308</v>
      </c>
      <c r="K179" s="22"/>
      <c r="L179" s="22" t="s">
        <v>2308</v>
      </c>
      <c r="M179" s="22" t="s">
        <v>2308</v>
      </c>
      <c r="N179" s="22" t="s">
        <v>2308</v>
      </c>
      <c r="O179" s="22" t="s">
        <v>2308</v>
      </c>
      <c r="P179" s="22" t="s">
        <v>2308</v>
      </c>
      <c r="Q179" s="22" t="s">
        <v>2308</v>
      </c>
      <c r="R179" s="22" t="s">
        <v>2308</v>
      </c>
      <c r="S179" s="22" t="s">
        <v>2308</v>
      </c>
      <c r="T179" s="4"/>
    </row>
    <row r="180" spans="1:20" ht="61" customHeight="1">
      <c r="A180" s="25" t="s">
        <v>1794</v>
      </c>
      <c r="B180" s="4"/>
      <c r="C180" s="4" t="s">
        <v>402</v>
      </c>
      <c r="D180" s="5" t="s">
        <v>136</v>
      </c>
      <c r="E180" s="5" t="s">
        <v>2308</v>
      </c>
      <c r="F180" s="4" t="s">
        <v>2308</v>
      </c>
      <c r="G180" s="4" t="s">
        <v>2308</v>
      </c>
      <c r="H180" s="22" t="s">
        <v>2308</v>
      </c>
      <c r="I180" s="22" t="s">
        <v>2308</v>
      </c>
      <c r="J180" s="22" t="s">
        <v>2308</v>
      </c>
      <c r="K180" s="22"/>
      <c r="L180" s="22" t="s">
        <v>2308</v>
      </c>
      <c r="M180" s="22" t="s">
        <v>2308</v>
      </c>
      <c r="N180" s="22" t="s">
        <v>2308</v>
      </c>
      <c r="O180" s="22" t="s">
        <v>2308</v>
      </c>
      <c r="P180" s="22" t="s">
        <v>2308</v>
      </c>
      <c r="Q180" s="22" t="s">
        <v>2308</v>
      </c>
      <c r="R180" s="22" t="s">
        <v>2308</v>
      </c>
      <c r="S180" s="22" t="s">
        <v>2308</v>
      </c>
      <c r="T180" s="4"/>
    </row>
    <row r="181" spans="1:20" ht="61" customHeight="1">
      <c r="A181" s="25" t="s">
        <v>1795</v>
      </c>
      <c r="B181" s="4"/>
      <c r="C181" s="4" t="s">
        <v>402</v>
      </c>
      <c r="D181" s="5" t="s">
        <v>136</v>
      </c>
      <c r="E181" s="5" t="s">
        <v>2308</v>
      </c>
      <c r="F181" s="4" t="s">
        <v>2308</v>
      </c>
      <c r="G181" s="4" t="s">
        <v>2308</v>
      </c>
      <c r="H181" s="22" t="s">
        <v>2308</v>
      </c>
      <c r="I181" s="22" t="s">
        <v>2308</v>
      </c>
      <c r="J181" s="22" t="s">
        <v>2308</v>
      </c>
      <c r="K181" s="22"/>
      <c r="L181" s="22" t="s">
        <v>2308</v>
      </c>
      <c r="M181" s="22" t="s">
        <v>2308</v>
      </c>
      <c r="N181" s="22" t="s">
        <v>2308</v>
      </c>
      <c r="O181" s="22" t="s">
        <v>2308</v>
      </c>
      <c r="P181" s="22" t="s">
        <v>2308</v>
      </c>
      <c r="Q181" s="22" t="s">
        <v>2308</v>
      </c>
      <c r="R181" s="22" t="s">
        <v>2308</v>
      </c>
      <c r="S181" s="22" t="s">
        <v>2308</v>
      </c>
      <c r="T181" s="4"/>
    </row>
    <row r="182" spans="1:20" ht="61" customHeight="1">
      <c r="A182" s="25" t="s">
        <v>1796</v>
      </c>
      <c r="B182" s="4"/>
      <c r="C182" s="4" t="s">
        <v>12</v>
      </c>
      <c r="D182" s="5" t="s">
        <v>404</v>
      </c>
      <c r="E182" s="5" t="s">
        <v>2308</v>
      </c>
      <c r="F182" s="4" t="s">
        <v>2308</v>
      </c>
      <c r="G182" s="4" t="s">
        <v>2308</v>
      </c>
      <c r="H182" s="22" t="s">
        <v>2308</v>
      </c>
      <c r="I182" s="22" t="s">
        <v>2308</v>
      </c>
      <c r="J182" s="22" t="s">
        <v>2308</v>
      </c>
      <c r="K182" s="22"/>
      <c r="L182" s="22" t="s">
        <v>2308</v>
      </c>
      <c r="M182" s="22" t="s">
        <v>2308</v>
      </c>
      <c r="N182" s="22" t="s">
        <v>2308</v>
      </c>
      <c r="O182" s="22" t="s">
        <v>2308</v>
      </c>
      <c r="P182" s="22" t="s">
        <v>2308</v>
      </c>
      <c r="Q182" s="22" t="s">
        <v>2308</v>
      </c>
      <c r="R182" s="22" t="s">
        <v>2308</v>
      </c>
      <c r="S182" s="22" t="s">
        <v>2308</v>
      </c>
      <c r="T182" s="4"/>
    </row>
    <row r="183" spans="1:20" ht="61" customHeight="1">
      <c r="A183" s="25" t="s">
        <v>1797</v>
      </c>
      <c r="B183" s="4"/>
      <c r="C183" s="4" t="s">
        <v>12</v>
      </c>
      <c r="D183" s="5" t="s">
        <v>404</v>
      </c>
      <c r="E183" s="5" t="s">
        <v>2308</v>
      </c>
      <c r="F183" s="4" t="s">
        <v>2308</v>
      </c>
      <c r="G183" s="4" t="s">
        <v>2308</v>
      </c>
      <c r="H183" s="22" t="s">
        <v>2308</v>
      </c>
      <c r="I183" s="22" t="s">
        <v>2308</v>
      </c>
      <c r="J183" s="22" t="s">
        <v>2308</v>
      </c>
      <c r="K183" s="22"/>
      <c r="L183" s="22" t="s">
        <v>2308</v>
      </c>
      <c r="M183" s="22" t="s">
        <v>2308</v>
      </c>
      <c r="N183" s="22" t="s">
        <v>2308</v>
      </c>
      <c r="O183" s="22" t="s">
        <v>2308</v>
      </c>
      <c r="P183" s="22" t="s">
        <v>2308</v>
      </c>
      <c r="Q183" s="22" t="s">
        <v>2308</v>
      </c>
      <c r="R183" s="22" t="s">
        <v>2308</v>
      </c>
      <c r="S183" s="22" t="s">
        <v>2308</v>
      </c>
      <c r="T183" s="4"/>
    </row>
    <row r="184" spans="1:20" ht="58.5" customHeight="1">
      <c r="A184" s="12" t="s">
        <v>564</v>
      </c>
      <c r="B184" s="20" t="s">
        <v>70</v>
      </c>
      <c r="C184" s="12" t="s">
        <v>12</v>
      </c>
      <c r="D184" s="20" t="s">
        <v>136</v>
      </c>
      <c r="E184" s="5" t="s">
        <v>403</v>
      </c>
      <c r="F184" s="4" t="s">
        <v>45</v>
      </c>
      <c r="G184" s="4" t="s">
        <v>2308</v>
      </c>
      <c r="H184" s="22">
        <v>1.53</v>
      </c>
      <c r="I184" s="22">
        <v>78.5</v>
      </c>
      <c r="J184" s="22">
        <v>1.25</v>
      </c>
      <c r="K184" s="22" t="s">
        <v>542</v>
      </c>
      <c r="L184" s="22" t="s">
        <v>2308</v>
      </c>
      <c r="M184" s="22" t="s">
        <v>2308</v>
      </c>
      <c r="N184" s="22" t="s">
        <v>2308</v>
      </c>
      <c r="O184" s="22">
        <v>27</v>
      </c>
      <c r="P184" s="22">
        <v>11</v>
      </c>
      <c r="Q184" s="22">
        <v>7</v>
      </c>
      <c r="R184" s="22">
        <v>55</v>
      </c>
      <c r="S184" s="22">
        <v>0.57903879999999996</v>
      </c>
      <c r="T184" s="5" t="s">
        <v>1891</v>
      </c>
    </row>
    <row r="185" spans="1:20" ht="58.5" customHeight="1">
      <c r="A185" s="12" t="s">
        <v>565</v>
      </c>
      <c r="B185" s="20" t="s">
        <v>70</v>
      </c>
      <c r="C185" s="12" t="s">
        <v>12</v>
      </c>
      <c r="D185" s="20" t="s">
        <v>136</v>
      </c>
      <c r="E185" s="5" t="s">
        <v>403</v>
      </c>
      <c r="F185" s="4" t="s">
        <v>45</v>
      </c>
      <c r="G185" s="4" t="s">
        <v>2308</v>
      </c>
      <c r="H185" s="22">
        <v>1.56</v>
      </c>
      <c r="I185" s="22">
        <v>78.5</v>
      </c>
      <c r="J185" s="22">
        <v>1.25</v>
      </c>
      <c r="K185" s="22" t="s">
        <v>542</v>
      </c>
      <c r="L185" s="22" t="s">
        <v>2308</v>
      </c>
      <c r="M185" s="22" t="s">
        <v>2308</v>
      </c>
      <c r="N185" s="22" t="s">
        <v>2308</v>
      </c>
      <c r="O185" s="22">
        <v>27</v>
      </c>
      <c r="P185" s="22">
        <v>11</v>
      </c>
      <c r="Q185" s="22">
        <v>7</v>
      </c>
      <c r="R185" s="22">
        <v>55</v>
      </c>
      <c r="S185" s="22">
        <v>0.81547963999999995</v>
      </c>
      <c r="T185" s="5" t="s">
        <v>1891</v>
      </c>
    </row>
    <row r="186" spans="1:20" ht="58.5" customHeight="1">
      <c r="A186" s="4" t="s">
        <v>580</v>
      </c>
      <c r="B186" s="20"/>
      <c r="C186" s="12" t="s">
        <v>402</v>
      </c>
      <c r="D186" s="20" t="s">
        <v>136</v>
      </c>
      <c r="E186" s="20" t="s">
        <v>2308</v>
      </c>
      <c r="F186" s="4" t="s">
        <v>2308</v>
      </c>
      <c r="G186" s="4" t="s">
        <v>2308</v>
      </c>
      <c r="H186" s="22" t="s">
        <v>2308</v>
      </c>
      <c r="I186" s="22" t="s">
        <v>2308</v>
      </c>
      <c r="J186" s="22" t="s">
        <v>2308</v>
      </c>
      <c r="K186" s="22"/>
      <c r="L186" s="22" t="s">
        <v>2308</v>
      </c>
      <c r="M186" s="22" t="s">
        <v>2308</v>
      </c>
      <c r="N186" s="22" t="s">
        <v>2308</v>
      </c>
      <c r="O186" s="22" t="s">
        <v>2308</v>
      </c>
      <c r="P186" s="22" t="s">
        <v>2308</v>
      </c>
      <c r="Q186" s="22" t="s">
        <v>2308</v>
      </c>
      <c r="R186" s="22" t="s">
        <v>2308</v>
      </c>
      <c r="S186" s="22" t="s">
        <v>2308</v>
      </c>
      <c r="T186" s="5" t="s">
        <v>1977</v>
      </c>
    </row>
    <row r="187" spans="1:20" ht="58.5" customHeight="1">
      <c r="A187" s="4" t="s">
        <v>581</v>
      </c>
      <c r="B187" s="20"/>
      <c r="C187" s="12" t="s">
        <v>402</v>
      </c>
      <c r="D187" s="20" t="s">
        <v>136</v>
      </c>
      <c r="E187" s="20" t="s">
        <v>2308</v>
      </c>
      <c r="F187" s="4" t="s">
        <v>2308</v>
      </c>
      <c r="G187" s="4" t="s">
        <v>2308</v>
      </c>
      <c r="H187" s="22" t="s">
        <v>2308</v>
      </c>
      <c r="I187" s="22" t="s">
        <v>2308</v>
      </c>
      <c r="J187" s="22" t="s">
        <v>2308</v>
      </c>
      <c r="K187" s="22"/>
      <c r="L187" s="22" t="s">
        <v>2308</v>
      </c>
      <c r="M187" s="22" t="s">
        <v>2308</v>
      </c>
      <c r="N187" s="22" t="s">
        <v>2308</v>
      </c>
      <c r="O187" s="22" t="s">
        <v>2308</v>
      </c>
      <c r="P187" s="22" t="s">
        <v>2308</v>
      </c>
      <c r="Q187" s="22" t="s">
        <v>2308</v>
      </c>
      <c r="R187" s="22" t="s">
        <v>2308</v>
      </c>
      <c r="S187" s="22" t="s">
        <v>2308</v>
      </c>
      <c r="T187" s="5" t="s">
        <v>1978</v>
      </c>
    </row>
    <row r="188" spans="1:20" ht="58.5" customHeight="1">
      <c r="A188" s="4" t="s">
        <v>582</v>
      </c>
      <c r="B188" s="20"/>
      <c r="C188" s="12" t="s">
        <v>402</v>
      </c>
      <c r="D188" s="20" t="s">
        <v>136</v>
      </c>
      <c r="E188" s="20" t="s">
        <v>2308</v>
      </c>
      <c r="F188" s="4" t="s">
        <v>2308</v>
      </c>
      <c r="G188" s="4" t="s">
        <v>2308</v>
      </c>
      <c r="H188" s="22" t="s">
        <v>2308</v>
      </c>
      <c r="I188" s="22" t="s">
        <v>2308</v>
      </c>
      <c r="J188" s="22" t="s">
        <v>2308</v>
      </c>
      <c r="K188" s="22"/>
      <c r="L188" s="22" t="s">
        <v>2308</v>
      </c>
      <c r="M188" s="22" t="s">
        <v>2308</v>
      </c>
      <c r="N188" s="22" t="s">
        <v>2308</v>
      </c>
      <c r="O188" s="22" t="s">
        <v>2308</v>
      </c>
      <c r="P188" s="22" t="s">
        <v>2308</v>
      </c>
      <c r="Q188" s="22" t="s">
        <v>2308</v>
      </c>
      <c r="R188" s="22" t="s">
        <v>2308</v>
      </c>
      <c r="S188" s="22" t="s">
        <v>2308</v>
      </c>
      <c r="T188" s="5" t="s">
        <v>1978</v>
      </c>
    </row>
    <row r="189" spans="1:20" ht="58.5" customHeight="1">
      <c r="A189" s="4" t="s">
        <v>583</v>
      </c>
      <c r="B189" s="20"/>
      <c r="C189" s="12" t="s">
        <v>402</v>
      </c>
      <c r="D189" s="20" t="s">
        <v>136</v>
      </c>
      <c r="E189" s="20" t="s">
        <v>2308</v>
      </c>
      <c r="F189" s="4" t="s">
        <v>2308</v>
      </c>
      <c r="G189" s="4" t="s">
        <v>2308</v>
      </c>
      <c r="H189" s="22" t="s">
        <v>2308</v>
      </c>
      <c r="I189" s="22" t="s">
        <v>2308</v>
      </c>
      <c r="J189" s="22" t="s">
        <v>2308</v>
      </c>
      <c r="K189" s="22"/>
      <c r="L189" s="22" t="s">
        <v>2308</v>
      </c>
      <c r="M189" s="22" t="s">
        <v>2308</v>
      </c>
      <c r="N189" s="22" t="s">
        <v>2308</v>
      </c>
      <c r="O189" s="22" t="s">
        <v>2308</v>
      </c>
      <c r="P189" s="22" t="s">
        <v>2308</v>
      </c>
      <c r="Q189" s="22" t="s">
        <v>2308</v>
      </c>
      <c r="R189" s="22" t="s">
        <v>2308</v>
      </c>
      <c r="S189" s="22" t="s">
        <v>2308</v>
      </c>
      <c r="T189" s="5" t="s">
        <v>1977</v>
      </c>
    </row>
    <row r="190" spans="1:20" ht="58.5" customHeight="1">
      <c r="A190" s="4" t="s">
        <v>584</v>
      </c>
      <c r="B190" s="20"/>
      <c r="C190" s="12" t="s">
        <v>402</v>
      </c>
      <c r="D190" s="20" t="s">
        <v>136</v>
      </c>
      <c r="E190" s="20" t="s">
        <v>2308</v>
      </c>
      <c r="F190" s="4" t="s">
        <v>2308</v>
      </c>
      <c r="G190" s="4" t="s">
        <v>2308</v>
      </c>
      <c r="H190" s="22" t="s">
        <v>2308</v>
      </c>
      <c r="I190" s="22" t="s">
        <v>2308</v>
      </c>
      <c r="J190" s="22" t="s">
        <v>2308</v>
      </c>
      <c r="K190" s="22"/>
      <c r="L190" s="22" t="s">
        <v>2308</v>
      </c>
      <c r="M190" s="22" t="s">
        <v>2308</v>
      </c>
      <c r="N190" s="22" t="s">
        <v>2308</v>
      </c>
      <c r="O190" s="22" t="s">
        <v>2308</v>
      </c>
      <c r="P190" s="22" t="s">
        <v>2308</v>
      </c>
      <c r="Q190" s="22" t="s">
        <v>2308</v>
      </c>
      <c r="R190" s="22" t="s">
        <v>2308</v>
      </c>
      <c r="S190" s="22" t="s">
        <v>2308</v>
      </c>
      <c r="T190" s="5" t="s">
        <v>1979</v>
      </c>
    </row>
    <row r="191" spans="1:20" ht="58.5" customHeight="1">
      <c r="A191" s="4" t="s">
        <v>585</v>
      </c>
      <c r="B191" s="20"/>
      <c r="C191" s="12" t="s">
        <v>402</v>
      </c>
      <c r="D191" s="20" t="s">
        <v>136</v>
      </c>
      <c r="E191" s="20" t="s">
        <v>2308</v>
      </c>
      <c r="F191" s="4" t="s">
        <v>2308</v>
      </c>
      <c r="G191" s="4" t="s">
        <v>2308</v>
      </c>
      <c r="H191" s="22" t="s">
        <v>2308</v>
      </c>
      <c r="I191" s="22" t="s">
        <v>2308</v>
      </c>
      <c r="J191" s="22" t="s">
        <v>2308</v>
      </c>
      <c r="K191" s="22"/>
      <c r="L191" s="22" t="s">
        <v>2308</v>
      </c>
      <c r="M191" s="22" t="s">
        <v>2308</v>
      </c>
      <c r="N191" s="22" t="s">
        <v>2308</v>
      </c>
      <c r="O191" s="22" t="s">
        <v>2308</v>
      </c>
      <c r="P191" s="22" t="s">
        <v>2308</v>
      </c>
      <c r="Q191" s="22" t="s">
        <v>2308</v>
      </c>
      <c r="R191" s="22" t="s">
        <v>2308</v>
      </c>
      <c r="S191" s="22" t="s">
        <v>2308</v>
      </c>
      <c r="T191" s="5" t="s">
        <v>1977</v>
      </c>
    </row>
    <row r="192" spans="1:20" ht="58.5" customHeight="1">
      <c r="A192" s="4" t="s">
        <v>586</v>
      </c>
      <c r="B192" s="20"/>
      <c r="C192" s="12" t="s">
        <v>402</v>
      </c>
      <c r="D192" s="20" t="s">
        <v>404</v>
      </c>
      <c r="E192" s="20" t="s">
        <v>136</v>
      </c>
      <c r="F192" s="4" t="s">
        <v>2308</v>
      </c>
      <c r="G192" s="4" t="s">
        <v>2308</v>
      </c>
      <c r="H192" s="22" t="s">
        <v>2308</v>
      </c>
      <c r="I192" s="22" t="s">
        <v>2308</v>
      </c>
      <c r="J192" s="22" t="s">
        <v>2308</v>
      </c>
      <c r="K192" s="22"/>
      <c r="L192" s="22" t="s">
        <v>2308</v>
      </c>
      <c r="M192" s="22" t="s">
        <v>2308</v>
      </c>
      <c r="N192" s="22" t="s">
        <v>2308</v>
      </c>
      <c r="O192" s="22" t="s">
        <v>2308</v>
      </c>
      <c r="P192" s="22" t="s">
        <v>2308</v>
      </c>
      <c r="Q192" s="22" t="s">
        <v>2308</v>
      </c>
      <c r="R192" s="22" t="s">
        <v>2308</v>
      </c>
      <c r="S192" s="22" t="s">
        <v>2308</v>
      </c>
      <c r="T192" s="5" t="s">
        <v>1980</v>
      </c>
    </row>
    <row r="193" spans="1:20" ht="58.5" customHeight="1">
      <c r="A193" s="4" t="s">
        <v>587</v>
      </c>
      <c r="B193" s="20"/>
      <c r="C193" s="12" t="s">
        <v>402</v>
      </c>
      <c r="D193" s="20" t="s">
        <v>404</v>
      </c>
      <c r="E193" s="20" t="s">
        <v>136</v>
      </c>
      <c r="F193" s="4" t="s">
        <v>2308</v>
      </c>
      <c r="G193" s="4" t="s">
        <v>2308</v>
      </c>
      <c r="H193" s="22" t="s">
        <v>2308</v>
      </c>
      <c r="I193" s="22" t="s">
        <v>2308</v>
      </c>
      <c r="J193" s="22" t="s">
        <v>2308</v>
      </c>
      <c r="K193" s="22"/>
      <c r="L193" s="22" t="s">
        <v>2308</v>
      </c>
      <c r="M193" s="22" t="s">
        <v>2308</v>
      </c>
      <c r="N193" s="22" t="s">
        <v>2308</v>
      </c>
      <c r="O193" s="22" t="s">
        <v>2308</v>
      </c>
      <c r="P193" s="22" t="s">
        <v>2308</v>
      </c>
      <c r="Q193" s="22" t="s">
        <v>2308</v>
      </c>
      <c r="R193" s="22" t="s">
        <v>2308</v>
      </c>
      <c r="S193" s="22" t="s">
        <v>2308</v>
      </c>
      <c r="T193" s="5" t="s">
        <v>1978</v>
      </c>
    </row>
    <row r="194" spans="1:20" ht="58.5" customHeight="1">
      <c r="A194" s="4" t="s">
        <v>588</v>
      </c>
      <c r="B194" s="20"/>
      <c r="C194" s="12" t="s">
        <v>402</v>
      </c>
      <c r="D194" s="20" t="s">
        <v>136</v>
      </c>
      <c r="E194" s="20" t="s">
        <v>2308</v>
      </c>
      <c r="F194" s="4" t="s">
        <v>2308</v>
      </c>
      <c r="G194" s="4" t="s">
        <v>2308</v>
      </c>
      <c r="H194" s="22" t="s">
        <v>2308</v>
      </c>
      <c r="I194" s="22" t="s">
        <v>2308</v>
      </c>
      <c r="J194" s="22" t="s">
        <v>2308</v>
      </c>
      <c r="K194" s="22"/>
      <c r="L194" s="22" t="s">
        <v>2308</v>
      </c>
      <c r="M194" s="22" t="s">
        <v>2308</v>
      </c>
      <c r="N194" s="22" t="s">
        <v>2308</v>
      </c>
      <c r="O194" s="22" t="s">
        <v>2308</v>
      </c>
      <c r="P194" s="22" t="s">
        <v>2308</v>
      </c>
      <c r="Q194" s="22" t="s">
        <v>2308</v>
      </c>
      <c r="R194" s="22" t="s">
        <v>2308</v>
      </c>
      <c r="S194" s="22" t="s">
        <v>2308</v>
      </c>
      <c r="T194" s="5" t="s">
        <v>1980</v>
      </c>
    </row>
    <row r="195" spans="1:20" ht="58.5" customHeight="1">
      <c r="A195" s="4" t="s">
        <v>1898</v>
      </c>
      <c r="B195" s="20"/>
      <c r="C195" s="12" t="s">
        <v>402</v>
      </c>
      <c r="D195" s="20" t="s">
        <v>136</v>
      </c>
      <c r="E195" s="20" t="s">
        <v>2308</v>
      </c>
      <c r="F195" s="4" t="s">
        <v>2308</v>
      </c>
      <c r="G195" s="4" t="s">
        <v>2308</v>
      </c>
      <c r="H195" s="22" t="s">
        <v>2308</v>
      </c>
      <c r="I195" s="22" t="s">
        <v>2308</v>
      </c>
      <c r="J195" s="22" t="s">
        <v>2308</v>
      </c>
      <c r="K195" s="22"/>
      <c r="L195" s="22" t="s">
        <v>2308</v>
      </c>
      <c r="M195" s="22" t="s">
        <v>2308</v>
      </c>
      <c r="N195" s="22" t="s">
        <v>2308</v>
      </c>
      <c r="O195" s="22" t="s">
        <v>2308</v>
      </c>
      <c r="P195" s="22" t="s">
        <v>2308</v>
      </c>
      <c r="Q195" s="22" t="s">
        <v>2308</v>
      </c>
      <c r="R195" s="22" t="s">
        <v>2308</v>
      </c>
      <c r="S195" s="22" t="s">
        <v>2308</v>
      </c>
      <c r="T195" s="5" t="s">
        <v>1980</v>
      </c>
    </row>
    <row r="196" spans="1:20" ht="58.5" customHeight="1">
      <c r="A196" s="4" t="s">
        <v>1899</v>
      </c>
      <c r="B196" s="20"/>
      <c r="C196" s="12" t="s">
        <v>402</v>
      </c>
      <c r="D196" s="20" t="s">
        <v>136</v>
      </c>
      <c r="E196" s="20" t="s">
        <v>2308</v>
      </c>
      <c r="F196" s="4" t="s">
        <v>2308</v>
      </c>
      <c r="G196" s="4" t="s">
        <v>2308</v>
      </c>
      <c r="H196" s="22" t="s">
        <v>2308</v>
      </c>
      <c r="I196" s="22" t="s">
        <v>2308</v>
      </c>
      <c r="J196" s="22" t="s">
        <v>2308</v>
      </c>
      <c r="K196" s="22"/>
      <c r="L196" s="22" t="s">
        <v>2308</v>
      </c>
      <c r="M196" s="22" t="s">
        <v>2308</v>
      </c>
      <c r="N196" s="22" t="s">
        <v>2308</v>
      </c>
      <c r="O196" s="22" t="s">
        <v>2308</v>
      </c>
      <c r="P196" s="22" t="s">
        <v>2308</v>
      </c>
      <c r="Q196" s="22" t="s">
        <v>2308</v>
      </c>
      <c r="R196" s="22" t="s">
        <v>2308</v>
      </c>
      <c r="S196" s="22" t="s">
        <v>2308</v>
      </c>
      <c r="T196" s="5" t="s">
        <v>1980</v>
      </c>
    </row>
    <row r="197" spans="1:20" ht="58.5" customHeight="1">
      <c r="A197" s="4" t="s">
        <v>1900</v>
      </c>
      <c r="B197" s="20"/>
      <c r="C197" s="12" t="s">
        <v>402</v>
      </c>
      <c r="D197" s="20" t="s">
        <v>404</v>
      </c>
      <c r="E197" s="20" t="s">
        <v>136</v>
      </c>
      <c r="F197" s="4" t="s">
        <v>2308</v>
      </c>
      <c r="G197" s="4" t="s">
        <v>2308</v>
      </c>
      <c r="H197" s="22" t="s">
        <v>2308</v>
      </c>
      <c r="I197" s="22" t="s">
        <v>2308</v>
      </c>
      <c r="J197" s="22" t="s">
        <v>2308</v>
      </c>
      <c r="K197" s="22"/>
      <c r="L197" s="22" t="s">
        <v>2308</v>
      </c>
      <c r="M197" s="22" t="s">
        <v>2308</v>
      </c>
      <c r="N197" s="22" t="s">
        <v>2308</v>
      </c>
      <c r="O197" s="22" t="s">
        <v>2308</v>
      </c>
      <c r="P197" s="22" t="s">
        <v>2308</v>
      </c>
      <c r="Q197" s="22" t="s">
        <v>2308</v>
      </c>
      <c r="R197" s="22" t="s">
        <v>2308</v>
      </c>
      <c r="S197" s="22" t="s">
        <v>2308</v>
      </c>
      <c r="T197" s="5" t="s">
        <v>1980</v>
      </c>
    </row>
    <row r="198" spans="1:20" ht="58.5" customHeight="1">
      <c r="A198" s="4" t="s">
        <v>1901</v>
      </c>
      <c r="B198" s="20"/>
      <c r="C198" s="12" t="s">
        <v>402</v>
      </c>
      <c r="D198" s="20" t="s">
        <v>136</v>
      </c>
      <c r="E198" s="20" t="s">
        <v>2308</v>
      </c>
      <c r="F198" s="4" t="s">
        <v>2308</v>
      </c>
      <c r="G198" s="4" t="s">
        <v>2308</v>
      </c>
      <c r="H198" s="22" t="s">
        <v>2308</v>
      </c>
      <c r="I198" s="22" t="s">
        <v>2308</v>
      </c>
      <c r="J198" s="22" t="s">
        <v>2308</v>
      </c>
      <c r="K198" s="22"/>
      <c r="L198" s="22" t="s">
        <v>2308</v>
      </c>
      <c r="M198" s="22" t="s">
        <v>2308</v>
      </c>
      <c r="N198" s="22" t="s">
        <v>2308</v>
      </c>
      <c r="O198" s="22" t="s">
        <v>2308</v>
      </c>
      <c r="P198" s="22" t="s">
        <v>2308</v>
      </c>
      <c r="Q198" s="22" t="s">
        <v>2308</v>
      </c>
      <c r="R198" s="22" t="s">
        <v>2308</v>
      </c>
      <c r="S198" s="22" t="s">
        <v>2308</v>
      </c>
      <c r="T198" s="5" t="s">
        <v>1981</v>
      </c>
    </row>
    <row r="199" spans="1:20" ht="58.5" customHeight="1">
      <c r="A199" s="4" t="s">
        <v>1902</v>
      </c>
      <c r="B199" s="20"/>
      <c r="C199" s="12" t="s">
        <v>402</v>
      </c>
      <c r="D199" s="20" t="s">
        <v>136</v>
      </c>
      <c r="E199" s="20" t="s">
        <v>2308</v>
      </c>
      <c r="F199" s="4" t="s">
        <v>2308</v>
      </c>
      <c r="G199" s="4" t="s">
        <v>2308</v>
      </c>
      <c r="H199" s="22" t="s">
        <v>2308</v>
      </c>
      <c r="I199" s="22" t="s">
        <v>2308</v>
      </c>
      <c r="J199" s="22" t="s">
        <v>2308</v>
      </c>
      <c r="K199" s="22"/>
      <c r="L199" s="22" t="s">
        <v>2308</v>
      </c>
      <c r="M199" s="22" t="s">
        <v>2308</v>
      </c>
      <c r="N199" s="22" t="s">
        <v>2308</v>
      </c>
      <c r="O199" s="22" t="s">
        <v>2308</v>
      </c>
      <c r="P199" s="22" t="s">
        <v>2308</v>
      </c>
      <c r="Q199" s="22" t="s">
        <v>2308</v>
      </c>
      <c r="R199" s="22" t="s">
        <v>2308</v>
      </c>
      <c r="S199" s="22" t="s">
        <v>2308</v>
      </c>
      <c r="T199" s="5" t="s">
        <v>1979</v>
      </c>
    </row>
    <row r="200" spans="1:20" ht="58.5" customHeight="1">
      <c r="A200" s="4" t="s">
        <v>1903</v>
      </c>
      <c r="B200" s="20"/>
      <c r="C200" s="12" t="s">
        <v>402</v>
      </c>
      <c r="D200" s="20" t="s">
        <v>136</v>
      </c>
      <c r="E200" s="20" t="s">
        <v>2308</v>
      </c>
      <c r="F200" s="4" t="s">
        <v>2308</v>
      </c>
      <c r="G200" s="4" t="s">
        <v>2308</v>
      </c>
      <c r="H200" s="22" t="s">
        <v>2308</v>
      </c>
      <c r="I200" s="22" t="s">
        <v>2308</v>
      </c>
      <c r="J200" s="22" t="s">
        <v>2308</v>
      </c>
      <c r="K200" s="22"/>
      <c r="L200" s="22" t="s">
        <v>2308</v>
      </c>
      <c r="M200" s="22" t="s">
        <v>2308</v>
      </c>
      <c r="N200" s="22" t="s">
        <v>2308</v>
      </c>
      <c r="O200" s="22" t="s">
        <v>2308</v>
      </c>
      <c r="P200" s="22" t="s">
        <v>2308</v>
      </c>
      <c r="Q200" s="22" t="s">
        <v>2308</v>
      </c>
      <c r="R200" s="22" t="s">
        <v>2308</v>
      </c>
      <c r="S200" s="22" t="s">
        <v>2308</v>
      </c>
      <c r="T200" s="5" t="s">
        <v>1981</v>
      </c>
    </row>
    <row r="201" spans="1:20" ht="58.5" customHeight="1">
      <c r="A201" s="4" t="s">
        <v>1906</v>
      </c>
      <c r="B201" s="20"/>
      <c r="C201" s="12" t="s">
        <v>402</v>
      </c>
      <c r="D201" s="20" t="s">
        <v>136</v>
      </c>
      <c r="E201" s="5" t="s">
        <v>2308</v>
      </c>
      <c r="F201" s="4" t="s">
        <v>2308</v>
      </c>
      <c r="G201" s="4" t="s">
        <v>2308</v>
      </c>
      <c r="H201" s="22" t="s">
        <v>2308</v>
      </c>
      <c r="I201" s="22" t="s">
        <v>2308</v>
      </c>
      <c r="J201" s="22" t="s">
        <v>2308</v>
      </c>
      <c r="K201" s="22"/>
      <c r="L201" s="22" t="s">
        <v>2308</v>
      </c>
      <c r="M201" s="22" t="s">
        <v>2308</v>
      </c>
      <c r="N201" s="22" t="s">
        <v>2308</v>
      </c>
      <c r="O201" s="22" t="s">
        <v>2308</v>
      </c>
      <c r="P201" s="22" t="s">
        <v>2308</v>
      </c>
      <c r="Q201" s="22" t="s">
        <v>2308</v>
      </c>
      <c r="R201" s="22" t="s">
        <v>2308</v>
      </c>
      <c r="S201" s="22" t="s">
        <v>2308</v>
      </c>
      <c r="T201" s="5" t="s">
        <v>1977</v>
      </c>
    </row>
    <row r="202" spans="1:20" ht="58.5" customHeight="1">
      <c r="A202" s="4" t="s">
        <v>1907</v>
      </c>
      <c r="B202" s="20"/>
      <c r="C202" s="12" t="s">
        <v>402</v>
      </c>
      <c r="D202" s="20" t="s">
        <v>404</v>
      </c>
      <c r="E202" s="20" t="s">
        <v>136</v>
      </c>
      <c r="F202" s="4" t="s">
        <v>2308</v>
      </c>
      <c r="G202" s="4" t="s">
        <v>2308</v>
      </c>
      <c r="H202" s="22" t="s">
        <v>2308</v>
      </c>
      <c r="I202" s="22" t="s">
        <v>2308</v>
      </c>
      <c r="J202" s="22" t="s">
        <v>2308</v>
      </c>
      <c r="K202" s="22"/>
      <c r="L202" s="22" t="s">
        <v>2308</v>
      </c>
      <c r="M202" s="22" t="s">
        <v>2308</v>
      </c>
      <c r="N202" s="22" t="s">
        <v>2308</v>
      </c>
      <c r="O202" s="22" t="s">
        <v>2308</v>
      </c>
      <c r="P202" s="22" t="s">
        <v>2308</v>
      </c>
      <c r="Q202" s="22" t="s">
        <v>2308</v>
      </c>
      <c r="R202" s="22" t="s">
        <v>2308</v>
      </c>
      <c r="S202" s="22" t="s">
        <v>2308</v>
      </c>
      <c r="T202" s="5" t="s">
        <v>1977</v>
      </c>
    </row>
    <row r="203" spans="1:20" ht="58.5" customHeight="1">
      <c r="A203" s="4" t="s">
        <v>1904</v>
      </c>
      <c r="B203" s="20"/>
      <c r="C203" s="12" t="s">
        <v>12</v>
      </c>
      <c r="D203" s="20" t="s">
        <v>404</v>
      </c>
      <c r="E203" s="5" t="s">
        <v>2308</v>
      </c>
      <c r="F203" s="4" t="s">
        <v>2308</v>
      </c>
      <c r="G203" s="4" t="s">
        <v>2308</v>
      </c>
      <c r="H203" s="22" t="s">
        <v>2308</v>
      </c>
      <c r="I203" s="22" t="s">
        <v>2308</v>
      </c>
      <c r="J203" s="22" t="s">
        <v>2308</v>
      </c>
      <c r="K203" s="22"/>
      <c r="L203" s="22" t="s">
        <v>2308</v>
      </c>
      <c r="M203" s="22" t="s">
        <v>2308</v>
      </c>
      <c r="N203" s="22" t="s">
        <v>2308</v>
      </c>
      <c r="O203" s="22" t="s">
        <v>2308</v>
      </c>
      <c r="P203" s="22" t="s">
        <v>2308</v>
      </c>
      <c r="Q203" s="22" t="s">
        <v>2308</v>
      </c>
      <c r="R203" s="22" t="s">
        <v>2308</v>
      </c>
      <c r="S203" s="22" t="s">
        <v>2308</v>
      </c>
      <c r="T203" s="5" t="s">
        <v>1979</v>
      </c>
    </row>
    <row r="204" spans="1:20" ht="58.5" customHeight="1">
      <c r="A204" s="4" t="s">
        <v>1905</v>
      </c>
      <c r="B204" s="20"/>
      <c r="C204" s="12" t="s">
        <v>12</v>
      </c>
      <c r="D204" s="20" t="s">
        <v>404</v>
      </c>
      <c r="E204" s="5" t="s">
        <v>2308</v>
      </c>
      <c r="F204" s="4" t="s">
        <v>2308</v>
      </c>
      <c r="G204" s="4" t="s">
        <v>2308</v>
      </c>
      <c r="H204" s="22" t="s">
        <v>2308</v>
      </c>
      <c r="I204" s="22" t="s">
        <v>2308</v>
      </c>
      <c r="J204" s="22" t="s">
        <v>2308</v>
      </c>
      <c r="K204" s="22"/>
      <c r="L204" s="22" t="s">
        <v>2308</v>
      </c>
      <c r="M204" s="22" t="s">
        <v>2308</v>
      </c>
      <c r="N204" s="22" t="s">
        <v>2308</v>
      </c>
      <c r="O204" s="22" t="s">
        <v>2308</v>
      </c>
      <c r="P204" s="22" t="s">
        <v>2308</v>
      </c>
      <c r="Q204" s="22" t="s">
        <v>2308</v>
      </c>
      <c r="R204" s="22" t="s">
        <v>2308</v>
      </c>
      <c r="S204" s="22" t="s">
        <v>2308</v>
      </c>
      <c r="T204" s="5" t="s">
        <v>1979</v>
      </c>
    </row>
    <row r="205" spans="1:20" ht="58.5" customHeight="1">
      <c r="A205" s="4" t="s">
        <v>1908</v>
      </c>
      <c r="B205" s="20"/>
      <c r="C205" s="12" t="s">
        <v>12</v>
      </c>
      <c r="D205" s="20" t="s">
        <v>404</v>
      </c>
      <c r="E205" s="5" t="s">
        <v>2308</v>
      </c>
      <c r="F205" s="4" t="s">
        <v>2308</v>
      </c>
      <c r="G205" s="4" t="s">
        <v>2308</v>
      </c>
      <c r="H205" s="22" t="s">
        <v>2308</v>
      </c>
      <c r="I205" s="22" t="s">
        <v>2308</v>
      </c>
      <c r="J205" s="22" t="s">
        <v>2308</v>
      </c>
      <c r="K205" s="22"/>
      <c r="L205" s="22" t="s">
        <v>2308</v>
      </c>
      <c r="M205" s="22" t="s">
        <v>2308</v>
      </c>
      <c r="N205" s="22" t="s">
        <v>2308</v>
      </c>
      <c r="O205" s="22" t="s">
        <v>2308</v>
      </c>
      <c r="P205" s="22" t="s">
        <v>2308</v>
      </c>
      <c r="Q205" s="22" t="s">
        <v>2308</v>
      </c>
      <c r="R205" s="22" t="s">
        <v>2308</v>
      </c>
      <c r="S205" s="22" t="s">
        <v>2308</v>
      </c>
      <c r="T205" s="5" t="s">
        <v>1977</v>
      </c>
    </row>
    <row r="206" spans="1:20" ht="58.5" customHeight="1">
      <c r="A206" s="4" t="s">
        <v>1909</v>
      </c>
      <c r="B206" s="20"/>
      <c r="C206" s="12" t="s">
        <v>402</v>
      </c>
      <c r="D206" s="20" t="s">
        <v>404</v>
      </c>
      <c r="E206" s="20" t="s">
        <v>136</v>
      </c>
      <c r="F206" s="4" t="s">
        <v>2308</v>
      </c>
      <c r="G206" s="4" t="s">
        <v>2308</v>
      </c>
      <c r="H206" s="22" t="s">
        <v>2308</v>
      </c>
      <c r="I206" s="22" t="s">
        <v>2308</v>
      </c>
      <c r="J206" s="22" t="s">
        <v>2308</v>
      </c>
      <c r="K206" s="22"/>
      <c r="L206" s="22" t="s">
        <v>2308</v>
      </c>
      <c r="M206" s="22" t="s">
        <v>2308</v>
      </c>
      <c r="N206" s="22" t="s">
        <v>2308</v>
      </c>
      <c r="O206" s="22" t="s">
        <v>2308</v>
      </c>
      <c r="P206" s="22" t="s">
        <v>2308</v>
      </c>
      <c r="Q206" s="22" t="s">
        <v>2308</v>
      </c>
      <c r="R206" s="22" t="s">
        <v>2308</v>
      </c>
      <c r="S206" s="22" t="s">
        <v>2308</v>
      </c>
      <c r="T206" s="5" t="s">
        <v>1981</v>
      </c>
    </row>
    <row r="207" spans="1:20" ht="58.5" customHeight="1">
      <c r="A207" s="4" t="s">
        <v>1910</v>
      </c>
      <c r="B207" s="20"/>
      <c r="C207" s="12" t="s">
        <v>402</v>
      </c>
      <c r="D207" s="20" t="s">
        <v>136</v>
      </c>
      <c r="E207" s="5" t="s">
        <v>2308</v>
      </c>
      <c r="F207" s="4" t="s">
        <v>2308</v>
      </c>
      <c r="G207" s="4" t="s">
        <v>2308</v>
      </c>
      <c r="H207" s="22" t="s">
        <v>2308</v>
      </c>
      <c r="I207" s="22" t="s">
        <v>2308</v>
      </c>
      <c r="J207" s="22" t="s">
        <v>2308</v>
      </c>
      <c r="K207" s="22"/>
      <c r="L207" s="22" t="s">
        <v>2308</v>
      </c>
      <c r="M207" s="22" t="s">
        <v>2308</v>
      </c>
      <c r="N207" s="22" t="s">
        <v>2308</v>
      </c>
      <c r="O207" s="22" t="s">
        <v>2308</v>
      </c>
      <c r="P207" s="22" t="s">
        <v>2308</v>
      </c>
      <c r="Q207" s="22" t="s">
        <v>2308</v>
      </c>
      <c r="R207" s="22" t="s">
        <v>2308</v>
      </c>
      <c r="S207" s="22" t="s">
        <v>2308</v>
      </c>
      <c r="T207" s="5" t="s">
        <v>1981</v>
      </c>
    </row>
    <row r="208" spans="1:20" ht="58.5" customHeight="1">
      <c r="A208" s="4" t="s">
        <v>1911</v>
      </c>
      <c r="B208" s="20"/>
      <c r="C208" s="12" t="s">
        <v>402</v>
      </c>
      <c r="D208" s="20" t="s">
        <v>136</v>
      </c>
      <c r="E208" s="5" t="s">
        <v>2308</v>
      </c>
      <c r="F208" s="4" t="s">
        <v>2308</v>
      </c>
      <c r="G208" s="4" t="s">
        <v>2308</v>
      </c>
      <c r="H208" s="22" t="s">
        <v>2308</v>
      </c>
      <c r="I208" s="22" t="s">
        <v>2308</v>
      </c>
      <c r="J208" s="22" t="s">
        <v>2308</v>
      </c>
      <c r="K208" s="22"/>
      <c r="L208" s="22" t="s">
        <v>2308</v>
      </c>
      <c r="M208" s="22" t="s">
        <v>2308</v>
      </c>
      <c r="N208" s="22" t="s">
        <v>2308</v>
      </c>
      <c r="O208" s="22" t="s">
        <v>2308</v>
      </c>
      <c r="P208" s="22" t="s">
        <v>2308</v>
      </c>
      <c r="Q208" s="22" t="s">
        <v>2308</v>
      </c>
      <c r="R208" s="22" t="s">
        <v>2308</v>
      </c>
      <c r="S208" s="22" t="s">
        <v>2308</v>
      </c>
      <c r="T208" s="5" t="s">
        <v>1982</v>
      </c>
    </row>
    <row r="209" spans="1:20" ht="58.5" customHeight="1">
      <c r="A209" s="4" t="s">
        <v>1912</v>
      </c>
      <c r="B209" s="20"/>
      <c r="C209" s="12" t="s">
        <v>402</v>
      </c>
      <c r="D209" s="20" t="s">
        <v>136</v>
      </c>
      <c r="E209" s="5" t="s">
        <v>2308</v>
      </c>
      <c r="F209" s="4" t="s">
        <v>2308</v>
      </c>
      <c r="G209" s="4" t="s">
        <v>2308</v>
      </c>
      <c r="H209" s="22" t="s">
        <v>2308</v>
      </c>
      <c r="I209" s="22" t="s">
        <v>2308</v>
      </c>
      <c r="J209" s="22" t="s">
        <v>2308</v>
      </c>
      <c r="K209" s="22"/>
      <c r="L209" s="22" t="s">
        <v>2308</v>
      </c>
      <c r="M209" s="22" t="s">
        <v>2308</v>
      </c>
      <c r="N209" s="22" t="s">
        <v>2308</v>
      </c>
      <c r="O209" s="22" t="s">
        <v>2308</v>
      </c>
      <c r="P209" s="22" t="s">
        <v>2308</v>
      </c>
      <c r="Q209" s="22" t="s">
        <v>2308</v>
      </c>
      <c r="R209" s="22" t="s">
        <v>2308</v>
      </c>
      <c r="S209" s="22" t="s">
        <v>2308</v>
      </c>
      <c r="T209" s="5" t="s">
        <v>1982</v>
      </c>
    </row>
    <row r="210" spans="1:20" ht="58.5" customHeight="1">
      <c r="A210" s="4" t="s">
        <v>1913</v>
      </c>
      <c r="B210" s="20"/>
      <c r="C210" s="12" t="s">
        <v>402</v>
      </c>
      <c r="D210" s="20" t="s">
        <v>136</v>
      </c>
      <c r="E210" s="5" t="s">
        <v>2308</v>
      </c>
      <c r="F210" s="4" t="s">
        <v>2308</v>
      </c>
      <c r="G210" s="4" t="s">
        <v>2308</v>
      </c>
      <c r="H210" s="22" t="s">
        <v>2308</v>
      </c>
      <c r="I210" s="22" t="s">
        <v>2308</v>
      </c>
      <c r="J210" s="22" t="s">
        <v>2308</v>
      </c>
      <c r="K210" s="22"/>
      <c r="L210" s="22" t="s">
        <v>2308</v>
      </c>
      <c r="M210" s="22" t="s">
        <v>2308</v>
      </c>
      <c r="N210" s="22" t="s">
        <v>2308</v>
      </c>
      <c r="O210" s="22" t="s">
        <v>2308</v>
      </c>
      <c r="P210" s="22" t="s">
        <v>2308</v>
      </c>
      <c r="Q210" s="22" t="s">
        <v>2308</v>
      </c>
      <c r="R210" s="22" t="s">
        <v>2308</v>
      </c>
      <c r="S210" s="22" t="s">
        <v>2308</v>
      </c>
      <c r="T210" s="5" t="s">
        <v>1982</v>
      </c>
    </row>
    <row r="211" spans="1:20" ht="58.5" customHeight="1">
      <c r="A211" s="4" t="s">
        <v>1914</v>
      </c>
      <c r="B211" s="20"/>
      <c r="C211" s="12" t="s">
        <v>12</v>
      </c>
      <c r="D211" s="20" t="s">
        <v>404</v>
      </c>
      <c r="E211" s="5" t="s">
        <v>2308</v>
      </c>
      <c r="F211" s="4" t="s">
        <v>2308</v>
      </c>
      <c r="G211" s="4" t="s">
        <v>2308</v>
      </c>
      <c r="H211" s="22" t="s">
        <v>2308</v>
      </c>
      <c r="I211" s="22" t="s">
        <v>2308</v>
      </c>
      <c r="J211" s="22" t="s">
        <v>2308</v>
      </c>
      <c r="K211" s="22"/>
      <c r="L211" s="22" t="s">
        <v>2308</v>
      </c>
      <c r="M211" s="22" t="s">
        <v>2308</v>
      </c>
      <c r="N211" s="22" t="s">
        <v>2308</v>
      </c>
      <c r="O211" s="22" t="s">
        <v>2308</v>
      </c>
      <c r="P211" s="22" t="s">
        <v>2308</v>
      </c>
      <c r="Q211" s="22" t="s">
        <v>2308</v>
      </c>
      <c r="R211" s="22" t="s">
        <v>2308</v>
      </c>
      <c r="S211" s="22" t="s">
        <v>2308</v>
      </c>
      <c r="T211" s="5" t="s">
        <v>1977</v>
      </c>
    </row>
    <row r="212" spans="1:20" ht="58.5" customHeight="1">
      <c r="A212" s="4" t="s">
        <v>1915</v>
      </c>
      <c r="B212" s="20"/>
      <c r="C212" s="12" t="s">
        <v>402</v>
      </c>
      <c r="D212" s="20" t="s">
        <v>404</v>
      </c>
      <c r="E212" s="20" t="s">
        <v>136</v>
      </c>
      <c r="F212" s="4" t="s">
        <v>2308</v>
      </c>
      <c r="G212" s="4" t="s">
        <v>2308</v>
      </c>
      <c r="H212" s="22" t="s">
        <v>2308</v>
      </c>
      <c r="I212" s="22" t="s">
        <v>2308</v>
      </c>
      <c r="J212" s="22" t="s">
        <v>2308</v>
      </c>
      <c r="K212" s="22"/>
      <c r="L212" s="22" t="s">
        <v>2308</v>
      </c>
      <c r="M212" s="22" t="s">
        <v>2308</v>
      </c>
      <c r="N212" s="22" t="s">
        <v>2308</v>
      </c>
      <c r="O212" s="22" t="s">
        <v>2308</v>
      </c>
      <c r="P212" s="22" t="s">
        <v>2308</v>
      </c>
      <c r="Q212" s="22" t="s">
        <v>2308</v>
      </c>
      <c r="R212" s="22" t="s">
        <v>2308</v>
      </c>
      <c r="S212" s="22" t="s">
        <v>2308</v>
      </c>
      <c r="T212" s="5" t="s">
        <v>1977</v>
      </c>
    </row>
    <row r="213" spans="1:20" ht="58.5" customHeight="1">
      <c r="A213" s="4" t="s">
        <v>1916</v>
      </c>
      <c r="B213" s="20"/>
      <c r="C213" s="12" t="s">
        <v>12</v>
      </c>
      <c r="D213" s="20" t="s">
        <v>404</v>
      </c>
      <c r="E213" s="5" t="s">
        <v>2308</v>
      </c>
      <c r="F213" s="4" t="s">
        <v>2308</v>
      </c>
      <c r="G213" s="4" t="s">
        <v>2308</v>
      </c>
      <c r="H213" s="22" t="s">
        <v>2308</v>
      </c>
      <c r="I213" s="22" t="s">
        <v>2308</v>
      </c>
      <c r="J213" s="22" t="s">
        <v>2308</v>
      </c>
      <c r="K213" s="22"/>
      <c r="L213" s="22" t="s">
        <v>2308</v>
      </c>
      <c r="M213" s="22" t="s">
        <v>2308</v>
      </c>
      <c r="N213" s="22" t="s">
        <v>2308</v>
      </c>
      <c r="O213" s="22" t="s">
        <v>2308</v>
      </c>
      <c r="P213" s="22" t="s">
        <v>2308</v>
      </c>
      <c r="Q213" s="22" t="s">
        <v>2308</v>
      </c>
      <c r="R213" s="22" t="s">
        <v>2308</v>
      </c>
      <c r="S213" s="22" t="s">
        <v>2308</v>
      </c>
      <c r="T213" s="5" t="s">
        <v>1977</v>
      </c>
    </row>
    <row r="214" spans="1:20" ht="58.5" customHeight="1">
      <c r="A214" s="4" t="s">
        <v>1917</v>
      </c>
      <c r="B214" s="20"/>
      <c r="C214" s="12" t="s">
        <v>12</v>
      </c>
      <c r="D214" s="20" t="s">
        <v>404</v>
      </c>
      <c r="E214" s="5" t="s">
        <v>2308</v>
      </c>
      <c r="F214" s="4" t="s">
        <v>2308</v>
      </c>
      <c r="G214" s="4" t="s">
        <v>2308</v>
      </c>
      <c r="H214" s="22" t="s">
        <v>2308</v>
      </c>
      <c r="I214" s="22" t="s">
        <v>2308</v>
      </c>
      <c r="J214" s="22" t="s">
        <v>2308</v>
      </c>
      <c r="K214" s="22"/>
      <c r="L214" s="22" t="s">
        <v>2308</v>
      </c>
      <c r="M214" s="22" t="s">
        <v>2308</v>
      </c>
      <c r="N214" s="22" t="s">
        <v>2308</v>
      </c>
      <c r="O214" s="22" t="s">
        <v>2308</v>
      </c>
      <c r="P214" s="22" t="s">
        <v>2308</v>
      </c>
      <c r="Q214" s="22" t="s">
        <v>2308</v>
      </c>
      <c r="R214" s="22" t="s">
        <v>2308</v>
      </c>
      <c r="S214" s="22" t="s">
        <v>2308</v>
      </c>
      <c r="T214" s="5" t="s">
        <v>1977</v>
      </c>
    </row>
    <row r="215" spans="1:20" ht="58.5" customHeight="1">
      <c r="A215" s="4" t="s">
        <v>1918</v>
      </c>
      <c r="B215" s="20"/>
      <c r="C215" s="12" t="s">
        <v>12</v>
      </c>
      <c r="D215" s="20" t="s">
        <v>404</v>
      </c>
      <c r="E215" s="5" t="s">
        <v>2308</v>
      </c>
      <c r="F215" s="4" t="s">
        <v>2308</v>
      </c>
      <c r="G215" s="4" t="s">
        <v>2308</v>
      </c>
      <c r="H215" s="22" t="s">
        <v>2308</v>
      </c>
      <c r="I215" s="22" t="s">
        <v>2308</v>
      </c>
      <c r="J215" s="22" t="s">
        <v>2308</v>
      </c>
      <c r="K215" s="22"/>
      <c r="L215" s="22" t="s">
        <v>2308</v>
      </c>
      <c r="M215" s="22" t="s">
        <v>2308</v>
      </c>
      <c r="N215" s="22" t="s">
        <v>2308</v>
      </c>
      <c r="O215" s="22" t="s">
        <v>2308</v>
      </c>
      <c r="P215" s="22" t="s">
        <v>2308</v>
      </c>
      <c r="Q215" s="22" t="s">
        <v>2308</v>
      </c>
      <c r="R215" s="22" t="s">
        <v>2308</v>
      </c>
      <c r="S215" s="22" t="s">
        <v>2308</v>
      </c>
      <c r="T215" s="5" t="s">
        <v>1977</v>
      </c>
    </row>
    <row r="216" spans="1:20" ht="58.5" customHeight="1">
      <c r="A216" s="4" t="s">
        <v>1919</v>
      </c>
      <c r="B216" s="20"/>
      <c r="C216" s="12" t="s">
        <v>402</v>
      </c>
      <c r="D216" s="5" t="s">
        <v>136</v>
      </c>
      <c r="E216" s="5" t="s">
        <v>2308</v>
      </c>
      <c r="F216" s="4" t="s">
        <v>2308</v>
      </c>
      <c r="G216" s="4" t="s">
        <v>2308</v>
      </c>
      <c r="H216" s="22" t="s">
        <v>2308</v>
      </c>
      <c r="I216" s="22" t="s">
        <v>2308</v>
      </c>
      <c r="J216" s="22" t="s">
        <v>2308</v>
      </c>
      <c r="K216" s="22"/>
      <c r="L216" s="22" t="s">
        <v>2308</v>
      </c>
      <c r="M216" s="22" t="s">
        <v>2308</v>
      </c>
      <c r="N216" s="22" t="s">
        <v>2308</v>
      </c>
      <c r="O216" s="22" t="s">
        <v>2308</v>
      </c>
      <c r="P216" s="22" t="s">
        <v>2308</v>
      </c>
      <c r="Q216" s="22" t="s">
        <v>2308</v>
      </c>
      <c r="R216" s="22" t="s">
        <v>2308</v>
      </c>
      <c r="S216" s="22" t="s">
        <v>2308</v>
      </c>
      <c r="T216" s="5" t="s">
        <v>1977</v>
      </c>
    </row>
    <row r="217" spans="1:20" ht="58.5" customHeight="1">
      <c r="A217" s="4" t="s">
        <v>1920</v>
      </c>
      <c r="B217" s="20"/>
      <c r="C217" s="12" t="s">
        <v>402</v>
      </c>
      <c r="D217" s="20" t="s">
        <v>404</v>
      </c>
      <c r="E217" s="20" t="s">
        <v>136</v>
      </c>
      <c r="F217" s="4" t="s">
        <v>2308</v>
      </c>
      <c r="G217" s="4" t="s">
        <v>2308</v>
      </c>
      <c r="H217" s="22" t="s">
        <v>2308</v>
      </c>
      <c r="I217" s="22" t="s">
        <v>2308</v>
      </c>
      <c r="J217" s="22" t="s">
        <v>2308</v>
      </c>
      <c r="K217" s="22"/>
      <c r="L217" s="22" t="s">
        <v>2308</v>
      </c>
      <c r="M217" s="22" t="s">
        <v>2308</v>
      </c>
      <c r="N217" s="22" t="s">
        <v>2308</v>
      </c>
      <c r="O217" s="22" t="s">
        <v>2308</v>
      </c>
      <c r="P217" s="22" t="s">
        <v>2308</v>
      </c>
      <c r="Q217" s="22" t="s">
        <v>2308</v>
      </c>
      <c r="R217" s="22" t="s">
        <v>2308</v>
      </c>
      <c r="S217" s="22" t="s">
        <v>2308</v>
      </c>
      <c r="T217" s="5" t="s">
        <v>1977</v>
      </c>
    </row>
    <row r="218" spans="1:20" ht="58.5" customHeight="1">
      <c r="A218" s="4" t="s">
        <v>1921</v>
      </c>
      <c r="B218" s="20"/>
      <c r="C218" s="12" t="s">
        <v>402</v>
      </c>
      <c r="D218" s="20" t="s">
        <v>404</v>
      </c>
      <c r="E218" s="20" t="s">
        <v>136</v>
      </c>
      <c r="F218" s="4" t="s">
        <v>2308</v>
      </c>
      <c r="G218" s="4" t="s">
        <v>2308</v>
      </c>
      <c r="H218" s="22" t="s">
        <v>2308</v>
      </c>
      <c r="I218" s="22" t="s">
        <v>2308</v>
      </c>
      <c r="J218" s="22" t="s">
        <v>2308</v>
      </c>
      <c r="K218" s="22"/>
      <c r="L218" s="22" t="s">
        <v>2308</v>
      </c>
      <c r="M218" s="22" t="s">
        <v>2308</v>
      </c>
      <c r="N218" s="22" t="s">
        <v>2308</v>
      </c>
      <c r="O218" s="22" t="s">
        <v>2308</v>
      </c>
      <c r="P218" s="22" t="s">
        <v>2308</v>
      </c>
      <c r="Q218" s="22" t="s">
        <v>2308</v>
      </c>
      <c r="R218" s="22" t="s">
        <v>2308</v>
      </c>
      <c r="S218" s="22" t="s">
        <v>2308</v>
      </c>
      <c r="T218" s="5" t="s">
        <v>1977</v>
      </c>
    </row>
    <row r="219" spans="1:20" ht="58.5" customHeight="1">
      <c r="A219" s="4" t="s">
        <v>1922</v>
      </c>
      <c r="B219" s="20"/>
      <c r="C219" s="12" t="s">
        <v>12</v>
      </c>
      <c r="D219" s="20" t="s">
        <v>404</v>
      </c>
      <c r="E219" s="5" t="s">
        <v>2308</v>
      </c>
      <c r="F219" s="4" t="s">
        <v>2308</v>
      </c>
      <c r="G219" s="4" t="s">
        <v>2308</v>
      </c>
      <c r="H219" s="22" t="s">
        <v>2308</v>
      </c>
      <c r="I219" s="22" t="s">
        <v>2308</v>
      </c>
      <c r="J219" s="22" t="s">
        <v>2308</v>
      </c>
      <c r="K219" s="22"/>
      <c r="L219" s="22" t="s">
        <v>2308</v>
      </c>
      <c r="M219" s="22" t="s">
        <v>2308</v>
      </c>
      <c r="N219" s="22" t="s">
        <v>2308</v>
      </c>
      <c r="O219" s="22" t="s">
        <v>2308</v>
      </c>
      <c r="P219" s="22" t="s">
        <v>2308</v>
      </c>
      <c r="Q219" s="22" t="s">
        <v>2308</v>
      </c>
      <c r="R219" s="22" t="s">
        <v>2308</v>
      </c>
      <c r="S219" s="22" t="s">
        <v>2308</v>
      </c>
      <c r="T219" s="5" t="s">
        <v>1977</v>
      </c>
    </row>
    <row r="220" spans="1:20" ht="58.5" customHeight="1">
      <c r="A220" s="4" t="s">
        <v>1923</v>
      </c>
      <c r="B220" s="20"/>
      <c r="C220" s="12" t="s">
        <v>12</v>
      </c>
      <c r="D220" s="20" t="s">
        <v>404</v>
      </c>
      <c r="E220" s="5" t="s">
        <v>2308</v>
      </c>
      <c r="F220" s="4" t="s">
        <v>2308</v>
      </c>
      <c r="G220" s="4" t="s">
        <v>2308</v>
      </c>
      <c r="H220" s="22" t="s">
        <v>2308</v>
      </c>
      <c r="I220" s="22" t="s">
        <v>2308</v>
      </c>
      <c r="J220" s="22" t="s">
        <v>2308</v>
      </c>
      <c r="K220" s="22"/>
      <c r="L220" s="22" t="s">
        <v>2308</v>
      </c>
      <c r="M220" s="22" t="s">
        <v>2308</v>
      </c>
      <c r="N220" s="22" t="s">
        <v>2308</v>
      </c>
      <c r="O220" s="22" t="s">
        <v>2308</v>
      </c>
      <c r="P220" s="22" t="s">
        <v>2308</v>
      </c>
      <c r="Q220" s="22" t="s">
        <v>2308</v>
      </c>
      <c r="R220" s="22" t="s">
        <v>2308</v>
      </c>
      <c r="S220" s="22" t="s">
        <v>2308</v>
      </c>
      <c r="T220" s="5" t="s">
        <v>1979</v>
      </c>
    </row>
    <row r="221" spans="1:20" ht="58.5" customHeight="1">
      <c r="A221" s="4" t="s">
        <v>1925</v>
      </c>
      <c r="B221" s="20"/>
      <c r="C221" s="12" t="s">
        <v>402</v>
      </c>
      <c r="D221" s="20" t="s">
        <v>136</v>
      </c>
      <c r="E221" s="5" t="s">
        <v>2308</v>
      </c>
      <c r="F221" s="4" t="s">
        <v>2308</v>
      </c>
      <c r="G221" s="4" t="s">
        <v>2308</v>
      </c>
      <c r="H221" s="22" t="s">
        <v>2308</v>
      </c>
      <c r="I221" s="22" t="s">
        <v>2308</v>
      </c>
      <c r="J221" s="22" t="s">
        <v>2308</v>
      </c>
      <c r="K221" s="22"/>
      <c r="L221" s="22" t="s">
        <v>2308</v>
      </c>
      <c r="M221" s="22" t="s">
        <v>2308</v>
      </c>
      <c r="N221" s="22" t="s">
        <v>2308</v>
      </c>
      <c r="O221" s="22" t="s">
        <v>2308</v>
      </c>
      <c r="P221" s="22" t="s">
        <v>2308</v>
      </c>
      <c r="Q221" s="22" t="s">
        <v>2308</v>
      </c>
      <c r="R221" s="22" t="s">
        <v>2308</v>
      </c>
      <c r="S221" s="22" t="s">
        <v>2308</v>
      </c>
      <c r="T221" s="5" t="s">
        <v>1980</v>
      </c>
    </row>
    <row r="222" spans="1:20" ht="58.5" customHeight="1">
      <c r="A222" s="4" t="s">
        <v>1924</v>
      </c>
      <c r="B222" s="20"/>
      <c r="C222" s="12" t="s">
        <v>12</v>
      </c>
      <c r="D222" s="20" t="s">
        <v>404</v>
      </c>
      <c r="E222" s="5" t="s">
        <v>2308</v>
      </c>
      <c r="F222" s="4" t="s">
        <v>2308</v>
      </c>
      <c r="G222" s="4" t="s">
        <v>2308</v>
      </c>
      <c r="H222" s="22" t="s">
        <v>2308</v>
      </c>
      <c r="I222" s="22" t="s">
        <v>2308</v>
      </c>
      <c r="J222" s="22" t="s">
        <v>2308</v>
      </c>
      <c r="K222" s="22"/>
      <c r="L222" s="22" t="s">
        <v>2308</v>
      </c>
      <c r="M222" s="22" t="s">
        <v>2308</v>
      </c>
      <c r="N222" s="22" t="s">
        <v>2308</v>
      </c>
      <c r="O222" s="22" t="s">
        <v>2308</v>
      </c>
      <c r="P222" s="22" t="s">
        <v>2308</v>
      </c>
      <c r="Q222" s="22" t="s">
        <v>2308</v>
      </c>
      <c r="R222" s="22" t="s">
        <v>2308</v>
      </c>
      <c r="S222" s="22" t="s">
        <v>2308</v>
      </c>
      <c r="T222" s="5" t="s">
        <v>1977</v>
      </c>
    </row>
    <row r="223" spans="1:20" ht="58.5" customHeight="1">
      <c r="A223" s="4" t="s">
        <v>1926</v>
      </c>
      <c r="B223" s="20"/>
      <c r="C223" s="12" t="s">
        <v>12</v>
      </c>
      <c r="D223" s="20" t="s">
        <v>404</v>
      </c>
      <c r="E223" s="5" t="s">
        <v>2308</v>
      </c>
      <c r="F223" s="4" t="s">
        <v>2308</v>
      </c>
      <c r="G223" s="4" t="s">
        <v>2308</v>
      </c>
      <c r="H223" s="22" t="s">
        <v>2308</v>
      </c>
      <c r="I223" s="22" t="s">
        <v>2308</v>
      </c>
      <c r="J223" s="22" t="s">
        <v>2308</v>
      </c>
      <c r="K223" s="22"/>
      <c r="L223" s="22" t="s">
        <v>2308</v>
      </c>
      <c r="M223" s="22" t="s">
        <v>2308</v>
      </c>
      <c r="N223" s="22" t="s">
        <v>2308</v>
      </c>
      <c r="O223" s="22" t="s">
        <v>2308</v>
      </c>
      <c r="P223" s="22" t="s">
        <v>2308</v>
      </c>
      <c r="Q223" s="22" t="s">
        <v>2308</v>
      </c>
      <c r="R223" s="22" t="s">
        <v>2308</v>
      </c>
      <c r="S223" s="22" t="s">
        <v>2308</v>
      </c>
      <c r="T223" s="5" t="s">
        <v>1977</v>
      </c>
    </row>
    <row r="224" spans="1:20" ht="58.5" customHeight="1">
      <c r="A224" s="4" t="s">
        <v>1927</v>
      </c>
      <c r="B224" s="20"/>
      <c r="C224" s="12" t="s">
        <v>12</v>
      </c>
      <c r="D224" s="20" t="s">
        <v>404</v>
      </c>
      <c r="E224" s="5" t="s">
        <v>2308</v>
      </c>
      <c r="F224" s="4" t="s">
        <v>2308</v>
      </c>
      <c r="G224" s="4" t="s">
        <v>2308</v>
      </c>
      <c r="H224" s="22" t="s">
        <v>2308</v>
      </c>
      <c r="I224" s="22" t="s">
        <v>2308</v>
      </c>
      <c r="J224" s="22" t="s">
        <v>2308</v>
      </c>
      <c r="K224" s="22"/>
      <c r="L224" s="22" t="s">
        <v>2308</v>
      </c>
      <c r="M224" s="22" t="s">
        <v>2308</v>
      </c>
      <c r="N224" s="22" t="s">
        <v>2308</v>
      </c>
      <c r="O224" s="22" t="s">
        <v>2308</v>
      </c>
      <c r="P224" s="22" t="s">
        <v>2308</v>
      </c>
      <c r="Q224" s="22" t="s">
        <v>2308</v>
      </c>
      <c r="R224" s="22" t="s">
        <v>2308</v>
      </c>
      <c r="S224" s="22" t="s">
        <v>2308</v>
      </c>
      <c r="T224" s="5" t="s">
        <v>1979</v>
      </c>
    </row>
    <row r="225" spans="1:20" ht="58.5" customHeight="1">
      <c r="A225" s="4" t="s">
        <v>1928</v>
      </c>
      <c r="B225" s="20"/>
      <c r="C225" s="12" t="s">
        <v>402</v>
      </c>
      <c r="D225" s="20" t="s">
        <v>136</v>
      </c>
      <c r="E225" s="5" t="s">
        <v>2308</v>
      </c>
      <c r="F225" s="4" t="s">
        <v>2308</v>
      </c>
      <c r="G225" s="4" t="s">
        <v>2308</v>
      </c>
      <c r="H225" s="22" t="s">
        <v>2308</v>
      </c>
      <c r="I225" s="22" t="s">
        <v>2308</v>
      </c>
      <c r="J225" s="22" t="s">
        <v>2308</v>
      </c>
      <c r="K225" s="22"/>
      <c r="L225" s="22" t="s">
        <v>2308</v>
      </c>
      <c r="M225" s="22" t="s">
        <v>2308</v>
      </c>
      <c r="N225" s="22" t="s">
        <v>2308</v>
      </c>
      <c r="O225" s="22" t="s">
        <v>2308</v>
      </c>
      <c r="P225" s="22" t="s">
        <v>2308</v>
      </c>
      <c r="Q225" s="22" t="s">
        <v>2308</v>
      </c>
      <c r="R225" s="22" t="s">
        <v>2308</v>
      </c>
      <c r="S225" s="22" t="s">
        <v>2308</v>
      </c>
      <c r="T225" s="5" t="s">
        <v>1981</v>
      </c>
    </row>
    <row r="226" spans="1:20" ht="58.5" customHeight="1">
      <c r="A226" s="4" t="s">
        <v>1929</v>
      </c>
      <c r="B226" s="20"/>
      <c r="C226" s="12" t="s">
        <v>402</v>
      </c>
      <c r="D226" s="20" t="s">
        <v>136</v>
      </c>
      <c r="E226" s="5" t="s">
        <v>2308</v>
      </c>
      <c r="F226" s="4" t="s">
        <v>2308</v>
      </c>
      <c r="G226" s="4" t="s">
        <v>2308</v>
      </c>
      <c r="H226" s="22" t="s">
        <v>2308</v>
      </c>
      <c r="I226" s="22" t="s">
        <v>2308</v>
      </c>
      <c r="J226" s="22" t="s">
        <v>2308</v>
      </c>
      <c r="K226" s="22"/>
      <c r="L226" s="22" t="s">
        <v>2308</v>
      </c>
      <c r="M226" s="22" t="s">
        <v>2308</v>
      </c>
      <c r="N226" s="22" t="s">
        <v>2308</v>
      </c>
      <c r="O226" s="22" t="s">
        <v>2308</v>
      </c>
      <c r="P226" s="22" t="s">
        <v>2308</v>
      </c>
      <c r="Q226" s="22" t="s">
        <v>2308</v>
      </c>
      <c r="R226" s="22" t="s">
        <v>2308</v>
      </c>
      <c r="S226" s="22" t="s">
        <v>2308</v>
      </c>
      <c r="T226" s="5" t="s">
        <v>1981</v>
      </c>
    </row>
    <row r="227" spans="1:20" ht="58.5" customHeight="1">
      <c r="A227" s="4" t="s">
        <v>1930</v>
      </c>
      <c r="B227" s="20"/>
      <c r="C227" s="12" t="s">
        <v>402</v>
      </c>
      <c r="D227" s="20" t="s">
        <v>136</v>
      </c>
      <c r="E227" s="5" t="s">
        <v>2308</v>
      </c>
      <c r="F227" s="4" t="s">
        <v>2308</v>
      </c>
      <c r="G227" s="4" t="s">
        <v>2308</v>
      </c>
      <c r="H227" s="22" t="s">
        <v>2308</v>
      </c>
      <c r="I227" s="22" t="s">
        <v>2308</v>
      </c>
      <c r="J227" s="22" t="s">
        <v>2308</v>
      </c>
      <c r="K227" s="22"/>
      <c r="L227" s="22" t="s">
        <v>2308</v>
      </c>
      <c r="M227" s="22" t="s">
        <v>2308</v>
      </c>
      <c r="N227" s="22" t="s">
        <v>2308</v>
      </c>
      <c r="O227" s="22" t="s">
        <v>2308</v>
      </c>
      <c r="P227" s="22" t="s">
        <v>2308</v>
      </c>
      <c r="Q227" s="22" t="s">
        <v>2308</v>
      </c>
      <c r="R227" s="22" t="s">
        <v>2308</v>
      </c>
      <c r="S227" s="22" t="s">
        <v>2308</v>
      </c>
      <c r="T227" s="5" t="s">
        <v>1982</v>
      </c>
    </row>
    <row r="228" spans="1:20" ht="58.5" customHeight="1">
      <c r="A228" s="4" t="s">
        <v>1931</v>
      </c>
      <c r="B228" s="20"/>
      <c r="C228" s="12" t="s">
        <v>402</v>
      </c>
      <c r="D228" s="20" t="s">
        <v>136</v>
      </c>
      <c r="E228" s="5" t="s">
        <v>2308</v>
      </c>
      <c r="F228" s="4" t="s">
        <v>2308</v>
      </c>
      <c r="G228" s="4" t="s">
        <v>2308</v>
      </c>
      <c r="H228" s="22" t="s">
        <v>2308</v>
      </c>
      <c r="I228" s="22" t="s">
        <v>2308</v>
      </c>
      <c r="J228" s="22" t="s">
        <v>2308</v>
      </c>
      <c r="K228" s="22"/>
      <c r="L228" s="22" t="s">
        <v>2308</v>
      </c>
      <c r="M228" s="22" t="s">
        <v>2308</v>
      </c>
      <c r="N228" s="22" t="s">
        <v>2308</v>
      </c>
      <c r="O228" s="22" t="s">
        <v>2308</v>
      </c>
      <c r="P228" s="22" t="s">
        <v>2308</v>
      </c>
      <c r="Q228" s="22" t="s">
        <v>2308</v>
      </c>
      <c r="R228" s="22" t="s">
        <v>2308</v>
      </c>
      <c r="S228" s="22" t="s">
        <v>2308</v>
      </c>
      <c r="T228" s="5" t="s">
        <v>1977</v>
      </c>
    </row>
    <row r="229" spans="1:20" ht="58.5" customHeight="1">
      <c r="A229" s="4" t="s">
        <v>1932</v>
      </c>
      <c r="B229" s="20"/>
      <c r="C229" s="12" t="s">
        <v>402</v>
      </c>
      <c r="D229" s="20" t="s">
        <v>136</v>
      </c>
      <c r="E229" s="5" t="s">
        <v>2308</v>
      </c>
      <c r="F229" s="4" t="s">
        <v>2308</v>
      </c>
      <c r="G229" s="4" t="s">
        <v>2308</v>
      </c>
      <c r="H229" s="22" t="s">
        <v>2308</v>
      </c>
      <c r="I229" s="22" t="s">
        <v>2308</v>
      </c>
      <c r="J229" s="22" t="s">
        <v>2308</v>
      </c>
      <c r="K229" s="22"/>
      <c r="L229" s="22" t="s">
        <v>2308</v>
      </c>
      <c r="M229" s="22" t="s">
        <v>2308</v>
      </c>
      <c r="N229" s="22" t="s">
        <v>2308</v>
      </c>
      <c r="O229" s="22" t="s">
        <v>2308</v>
      </c>
      <c r="P229" s="22" t="s">
        <v>2308</v>
      </c>
      <c r="Q229" s="22" t="s">
        <v>2308</v>
      </c>
      <c r="R229" s="22" t="s">
        <v>2308</v>
      </c>
      <c r="S229" s="22" t="s">
        <v>2308</v>
      </c>
      <c r="T229" s="5" t="s">
        <v>1980</v>
      </c>
    </row>
    <row r="230" spans="1:20" ht="58.5" customHeight="1">
      <c r="A230" s="4" t="s">
        <v>1933</v>
      </c>
      <c r="B230" s="20"/>
      <c r="C230" s="12" t="s">
        <v>402</v>
      </c>
      <c r="D230" s="20" t="s">
        <v>136</v>
      </c>
      <c r="E230" s="5" t="s">
        <v>2308</v>
      </c>
      <c r="F230" s="4" t="s">
        <v>2308</v>
      </c>
      <c r="G230" s="4" t="s">
        <v>2308</v>
      </c>
      <c r="H230" s="22" t="s">
        <v>2308</v>
      </c>
      <c r="I230" s="22" t="s">
        <v>2308</v>
      </c>
      <c r="J230" s="22" t="s">
        <v>2308</v>
      </c>
      <c r="K230" s="22"/>
      <c r="L230" s="22" t="s">
        <v>2308</v>
      </c>
      <c r="M230" s="22" t="s">
        <v>2308</v>
      </c>
      <c r="N230" s="22" t="s">
        <v>2308</v>
      </c>
      <c r="O230" s="22" t="s">
        <v>2308</v>
      </c>
      <c r="P230" s="22" t="s">
        <v>2308</v>
      </c>
      <c r="Q230" s="22" t="s">
        <v>2308</v>
      </c>
      <c r="R230" s="22" t="s">
        <v>2308</v>
      </c>
      <c r="S230" s="22" t="s">
        <v>2308</v>
      </c>
      <c r="T230" s="5" t="s">
        <v>1977</v>
      </c>
    </row>
    <row r="231" spans="1:20" ht="58.5" customHeight="1">
      <c r="A231" s="4" t="s">
        <v>1934</v>
      </c>
      <c r="B231" s="20"/>
      <c r="C231" s="12" t="s">
        <v>12</v>
      </c>
      <c r="D231" s="20" t="s">
        <v>404</v>
      </c>
      <c r="E231" s="5" t="s">
        <v>2308</v>
      </c>
      <c r="F231" s="4" t="s">
        <v>2308</v>
      </c>
      <c r="G231" s="4" t="s">
        <v>2308</v>
      </c>
      <c r="H231" s="22" t="s">
        <v>2308</v>
      </c>
      <c r="I231" s="22" t="s">
        <v>2308</v>
      </c>
      <c r="J231" s="22" t="s">
        <v>2308</v>
      </c>
      <c r="K231" s="22"/>
      <c r="L231" s="22" t="s">
        <v>2308</v>
      </c>
      <c r="M231" s="22" t="s">
        <v>2308</v>
      </c>
      <c r="N231" s="22" t="s">
        <v>2308</v>
      </c>
      <c r="O231" s="22" t="s">
        <v>2308</v>
      </c>
      <c r="P231" s="22" t="s">
        <v>2308</v>
      </c>
      <c r="Q231" s="22" t="s">
        <v>2308</v>
      </c>
      <c r="R231" s="22" t="s">
        <v>2308</v>
      </c>
      <c r="S231" s="22" t="s">
        <v>2308</v>
      </c>
      <c r="T231" s="5" t="s">
        <v>1979</v>
      </c>
    </row>
    <row r="232" spans="1:20" ht="43.5" customHeight="1">
      <c r="A232" s="4" t="s">
        <v>597</v>
      </c>
      <c r="B232" s="12" t="s">
        <v>69</v>
      </c>
      <c r="C232" s="12" t="s">
        <v>12</v>
      </c>
      <c r="D232" s="12" t="s">
        <v>136</v>
      </c>
      <c r="E232" s="4" t="s">
        <v>2682</v>
      </c>
      <c r="F232" s="4" t="s">
        <v>143</v>
      </c>
      <c r="G232" s="4" t="s">
        <v>2308</v>
      </c>
      <c r="H232" s="22" t="s">
        <v>2308</v>
      </c>
      <c r="I232" s="22" t="s">
        <v>2308</v>
      </c>
      <c r="J232" s="22" t="s">
        <v>2308</v>
      </c>
      <c r="K232" s="22"/>
      <c r="L232" s="22" t="s">
        <v>2308</v>
      </c>
      <c r="M232" s="22" t="s">
        <v>2308</v>
      </c>
      <c r="N232" s="22" t="s">
        <v>2308</v>
      </c>
      <c r="O232" s="22" t="s">
        <v>2308</v>
      </c>
      <c r="P232" s="22" t="s">
        <v>2308</v>
      </c>
      <c r="Q232" s="22" t="s">
        <v>2308</v>
      </c>
      <c r="R232" s="22" t="s">
        <v>2308</v>
      </c>
      <c r="S232" s="22" t="s">
        <v>2308</v>
      </c>
      <c r="T232" s="19" t="s">
        <v>2027</v>
      </c>
    </row>
    <row r="233" spans="1:20" ht="53" customHeight="1">
      <c r="A233" s="4" t="s">
        <v>601</v>
      </c>
      <c r="B233" s="12" t="s">
        <v>32</v>
      </c>
      <c r="C233" s="12" t="s">
        <v>12</v>
      </c>
      <c r="D233" s="12" t="s">
        <v>136</v>
      </c>
      <c r="E233" s="5" t="s">
        <v>403</v>
      </c>
      <c r="F233" s="4" t="s">
        <v>2682</v>
      </c>
      <c r="G233" s="4" t="s">
        <v>143</v>
      </c>
      <c r="H233" s="22" t="s">
        <v>2308</v>
      </c>
      <c r="I233" s="22" t="s">
        <v>2308</v>
      </c>
      <c r="J233" s="22" t="s">
        <v>2308</v>
      </c>
      <c r="K233" s="22"/>
      <c r="L233" s="22" t="s">
        <v>2308</v>
      </c>
      <c r="M233" s="22" t="s">
        <v>2308</v>
      </c>
      <c r="N233" s="22" t="s">
        <v>2308</v>
      </c>
      <c r="O233" s="22" t="s">
        <v>2308</v>
      </c>
      <c r="P233" s="22" t="s">
        <v>2308</v>
      </c>
      <c r="Q233" s="22" t="s">
        <v>2308</v>
      </c>
      <c r="R233" s="22" t="s">
        <v>2308</v>
      </c>
      <c r="S233" s="22" t="s">
        <v>2308</v>
      </c>
      <c r="T233" s="19" t="s">
        <v>2029</v>
      </c>
    </row>
    <row r="234" spans="1:20" ht="47" customHeight="1">
      <c r="A234" s="4" t="s">
        <v>603</v>
      </c>
      <c r="B234" s="12" t="s">
        <v>32</v>
      </c>
      <c r="C234" s="12" t="s">
        <v>12</v>
      </c>
      <c r="D234" s="12" t="s">
        <v>136</v>
      </c>
      <c r="E234" s="5" t="s">
        <v>404</v>
      </c>
      <c r="F234" s="4" t="s">
        <v>143</v>
      </c>
      <c r="G234" s="4" t="s">
        <v>2308</v>
      </c>
      <c r="H234" s="22" t="s">
        <v>2308</v>
      </c>
      <c r="I234" s="22" t="s">
        <v>2308</v>
      </c>
      <c r="J234" s="22" t="s">
        <v>2308</v>
      </c>
      <c r="K234" s="22"/>
      <c r="L234" s="22" t="s">
        <v>2308</v>
      </c>
      <c r="M234" s="22" t="s">
        <v>2308</v>
      </c>
      <c r="N234" s="22" t="s">
        <v>2308</v>
      </c>
      <c r="O234" s="22" t="s">
        <v>2308</v>
      </c>
      <c r="P234" s="22" t="s">
        <v>2308</v>
      </c>
      <c r="Q234" s="22" t="s">
        <v>2308</v>
      </c>
      <c r="R234" s="22" t="s">
        <v>2308</v>
      </c>
      <c r="S234" s="22" t="s">
        <v>2308</v>
      </c>
      <c r="T234" s="19" t="s">
        <v>2028</v>
      </c>
    </row>
    <row r="235" spans="1:20" ht="56.5" customHeight="1">
      <c r="A235" s="4" t="s">
        <v>606</v>
      </c>
      <c r="B235" s="12" t="s">
        <v>32</v>
      </c>
      <c r="C235" s="12" t="s">
        <v>12</v>
      </c>
      <c r="D235" s="12" t="s">
        <v>136</v>
      </c>
      <c r="E235" s="5" t="s">
        <v>403</v>
      </c>
      <c r="F235" s="4" t="s">
        <v>143</v>
      </c>
      <c r="G235" s="4" t="s">
        <v>2308</v>
      </c>
      <c r="H235" s="22" t="s">
        <v>2308</v>
      </c>
      <c r="I235" s="22" t="s">
        <v>2308</v>
      </c>
      <c r="J235" s="22" t="s">
        <v>2308</v>
      </c>
      <c r="K235" s="22"/>
      <c r="L235" s="22" t="s">
        <v>2308</v>
      </c>
      <c r="M235" s="22" t="s">
        <v>2308</v>
      </c>
      <c r="N235" s="22" t="s">
        <v>2308</v>
      </c>
      <c r="O235" s="22" t="s">
        <v>2308</v>
      </c>
      <c r="P235" s="22" t="s">
        <v>2308</v>
      </c>
      <c r="Q235" s="22" t="s">
        <v>2308</v>
      </c>
      <c r="R235" s="22" t="s">
        <v>2308</v>
      </c>
      <c r="S235" s="22" t="s">
        <v>2308</v>
      </c>
      <c r="T235" s="19" t="s">
        <v>2030</v>
      </c>
    </row>
    <row r="236" spans="1:20" ht="48.5" customHeight="1">
      <c r="A236" s="4" t="s">
        <v>609</v>
      </c>
      <c r="B236" s="12" t="s">
        <v>70</v>
      </c>
      <c r="C236" s="12" t="s">
        <v>12</v>
      </c>
      <c r="D236" s="12" t="s">
        <v>136</v>
      </c>
      <c r="E236" s="4" t="s">
        <v>2682</v>
      </c>
      <c r="F236" s="4" t="s">
        <v>143</v>
      </c>
      <c r="G236" s="4" t="s">
        <v>116</v>
      </c>
      <c r="H236" s="22" t="s">
        <v>2308</v>
      </c>
      <c r="I236" s="22" t="s">
        <v>2308</v>
      </c>
      <c r="J236" s="22" t="s">
        <v>2308</v>
      </c>
      <c r="K236" s="22"/>
      <c r="L236" s="22" t="s">
        <v>2308</v>
      </c>
      <c r="M236" s="22" t="s">
        <v>2308</v>
      </c>
      <c r="N236" s="22" t="s">
        <v>2308</v>
      </c>
      <c r="O236" s="22" t="s">
        <v>2308</v>
      </c>
      <c r="P236" s="22" t="s">
        <v>2308</v>
      </c>
      <c r="Q236" s="22" t="s">
        <v>2308</v>
      </c>
      <c r="R236" s="22" t="s">
        <v>2308</v>
      </c>
      <c r="S236" s="22" t="s">
        <v>2308</v>
      </c>
      <c r="T236" s="19" t="s">
        <v>2027</v>
      </c>
    </row>
    <row r="237" spans="1:20" ht="54.5" customHeight="1">
      <c r="A237" s="23" t="s">
        <v>611</v>
      </c>
      <c r="B237" s="27" t="s">
        <v>70</v>
      </c>
      <c r="C237" s="24" t="s">
        <v>12</v>
      </c>
      <c r="D237" s="27" t="s">
        <v>136</v>
      </c>
      <c r="E237" s="25" t="s">
        <v>403</v>
      </c>
      <c r="F237" s="23" t="s">
        <v>45</v>
      </c>
      <c r="G237" s="23" t="s">
        <v>2308</v>
      </c>
      <c r="H237" s="84">
        <v>1.56</v>
      </c>
      <c r="I237" s="84">
        <v>78.5</v>
      </c>
      <c r="J237" s="84">
        <v>1.25</v>
      </c>
      <c r="K237" s="84"/>
      <c r="L237" s="84" t="s">
        <v>2308</v>
      </c>
      <c r="M237" s="84" t="s">
        <v>2308</v>
      </c>
      <c r="N237" s="84" t="s">
        <v>2308</v>
      </c>
      <c r="O237" s="84">
        <v>27</v>
      </c>
      <c r="P237" s="84">
        <v>11</v>
      </c>
      <c r="Q237" s="84">
        <v>7</v>
      </c>
      <c r="R237" s="84">
        <v>55</v>
      </c>
      <c r="S237" s="84" t="s">
        <v>2308</v>
      </c>
      <c r="T237" s="25" t="s">
        <v>578</v>
      </c>
    </row>
    <row r="238" spans="1:20" ht="48.5" customHeight="1">
      <c r="A238" s="23" t="s">
        <v>631</v>
      </c>
      <c r="B238" s="23"/>
      <c r="C238" s="24" t="s">
        <v>402</v>
      </c>
      <c r="D238" s="24" t="s">
        <v>136</v>
      </c>
      <c r="E238" s="23" t="s">
        <v>2308</v>
      </c>
      <c r="F238" s="23" t="s">
        <v>2308</v>
      </c>
      <c r="G238" s="23" t="s">
        <v>2308</v>
      </c>
      <c r="H238" s="84" t="s">
        <v>2308</v>
      </c>
      <c r="I238" s="84" t="s">
        <v>2308</v>
      </c>
      <c r="J238" s="84" t="s">
        <v>2308</v>
      </c>
      <c r="K238" s="84"/>
      <c r="L238" s="84" t="s">
        <v>2308</v>
      </c>
      <c r="M238" s="84" t="s">
        <v>2308</v>
      </c>
      <c r="N238" s="84" t="s">
        <v>2308</v>
      </c>
      <c r="O238" s="84" t="s">
        <v>2308</v>
      </c>
      <c r="P238" s="84" t="s">
        <v>2308</v>
      </c>
      <c r="Q238" s="84" t="s">
        <v>2308</v>
      </c>
      <c r="R238" s="84" t="s">
        <v>2308</v>
      </c>
      <c r="S238" s="84" t="s">
        <v>2308</v>
      </c>
      <c r="T238" s="23"/>
    </row>
    <row r="239" spans="1:20" ht="51" customHeight="1">
      <c r="A239" s="4" t="s">
        <v>632</v>
      </c>
      <c r="B239" s="4" t="s">
        <v>69</v>
      </c>
      <c r="C239" s="12" t="s">
        <v>402</v>
      </c>
      <c r="D239" s="20" t="s">
        <v>404</v>
      </c>
      <c r="E239" s="12" t="s">
        <v>136</v>
      </c>
      <c r="F239" s="4" t="s">
        <v>2308</v>
      </c>
      <c r="G239" s="4" t="s">
        <v>2308</v>
      </c>
      <c r="H239" s="22" t="s">
        <v>2308</v>
      </c>
      <c r="I239" s="22" t="s">
        <v>2308</v>
      </c>
      <c r="J239" s="22">
        <v>6</v>
      </c>
      <c r="K239" s="22"/>
      <c r="L239" s="22" t="s">
        <v>2308</v>
      </c>
      <c r="M239" s="22" t="s">
        <v>2308</v>
      </c>
      <c r="N239" s="22" t="s">
        <v>2308</v>
      </c>
      <c r="O239" s="22" t="s">
        <v>2308</v>
      </c>
      <c r="P239" s="22" t="s">
        <v>2308</v>
      </c>
      <c r="Q239" s="22" t="s">
        <v>2308</v>
      </c>
      <c r="R239" s="22" t="s">
        <v>2308</v>
      </c>
      <c r="S239" s="22" t="s">
        <v>2308</v>
      </c>
      <c r="T239" s="5" t="s">
        <v>2033</v>
      </c>
    </row>
    <row r="240" spans="1:20" ht="47" customHeight="1">
      <c r="A240" s="12" t="s">
        <v>651</v>
      </c>
      <c r="B240" s="4" t="s">
        <v>69</v>
      </c>
      <c r="C240" s="12" t="s">
        <v>402</v>
      </c>
      <c r="D240" s="12" t="s">
        <v>136</v>
      </c>
      <c r="E240" s="4" t="s">
        <v>2308</v>
      </c>
      <c r="F240" s="4" t="s">
        <v>2308</v>
      </c>
      <c r="G240" s="4" t="s">
        <v>2308</v>
      </c>
      <c r="H240" s="22" t="s">
        <v>2308</v>
      </c>
      <c r="I240" s="22" t="s">
        <v>2308</v>
      </c>
      <c r="J240" s="22" t="s">
        <v>2308</v>
      </c>
      <c r="K240" s="22"/>
      <c r="L240" s="22" t="s">
        <v>2308</v>
      </c>
      <c r="M240" s="22" t="s">
        <v>2308</v>
      </c>
      <c r="N240" s="22" t="s">
        <v>2308</v>
      </c>
      <c r="O240" s="22" t="s">
        <v>2308</v>
      </c>
      <c r="P240" s="22" t="s">
        <v>2308</v>
      </c>
      <c r="Q240" s="22" t="s">
        <v>2308</v>
      </c>
      <c r="R240" s="22" t="s">
        <v>2308</v>
      </c>
      <c r="S240" s="22" t="s">
        <v>2308</v>
      </c>
      <c r="T240" s="4"/>
    </row>
    <row r="241" spans="1:20" ht="34.5" customHeight="1">
      <c r="A241" s="12" t="s">
        <v>662</v>
      </c>
      <c r="B241" s="4" t="s">
        <v>32</v>
      </c>
      <c r="C241" s="12" t="s">
        <v>402</v>
      </c>
      <c r="D241" s="12" t="s">
        <v>136</v>
      </c>
      <c r="E241" s="23" t="s">
        <v>45</v>
      </c>
      <c r="F241" s="4" t="s">
        <v>2308</v>
      </c>
      <c r="G241" s="4" t="s">
        <v>2308</v>
      </c>
      <c r="H241" s="22" t="s">
        <v>2308</v>
      </c>
      <c r="I241" s="22" t="s">
        <v>2308</v>
      </c>
      <c r="J241" s="22" t="s">
        <v>2308</v>
      </c>
      <c r="K241" s="22"/>
      <c r="L241" s="22" t="s">
        <v>2308</v>
      </c>
      <c r="M241" s="22" t="s">
        <v>2308</v>
      </c>
      <c r="N241" s="22" t="s">
        <v>2308</v>
      </c>
      <c r="O241" s="22" t="s">
        <v>2308</v>
      </c>
      <c r="P241" s="22">
        <v>0.15</v>
      </c>
      <c r="Q241" s="22">
        <v>3.4</v>
      </c>
      <c r="R241" s="22">
        <v>96.45</v>
      </c>
      <c r="S241" s="22">
        <v>5.2818500000000003E-3</v>
      </c>
      <c r="T241" s="5" t="s">
        <v>2036</v>
      </c>
    </row>
    <row r="242" spans="1:20" ht="33.5" customHeight="1">
      <c r="A242" s="12" t="s">
        <v>665</v>
      </c>
      <c r="B242" s="4" t="s">
        <v>69</v>
      </c>
      <c r="C242" s="12" t="s">
        <v>402</v>
      </c>
      <c r="D242" s="12" t="s">
        <v>136</v>
      </c>
      <c r="E242" s="4" t="s">
        <v>2308</v>
      </c>
      <c r="F242" s="4" t="s">
        <v>2308</v>
      </c>
      <c r="G242" s="4" t="s">
        <v>2308</v>
      </c>
      <c r="H242" s="22" t="s">
        <v>2308</v>
      </c>
      <c r="I242" s="22">
        <v>10.09</v>
      </c>
      <c r="J242" s="22" t="s">
        <v>2308</v>
      </c>
      <c r="K242" s="22"/>
      <c r="L242" s="22" t="s">
        <v>2308</v>
      </c>
      <c r="M242" s="22" t="s">
        <v>2308</v>
      </c>
      <c r="N242" s="22" t="s">
        <v>2308</v>
      </c>
      <c r="O242" s="22" t="s">
        <v>2308</v>
      </c>
      <c r="P242" s="22">
        <v>54</v>
      </c>
      <c r="Q242" s="22">
        <v>38</v>
      </c>
      <c r="R242" s="22">
        <v>8</v>
      </c>
      <c r="S242" s="22" t="s">
        <v>2308</v>
      </c>
      <c r="T242" s="4" t="s">
        <v>5069</v>
      </c>
    </row>
    <row r="243" spans="1:20" ht="37" customHeight="1">
      <c r="A243" s="12" t="s">
        <v>671</v>
      </c>
      <c r="B243" s="4"/>
      <c r="C243" s="12" t="s">
        <v>402</v>
      </c>
      <c r="D243" s="20" t="s">
        <v>403</v>
      </c>
      <c r="E243" s="12" t="s">
        <v>136</v>
      </c>
      <c r="F243" s="4" t="s">
        <v>143</v>
      </c>
      <c r="G243" s="4" t="s">
        <v>2308</v>
      </c>
      <c r="H243" s="22" t="s">
        <v>2308</v>
      </c>
      <c r="I243" s="22" t="s">
        <v>2308</v>
      </c>
      <c r="J243" s="22">
        <v>0.9</v>
      </c>
      <c r="K243" s="22"/>
      <c r="L243" s="22" t="s">
        <v>2308</v>
      </c>
      <c r="M243" s="22" t="s">
        <v>2308</v>
      </c>
      <c r="N243" s="22" t="s">
        <v>2308</v>
      </c>
      <c r="O243" s="22" t="s">
        <v>2308</v>
      </c>
      <c r="P243" s="22" t="s">
        <v>2308</v>
      </c>
      <c r="Q243" s="22" t="s">
        <v>2308</v>
      </c>
      <c r="R243" s="22" t="s">
        <v>2308</v>
      </c>
      <c r="S243" s="22" t="s">
        <v>2308</v>
      </c>
      <c r="T243" s="4" t="s">
        <v>2463</v>
      </c>
    </row>
    <row r="244" spans="1:20" ht="33.5" customHeight="1">
      <c r="A244" s="12" t="s">
        <v>677</v>
      </c>
      <c r="B244" s="4"/>
      <c r="C244" s="12" t="s">
        <v>402</v>
      </c>
      <c r="D244" s="12" t="s">
        <v>136</v>
      </c>
      <c r="E244" s="4" t="s">
        <v>2308</v>
      </c>
      <c r="F244" s="4" t="s">
        <v>2308</v>
      </c>
      <c r="G244" s="4" t="s">
        <v>2308</v>
      </c>
      <c r="H244" s="22" t="s">
        <v>2308</v>
      </c>
      <c r="I244" s="22" t="s">
        <v>2308</v>
      </c>
      <c r="J244" s="22" t="s">
        <v>2308</v>
      </c>
      <c r="K244" s="22"/>
      <c r="L244" s="22" t="s">
        <v>2308</v>
      </c>
      <c r="M244" s="22" t="s">
        <v>2308</v>
      </c>
      <c r="N244" s="22" t="s">
        <v>2308</v>
      </c>
      <c r="O244" s="22" t="s">
        <v>2308</v>
      </c>
      <c r="P244" s="22" t="s">
        <v>2308</v>
      </c>
      <c r="Q244" s="22" t="s">
        <v>2308</v>
      </c>
      <c r="R244" s="22" t="s">
        <v>2308</v>
      </c>
      <c r="S244" s="22" t="s">
        <v>2308</v>
      </c>
      <c r="T244" s="4"/>
    </row>
    <row r="245" spans="1:20" ht="39.5" customHeight="1">
      <c r="A245" s="12" t="s">
        <v>684</v>
      </c>
      <c r="B245" s="4"/>
      <c r="C245" s="12" t="s">
        <v>402</v>
      </c>
      <c r="D245" s="12" t="s">
        <v>136</v>
      </c>
      <c r="E245" s="4" t="s">
        <v>2308</v>
      </c>
      <c r="F245" s="4" t="s">
        <v>2308</v>
      </c>
      <c r="G245" s="4" t="s">
        <v>2308</v>
      </c>
      <c r="H245" s="22" t="s">
        <v>2308</v>
      </c>
      <c r="I245" s="22" t="s">
        <v>2308</v>
      </c>
      <c r="J245" s="22" t="s">
        <v>2308</v>
      </c>
      <c r="K245" s="22"/>
      <c r="L245" s="22" t="s">
        <v>2308</v>
      </c>
      <c r="M245" s="22" t="s">
        <v>2308</v>
      </c>
      <c r="N245" s="22" t="s">
        <v>2308</v>
      </c>
      <c r="O245" s="22" t="s">
        <v>2308</v>
      </c>
      <c r="P245" s="22" t="s">
        <v>2308</v>
      </c>
      <c r="Q245" s="22" t="s">
        <v>2308</v>
      </c>
      <c r="R245" s="22" t="s">
        <v>2308</v>
      </c>
      <c r="S245" s="22" t="s">
        <v>2308</v>
      </c>
      <c r="T245" s="4"/>
    </row>
    <row r="246" spans="1:20" ht="37" customHeight="1">
      <c r="A246" s="12" t="s">
        <v>687</v>
      </c>
      <c r="B246" s="4" t="s">
        <v>69</v>
      </c>
      <c r="C246" s="12" t="s">
        <v>12</v>
      </c>
      <c r="D246" s="5" t="s">
        <v>143</v>
      </c>
      <c r="E246" s="34" t="s">
        <v>136</v>
      </c>
      <c r="F246" s="5" t="s">
        <v>404</v>
      </c>
      <c r="G246" s="5" t="s">
        <v>45</v>
      </c>
      <c r="H246" s="22" t="s">
        <v>2308</v>
      </c>
      <c r="I246" s="22">
        <v>13</v>
      </c>
      <c r="J246" s="22" t="s">
        <v>2308</v>
      </c>
      <c r="K246" s="22"/>
      <c r="L246" s="22" t="s">
        <v>2308</v>
      </c>
      <c r="M246" s="22" t="s">
        <v>2308</v>
      </c>
      <c r="N246" s="22" t="s">
        <v>2308</v>
      </c>
      <c r="O246" s="22">
        <v>9</v>
      </c>
      <c r="P246" s="22">
        <v>17</v>
      </c>
      <c r="Q246" s="22">
        <v>26</v>
      </c>
      <c r="R246" s="22">
        <v>47</v>
      </c>
      <c r="S246" s="22" t="s">
        <v>2308</v>
      </c>
      <c r="T246" s="4"/>
    </row>
    <row r="247" spans="1:20" ht="41.5" customHeight="1">
      <c r="A247" s="12" t="s">
        <v>690</v>
      </c>
      <c r="B247" s="5" t="s">
        <v>1218</v>
      </c>
      <c r="C247" s="12" t="s">
        <v>12</v>
      </c>
      <c r="D247" s="12" t="s">
        <v>136</v>
      </c>
      <c r="E247" s="5" t="s">
        <v>2308</v>
      </c>
      <c r="F247" s="4" t="s">
        <v>2308</v>
      </c>
      <c r="G247" s="4" t="s">
        <v>2308</v>
      </c>
      <c r="H247" s="22" t="s">
        <v>2308</v>
      </c>
      <c r="I247" s="22">
        <v>17</v>
      </c>
      <c r="J247" s="22" t="s">
        <v>2308</v>
      </c>
      <c r="K247" s="22"/>
      <c r="L247" s="22" t="s">
        <v>2308</v>
      </c>
      <c r="M247" s="22" t="s">
        <v>2308</v>
      </c>
      <c r="N247" s="22" t="s">
        <v>2308</v>
      </c>
      <c r="O247" s="22" t="s">
        <v>2308</v>
      </c>
      <c r="P247" s="22">
        <v>12</v>
      </c>
      <c r="Q247" s="22">
        <v>57</v>
      </c>
      <c r="R247" s="22">
        <v>30</v>
      </c>
      <c r="S247" s="22" t="s">
        <v>2308</v>
      </c>
      <c r="T247" s="4"/>
    </row>
    <row r="248" spans="1:20" ht="37.5" customHeight="1">
      <c r="A248" s="12" t="s">
        <v>694</v>
      </c>
      <c r="B248" s="4"/>
      <c r="C248" s="12" t="s">
        <v>402</v>
      </c>
      <c r="D248" s="12" t="s">
        <v>136</v>
      </c>
      <c r="E248" s="5" t="s">
        <v>404</v>
      </c>
      <c r="F248" s="4" t="s">
        <v>2308</v>
      </c>
      <c r="G248" s="4" t="s">
        <v>2308</v>
      </c>
      <c r="H248" s="22" t="s">
        <v>2308</v>
      </c>
      <c r="I248" s="22" t="s">
        <v>2308</v>
      </c>
      <c r="J248" s="22">
        <v>1.3</v>
      </c>
      <c r="K248" s="22"/>
      <c r="L248" s="22" t="s">
        <v>2308</v>
      </c>
      <c r="M248" s="22" t="s">
        <v>2308</v>
      </c>
      <c r="N248" s="22" t="s">
        <v>2308</v>
      </c>
      <c r="O248" s="22" t="s">
        <v>2308</v>
      </c>
      <c r="P248" s="22" t="s">
        <v>2308</v>
      </c>
      <c r="Q248" s="22" t="s">
        <v>2308</v>
      </c>
      <c r="R248" s="22" t="s">
        <v>2308</v>
      </c>
      <c r="S248" s="22" t="s">
        <v>2308</v>
      </c>
      <c r="T248" s="4"/>
    </row>
    <row r="249" spans="1:20" ht="33.5" customHeight="1">
      <c r="A249" s="12" t="s">
        <v>695</v>
      </c>
      <c r="B249" s="4"/>
      <c r="C249" s="12" t="s">
        <v>402</v>
      </c>
      <c r="D249" s="12" t="s">
        <v>136</v>
      </c>
      <c r="E249" s="4" t="s">
        <v>2308</v>
      </c>
      <c r="F249" s="4" t="s">
        <v>2308</v>
      </c>
      <c r="G249" s="4" t="s">
        <v>2308</v>
      </c>
      <c r="H249" s="22" t="s">
        <v>2308</v>
      </c>
      <c r="I249" s="22" t="s">
        <v>2308</v>
      </c>
      <c r="J249" s="22">
        <v>1.4</v>
      </c>
      <c r="K249" s="22"/>
      <c r="L249" s="22" t="s">
        <v>2308</v>
      </c>
      <c r="M249" s="22" t="s">
        <v>2308</v>
      </c>
      <c r="N249" s="22" t="s">
        <v>2308</v>
      </c>
      <c r="O249" s="22" t="s">
        <v>2308</v>
      </c>
      <c r="P249" s="22" t="s">
        <v>2308</v>
      </c>
      <c r="Q249" s="22" t="s">
        <v>2308</v>
      </c>
      <c r="R249" s="22" t="s">
        <v>2308</v>
      </c>
      <c r="S249" s="22" t="s">
        <v>2308</v>
      </c>
      <c r="T249" s="4"/>
    </row>
    <row r="250" spans="1:20" ht="38.5" customHeight="1">
      <c r="A250" s="12" t="s">
        <v>696</v>
      </c>
      <c r="B250" s="4"/>
      <c r="C250" s="12" t="s">
        <v>402</v>
      </c>
      <c r="D250" s="12" t="s">
        <v>136</v>
      </c>
      <c r="E250" s="4" t="s">
        <v>2308</v>
      </c>
      <c r="F250" s="4" t="s">
        <v>2308</v>
      </c>
      <c r="G250" s="4" t="s">
        <v>2308</v>
      </c>
      <c r="H250" s="22" t="s">
        <v>2308</v>
      </c>
      <c r="I250" s="22" t="s">
        <v>2308</v>
      </c>
      <c r="J250" s="22">
        <v>1.3</v>
      </c>
      <c r="K250" s="22"/>
      <c r="L250" s="22" t="s">
        <v>2308</v>
      </c>
      <c r="M250" s="22" t="s">
        <v>2308</v>
      </c>
      <c r="N250" s="22" t="s">
        <v>2308</v>
      </c>
      <c r="O250" s="22" t="s">
        <v>2308</v>
      </c>
      <c r="P250" s="22" t="s">
        <v>2308</v>
      </c>
      <c r="Q250" s="22" t="s">
        <v>2308</v>
      </c>
      <c r="R250" s="22" t="s">
        <v>2308</v>
      </c>
      <c r="S250" s="22" t="s">
        <v>2308</v>
      </c>
      <c r="T250" s="4"/>
    </row>
    <row r="251" spans="1:20" ht="35.5" customHeight="1">
      <c r="A251" s="12" t="s">
        <v>704</v>
      </c>
      <c r="B251" s="4"/>
      <c r="C251" s="12" t="s">
        <v>402</v>
      </c>
      <c r="D251" s="12" t="s">
        <v>136</v>
      </c>
      <c r="E251" s="5" t="s">
        <v>2308</v>
      </c>
      <c r="F251" s="4" t="s">
        <v>2308</v>
      </c>
      <c r="G251" s="4" t="s">
        <v>2308</v>
      </c>
      <c r="H251" s="22" t="s">
        <v>2308</v>
      </c>
      <c r="I251" s="22" t="s">
        <v>2308</v>
      </c>
      <c r="J251" s="22">
        <v>2</v>
      </c>
      <c r="K251" s="22"/>
      <c r="L251" s="22" t="s">
        <v>2308</v>
      </c>
      <c r="M251" s="22" t="s">
        <v>2308</v>
      </c>
      <c r="N251" s="22" t="s">
        <v>2308</v>
      </c>
      <c r="O251" s="22" t="s">
        <v>2308</v>
      </c>
      <c r="P251" s="22" t="s">
        <v>2308</v>
      </c>
      <c r="Q251" s="22" t="s">
        <v>2308</v>
      </c>
      <c r="R251" s="22" t="s">
        <v>2308</v>
      </c>
      <c r="S251" s="22" t="s">
        <v>2308</v>
      </c>
      <c r="T251" s="4"/>
    </row>
    <row r="252" spans="1:20" ht="43.5" customHeight="1">
      <c r="A252" s="12" t="s">
        <v>705</v>
      </c>
      <c r="B252" s="4"/>
      <c r="C252" s="12" t="s">
        <v>402</v>
      </c>
      <c r="D252" s="12" t="s">
        <v>136</v>
      </c>
      <c r="E252" s="4" t="s">
        <v>2308</v>
      </c>
      <c r="F252" s="4" t="s">
        <v>2308</v>
      </c>
      <c r="G252" s="4" t="s">
        <v>2308</v>
      </c>
      <c r="H252" s="22" t="s">
        <v>2308</v>
      </c>
      <c r="I252" s="22" t="s">
        <v>2308</v>
      </c>
      <c r="J252" s="22">
        <v>2.7</v>
      </c>
      <c r="K252" s="22"/>
      <c r="L252" s="22" t="s">
        <v>2308</v>
      </c>
      <c r="M252" s="22" t="s">
        <v>2308</v>
      </c>
      <c r="N252" s="22" t="s">
        <v>2308</v>
      </c>
      <c r="O252" s="22" t="s">
        <v>2308</v>
      </c>
      <c r="P252" s="22" t="s">
        <v>2308</v>
      </c>
      <c r="Q252" s="22" t="s">
        <v>2308</v>
      </c>
      <c r="R252" s="22" t="s">
        <v>2308</v>
      </c>
      <c r="S252" s="22" t="s">
        <v>2308</v>
      </c>
      <c r="T252" s="4"/>
    </row>
    <row r="253" spans="1:20" ht="47.5" customHeight="1">
      <c r="A253" s="12" t="s">
        <v>706</v>
      </c>
      <c r="B253" s="4"/>
      <c r="C253" s="12" t="s">
        <v>402</v>
      </c>
      <c r="D253" s="12" t="s">
        <v>136</v>
      </c>
      <c r="E253" s="4" t="s">
        <v>2308</v>
      </c>
      <c r="F253" s="4" t="s">
        <v>2308</v>
      </c>
      <c r="G253" s="4" t="s">
        <v>2308</v>
      </c>
      <c r="H253" s="22" t="s">
        <v>2308</v>
      </c>
      <c r="I253" s="22" t="s">
        <v>2308</v>
      </c>
      <c r="J253" s="22">
        <v>2.2000000000000002</v>
      </c>
      <c r="K253" s="22"/>
      <c r="L253" s="22" t="s">
        <v>2308</v>
      </c>
      <c r="M253" s="22" t="s">
        <v>2308</v>
      </c>
      <c r="N253" s="22" t="s">
        <v>2308</v>
      </c>
      <c r="O253" s="22" t="s">
        <v>2308</v>
      </c>
      <c r="P253" s="22" t="s">
        <v>2308</v>
      </c>
      <c r="Q253" s="22" t="s">
        <v>2308</v>
      </c>
      <c r="R253" s="22" t="s">
        <v>2308</v>
      </c>
      <c r="S253" s="22" t="s">
        <v>2308</v>
      </c>
      <c r="T253" s="4"/>
    </row>
    <row r="254" spans="1:20" ht="47.5" customHeight="1">
      <c r="A254" s="12" t="s">
        <v>2058</v>
      </c>
      <c r="B254" s="4"/>
      <c r="C254" s="12" t="s">
        <v>402</v>
      </c>
      <c r="D254" s="12" t="s">
        <v>136</v>
      </c>
      <c r="E254" s="5" t="s">
        <v>404</v>
      </c>
      <c r="F254" s="4" t="s">
        <v>2308</v>
      </c>
      <c r="G254" s="4" t="s">
        <v>2308</v>
      </c>
      <c r="H254" s="22" t="s">
        <v>2308</v>
      </c>
      <c r="I254" s="22" t="s">
        <v>2308</v>
      </c>
      <c r="J254" s="22">
        <v>1.3</v>
      </c>
      <c r="K254" s="22"/>
      <c r="L254" s="22" t="s">
        <v>2308</v>
      </c>
      <c r="M254" s="22" t="s">
        <v>2308</v>
      </c>
      <c r="N254" s="22" t="s">
        <v>2308</v>
      </c>
      <c r="O254" s="22" t="s">
        <v>2308</v>
      </c>
      <c r="P254" s="22" t="s">
        <v>2308</v>
      </c>
      <c r="Q254" s="22" t="s">
        <v>2308</v>
      </c>
      <c r="R254" s="22" t="s">
        <v>2308</v>
      </c>
      <c r="S254" s="22" t="s">
        <v>2308</v>
      </c>
      <c r="T254" s="4"/>
    </row>
    <row r="255" spans="1:20" ht="47.5" customHeight="1">
      <c r="A255" s="12" t="s">
        <v>2059</v>
      </c>
      <c r="B255" s="4"/>
      <c r="C255" s="12" t="s">
        <v>402</v>
      </c>
      <c r="D255" s="12" t="s">
        <v>136</v>
      </c>
      <c r="E255" s="4" t="s">
        <v>2308</v>
      </c>
      <c r="F255" s="4" t="s">
        <v>2308</v>
      </c>
      <c r="G255" s="4" t="s">
        <v>2308</v>
      </c>
      <c r="H255" s="22" t="s">
        <v>2308</v>
      </c>
      <c r="I255" s="22" t="s">
        <v>2308</v>
      </c>
      <c r="J255" s="22">
        <v>1.4</v>
      </c>
      <c r="K255" s="22"/>
      <c r="L255" s="22" t="s">
        <v>2308</v>
      </c>
      <c r="M255" s="22" t="s">
        <v>2308</v>
      </c>
      <c r="N255" s="22" t="s">
        <v>2308</v>
      </c>
      <c r="O255" s="22" t="s">
        <v>2308</v>
      </c>
      <c r="P255" s="22" t="s">
        <v>2308</v>
      </c>
      <c r="Q255" s="22" t="s">
        <v>2308</v>
      </c>
      <c r="R255" s="22" t="s">
        <v>2308</v>
      </c>
      <c r="S255" s="22" t="s">
        <v>2308</v>
      </c>
      <c r="T255" s="4"/>
    </row>
    <row r="256" spans="1:20" ht="47.5" customHeight="1">
      <c r="A256" s="12" t="s">
        <v>2060</v>
      </c>
      <c r="B256" s="4"/>
      <c r="C256" s="12" t="s">
        <v>402</v>
      </c>
      <c r="D256" s="12" t="s">
        <v>136</v>
      </c>
      <c r="E256" s="4" t="s">
        <v>2308</v>
      </c>
      <c r="F256" s="4" t="s">
        <v>2308</v>
      </c>
      <c r="G256" s="4" t="s">
        <v>2308</v>
      </c>
      <c r="H256" s="22" t="s">
        <v>2308</v>
      </c>
      <c r="I256" s="22" t="s">
        <v>2308</v>
      </c>
      <c r="J256" s="22">
        <v>1.3</v>
      </c>
      <c r="K256" s="22"/>
      <c r="L256" s="22" t="s">
        <v>2308</v>
      </c>
      <c r="M256" s="22" t="s">
        <v>2308</v>
      </c>
      <c r="N256" s="22" t="s">
        <v>2308</v>
      </c>
      <c r="O256" s="22" t="s">
        <v>2308</v>
      </c>
      <c r="P256" s="22" t="s">
        <v>2308</v>
      </c>
      <c r="Q256" s="22" t="s">
        <v>2308</v>
      </c>
      <c r="R256" s="22" t="s">
        <v>2308</v>
      </c>
      <c r="S256" s="22" t="s">
        <v>2308</v>
      </c>
      <c r="T256" s="4"/>
    </row>
    <row r="257" spans="1:20" ht="48" customHeight="1">
      <c r="A257" s="12" t="s">
        <v>708</v>
      </c>
      <c r="B257" s="4"/>
      <c r="C257" s="12" t="s">
        <v>12</v>
      </c>
      <c r="D257" s="12" t="s">
        <v>136</v>
      </c>
      <c r="E257" s="5" t="s">
        <v>404</v>
      </c>
      <c r="F257" s="5" t="s">
        <v>403</v>
      </c>
      <c r="G257" s="4" t="s">
        <v>2308</v>
      </c>
      <c r="H257" s="22" t="s">
        <v>2308</v>
      </c>
      <c r="I257" s="22">
        <v>1.48</v>
      </c>
      <c r="J257" s="22">
        <v>1.83</v>
      </c>
      <c r="K257" s="22"/>
      <c r="L257" s="22" t="s">
        <v>2308</v>
      </c>
      <c r="M257" s="22" t="s">
        <v>2308</v>
      </c>
      <c r="N257" s="22" t="s">
        <v>2308</v>
      </c>
      <c r="O257" s="22" t="s">
        <v>2308</v>
      </c>
      <c r="P257" s="22" t="s">
        <v>2308</v>
      </c>
      <c r="Q257" s="22" t="s">
        <v>2308</v>
      </c>
      <c r="R257" s="22" t="s">
        <v>2308</v>
      </c>
      <c r="S257" s="22" t="s">
        <v>2308</v>
      </c>
      <c r="T257" s="5" t="s">
        <v>717</v>
      </c>
    </row>
    <row r="258" spans="1:20" ht="39.5" customHeight="1">
      <c r="A258" s="12" t="s">
        <v>709</v>
      </c>
      <c r="B258" s="4"/>
      <c r="C258" s="12" t="s">
        <v>12</v>
      </c>
      <c r="D258" s="12" t="s">
        <v>136</v>
      </c>
      <c r="E258" s="5" t="s">
        <v>404</v>
      </c>
      <c r="F258" s="5" t="s">
        <v>403</v>
      </c>
      <c r="G258" s="4" t="s">
        <v>2308</v>
      </c>
      <c r="H258" s="22" t="s">
        <v>2308</v>
      </c>
      <c r="I258" s="22">
        <v>1.87</v>
      </c>
      <c r="J258" s="22">
        <v>3.28</v>
      </c>
      <c r="K258" s="22"/>
      <c r="L258" s="22" t="s">
        <v>2308</v>
      </c>
      <c r="M258" s="22" t="s">
        <v>2308</v>
      </c>
      <c r="N258" s="22" t="s">
        <v>2308</v>
      </c>
      <c r="O258" s="22" t="s">
        <v>2308</v>
      </c>
      <c r="P258" s="22" t="s">
        <v>2308</v>
      </c>
      <c r="Q258" s="22" t="s">
        <v>2308</v>
      </c>
      <c r="R258" s="22" t="s">
        <v>2308</v>
      </c>
      <c r="S258" s="22" t="s">
        <v>2308</v>
      </c>
      <c r="T258" s="5" t="s">
        <v>717</v>
      </c>
    </row>
    <row r="259" spans="1:20" ht="55.5" customHeight="1">
      <c r="A259" s="12" t="s">
        <v>710</v>
      </c>
      <c r="B259" s="4"/>
      <c r="C259" s="12" t="s">
        <v>12</v>
      </c>
      <c r="D259" s="12" t="s">
        <v>136</v>
      </c>
      <c r="E259" s="5" t="s">
        <v>404</v>
      </c>
      <c r="F259" s="5" t="s">
        <v>403</v>
      </c>
      <c r="G259" s="4" t="s">
        <v>2308</v>
      </c>
      <c r="H259" s="22" t="s">
        <v>2308</v>
      </c>
      <c r="I259" s="22">
        <v>1.5</v>
      </c>
      <c r="J259" s="22">
        <v>1.94</v>
      </c>
      <c r="K259" s="22"/>
      <c r="L259" s="22" t="s">
        <v>2308</v>
      </c>
      <c r="M259" s="22" t="s">
        <v>2308</v>
      </c>
      <c r="N259" s="22" t="s">
        <v>2308</v>
      </c>
      <c r="O259" s="22" t="s">
        <v>2308</v>
      </c>
      <c r="P259" s="22" t="s">
        <v>2308</v>
      </c>
      <c r="Q259" s="22" t="s">
        <v>2308</v>
      </c>
      <c r="R259" s="22" t="s">
        <v>2308</v>
      </c>
      <c r="S259" s="22" t="s">
        <v>2308</v>
      </c>
      <c r="T259" s="5" t="s">
        <v>717</v>
      </c>
    </row>
    <row r="260" spans="1:20" ht="39" customHeight="1">
      <c r="A260" s="12" t="s">
        <v>711</v>
      </c>
      <c r="B260" s="4"/>
      <c r="C260" s="12" t="s">
        <v>402</v>
      </c>
      <c r="D260" s="12" t="s">
        <v>136</v>
      </c>
      <c r="E260" s="5" t="s">
        <v>404</v>
      </c>
      <c r="F260" s="4" t="s">
        <v>2308</v>
      </c>
      <c r="G260" s="4" t="s">
        <v>2308</v>
      </c>
      <c r="H260" s="22" t="s">
        <v>2308</v>
      </c>
      <c r="I260" s="15" t="s">
        <v>2308</v>
      </c>
      <c r="J260" s="22">
        <v>3.5</v>
      </c>
      <c r="K260" s="22"/>
      <c r="L260" s="22" t="s">
        <v>2308</v>
      </c>
      <c r="M260" s="22" t="s">
        <v>2308</v>
      </c>
      <c r="N260" s="22" t="s">
        <v>2308</v>
      </c>
      <c r="O260" s="22" t="s">
        <v>2308</v>
      </c>
      <c r="P260" s="22" t="s">
        <v>2308</v>
      </c>
      <c r="Q260" s="22" t="s">
        <v>2308</v>
      </c>
      <c r="R260" s="22" t="s">
        <v>2308</v>
      </c>
      <c r="S260" s="22" t="s">
        <v>2308</v>
      </c>
      <c r="T260" s="4" t="s">
        <v>723</v>
      </c>
    </row>
    <row r="261" spans="1:20" ht="50.5" customHeight="1">
      <c r="A261" s="12" t="s">
        <v>715</v>
      </c>
      <c r="B261" s="4"/>
      <c r="C261" s="12" t="s">
        <v>402</v>
      </c>
      <c r="D261" s="12" t="s">
        <v>136</v>
      </c>
      <c r="E261" s="5" t="s">
        <v>404</v>
      </c>
      <c r="F261" s="4" t="s">
        <v>2308</v>
      </c>
      <c r="G261" s="4" t="s">
        <v>2308</v>
      </c>
      <c r="H261" s="22" t="s">
        <v>2308</v>
      </c>
      <c r="I261" s="22" t="s">
        <v>2308</v>
      </c>
      <c r="J261" s="22">
        <v>3.5</v>
      </c>
      <c r="K261" s="22"/>
      <c r="L261" s="22" t="s">
        <v>2308</v>
      </c>
      <c r="M261" s="22" t="s">
        <v>2308</v>
      </c>
      <c r="N261" s="22" t="s">
        <v>2308</v>
      </c>
      <c r="O261" s="22" t="s">
        <v>2308</v>
      </c>
      <c r="P261" s="22" t="s">
        <v>2308</v>
      </c>
      <c r="Q261" s="22" t="s">
        <v>2308</v>
      </c>
      <c r="R261" s="22" t="s">
        <v>2308</v>
      </c>
      <c r="S261" s="22" t="s">
        <v>2308</v>
      </c>
      <c r="T261" s="4" t="s">
        <v>723</v>
      </c>
    </row>
    <row r="262" spans="1:20" ht="50.5" customHeight="1">
      <c r="A262" s="12" t="s">
        <v>716</v>
      </c>
      <c r="B262" s="4"/>
      <c r="C262" s="12" t="s">
        <v>402</v>
      </c>
      <c r="D262" s="12" t="s">
        <v>136</v>
      </c>
      <c r="E262" s="5" t="s">
        <v>404</v>
      </c>
      <c r="F262" s="4" t="s">
        <v>2308</v>
      </c>
      <c r="G262" s="4" t="s">
        <v>2308</v>
      </c>
      <c r="H262" s="22" t="s">
        <v>2308</v>
      </c>
      <c r="I262" s="22" t="s">
        <v>2308</v>
      </c>
      <c r="J262" s="22">
        <v>3.5</v>
      </c>
      <c r="K262" s="22"/>
      <c r="L262" s="22" t="s">
        <v>2308</v>
      </c>
      <c r="M262" s="22" t="s">
        <v>2308</v>
      </c>
      <c r="N262" s="22" t="s">
        <v>2308</v>
      </c>
      <c r="O262" s="22" t="s">
        <v>2308</v>
      </c>
      <c r="P262" s="22" t="s">
        <v>2308</v>
      </c>
      <c r="Q262" s="22" t="s">
        <v>2308</v>
      </c>
      <c r="R262" s="22" t="s">
        <v>2308</v>
      </c>
      <c r="S262" s="22" t="s">
        <v>2308</v>
      </c>
      <c r="T262" s="4" t="s">
        <v>723</v>
      </c>
    </row>
    <row r="263" spans="1:20" ht="50.5" customHeight="1">
      <c r="A263" s="12" t="s">
        <v>2064</v>
      </c>
      <c r="B263" s="4"/>
      <c r="C263" s="12" t="s">
        <v>12</v>
      </c>
      <c r="D263" s="12" t="s">
        <v>136</v>
      </c>
      <c r="E263" s="5" t="s">
        <v>404</v>
      </c>
      <c r="F263" s="5" t="s">
        <v>403</v>
      </c>
      <c r="G263" s="4" t="s">
        <v>2308</v>
      </c>
      <c r="H263" s="22" t="s">
        <v>2308</v>
      </c>
      <c r="I263" s="22">
        <v>1.48</v>
      </c>
      <c r="J263" s="22">
        <v>1.83</v>
      </c>
      <c r="K263" s="22"/>
      <c r="L263" s="22" t="s">
        <v>2308</v>
      </c>
      <c r="M263" s="22" t="s">
        <v>2308</v>
      </c>
      <c r="N263" s="22" t="s">
        <v>2308</v>
      </c>
      <c r="O263" s="22" t="s">
        <v>2308</v>
      </c>
      <c r="P263" s="22" t="s">
        <v>2308</v>
      </c>
      <c r="Q263" s="22" t="s">
        <v>2308</v>
      </c>
      <c r="R263" s="22" t="s">
        <v>2308</v>
      </c>
      <c r="S263" s="22" t="s">
        <v>2308</v>
      </c>
      <c r="T263" s="5" t="s">
        <v>717</v>
      </c>
    </row>
    <row r="264" spans="1:20" ht="50.5" customHeight="1">
      <c r="A264" s="12" t="s">
        <v>2065</v>
      </c>
      <c r="B264" s="4"/>
      <c r="C264" s="12" t="s">
        <v>12</v>
      </c>
      <c r="D264" s="12" t="s">
        <v>136</v>
      </c>
      <c r="E264" s="5" t="s">
        <v>404</v>
      </c>
      <c r="F264" s="5" t="s">
        <v>403</v>
      </c>
      <c r="G264" s="4" t="s">
        <v>2308</v>
      </c>
      <c r="H264" s="22" t="s">
        <v>2308</v>
      </c>
      <c r="I264" s="22">
        <v>1.87</v>
      </c>
      <c r="J264" s="22">
        <v>3.28</v>
      </c>
      <c r="K264" s="22"/>
      <c r="L264" s="22" t="s">
        <v>2308</v>
      </c>
      <c r="M264" s="22" t="s">
        <v>2308</v>
      </c>
      <c r="N264" s="22" t="s">
        <v>2308</v>
      </c>
      <c r="O264" s="22" t="s">
        <v>2308</v>
      </c>
      <c r="P264" s="22" t="s">
        <v>2308</v>
      </c>
      <c r="Q264" s="22" t="s">
        <v>2308</v>
      </c>
      <c r="R264" s="22" t="s">
        <v>2308</v>
      </c>
      <c r="S264" s="22" t="s">
        <v>2308</v>
      </c>
      <c r="T264" s="5" t="s">
        <v>717</v>
      </c>
    </row>
    <row r="265" spans="1:20" ht="50.5" customHeight="1">
      <c r="A265" s="12" t="s">
        <v>2066</v>
      </c>
      <c r="B265" s="4"/>
      <c r="C265" s="12" t="s">
        <v>12</v>
      </c>
      <c r="D265" s="12" t="s">
        <v>136</v>
      </c>
      <c r="E265" s="5" t="s">
        <v>404</v>
      </c>
      <c r="F265" s="5" t="s">
        <v>403</v>
      </c>
      <c r="G265" s="4" t="s">
        <v>2308</v>
      </c>
      <c r="H265" s="22" t="s">
        <v>2308</v>
      </c>
      <c r="I265" s="22">
        <v>1.5</v>
      </c>
      <c r="J265" s="22">
        <v>1.94</v>
      </c>
      <c r="K265" s="22"/>
      <c r="L265" s="22" t="s">
        <v>2308</v>
      </c>
      <c r="M265" s="22" t="s">
        <v>2308</v>
      </c>
      <c r="N265" s="22" t="s">
        <v>2308</v>
      </c>
      <c r="O265" s="22" t="s">
        <v>2308</v>
      </c>
      <c r="P265" s="22" t="s">
        <v>2308</v>
      </c>
      <c r="Q265" s="22" t="s">
        <v>2308</v>
      </c>
      <c r="R265" s="22" t="s">
        <v>2308</v>
      </c>
      <c r="S265" s="22" t="s">
        <v>2308</v>
      </c>
      <c r="T265" s="5" t="s">
        <v>717</v>
      </c>
    </row>
    <row r="266" spans="1:20" ht="44.5" customHeight="1">
      <c r="A266" s="12" t="s">
        <v>735</v>
      </c>
      <c r="B266" s="4"/>
      <c r="C266" s="12" t="s">
        <v>402</v>
      </c>
      <c r="D266" s="12" t="s">
        <v>136</v>
      </c>
      <c r="E266" s="5" t="s">
        <v>404</v>
      </c>
      <c r="F266" s="4" t="s">
        <v>2308</v>
      </c>
      <c r="G266" s="4" t="s">
        <v>2308</v>
      </c>
      <c r="H266" s="22" t="s">
        <v>2308</v>
      </c>
      <c r="I266" s="22" t="s">
        <v>2308</v>
      </c>
      <c r="J266" s="22" t="s">
        <v>2308</v>
      </c>
      <c r="K266" s="22"/>
      <c r="L266" s="22" t="s">
        <v>2308</v>
      </c>
      <c r="M266" s="22" t="s">
        <v>2308</v>
      </c>
      <c r="N266" s="22" t="s">
        <v>2308</v>
      </c>
      <c r="O266" s="22" t="s">
        <v>2308</v>
      </c>
      <c r="P266" s="22">
        <v>9.5148247999999995</v>
      </c>
      <c r="Q266" s="22" t="s">
        <v>2308</v>
      </c>
      <c r="R266" s="22" t="s">
        <v>2308</v>
      </c>
      <c r="S266" s="22" t="s">
        <v>2308</v>
      </c>
      <c r="T266" s="4" t="s">
        <v>2075</v>
      </c>
    </row>
    <row r="267" spans="1:20" ht="34.5" customHeight="1">
      <c r="A267" s="12" t="s">
        <v>736</v>
      </c>
      <c r="B267" s="4"/>
      <c r="C267" s="12" t="s">
        <v>402</v>
      </c>
      <c r="D267" s="12" t="s">
        <v>136</v>
      </c>
      <c r="E267" s="5" t="s">
        <v>404</v>
      </c>
      <c r="F267" s="4" t="s">
        <v>2308</v>
      </c>
      <c r="G267" s="4" t="s">
        <v>2308</v>
      </c>
      <c r="H267" s="22" t="s">
        <v>2308</v>
      </c>
      <c r="I267" s="22" t="s">
        <v>2308</v>
      </c>
      <c r="J267" s="22" t="s">
        <v>2308</v>
      </c>
      <c r="K267" s="22"/>
      <c r="L267" s="22" t="s">
        <v>2308</v>
      </c>
      <c r="M267" s="22" t="s">
        <v>2308</v>
      </c>
      <c r="N267" s="22" t="s">
        <v>2308</v>
      </c>
      <c r="O267" s="22" t="s">
        <v>2308</v>
      </c>
      <c r="P267" s="22">
        <v>15.753846149999999</v>
      </c>
      <c r="Q267" s="22" t="s">
        <v>2308</v>
      </c>
      <c r="R267" s="22" t="s">
        <v>2308</v>
      </c>
      <c r="S267" s="22" t="s">
        <v>2308</v>
      </c>
      <c r="T267" s="4" t="s">
        <v>2075</v>
      </c>
    </row>
    <row r="268" spans="1:20" ht="46" customHeight="1">
      <c r="A268" s="12" t="s">
        <v>737</v>
      </c>
      <c r="B268" s="4"/>
      <c r="C268" s="12" t="s">
        <v>402</v>
      </c>
      <c r="D268" s="12" t="s">
        <v>136</v>
      </c>
      <c r="E268" s="5" t="s">
        <v>404</v>
      </c>
      <c r="F268" s="4" t="s">
        <v>2308</v>
      </c>
      <c r="G268" s="4" t="s">
        <v>2308</v>
      </c>
      <c r="H268" s="22" t="s">
        <v>2308</v>
      </c>
      <c r="I268" s="22" t="s">
        <v>2308</v>
      </c>
      <c r="J268" s="22" t="s">
        <v>2308</v>
      </c>
      <c r="K268" s="22"/>
      <c r="L268" s="22" t="s">
        <v>2308</v>
      </c>
      <c r="M268" s="22" t="s">
        <v>2308</v>
      </c>
      <c r="N268" s="22" t="s">
        <v>2308</v>
      </c>
      <c r="O268" s="22" t="s">
        <v>2308</v>
      </c>
      <c r="P268" s="22">
        <v>1.78484848</v>
      </c>
      <c r="Q268" s="22" t="s">
        <v>2308</v>
      </c>
      <c r="R268" s="22" t="s">
        <v>2308</v>
      </c>
      <c r="S268" s="22" t="s">
        <v>2308</v>
      </c>
      <c r="T268" s="4" t="s">
        <v>2075</v>
      </c>
    </row>
    <row r="269" spans="1:20" ht="47" customHeight="1">
      <c r="A269" s="12" t="s">
        <v>757</v>
      </c>
      <c r="B269" s="4"/>
      <c r="C269" s="12" t="s">
        <v>402</v>
      </c>
      <c r="D269" s="12" t="s">
        <v>136</v>
      </c>
      <c r="E269" s="5" t="s">
        <v>403</v>
      </c>
      <c r="F269" s="4" t="s">
        <v>116</v>
      </c>
      <c r="G269" s="4" t="s">
        <v>2308</v>
      </c>
      <c r="H269" s="22" t="s">
        <v>2308</v>
      </c>
      <c r="I269" s="22" t="s">
        <v>2308</v>
      </c>
      <c r="J269" s="22" t="s">
        <v>2308</v>
      </c>
      <c r="K269" s="22"/>
      <c r="L269" s="22" t="s">
        <v>2308</v>
      </c>
      <c r="M269" s="22" t="s">
        <v>2308</v>
      </c>
      <c r="N269" s="22" t="s">
        <v>2308</v>
      </c>
      <c r="O269" s="22" t="s">
        <v>2308</v>
      </c>
      <c r="P269" s="22" t="s">
        <v>2308</v>
      </c>
      <c r="Q269" s="22" t="s">
        <v>2308</v>
      </c>
      <c r="R269" s="22" t="s">
        <v>2308</v>
      </c>
      <c r="S269" s="22" t="s">
        <v>2308</v>
      </c>
      <c r="T269" s="5" t="s">
        <v>762</v>
      </c>
    </row>
    <row r="270" spans="1:20" ht="37.5" customHeight="1">
      <c r="A270" s="12" t="s">
        <v>763</v>
      </c>
      <c r="B270" s="4"/>
      <c r="C270" s="12" t="s">
        <v>402</v>
      </c>
      <c r="D270" s="12" t="s">
        <v>136</v>
      </c>
      <c r="E270" s="5" t="s">
        <v>404</v>
      </c>
      <c r="F270" s="4" t="s">
        <v>2308</v>
      </c>
      <c r="G270" s="4" t="s">
        <v>2308</v>
      </c>
      <c r="H270" s="22" t="s">
        <v>2308</v>
      </c>
      <c r="I270" s="22" t="s">
        <v>2308</v>
      </c>
      <c r="J270" s="22">
        <v>1.9</v>
      </c>
      <c r="K270" s="22"/>
      <c r="L270" s="22" t="s">
        <v>2308</v>
      </c>
      <c r="M270" s="22" t="s">
        <v>2308</v>
      </c>
      <c r="N270" s="22" t="s">
        <v>2308</v>
      </c>
      <c r="O270" s="22" t="s">
        <v>2308</v>
      </c>
      <c r="P270" s="22">
        <v>5.5</v>
      </c>
      <c r="Q270" s="22">
        <v>50.7</v>
      </c>
      <c r="R270" s="22">
        <v>40.9</v>
      </c>
      <c r="S270" s="22">
        <v>0.8</v>
      </c>
      <c r="T270" s="5" t="s">
        <v>772</v>
      </c>
    </row>
    <row r="271" spans="1:20" ht="39.5" customHeight="1">
      <c r="A271" s="12" t="s">
        <v>766</v>
      </c>
      <c r="B271" s="4"/>
      <c r="C271" s="12" t="s">
        <v>402</v>
      </c>
      <c r="D271" s="12" t="s">
        <v>136</v>
      </c>
      <c r="E271" s="5" t="s">
        <v>404</v>
      </c>
      <c r="F271" s="4" t="s">
        <v>2308</v>
      </c>
      <c r="G271" s="4" t="s">
        <v>2308</v>
      </c>
      <c r="H271" s="22" t="s">
        <v>2308</v>
      </c>
      <c r="I271" s="22" t="s">
        <v>2308</v>
      </c>
      <c r="J271" s="22">
        <v>0.8</v>
      </c>
      <c r="K271" s="22"/>
      <c r="L271" s="22" t="s">
        <v>2308</v>
      </c>
      <c r="M271" s="22" t="s">
        <v>2308</v>
      </c>
      <c r="N271" s="22" t="s">
        <v>2308</v>
      </c>
      <c r="O271" s="22" t="s">
        <v>2308</v>
      </c>
      <c r="P271" s="22">
        <v>5.5</v>
      </c>
      <c r="Q271" s="22">
        <v>50.7</v>
      </c>
      <c r="R271" s="22">
        <v>40.9</v>
      </c>
      <c r="S271" s="22">
        <v>0.8</v>
      </c>
      <c r="T271" s="5" t="s">
        <v>772</v>
      </c>
    </row>
    <row r="272" spans="1:20" ht="41" customHeight="1">
      <c r="A272" s="12" t="s">
        <v>767</v>
      </c>
      <c r="B272" s="4"/>
      <c r="C272" s="12" t="s">
        <v>402</v>
      </c>
      <c r="D272" s="12" t="s">
        <v>136</v>
      </c>
      <c r="E272" s="5" t="s">
        <v>404</v>
      </c>
      <c r="F272" s="4" t="s">
        <v>2308</v>
      </c>
      <c r="G272" s="4" t="s">
        <v>2308</v>
      </c>
      <c r="H272" s="22" t="s">
        <v>2308</v>
      </c>
      <c r="I272" s="22" t="s">
        <v>2308</v>
      </c>
      <c r="J272" s="22">
        <v>2.4</v>
      </c>
      <c r="K272" s="22"/>
      <c r="L272" s="22" t="s">
        <v>2308</v>
      </c>
      <c r="M272" s="22" t="s">
        <v>2308</v>
      </c>
      <c r="N272" s="22" t="s">
        <v>2308</v>
      </c>
      <c r="O272" s="22" t="s">
        <v>2308</v>
      </c>
      <c r="P272" s="22">
        <v>5.5</v>
      </c>
      <c r="Q272" s="22">
        <v>50.7</v>
      </c>
      <c r="R272" s="22">
        <v>40.9</v>
      </c>
      <c r="S272" s="22">
        <v>0.8</v>
      </c>
      <c r="T272" s="5" t="s">
        <v>772</v>
      </c>
    </row>
    <row r="273" spans="1:20" ht="46" customHeight="1">
      <c r="A273" s="12" t="s">
        <v>781</v>
      </c>
      <c r="B273" s="4"/>
      <c r="C273" s="12" t="s">
        <v>12</v>
      </c>
      <c r="D273" s="12" t="s">
        <v>136</v>
      </c>
      <c r="E273" s="5" t="s">
        <v>404</v>
      </c>
      <c r="F273" s="4" t="s">
        <v>2308</v>
      </c>
      <c r="G273" s="4" t="s">
        <v>2308</v>
      </c>
      <c r="H273" s="22" t="s">
        <v>2308</v>
      </c>
      <c r="I273" s="22">
        <v>17</v>
      </c>
      <c r="J273" s="22">
        <v>1.4</v>
      </c>
      <c r="K273" s="22"/>
      <c r="L273" s="22" t="s">
        <v>2308</v>
      </c>
      <c r="M273" s="22" t="s">
        <v>2308</v>
      </c>
      <c r="N273" s="22" t="s">
        <v>2308</v>
      </c>
      <c r="O273" s="22" t="s">
        <v>2308</v>
      </c>
      <c r="P273" s="22" t="s">
        <v>2308</v>
      </c>
      <c r="Q273" s="22" t="s">
        <v>2308</v>
      </c>
      <c r="R273" s="22" t="s">
        <v>2308</v>
      </c>
      <c r="S273" s="22" t="s">
        <v>2308</v>
      </c>
      <c r="T273" s="5" t="s">
        <v>2079</v>
      </c>
    </row>
    <row r="274" spans="1:20" ht="49" customHeight="1">
      <c r="A274" s="12" t="s">
        <v>791</v>
      </c>
      <c r="B274" s="4"/>
      <c r="C274" s="12" t="s">
        <v>402</v>
      </c>
      <c r="D274" s="12" t="s">
        <v>136</v>
      </c>
      <c r="E274" s="5" t="s">
        <v>404</v>
      </c>
      <c r="F274" s="4" t="s">
        <v>2308</v>
      </c>
      <c r="G274" s="4" t="s">
        <v>2308</v>
      </c>
      <c r="H274" s="22" t="s">
        <v>2308</v>
      </c>
      <c r="I274" s="22">
        <v>0.79600000000000004</v>
      </c>
      <c r="J274" s="22">
        <v>1.8498209999999999</v>
      </c>
      <c r="K274" s="22"/>
      <c r="L274" s="22" t="s">
        <v>2308</v>
      </c>
      <c r="M274" s="22" t="s">
        <v>2308</v>
      </c>
      <c r="N274" s="22" t="s">
        <v>2308</v>
      </c>
      <c r="O274" s="22" t="s">
        <v>2308</v>
      </c>
      <c r="P274" s="22" t="s">
        <v>2308</v>
      </c>
      <c r="Q274" s="22" t="s">
        <v>2308</v>
      </c>
      <c r="R274" s="22" t="s">
        <v>2308</v>
      </c>
      <c r="S274" s="22" t="s">
        <v>2308</v>
      </c>
      <c r="T274" s="4" t="s">
        <v>2080</v>
      </c>
    </row>
    <row r="275" spans="1:20" ht="44" customHeight="1">
      <c r="A275" s="12" t="s">
        <v>785</v>
      </c>
      <c r="B275" s="4"/>
      <c r="C275" s="12" t="s">
        <v>402</v>
      </c>
      <c r="D275" s="12" t="s">
        <v>136</v>
      </c>
      <c r="E275" s="5" t="s">
        <v>404</v>
      </c>
      <c r="F275" s="4" t="s">
        <v>2308</v>
      </c>
      <c r="G275" s="4" t="s">
        <v>2308</v>
      </c>
      <c r="H275" s="22" t="s">
        <v>2308</v>
      </c>
      <c r="I275" s="22">
        <v>0.80459999999999998</v>
      </c>
      <c r="J275" s="22">
        <v>1.8710199999999999</v>
      </c>
      <c r="K275" s="22"/>
      <c r="L275" s="22" t="s">
        <v>2308</v>
      </c>
      <c r="M275" s="22" t="s">
        <v>2308</v>
      </c>
      <c r="N275" s="22" t="s">
        <v>2308</v>
      </c>
      <c r="O275" s="22" t="s">
        <v>2308</v>
      </c>
      <c r="P275" s="22" t="s">
        <v>2308</v>
      </c>
      <c r="Q275" s="22" t="s">
        <v>2308</v>
      </c>
      <c r="R275" s="22" t="s">
        <v>2308</v>
      </c>
      <c r="S275" s="22" t="s">
        <v>2308</v>
      </c>
      <c r="T275" s="4" t="s">
        <v>2080</v>
      </c>
    </row>
    <row r="276" spans="1:20" ht="40" customHeight="1">
      <c r="A276" s="12" t="s">
        <v>796</v>
      </c>
      <c r="B276" s="4"/>
      <c r="C276" s="12" t="s">
        <v>402</v>
      </c>
      <c r="D276" s="12" t="s">
        <v>136</v>
      </c>
      <c r="E276" s="5" t="s">
        <v>403</v>
      </c>
      <c r="F276" s="4" t="s">
        <v>2308</v>
      </c>
      <c r="G276" s="4" t="s">
        <v>2308</v>
      </c>
      <c r="H276" s="22" t="s">
        <v>2308</v>
      </c>
      <c r="I276" s="22">
        <v>1.49</v>
      </c>
      <c r="J276" s="22">
        <v>0.35</v>
      </c>
      <c r="K276" s="22"/>
      <c r="L276" s="22" t="s">
        <v>2308</v>
      </c>
      <c r="M276" s="22" t="s">
        <v>2308</v>
      </c>
      <c r="N276" s="22" t="s">
        <v>2308</v>
      </c>
      <c r="O276" s="22" t="s">
        <v>2308</v>
      </c>
      <c r="P276" s="22" t="s">
        <v>2308</v>
      </c>
      <c r="Q276" s="22" t="s">
        <v>2308</v>
      </c>
      <c r="R276" s="22" t="s">
        <v>2308</v>
      </c>
      <c r="S276" s="22" t="s">
        <v>2308</v>
      </c>
      <c r="T276" s="4" t="s">
        <v>2043</v>
      </c>
    </row>
    <row r="277" spans="1:20" ht="40" customHeight="1">
      <c r="A277" s="12" t="s">
        <v>801</v>
      </c>
      <c r="B277" s="4"/>
      <c r="C277" s="12" t="s">
        <v>12</v>
      </c>
      <c r="D277" s="5" t="s">
        <v>404</v>
      </c>
      <c r="E277" s="12" t="s">
        <v>136</v>
      </c>
      <c r="F277" s="5" t="s">
        <v>403</v>
      </c>
      <c r="G277" s="4" t="s">
        <v>2308</v>
      </c>
      <c r="H277" s="22" t="s">
        <v>2308</v>
      </c>
      <c r="I277" s="22">
        <v>1.6339999999999999</v>
      </c>
      <c r="J277" s="22">
        <v>1.9189830000000001</v>
      </c>
      <c r="K277" s="22"/>
      <c r="L277" s="22" t="s">
        <v>2308</v>
      </c>
      <c r="M277" s="22" t="s">
        <v>2308</v>
      </c>
      <c r="N277" s="22" t="s">
        <v>2308</v>
      </c>
      <c r="O277" s="22" t="s">
        <v>2308</v>
      </c>
      <c r="P277" s="22" t="s">
        <v>2308</v>
      </c>
      <c r="Q277" s="22" t="s">
        <v>2308</v>
      </c>
      <c r="R277" s="22" t="s">
        <v>2308</v>
      </c>
      <c r="S277" s="22" t="s">
        <v>2308</v>
      </c>
      <c r="T277" s="5" t="s">
        <v>2082</v>
      </c>
    </row>
    <row r="278" spans="1:20" ht="44.5" customHeight="1">
      <c r="A278" s="12" t="s">
        <v>809</v>
      </c>
      <c r="B278" s="4"/>
      <c r="C278" s="12" t="s">
        <v>12</v>
      </c>
      <c r="D278" s="12" t="s">
        <v>136</v>
      </c>
      <c r="E278" s="5" t="s">
        <v>404</v>
      </c>
      <c r="F278" s="4" t="s">
        <v>2308</v>
      </c>
      <c r="G278" s="4" t="s">
        <v>2308</v>
      </c>
      <c r="H278" s="22" t="s">
        <v>2308</v>
      </c>
      <c r="I278" s="22">
        <v>9</v>
      </c>
      <c r="J278" s="22" t="s">
        <v>2308</v>
      </c>
      <c r="K278" s="22"/>
      <c r="L278" s="22" t="s">
        <v>2308</v>
      </c>
      <c r="M278" s="22" t="s">
        <v>2308</v>
      </c>
      <c r="N278" s="22" t="s">
        <v>2308</v>
      </c>
      <c r="O278" s="22" t="s">
        <v>2308</v>
      </c>
      <c r="P278" s="22" t="s">
        <v>2308</v>
      </c>
      <c r="Q278" s="22" t="s">
        <v>2308</v>
      </c>
      <c r="R278" s="22" t="s">
        <v>2308</v>
      </c>
      <c r="S278" s="22" t="s">
        <v>2308</v>
      </c>
      <c r="T278" s="5" t="s">
        <v>2089</v>
      </c>
    </row>
    <row r="279" spans="1:20" ht="52.5" customHeight="1">
      <c r="A279" s="12" t="s">
        <v>810</v>
      </c>
      <c r="B279" s="4"/>
      <c r="C279" s="12" t="s">
        <v>12</v>
      </c>
      <c r="D279" s="5" t="s">
        <v>403</v>
      </c>
      <c r="E279" s="4" t="s">
        <v>2308</v>
      </c>
      <c r="F279" s="4" t="s">
        <v>2308</v>
      </c>
      <c r="G279" s="4" t="s">
        <v>2308</v>
      </c>
      <c r="H279" s="22" t="s">
        <v>2308</v>
      </c>
      <c r="I279" s="22">
        <v>9</v>
      </c>
      <c r="J279" s="22" t="s">
        <v>2308</v>
      </c>
      <c r="K279" s="22"/>
      <c r="L279" s="22" t="s">
        <v>2308</v>
      </c>
      <c r="M279" s="22" t="s">
        <v>2308</v>
      </c>
      <c r="N279" s="22" t="s">
        <v>2308</v>
      </c>
      <c r="O279" s="22" t="s">
        <v>2308</v>
      </c>
      <c r="P279" s="22" t="s">
        <v>2308</v>
      </c>
      <c r="Q279" s="22" t="s">
        <v>2308</v>
      </c>
      <c r="R279" s="22" t="s">
        <v>2308</v>
      </c>
      <c r="S279" s="22" t="s">
        <v>2308</v>
      </c>
      <c r="T279" s="5" t="s">
        <v>2090</v>
      </c>
    </row>
    <row r="280" spans="1:20" ht="48.5" customHeight="1">
      <c r="A280" s="12" t="s">
        <v>811</v>
      </c>
      <c r="B280" s="4"/>
      <c r="C280" s="12" t="s">
        <v>12</v>
      </c>
      <c r="D280" s="5" t="s">
        <v>403</v>
      </c>
      <c r="E280" s="4" t="s">
        <v>2308</v>
      </c>
      <c r="F280" s="4" t="s">
        <v>2308</v>
      </c>
      <c r="G280" s="4" t="s">
        <v>2308</v>
      </c>
      <c r="H280" s="22" t="s">
        <v>2308</v>
      </c>
      <c r="I280" s="22">
        <v>9</v>
      </c>
      <c r="J280" s="22" t="s">
        <v>2308</v>
      </c>
      <c r="K280" s="22"/>
      <c r="L280" s="22" t="s">
        <v>2308</v>
      </c>
      <c r="M280" s="22" t="s">
        <v>2308</v>
      </c>
      <c r="N280" s="22" t="s">
        <v>2308</v>
      </c>
      <c r="O280" s="22" t="s">
        <v>2308</v>
      </c>
      <c r="P280" s="22" t="s">
        <v>2308</v>
      </c>
      <c r="Q280" s="22" t="s">
        <v>2308</v>
      </c>
      <c r="R280" s="22" t="s">
        <v>2308</v>
      </c>
      <c r="S280" s="22" t="s">
        <v>2308</v>
      </c>
      <c r="T280" s="5" t="s">
        <v>2090</v>
      </c>
    </row>
    <row r="281" spans="1:20" ht="51.5" customHeight="1">
      <c r="A281" s="12" t="s">
        <v>812</v>
      </c>
      <c r="B281" s="4"/>
      <c r="C281" s="12" t="s">
        <v>402</v>
      </c>
      <c r="D281" s="12" t="s">
        <v>136</v>
      </c>
      <c r="E281" s="5" t="s">
        <v>404</v>
      </c>
      <c r="F281" s="4" t="s">
        <v>2308</v>
      </c>
      <c r="G281" s="4" t="s">
        <v>2308</v>
      </c>
      <c r="H281" s="22" t="s">
        <v>2308</v>
      </c>
      <c r="I281" s="22">
        <v>3</v>
      </c>
      <c r="J281" s="22" t="s">
        <v>2308</v>
      </c>
      <c r="K281" s="22"/>
      <c r="L281" s="22" t="s">
        <v>2308</v>
      </c>
      <c r="M281" s="22" t="s">
        <v>2308</v>
      </c>
      <c r="N281" s="22" t="s">
        <v>2308</v>
      </c>
      <c r="O281" s="22" t="s">
        <v>2308</v>
      </c>
      <c r="P281" s="22" t="s">
        <v>2308</v>
      </c>
      <c r="Q281" s="22" t="s">
        <v>2308</v>
      </c>
      <c r="R281" s="22" t="s">
        <v>2308</v>
      </c>
      <c r="S281" s="22" t="s">
        <v>2308</v>
      </c>
      <c r="T281" s="5" t="s">
        <v>2089</v>
      </c>
    </row>
    <row r="282" spans="1:20" ht="56.5" customHeight="1">
      <c r="A282" s="12" t="s">
        <v>813</v>
      </c>
      <c r="B282" s="4"/>
      <c r="C282" s="12" t="s">
        <v>402</v>
      </c>
      <c r="D282" s="12" t="s">
        <v>136</v>
      </c>
      <c r="E282" s="5" t="s">
        <v>404</v>
      </c>
      <c r="F282" s="4" t="s">
        <v>2308</v>
      </c>
      <c r="G282" s="4" t="s">
        <v>2308</v>
      </c>
      <c r="H282" s="22" t="s">
        <v>2308</v>
      </c>
      <c r="I282" s="22">
        <v>3</v>
      </c>
      <c r="J282" s="22" t="s">
        <v>2308</v>
      </c>
      <c r="K282" s="22"/>
      <c r="L282" s="22" t="s">
        <v>2308</v>
      </c>
      <c r="M282" s="22" t="s">
        <v>2308</v>
      </c>
      <c r="N282" s="22" t="s">
        <v>2308</v>
      </c>
      <c r="O282" s="22" t="s">
        <v>2308</v>
      </c>
      <c r="P282" s="22" t="s">
        <v>2308</v>
      </c>
      <c r="Q282" s="22" t="s">
        <v>2308</v>
      </c>
      <c r="R282" s="22" t="s">
        <v>2308</v>
      </c>
      <c r="S282" s="22" t="s">
        <v>2308</v>
      </c>
      <c r="T282" s="5" t="s">
        <v>2089</v>
      </c>
    </row>
    <row r="283" spans="1:20" ht="60" customHeight="1">
      <c r="A283" s="12" t="s">
        <v>814</v>
      </c>
      <c r="B283" s="4"/>
      <c r="C283" s="12" t="s">
        <v>402</v>
      </c>
      <c r="D283" s="12" t="s">
        <v>136</v>
      </c>
      <c r="E283" s="5" t="s">
        <v>404</v>
      </c>
      <c r="F283" s="4" t="s">
        <v>2308</v>
      </c>
      <c r="G283" s="4" t="s">
        <v>2308</v>
      </c>
      <c r="H283" s="22" t="s">
        <v>2308</v>
      </c>
      <c r="I283" s="22">
        <v>6</v>
      </c>
      <c r="J283" s="22" t="s">
        <v>2308</v>
      </c>
      <c r="K283" s="22"/>
      <c r="L283" s="22" t="s">
        <v>2308</v>
      </c>
      <c r="M283" s="22" t="s">
        <v>2308</v>
      </c>
      <c r="N283" s="22" t="s">
        <v>2308</v>
      </c>
      <c r="O283" s="22" t="s">
        <v>2308</v>
      </c>
      <c r="P283" s="22" t="s">
        <v>2308</v>
      </c>
      <c r="Q283" s="22" t="s">
        <v>2308</v>
      </c>
      <c r="R283" s="22" t="s">
        <v>2308</v>
      </c>
      <c r="S283" s="22" t="s">
        <v>2308</v>
      </c>
      <c r="T283" s="5" t="s">
        <v>2089</v>
      </c>
    </row>
    <row r="284" spans="1:20" ht="47" customHeight="1">
      <c r="A284" s="12" t="s">
        <v>829</v>
      </c>
      <c r="B284" s="4"/>
      <c r="C284" s="12" t="s">
        <v>402</v>
      </c>
      <c r="D284" s="12" t="s">
        <v>136</v>
      </c>
      <c r="E284" s="4" t="s">
        <v>2308</v>
      </c>
      <c r="F284" s="4" t="s">
        <v>2308</v>
      </c>
      <c r="G284" s="4" t="s">
        <v>2308</v>
      </c>
      <c r="H284" s="22" t="s">
        <v>2308</v>
      </c>
      <c r="I284" s="22" t="s">
        <v>2308</v>
      </c>
      <c r="J284" s="22" t="s">
        <v>2308</v>
      </c>
      <c r="K284" s="22"/>
      <c r="L284" s="22" t="s">
        <v>2308</v>
      </c>
      <c r="M284" s="22" t="s">
        <v>2308</v>
      </c>
      <c r="N284" s="22" t="s">
        <v>2308</v>
      </c>
      <c r="O284" s="22" t="s">
        <v>2308</v>
      </c>
      <c r="P284" s="22" t="s">
        <v>2308</v>
      </c>
      <c r="Q284" s="22" t="s">
        <v>2308</v>
      </c>
      <c r="R284" s="22" t="s">
        <v>2308</v>
      </c>
      <c r="S284" s="22" t="s">
        <v>2308</v>
      </c>
      <c r="T284" s="4"/>
    </row>
    <row r="285" spans="1:20" ht="44.5" customHeight="1">
      <c r="A285" s="12" t="s">
        <v>837</v>
      </c>
      <c r="B285" s="4"/>
      <c r="C285" s="12" t="s">
        <v>12</v>
      </c>
      <c r="D285" s="5" t="s">
        <v>143</v>
      </c>
      <c r="E285" s="5" t="s">
        <v>45</v>
      </c>
      <c r="F285" s="5" t="s">
        <v>404</v>
      </c>
      <c r="G285" s="4" t="s">
        <v>116</v>
      </c>
      <c r="H285" s="22" t="s">
        <v>2308</v>
      </c>
      <c r="I285" s="22" t="s">
        <v>2308</v>
      </c>
      <c r="J285" s="22" t="s">
        <v>2308</v>
      </c>
      <c r="K285" s="22"/>
      <c r="L285" s="22" t="s">
        <v>2308</v>
      </c>
      <c r="M285" s="22" t="s">
        <v>2308</v>
      </c>
      <c r="N285" s="22" t="s">
        <v>2308</v>
      </c>
      <c r="O285" s="22">
        <v>3.247239</v>
      </c>
      <c r="P285" s="22">
        <v>2.51051154</v>
      </c>
      <c r="Q285" s="22">
        <v>16.2472265</v>
      </c>
      <c r="R285" s="22">
        <v>78</v>
      </c>
      <c r="S285" s="22" t="s">
        <v>2308</v>
      </c>
      <c r="T285" s="5" t="s">
        <v>2094</v>
      </c>
    </row>
    <row r="286" spans="1:20" ht="40" customHeight="1">
      <c r="A286" s="46" t="s">
        <v>841</v>
      </c>
      <c r="B286" s="4" t="s">
        <v>32</v>
      </c>
      <c r="C286" s="47" t="s">
        <v>12</v>
      </c>
      <c r="D286" s="12" t="s">
        <v>136</v>
      </c>
      <c r="E286" s="5" t="s">
        <v>404</v>
      </c>
      <c r="F286" s="4" t="s">
        <v>2308</v>
      </c>
      <c r="G286" s="4" t="s">
        <v>2308</v>
      </c>
      <c r="H286" s="22" t="s">
        <v>2308</v>
      </c>
      <c r="I286" s="22">
        <v>3.34</v>
      </c>
      <c r="J286" s="22">
        <v>0.50775000000000003</v>
      </c>
      <c r="K286" s="22"/>
      <c r="L286" s="22" t="s">
        <v>2308</v>
      </c>
      <c r="M286" s="22" t="s">
        <v>2308</v>
      </c>
      <c r="N286" s="22" t="s">
        <v>2308</v>
      </c>
      <c r="O286" s="22" t="s">
        <v>2308</v>
      </c>
      <c r="P286" s="22" t="s">
        <v>2308</v>
      </c>
      <c r="Q286" s="22" t="s">
        <v>2308</v>
      </c>
      <c r="R286" s="22" t="s">
        <v>2308</v>
      </c>
      <c r="S286" s="22" t="s">
        <v>2308</v>
      </c>
      <c r="T286" s="4" t="s">
        <v>2096</v>
      </c>
    </row>
    <row r="287" spans="1:20" ht="40" customHeight="1">
      <c r="A287" s="12" t="s">
        <v>849</v>
      </c>
      <c r="B287" s="12" t="s">
        <v>32</v>
      </c>
      <c r="C287" s="12" t="s">
        <v>402</v>
      </c>
      <c r="D287" s="12" t="s">
        <v>136</v>
      </c>
      <c r="E287" s="5" t="s">
        <v>2308</v>
      </c>
      <c r="F287" s="4" t="s">
        <v>2308</v>
      </c>
      <c r="G287" s="4" t="s">
        <v>2308</v>
      </c>
      <c r="H287" s="22" t="s">
        <v>2308</v>
      </c>
      <c r="I287" s="22" t="s">
        <v>2308</v>
      </c>
      <c r="J287" s="22" t="s">
        <v>2308</v>
      </c>
      <c r="K287" s="22"/>
      <c r="L287" s="22" t="s">
        <v>2308</v>
      </c>
      <c r="M287" s="22" t="s">
        <v>2308</v>
      </c>
      <c r="N287" s="22" t="s">
        <v>2308</v>
      </c>
      <c r="O287" s="22" t="s">
        <v>2308</v>
      </c>
      <c r="P287" s="22" t="s">
        <v>2308</v>
      </c>
      <c r="Q287" s="22" t="s">
        <v>2308</v>
      </c>
      <c r="R287" s="22" t="s">
        <v>2308</v>
      </c>
      <c r="S287" s="22" t="s">
        <v>2308</v>
      </c>
      <c r="T287" s="4"/>
    </row>
    <row r="288" spans="1:20" ht="48.5" customHeight="1">
      <c r="A288" s="12" t="s">
        <v>853</v>
      </c>
      <c r="B288" s="12"/>
      <c r="C288" s="12" t="s">
        <v>12</v>
      </c>
      <c r="D288" s="5" t="s">
        <v>404</v>
      </c>
      <c r="E288" s="12" t="s">
        <v>2308</v>
      </c>
      <c r="F288" s="4" t="s">
        <v>2308</v>
      </c>
      <c r="G288" s="4" t="s">
        <v>2308</v>
      </c>
      <c r="H288" s="22" t="s">
        <v>2308</v>
      </c>
      <c r="I288" s="22" t="s">
        <v>2308</v>
      </c>
      <c r="J288" s="22" t="s">
        <v>2308</v>
      </c>
      <c r="K288" s="22"/>
      <c r="L288" s="22" t="s">
        <v>2308</v>
      </c>
      <c r="M288" s="22" t="s">
        <v>2308</v>
      </c>
      <c r="N288" s="22" t="s">
        <v>2308</v>
      </c>
      <c r="O288" s="22" t="s">
        <v>2308</v>
      </c>
      <c r="P288" s="22">
        <v>83</v>
      </c>
      <c r="Q288" s="22">
        <v>3</v>
      </c>
      <c r="R288" s="22" t="s">
        <v>2308</v>
      </c>
      <c r="S288" s="22" t="s">
        <v>2308</v>
      </c>
      <c r="T288" s="19" t="s">
        <v>2100</v>
      </c>
    </row>
    <row r="289" spans="1:20" ht="46.5" customHeight="1">
      <c r="A289" s="12" t="s">
        <v>856</v>
      </c>
      <c r="B289" s="12"/>
      <c r="C289" s="12" t="s">
        <v>402</v>
      </c>
      <c r="D289" s="12" t="s">
        <v>136</v>
      </c>
      <c r="E289" s="12" t="s">
        <v>2308</v>
      </c>
      <c r="F289" s="4" t="s">
        <v>2308</v>
      </c>
      <c r="G289" s="4" t="s">
        <v>2308</v>
      </c>
      <c r="H289" s="22" t="s">
        <v>2308</v>
      </c>
      <c r="I289" s="22" t="s">
        <v>2308</v>
      </c>
      <c r="J289" s="22" t="s">
        <v>2308</v>
      </c>
      <c r="K289" s="22"/>
      <c r="L289" s="22" t="s">
        <v>2308</v>
      </c>
      <c r="M289" s="22" t="s">
        <v>2308</v>
      </c>
      <c r="N289" s="22" t="s">
        <v>2308</v>
      </c>
      <c r="O289" s="22" t="s">
        <v>2308</v>
      </c>
      <c r="P289" s="22">
        <v>19</v>
      </c>
      <c r="Q289" s="22">
        <v>79</v>
      </c>
      <c r="R289" s="22" t="s">
        <v>2308</v>
      </c>
      <c r="S289" s="22" t="s">
        <v>2308</v>
      </c>
      <c r="T289" s="19" t="s">
        <v>2100</v>
      </c>
    </row>
    <row r="290" spans="1:20" ht="43" customHeight="1">
      <c r="A290" s="12" t="s">
        <v>857</v>
      </c>
      <c r="B290" s="12"/>
      <c r="C290" s="12" t="s">
        <v>12</v>
      </c>
      <c r="D290" s="5" t="s">
        <v>404</v>
      </c>
      <c r="E290" s="12" t="s">
        <v>116</v>
      </c>
      <c r="F290" s="4" t="s">
        <v>2308</v>
      </c>
      <c r="G290" s="4" t="s">
        <v>2308</v>
      </c>
      <c r="H290" s="22" t="s">
        <v>2308</v>
      </c>
      <c r="I290" s="22" t="s">
        <v>2308</v>
      </c>
      <c r="J290" s="22" t="s">
        <v>2308</v>
      </c>
      <c r="K290" s="22"/>
      <c r="L290" s="22" t="s">
        <v>2308</v>
      </c>
      <c r="M290" s="22" t="s">
        <v>2308</v>
      </c>
      <c r="N290" s="22" t="s">
        <v>2308</v>
      </c>
      <c r="O290" s="22" t="s">
        <v>2308</v>
      </c>
      <c r="P290" s="22">
        <v>49</v>
      </c>
      <c r="Q290" s="22">
        <v>48</v>
      </c>
      <c r="R290" s="22" t="s">
        <v>2308</v>
      </c>
      <c r="S290" s="22" t="s">
        <v>2308</v>
      </c>
      <c r="T290" s="5" t="s">
        <v>5070</v>
      </c>
    </row>
    <row r="291" spans="1:20" ht="43.5" customHeight="1">
      <c r="A291" s="12" t="s">
        <v>858</v>
      </c>
      <c r="B291" s="4"/>
      <c r="C291" s="12" t="s">
        <v>402</v>
      </c>
      <c r="D291" s="12" t="s">
        <v>136</v>
      </c>
      <c r="E291" s="12" t="s">
        <v>116</v>
      </c>
      <c r="F291" s="4" t="s">
        <v>2308</v>
      </c>
      <c r="G291" s="4" t="s">
        <v>2308</v>
      </c>
      <c r="H291" s="22" t="s">
        <v>2308</v>
      </c>
      <c r="I291" s="22" t="s">
        <v>2308</v>
      </c>
      <c r="J291" s="22" t="s">
        <v>2308</v>
      </c>
      <c r="K291" s="22"/>
      <c r="L291" s="22" t="s">
        <v>2308</v>
      </c>
      <c r="M291" s="22" t="s">
        <v>2308</v>
      </c>
      <c r="N291" s="22" t="s">
        <v>2308</v>
      </c>
      <c r="O291" s="22" t="s">
        <v>2308</v>
      </c>
      <c r="P291" s="22">
        <v>29</v>
      </c>
      <c r="Q291" s="22">
        <v>68</v>
      </c>
      <c r="R291" s="22" t="s">
        <v>2308</v>
      </c>
      <c r="S291" s="22" t="s">
        <v>2308</v>
      </c>
      <c r="T291" s="5" t="s">
        <v>5070</v>
      </c>
    </row>
    <row r="292" spans="1:20" ht="40" customHeight="1">
      <c r="A292" s="4" t="s">
        <v>859</v>
      </c>
      <c r="B292" s="12"/>
      <c r="C292" s="12" t="s">
        <v>12</v>
      </c>
      <c r="D292" s="5" t="s">
        <v>404</v>
      </c>
      <c r="E292" s="4" t="s">
        <v>45</v>
      </c>
      <c r="F292" s="12" t="s">
        <v>116</v>
      </c>
      <c r="G292" s="4" t="s">
        <v>2308</v>
      </c>
      <c r="H292" s="22" t="s">
        <v>2308</v>
      </c>
      <c r="I292" s="22" t="s">
        <v>2308</v>
      </c>
      <c r="J292" s="22" t="s">
        <v>2308</v>
      </c>
      <c r="K292" s="22"/>
      <c r="L292" s="22" t="s">
        <v>2308</v>
      </c>
      <c r="M292" s="22" t="s">
        <v>2308</v>
      </c>
      <c r="N292" s="22" t="s">
        <v>2308</v>
      </c>
      <c r="O292" s="22" t="s">
        <v>2308</v>
      </c>
      <c r="P292" s="22">
        <v>58</v>
      </c>
      <c r="Q292" s="22">
        <v>25</v>
      </c>
      <c r="R292" s="22" t="s">
        <v>2308</v>
      </c>
      <c r="S292" s="22" t="s">
        <v>2308</v>
      </c>
      <c r="T292" s="5" t="s">
        <v>5070</v>
      </c>
    </row>
    <row r="293" spans="1:20" ht="41" customHeight="1">
      <c r="A293" s="12" t="s">
        <v>860</v>
      </c>
      <c r="B293" s="4"/>
      <c r="C293" s="12" t="s">
        <v>12</v>
      </c>
      <c r="D293" s="12" t="s">
        <v>136</v>
      </c>
      <c r="E293" s="5" t="s">
        <v>404</v>
      </c>
      <c r="F293" s="12" t="s">
        <v>116</v>
      </c>
      <c r="G293" s="4" t="s">
        <v>2308</v>
      </c>
      <c r="H293" s="22" t="s">
        <v>2308</v>
      </c>
      <c r="I293" s="22" t="s">
        <v>2308</v>
      </c>
      <c r="J293" s="22" t="s">
        <v>2308</v>
      </c>
      <c r="K293" s="22"/>
      <c r="L293" s="22" t="s">
        <v>2308</v>
      </c>
      <c r="M293" s="22" t="s">
        <v>2308</v>
      </c>
      <c r="N293" s="22" t="s">
        <v>2308</v>
      </c>
      <c r="O293" s="22" t="s">
        <v>2308</v>
      </c>
      <c r="P293" s="22">
        <v>37</v>
      </c>
      <c r="Q293" s="22">
        <v>56</v>
      </c>
      <c r="R293" s="22" t="s">
        <v>2308</v>
      </c>
      <c r="S293" s="22" t="s">
        <v>2308</v>
      </c>
      <c r="T293" s="5" t="s">
        <v>5070</v>
      </c>
    </row>
    <row r="294" spans="1:20" ht="87.5" customHeight="1">
      <c r="A294" s="12" t="s">
        <v>876</v>
      </c>
      <c r="B294" s="4"/>
      <c r="C294" s="12" t="s">
        <v>12</v>
      </c>
      <c r="D294" s="12" t="s">
        <v>136</v>
      </c>
      <c r="E294" s="5" t="s">
        <v>403</v>
      </c>
      <c r="F294" s="4" t="s">
        <v>877</v>
      </c>
      <c r="G294" s="4" t="s">
        <v>143</v>
      </c>
      <c r="H294" s="22" t="s">
        <v>2308</v>
      </c>
      <c r="I294" s="22">
        <v>1.3</v>
      </c>
      <c r="J294" s="22" t="s">
        <v>2308</v>
      </c>
      <c r="K294" s="22" t="s">
        <v>542</v>
      </c>
      <c r="L294" s="22" t="s">
        <v>2308</v>
      </c>
      <c r="M294" s="22">
        <v>17.69230769</v>
      </c>
      <c r="N294" s="22" t="s">
        <v>2308</v>
      </c>
      <c r="O294" s="22" t="s">
        <v>2308</v>
      </c>
      <c r="P294" s="22">
        <v>13.66730832</v>
      </c>
      <c r="Q294" s="22" t="s">
        <v>2308</v>
      </c>
      <c r="R294" s="22">
        <v>46.67</v>
      </c>
      <c r="S294" s="22" t="s">
        <v>2308</v>
      </c>
      <c r="T294" s="5" t="s">
        <v>2102</v>
      </c>
    </row>
    <row r="295" spans="1:20" ht="36" customHeight="1">
      <c r="A295" s="12" t="s">
        <v>883</v>
      </c>
      <c r="B295" s="4"/>
      <c r="C295" s="12" t="s">
        <v>12</v>
      </c>
      <c r="D295" s="12" t="s">
        <v>136</v>
      </c>
      <c r="E295" s="4" t="s">
        <v>143</v>
      </c>
      <c r="F295" s="4" t="s">
        <v>2308</v>
      </c>
      <c r="G295" s="4" t="s">
        <v>2308</v>
      </c>
      <c r="H295" s="22" t="s">
        <v>2308</v>
      </c>
      <c r="I295" s="22" t="s">
        <v>2308</v>
      </c>
      <c r="J295" s="22" t="s">
        <v>2308</v>
      </c>
      <c r="K295" s="22"/>
      <c r="L295" s="22" t="s">
        <v>2308</v>
      </c>
      <c r="M295" s="22" t="s">
        <v>2308</v>
      </c>
      <c r="N295" s="22" t="s">
        <v>2308</v>
      </c>
      <c r="O295" s="22" t="s">
        <v>2308</v>
      </c>
      <c r="P295" s="22" t="s">
        <v>2308</v>
      </c>
      <c r="Q295" s="22" t="s">
        <v>2308</v>
      </c>
      <c r="R295" s="22" t="s">
        <v>2308</v>
      </c>
      <c r="S295" s="22" t="s">
        <v>2308</v>
      </c>
      <c r="T295" s="5" t="s">
        <v>2155</v>
      </c>
    </row>
    <row r="296" spans="1:20" ht="36" customHeight="1">
      <c r="A296" s="36" t="s">
        <v>2104</v>
      </c>
      <c r="B296" s="4"/>
      <c r="C296" s="12" t="s">
        <v>12</v>
      </c>
      <c r="D296" s="12" t="s">
        <v>136</v>
      </c>
      <c r="E296" s="4" t="s">
        <v>143</v>
      </c>
      <c r="F296" s="4" t="s">
        <v>2308</v>
      </c>
      <c r="G296" s="4" t="s">
        <v>2308</v>
      </c>
      <c r="H296" s="22" t="s">
        <v>2308</v>
      </c>
      <c r="I296" s="22" t="s">
        <v>2308</v>
      </c>
      <c r="J296" s="22" t="s">
        <v>2308</v>
      </c>
      <c r="K296" s="22"/>
      <c r="L296" s="22" t="s">
        <v>2308</v>
      </c>
      <c r="M296" s="22" t="s">
        <v>2308</v>
      </c>
      <c r="N296" s="22" t="s">
        <v>2308</v>
      </c>
      <c r="O296" s="22" t="s">
        <v>2308</v>
      </c>
      <c r="P296" s="22" t="s">
        <v>2308</v>
      </c>
      <c r="Q296" s="22" t="s">
        <v>2308</v>
      </c>
      <c r="R296" s="22" t="s">
        <v>2308</v>
      </c>
      <c r="S296" s="22" t="s">
        <v>2308</v>
      </c>
      <c r="T296" s="5" t="s">
        <v>2155</v>
      </c>
    </row>
    <row r="297" spans="1:20" ht="36" customHeight="1">
      <c r="A297" s="36" t="s">
        <v>2105</v>
      </c>
      <c r="B297" s="4"/>
      <c r="C297" s="12" t="s">
        <v>12</v>
      </c>
      <c r="D297" s="12" t="s">
        <v>136</v>
      </c>
      <c r="E297" s="4" t="s">
        <v>143</v>
      </c>
      <c r="F297" s="4" t="s">
        <v>2308</v>
      </c>
      <c r="G297" s="4" t="s">
        <v>2308</v>
      </c>
      <c r="H297" s="22" t="s">
        <v>2308</v>
      </c>
      <c r="I297" s="22" t="s">
        <v>2308</v>
      </c>
      <c r="J297" s="22" t="s">
        <v>2308</v>
      </c>
      <c r="K297" s="22"/>
      <c r="L297" s="22" t="s">
        <v>2308</v>
      </c>
      <c r="M297" s="22" t="s">
        <v>2308</v>
      </c>
      <c r="N297" s="22" t="s">
        <v>2308</v>
      </c>
      <c r="O297" s="22" t="s">
        <v>2308</v>
      </c>
      <c r="P297" s="22" t="s">
        <v>2308</v>
      </c>
      <c r="Q297" s="22" t="s">
        <v>2308</v>
      </c>
      <c r="R297" s="22" t="s">
        <v>2308</v>
      </c>
      <c r="S297" s="22" t="s">
        <v>2308</v>
      </c>
      <c r="T297" s="5" t="s">
        <v>2155</v>
      </c>
    </row>
    <row r="298" spans="1:20" ht="36" customHeight="1">
      <c r="A298" s="36" t="s">
        <v>2106</v>
      </c>
      <c r="B298" s="4"/>
      <c r="C298" s="12" t="s">
        <v>12</v>
      </c>
      <c r="D298" s="12" t="s">
        <v>136</v>
      </c>
      <c r="E298" s="4" t="s">
        <v>143</v>
      </c>
      <c r="F298" s="4" t="s">
        <v>2308</v>
      </c>
      <c r="G298" s="4" t="s">
        <v>2308</v>
      </c>
      <c r="H298" s="22" t="s">
        <v>2308</v>
      </c>
      <c r="I298" s="22" t="s">
        <v>2308</v>
      </c>
      <c r="J298" s="22" t="s">
        <v>2308</v>
      </c>
      <c r="K298" s="22"/>
      <c r="L298" s="22" t="s">
        <v>2308</v>
      </c>
      <c r="M298" s="22" t="s">
        <v>2308</v>
      </c>
      <c r="N298" s="22" t="s">
        <v>2308</v>
      </c>
      <c r="O298" s="22" t="s">
        <v>2308</v>
      </c>
      <c r="P298" s="22" t="s">
        <v>2308</v>
      </c>
      <c r="Q298" s="22" t="s">
        <v>2308</v>
      </c>
      <c r="R298" s="22" t="s">
        <v>2308</v>
      </c>
      <c r="S298" s="22" t="s">
        <v>2308</v>
      </c>
      <c r="T298" s="5" t="s">
        <v>2155</v>
      </c>
    </row>
    <row r="299" spans="1:20" ht="36" customHeight="1">
      <c r="A299" s="36" t="s">
        <v>2107</v>
      </c>
      <c r="B299" s="4"/>
      <c r="C299" s="12" t="s">
        <v>12</v>
      </c>
      <c r="D299" s="12" t="s">
        <v>136</v>
      </c>
      <c r="E299" s="4" t="s">
        <v>143</v>
      </c>
      <c r="F299" s="4" t="s">
        <v>2308</v>
      </c>
      <c r="G299" s="4" t="s">
        <v>2308</v>
      </c>
      <c r="H299" s="22" t="s">
        <v>2308</v>
      </c>
      <c r="I299" s="22" t="s">
        <v>2308</v>
      </c>
      <c r="J299" s="22" t="s">
        <v>2308</v>
      </c>
      <c r="K299" s="22"/>
      <c r="L299" s="22" t="s">
        <v>2308</v>
      </c>
      <c r="M299" s="22" t="s">
        <v>2308</v>
      </c>
      <c r="N299" s="22" t="s">
        <v>2308</v>
      </c>
      <c r="O299" s="22" t="s">
        <v>2308</v>
      </c>
      <c r="P299" s="22" t="s">
        <v>2308</v>
      </c>
      <c r="Q299" s="22" t="s">
        <v>2308</v>
      </c>
      <c r="R299" s="22" t="s">
        <v>2308</v>
      </c>
      <c r="S299" s="22" t="s">
        <v>2308</v>
      </c>
      <c r="T299" s="5" t="s">
        <v>2155</v>
      </c>
    </row>
    <row r="300" spans="1:20" ht="36" customHeight="1">
      <c r="A300" s="36" t="s">
        <v>2108</v>
      </c>
      <c r="B300" s="4"/>
      <c r="C300" s="12" t="s">
        <v>12</v>
      </c>
      <c r="D300" s="12" t="s">
        <v>136</v>
      </c>
      <c r="E300" s="4" t="s">
        <v>143</v>
      </c>
      <c r="F300" s="4" t="s">
        <v>2308</v>
      </c>
      <c r="G300" s="4" t="s">
        <v>2308</v>
      </c>
      <c r="H300" s="22" t="s">
        <v>2308</v>
      </c>
      <c r="I300" s="22" t="s">
        <v>2308</v>
      </c>
      <c r="J300" s="22" t="s">
        <v>2308</v>
      </c>
      <c r="K300" s="22"/>
      <c r="L300" s="22" t="s">
        <v>2308</v>
      </c>
      <c r="M300" s="22" t="s">
        <v>2308</v>
      </c>
      <c r="N300" s="22" t="s">
        <v>2308</v>
      </c>
      <c r="O300" s="22" t="s">
        <v>2308</v>
      </c>
      <c r="P300" s="22" t="s">
        <v>2308</v>
      </c>
      <c r="Q300" s="22" t="s">
        <v>2308</v>
      </c>
      <c r="R300" s="22" t="s">
        <v>2308</v>
      </c>
      <c r="S300" s="22" t="s">
        <v>2308</v>
      </c>
      <c r="T300" s="5" t="s">
        <v>2155</v>
      </c>
    </row>
    <row r="301" spans="1:20" ht="36" customHeight="1">
      <c r="A301" s="36" t="s">
        <v>2109</v>
      </c>
      <c r="B301" s="4"/>
      <c r="C301" s="12" t="s">
        <v>12</v>
      </c>
      <c r="D301" s="12" t="s">
        <v>136</v>
      </c>
      <c r="E301" s="4" t="s">
        <v>143</v>
      </c>
      <c r="F301" s="4" t="s">
        <v>2308</v>
      </c>
      <c r="G301" s="4" t="s">
        <v>2308</v>
      </c>
      <c r="H301" s="22" t="s">
        <v>2308</v>
      </c>
      <c r="I301" s="22" t="s">
        <v>2308</v>
      </c>
      <c r="J301" s="22" t="s">
        <v>2308</v>
      </c>
      <c r="K301" s="22"/>
      <c r="L301" s="22" t="s">
        <v>2308</v>
      </c>
      <c r="M301" s="22" t="s">
        <v>2308</v>
      </c>
      <c r="N301" s="22" t="s">
        <v>2308</v>
      </c>
      <c r="O301" s="22" t="s">
        <v>2308</v>
      </c>
      <c r="P301" s="22" t="s">
        <v>2308</v>
      </c>
      <c r="Q301" s="22" t="s">
        <v>2308</v>
      </c>
      <c r="R301" s="22" t="s">
        <v>2308</v>
      </c>
      <c r="S301" s="22" t="s">
        <v>2308</v>
      </c>
      <c r="T301" s="5" t="s">
        <v>2155</v>
      </c>
    </row>
    <row r="302" spans="1:20" ht="36" customHeight="1">
      <c r="A302" s="36" t="s">
        <v>2110</v>
      </c>
      <c r="B302" s="4"/>
      <c r="C302" s="12" t="s">
        <v>12</v>
      </c>
      <c r="D302" s="12" t="s">
        <v>136</v>
      </c>
      <c r="E302" s="4" t="s">
        <v>143</v>
      </c>
      <c r="F302" s="4" t="s">
        <v>2308</v>
      </c>
      <c r="G302" s="4" t="s">
        <v>2308</v>
      </c>
      <c r="H302" s="22" t="s">
        <v>2308</v>
      </c>
      <c r="I302" s="22" t="s">
        <v>2308</v>
      </c>
      <c r="J302" s="22" t="s">
        <v>2308</v>
      </c>
      <c r="K302" s="22"/>
      <c r="L302" s="22" t="s">
        <v>2308</v>
      </c>
      <c r="M302" s="22" t="s">
        <v>2308</v>
      </c>
      <c r="N302" s="22" t="s">
        <v>2308</v>
      </c>
      <c r="O302" s="22" t="s">
        <v>2308</v>
      </c>
      <c r="P302" s="22" t="s">
        <v>2308</v>
      </c>
      <c r="Q302" s="22" t="s">
        <v>2308</v>
      </c>
      <c r="R302" s="22" t="s">
        <v>2308</v>
      </c>
      <c r="S302" s="22" t="s">
        <v>2308</v>
      </c>
      <c r="T302" s="5" t="s">
        <v>2155</v>
      </c>
    </row>
    <row r="303" spans="1:20" ht="36" customHeight="1">
      <c r="A303" s="36" t="s">
        <v>2111</v>
      </c>
      <c r="B303" s="4"/>
      <c r="C303" s="12" t="s">
        <v>12</v>
      </c>
      <c r="D303" s="12" t="s">
        <v>136</v>
      </c>
      <c r="E303" s="4" t="s">
        <v>143</v>
      </c>
      <c r="F303" s="4" t="s">
        <v>2308</v>
      </c>
      <c r="G303" s="4" t="s">
        <v>2308</v>
      </c>
      <c r="H303" s="22" t="s">
        <v>2308</v>
      </c>
      <c r="I303" s="22" t="s">
        <v>2308</v>
      </c>
      <c r="J303" s="22" t="s">
        <v>2308</v>
      </c>
      <c r="K303" s="22"/>
      <c r="L303" s="22" t="s">
        <v>2308</v>
      </c>
      <c r="M303" s="22" t="s">
        <v>2308</v>
      </c>
      <c r="N303" s="22" t="s">
        <v>2308</v>
      </c>
      <c r="O303" s="22" t="s">
        <v>2308</v>
      </c>
      <c r="P303" s="22" t="s">
        <v>2308</v>
      </c>
      <c r="Q303" s="22" t="s">
        <v>2308</v>
      </c>
      <c r="R303" s="22" t="s">
        <v>2308</v>
      </c>
      <c r="S303" s="22" t="s">
        <v>2308</v>
      </c>
      <c r="T303" s="5" t="s">
        <v>2155</v>
      </c>
    </row>
    <row r="304" spans="1:20" ht="36" customHeight="1">
      <c r="A304" s="36" t="s">
        <v>2112</v>
      </c>
      <c r="B304" s="4"/>
      <c r="C304" s="12" t="s">
        <v>12</v>
      </c>
      <c r="D304" s="12" t="s">
        <v>136</v>
      </c>
      <c r="E304" s="4" t="s">
        <v>143</v>
      </c>
      <c r="F304" s="4" t="s">
        <v>2308</v>
      </c>
      <c r="G304" s="4" t="s">
        <v>2308</v>
      </c>
      <c r="H304" s="22" t="s">
        <v>2308</v>
      </c>
      <c r="I304" s="22" t="s">
        <v>2308</v>
      </c>
      <c r="J304" s="22" t="s">
        <v>2308</v>
      </c>
      <c r="K304" s="22"/>
      <c r="L304" s="22" t="s">
        <v>2308</v>
      </c>
      <c r="M304" s="22" t="s">
        <v>2308</v>
      </c>
      <c r="N304" s="22" t="s">
        <v>2308</v>
      </c>
      <c r="O304" s="22" t="s">
        <v>2308</v>
      </c>
      <c r="P304" s="22" t="s">
        <v>2308</v>
      </c>
      <c r="Q304" s="22" t="s">
        <v>2308</v>
      </c>
      <c r="R304" s="22" t="s">
        <v>2308</v>
      </c>
      <c r="S304" s="22" t="s">
        <v>2308</v>
      </c>
      <c r="T304" s="5" t="s">
        <v>2155</v>
      </c>
    </row>
    <row r="305" spans="1:20" ht="36" customHeight="1">
      <c r="A305" s="36" t="s">
        <v>2113</v>
      </c>
      <c r="B305" s="4"/>
      <c r="C305" s="12" t="s">
        <v>12</v>
      </c>
      <c r="D305" s="12" t="s">
        <v>136</v>
      </c>
      <c r="E305" s="4" t="s">
        <v>143</v>
      </c>
      <c r="F305" s="4" t="s">
        <v>2308</v>
      </c>
      <c r="G305" s="4" t="s">
        <v>2308</v>
      </c>
      <c r="H305" s="22" t="s">
        <v>2308</v>
      </c>
      <c r="I305" s="22" t="s">
        <v>2308</v>
      </c>
      <c r="J305" s="22" t="s">
        <v>2308</v>
      </c>
      <c r="K305" s="22"/>
      <c r="L305" s="22" t="s">
        <v>2308</v>
      </c>
      <c r="M305" s="22" t="s">
        <v>2308</v>
      </c>
      <c r="N305" s="22" t="s">
        <v>2308</v>
      </c>
      <c r="O305" s="22" t="s">
        <v>2308</v>
      </c>
      <c r="P305" s="22" t="s">
        <v>2308</v>
      </c>
      <c r="Q305" s="22" t="s">
        <v>2308</v>
      </c>
      <c r="R305" s="22" t="s">
        <v>2308</v>
      </c>
      <c r="S305" s="22" t="s">
        <v>2308</v>
      </c>
      <c r="T305" s="5" t="s">
        <v>2155</v>
      </c>
    </row>
    <row r="306" spans="1:20" ht="36" customHeight="1">
      <c r="A306" s="36" t="s">
        <v>2114</v>
      </c>
      <c r="B306" s="4"/>
      <c r="C306" s="12" t="s">
        <v>12</v>
      </c>
      <c r="D306" s="12" t="s">
        <v>136</v>
      </c>
      <c r="E306" s="4" t="s">
        <v>143</v>
      </c>
      <c r="F306" s="4" t="s">
        <v>2308</v>
      </c>
      <c r="G306" s="4" t="s">
        <v>2308</v>
      </c>
      <c r="H306" s="22" t="s">
        <v>2308</v>
      </c>
      <c r="I306" s="22" t="s">
        <v>2308</v>
      </c>
      <c r="J306" s="22" t="s">
        <v>2308</v>
      </c>
      <c r="K306" s="22"/>
      <c r="L306" s="22" t="s">
        <v>2308</v>
      </c>
      <c r="M306" s="22" t="s">
        <v>2308</v>
      </c>
      <c r="N306" s="22" t="s">
        <v>2308</v>
      </c>
      <c r="O306" s="22" t="s">
        <v>2308</v>
      </c>
      <c r="P306" s="22" t="s">
        <v>2308</v>
      </c>
      <c r="Q306" s="22" t="s">
        <v>2308</v>
      </c>
      <c r="R306" s="22" t="s">
        <v>2308</v>
      </c>
      <c r="S306" s="22" t="s">
        <v>2308</v>
      </c>
      <c r="T306" s="5" t="s">
        <v>2155</v>
      </c>
    </row>
    <row r="307" spans="1:20" ht="36" customHeight="1">
      <c r="A307" s="36" t="s">
        <v>2115</v>
      </c>
      <c r="B307" s="4"/>
      <c r="C307" s="12" t="s">
        <v>12</v>
      </c>
      <c r="D307" s="12" t="s">
        <v>136</v>
      </c>
      <c r="E307" s="4" t="s">
        <v>143</v>
      </c>
      <c r="F307" s="4" t="s">
        <v>2308</v>
      </c>
      <c r="G307" s="4" t="s">
        <v>2308</v>
      </c>
      <c r="H307" s="22" t="s">
        <v>2308</v>
      </c>
      <c r="I307" s="22" t="s">
        <v>2308</v>
      </c>
      <c r="J307" s="22" t="s">
        <v>2308</v>
      </c>
      <c r="K307" s="22"/>
      <c r="L307" s="22" t="s">
        <v>2308</v>
      </c>
      <c r="M307" s="22" t="s">
        <v>2308</v>
      </c>
      <c r="N307" s="22" t="s">
        <v>2308</v>
      </c>
      <c r="O307" s="22" t="s">
        <v>2308</v>
      </c>
      <c r="P307" s="22" t="s">
        <v>2308</v>
      </c>
      <c r="Q307" s="22" t="s">
        <v>2308</v>
      </c>
      <c r="R307" s="22" t="s">
        <v>2308</v>
      </c>
      <c r="S307" s="22" t="s">
        <v>2308</v>
      </c>
      <c r="T307" s="5" t="s">
        <v>2155</v>
      </c>
    </row>
    <row r="308" spans="1:20" ht="36" customHeight="1">
      <c r="A308" s="36" t="s">
        <v>2116</v>
      </c>
      <c r="B308" s="4"/>
      <c r="C308" s="12" t="s">
        <v>12</v>
      </c>
      <c r="D308" s="12" t="s">
        <v>136</v>
      </c>
      <c r="E308" s="4" t="s">
        <v>143</v>
      </c>
      <c r="F308" s="4" t="s">
        <v>2308</v>
      </c>
      <c r="G308" s="4" t="s">
        <v>2308</v>
      </c>
      <c r="H308" s="22" t="s">
        <v>2308</v>
      </c>
      <c r="I308" s="22" t="s">
        <v>2308</v>
      </c>
      <c r="J308" s="22" t="s">
        <v>2308</v>
      </c>
      <c r="K308" s="22"/>
      <c r="L308" s="22" t="s">
        <v>2308</v>
      </c>
      <c r="M308" s="22" t="s">
        <v>2308</v>
      </c>
      <c r="N308" s="22" t="s">
        <v>2308</v>
      </c>
      <c r="O308" s="22" t="s">
        <v>2308</v>
      </c>
      <c r="P308" s="22" t="s">
        <v>2308</v>
      </c>
      <c r="Q308" s="22" t="s">
        <v>2308</v>
      </c>
      <c r="R308" s="22" t="s">
        <v>2308</v>
      </c>
      <c r="S308" s="22" t="s">
        <v>2308</v>
      </c>
      <c r="T308" s="5" t="s">
        <v>2155</v>
      </c>
    </row>
    <row r="309" spans="1:20" ht="36" customHeight="1">
      <c r="A309" s="36" t="s">
        <v>2117</v>
      </c>
      <c r="B309" s="4"/>
      <c r="C309" s="12" t="s">
        <v>12</v>
      </c>
      <c r="D309" s="12" t="s">
        <v>136</v>
      </c>
      <c r="E309" s="4" t="s">
        <v>143</v>
      </c>
      <c r="F309" s="4" t="s">
        <v>2308</v>
      </c>
      <c r="G309" s="4" t="s">
        <v>2308</v>
      </c>
      <c r="H309" s="22" t="s">
        <v>2308</v>
      </c>
      <c r="I309" s="22" t="s">
        <v>2308</v>
      </c>
      <c r="J309" s="22" t="s">
        <v>2308</v>
      </c>
      <c r="K309" s="22"/>
      <c r="L309" s="22" t="s">
        <v>2308</v>
      </c>
      <c r="M309" s="22" t="s">
        <v>2308</v>
      </c>
      <c r="N309" s="22" t="s">
        <v>2308</v>
      </c>
      <c r="O309" s="22" t="s">
        <v>2308</v>
      </c>
      <c r="P309" s="22" t="s">
        <v>2308</v>
      </c>
      <c r="Q309" s="22" t="s">
        <v>2308</v>
      </c>
      <c r="R309" s="22" t="s">
        <v>2308</v>
      </c>
      <c r="S309" s="22" t="s">
        <v>2308</v>
      </c>
      <c r="T309" s="5" t="s">
        <v>2155</v>
      </c>
    </row>
    <row r="310" spans="1:20" ht="36" customHeight="1">
      <c r="A310" s="36" t="s">
        <v>2118</v>
      </c>
      <c r="B310" s="4"/>
      <c r="C310" s="12" t="s">
        <v>12</v>
      </c>
      <c r="D310" s="12" t="s">
        <v>136</v>
      </c>
      <c r="E310" s="4" t="s">
        <v>143</v>
      </c>
      <c r="F310" s="4" t="s">
        <v>2308</v>
      </c>
      <c r="G310" s="4" t="s">
        <v>2308</v>
      </c>
      <c r="H310" s="22" t="s">
        <v>2308</v>
      </c>
      <c r="I310" s="22" t="s">
        <v>2308</v>
      </c>
      <c r="J310" s="22" t="s">
        <v>2308</v>
      </c>
      <c r="K310" s="22"/>
      <c r="L310" s="22" t="s">
        <v>2308</v>
      </c>
      <c r="M310" s="22" t="s">
        <v>2308</v>
      </c>
      <c r="N310" s="22" t="s">
        <v>2308</v>
      </c>
      <c r="O310" s="22" t="s">
        <v>2308</v>
      </c>
      <c r="P310" s="22" t="s">
        <v>2308</v>
      </c>
      <c r="Q310" s="22" t="s">
        <v>2308</v>
      </c>
      <c r="R310" s="22" t="s">
        <v>2308</v>
      </c>
      <c r="S310" s="22" t="s">
        <v>2308</v>
      </c>
      <c r="T310" s="5" t="s">
        <v>2155</v>
      </c>
    </row>
    <row r="311" spans="1:20" ht="36" customHeight="1">
      <c r="A311" s="36" t="s">
        <v>2119</v>
      </c>
      <c r="B311" s="4"/>
      <c r="C311" s="12" t="s">
        <v>12</v>
      </c>
      <c r="D311" s="12" t="s">
        <v>136</v>
      </c>
      <c r="E311" s="4" t="s">
        <v>143</v>
      </c>
      <c r="F311" s="4" t="s">
        <v>2308</v>
      </c>
      <c r="G311" s="4" t="s">
        <v>2308</v>
      </c>
      <c r="H311" s="22" t="s">
        <v>2308</v>
      </c>
      <c r="I311" s="22" t="s">
        <v>2308</v>
      </c>
      <c r="J311" s="22" t="s">
        <v>2308</v>
      </c>
      <c r="K311" s="22"/>
      <c r="L311" s="22" t="s">
        <v>2308</v>
      </c>
      <c r="M311" s="22" t="s">
        <v>2308</v>
      </c>
      <c r="N311" s="22" t="s">
        <v>2308</v>
      </c>
      <c r="O311" s="22" t="s">
        <v>2308</v>
      </c>
      <c r="P311" s="22" t="s">
        <v>2308</v>
      </c>
      <c r="Q311" s="22" t="s">
        <v>2308</v>
      </c>
      <c r="R311" s="22" t="s">
        <v>2308</v>
      </c>
      <c r="S311" s="22" t="s">
        <v>2308</v>
      </c>
      <c r="T311" s="5" t="s">
        <v>2155</v>
      </c>
    </row>
    <row r="312" spans="1:20" ht="36" customHeight="1">
      <c r="A312" s="36" t="s">
        <v>2120</v>
      </c>
      <c r="B312" s="4"/>
      <c r="C312" s="12" t="s">
        <v>12</v>
      </c>
      <c r="D312" s="12" t="s">
        <v>136</v>
      </c>
      <c r="E312" s="4" t="s">
        <v>143</v>
      </c>
      <c r="F312" s="4" t="s">
        <v>2308</v>
      </c>
      <c r="G312" s="4" t="s">
        <v>2308</v>
      </c>
      <c r="H312" s="22" t="s">
        <v>2308</v>
      </c>
      <c r="I312" s="22" t="s">
        <v>2308</v>
      </c>
      <c r="J312" s="22" t="s">
        <v>2308</v>
      </c>
      <c r="K312" s="22"/>
      <c r="L312" s="22" t="s">
        <v>2308</v>
      </c>
      <c r="M312" s="22" t="s">
        <v>2308</v>
      </c>
      <c r="N312" s="22" t="s">
        <v>2308</v>
      </c>
      <c r="O312" s="22" t="s">
        <v>2308</v>
      </c>
      <c r="P312" s="22" t="s">
        <v>2308</v>
      </c>
      <c r="Q312" s="22" t="s">
        <v>2308</v>
      </c>
      <c r="R312" s="22" t="s">
        <v>2308</v>
      </c>
      <c r="S312" s="22" t="s">
        <v>2308</v>
      </c>
      <c r="T312" s="5" t="s">
        <v>2155</v>
      </c>
    </row>
    <row r="313" spans="1:20" ht="36" customHeight="1">
      <c r="A313" s="36" t="s">
        <v>2121</v>
      </c>
      <c r="B313" s="4"/>
      <c r="C313" s="12" t="s">
        <v>12</v>
      </c>
      <c r="D313" s="12" t="s">
        <v>136</v>
      </c>
      <c r="E313" s="4" t="s">
        <v>143</v>
      </c>
      <c r="F313" s="4" t="s">
        <v>2308</v>
      </c>
      <c r="G313" s="4" t="s">
        <v>2308</v>
      </c>
      <c r="H313" s="22" t="s">
        <v>2308</v>
      </c>
      <c r="I313" s="22" t="s">
        <v>2308</v>
      </c>
      <c r="J313" s="22" t="s">
        <v>2308</v>
      </c>
      <c r="K313" s="22"/>
      <c r="L313" s="22" t="s">
        <v>2308</v>
      </c>
      <c r="M313" s="22" t="s">
        <v>2308</v>
      </c>
      <c r="N313" s="22" t="s">
        <v>2308</v>
      </c>
      <c r="O313" s="22" t="s">
        <v>2308</v>
      </c>
      <c r="P313" s="22" t="s">
        <v>2308</v>
      </c>
      <c r="Q313" s="22" t="s">
        <v>2308</v>
      </c>
      <c r="R313" s="22" t="s">
        <v>2308</v>
      </c>
      <c r="S313" s="22" t="s">
        <v>2308</v>
      </c>
      <c r="T313" s="5" t="s">
        <v>2155</v>
      </c>
    </row>
    <row r="314" spans="1:20" ht="36" customHeight="1">
      <c r="A314" s="36" t="s">
        <v>2122</v>
      </c>
      <c r="B314" s="4"/>
      <c r="C314" s="12" t="s">
        <v>12</v>
      </c>
      <c r="D314" s="12" t="s">
        <v>136</v>
      </c>
      <c r="E314" s="4" t="s">
        <v>143</v>
      </c>
      <c r="F314" s="4" t="s">
        <v>2308</v>
      </c>
      <c r="G314" s="4" t="s">
        <v>2308</v>
      </c>
      <c r="H314" s="22" t="s">
        <v>2308</v>
      </c>
      <c r="I314" s="22" t="s">
        <v>2308</v>
      </c>
      <c r="J314" s="22" t="s">
        <v>2308</v>
      </c>
      <c r="K314" s="22"/>
      <c r="L314" s="22" t="s">
        <v>2308</v>
      </c>
      <c r="M314" s="22" t="s">
        <v>2308</v>
      </c>
      <c r="N314" s="22" t="s">
        <v>2308</v>
      </c>
      <c r="O314" s="22" t="s">
        <v>2308</v>
      </c>
      <c r="P314" s="22" t="s">
        <v>2308</v>
      </c>
      <c r="Q314" s="22" t="s">
        <v>2308</v>
      </c>
      <c r="R314" s="22" t="s">
        <v>2308</v>
      </c>
      <c r="S314" s="22" t="s">
        <v>2308</v>
      </c>
      <c r="T314" s="5" t="s">
        <v>2155</v>
      </c>
    </row>
    <row r="315" spans="1:20" ht="36" customHeight="1">
      <c r="A315" s="36" t="s">
        <v>2123</v>
      </c>
      <c r="B315" s="4"/>
      <c r="C315" s="12" t="s">
        <v>12</v>
      </c>
      <c r="D315" s="12" t="s">
        <v>136</v>
      </c>
      <c r="E315" s="4" t="s">
        <v>143</v>
      </c>
      <c r="F315" s="4" t="s">
        <v>2308</v>
      </c>
      <c r="G315" s="4" t="s">
        <v>2308</v>
      </c>
      <c r="H315" s="22" t="s">
        <v>2308</v>
      </c>
      <c r="I315" s="22" t="s">
        <v>2308</v>
      </c>
      <c r="J315" s="22" t="s">
        <v>2308</v>
      </c>
      <c r="K315" s="22"/>
      <c r="L315" s="22" t="s">
        <v>2308</v>
      </c>
      <c r="M315" s="22" t="s">
        <v>2308</v>
      </c>
      <c r="N315" s="22" t="s">
        <v>2308</v>
      </c>
      <c r="O315" s="22" t="s">
        <v>2308</v>
      </c>
      <c r="P315" s="22" t="s">
        <v>2308</v>
      </c>
      <c r="Q315" s="22" t="s">
        <v>2308</v>
      </c>
      <c r="R315" s="22" t="s">
        <v>2308</v>
      </c>
      <c r="S315" s="22" t="s">
        <v>2308</v>
      </c>
      <c r="T315" s="5" t="s">
        <v>2155</v>
      </c>
    </row>
    <row r="316" spans="1:20" ht="36" customHeight="1">
      <c r="A316" s="36" t="s">
        <v>2124</v>
      </c>
      <c r="B316" s="4"/>
      <c r="C316" s="12" t="s">
        <v>12</v>
      </c>
      <c r="D316" s="12" t="s">
        <v>136</v>
      </c>
      <c r="E316" s="4" t="s">
        <v>143</v>
      </c>
      <c r="F316" s="4" t="s">
        <v>2308</v>
      </c>
      <c r="G316" s="4" t="s">
        <v>2308</v>
      </c>
      <c r="H316" s="22" t="s">
        <v>2308</v>
      </c>
      <c r="I316" s="22" t="s">
        <v>2308</v>
      </c>
      <c r="J316" s="22" t="s">
        <v>2308</v>
      </c>
      <c r="K316" s="22"/>
      <c r="L316" s="22" t="s">
        <v>2308</v>
      </c>
      <c r="M316" s="22" t="s">
        <v>2308</v>
      </c>
      <c r="N316" s="22" t="s">
        <v>2308</v>
      </c>
      <c r="O316" s="22" t="s">
        <v>2308</v>
      </c>
      <c r="P316" s="22" t="s">
        <v>2308</v>
      </c>
      <c r="Q316" s="22" t="s">
        <v>2308</v>
      </c>
      <c r="R316" s="22" t="s">
        <v>2308</v>
      </c>
      <c r="S316" s="22" t="s">
        <v>2308</v>
      </c>
      <c r="T316" s="5" t="s">
        <v>2155</v>
      </c>
    </row>
    <row r="317" spans="1:20" ht="36" customHeight="1">
      <c r="A317" s="36" t="s">
        <v>2125</v>
      </c>
      <c r="B317" s="4"/>
      <c r="C317" s="12" t="s">
        <v>12</v>
      </c>
      <c r="D317" s="12" t="s">
        <v>136</v>
      </c>
      <c r="E317" s="4" t="s">
        <v>143</v>
      </c>
      <c r="F317" s="4" t="s">
        <v>2308</v>
      </c>
      <c r="G317" s="4" t="s">
        <v>2308</v>
      </c>
      <c r="H317" s="22" t="s">
        <v>2308</v>
      </c>
      <c r="I317" s="22" t="s">
        <v>2308</v>
      </c>
      <c r="J317" s="22" t="s">
        <v>2308</v>
      </c>
      <c r="K317" s="22"/>
      <c r="L317" s="22" t="s">
        <v>2308</v>
      </c>
      <c r="M317" s="22" t="s">
        <v>2308</v>
      </c>
      <c r="N317" s="22" t="s">
        <v>2308</v>
      </c>
      <c r="O317" s="22" t="s">
        <v>2308</v>
      </c>
      <c r="P317" s="22" t="s">
        <v>2308</v>
      </c>
      <c r="Q317" s="22" t="s">
        <v>2308</v>
      </c>
      <c r="R317" s="22" t="s">
        <v>2308</v>
      </c>
      <c r="S317" s="22" t="s">
        <v>2308</v>
      </c>
      <c r="T317" s="5" t="s">
        <v>2155</v>
      </c>
    </row>
    <row r="318" spans="1:20" ht="36" customHeight="1">
      <c r="A318" s="36" t="s">
        <v>2126</v>
      </c>
      <c r="B318" s="4"/>
      <c r="C318" s="12" t="s">
        <v>12</v>
      </c>
      <c r="D318" s="12" t="s">
        <v>136</v>
      </c>
      <c r="E318" s="4" t="s">
        <v>143</v>
      </c>
      <c r="F318" s="4" t="s">
        <v>2308</v>
      </c>
      <c r="G318" s="4" t="s">
        <v>2308</v>
      </c>
      <c r="H318" s="22" t="s">
        <v>2308</v>
      </c>
      <c r="I318" s="22" t="s">
        <v>2308</v>
      </c>
      <c r="J318" s="22" t="s">
        <v>2308</v>
      </c>
      <c r="K318" s="22"/>
      <c r="L318" s="22" t="s">
        <v>2308</v>
      </c>
      <c r="M318" s="22" t="s">
        <v>2308</v>
      </c>
      <c r="N318" s="22" t="s">
        <v>2308</v>
      </c>
      <c r="O318" s="22" t="s">
        <v>2308</v>
      </c>
      <c r="P318" s="22" t="s">
        <v>2308</v>
      </c>
      <c r="Q318" s="22" t="s">
        <v>2308</v>
      </c>
      <c r="R318" s="22" t="s">
        <v>2308</v>
      </c>
      <c r="S318" s="22" t="s">
        <v>2308</v>
      </c>
      <c r="T318" s="5" t="s">
        <v>2155</v>
      </c>
    </row>
    <row r="319" spans="1:20" ht="36" customHeight="1">
      <c r="A319" s="36" t="s">
        <v>2127</v>
      </c>
      <c r="B319" s="4"/>
      <c r="C319" s="12" t="s">
        <v>12</v>
      </c>
      <c r="D319" s="12" t="s">
        <v>136</v>
      </c>
      <c r="E319" s="4" t="s">
        <v>143</v>
      </c>
      <c r="F319" s="4" t="s">
        <v>2308</v>
      </c>
      <c r="G319" s="4" t="s">
        <v>2308</v>
      </c>
      <c r="H319" s="22" t="s">
        <v>2308</v>
      </c>
      <c r="I319" s="22" t="s">
        <v>2308</v>
      </c>
      <c r="J319" s="22" t="s">
        <v>2308</v>
      </c>
      <c r="K319" s="22"/>
      <c r="L319" s="22" t="s">
        <v>2308</v>
      </c>
      <c r="M319" s="22" t="s">
        <v>2308</v>
      </c>
      <c r="N319" s="22" t="s">
        <v>2308</v>
      </c>
      <c r="O319" s="22" t="s">
        <v>2308</v>
      </c>
      <c r="P319" s="22" t="s">
        <v>2308</v>
      </c>
      <c r="Q319" s="22" t="s">
        <v>2308</v>
      </c>
      <c r="R319" s="22" t="s">
        <v>2308</v>
      </c>
      <c r="S319" s="22" t="s">
        <v>2308</v>
      </c>
      <c r="T319" s="5" t="s">
        <v>2155</v>
      </c>
    </row>
    <row r="320" spans="1:20" ht="36" customHeight="1">
      <c r="A320" s="36" t="s">
        <v>2128</v>
      </c>
      <c r="B320" s="4"/>
      <c r="C320" s="12" t="s">
        <v>12</v>
      </c>
      <c r="D320" s="12" t="s">
        <v>136</v>
      </c>
      <c r="E320" s="4" t="s">
        <v>143</v>
      </c>
      <c r="F320" s="4" t="s">
        <v>2308</v>
      </c>
      <c r="G320" s="4" t="s">
        <v>2308</v>
      </c>
      <c r="H320" s="22" t="s">
        <v>2308</v>
      </c>
      <c r="I320" s="22" t="s">
        <v>2308</v>
      </c>
      <c r="J320" s="22" t="s">
        <v>2308</v>
      </c>
      <c r="K320" s="22"/>
      <c r="L320" s="22" t="s">
        <v>2308</v>
      </c>
      <c r="M320" s="22" t="s">
        <v>2308</v>
      </c>
      <c r="N320" s="22" t="s">
        <v>2308</v>
      </c>
      <c r="O320" s="22" t="s">
        <v>2308</v>
      </c>
      <c r="P320" s="22" t="s">
        <v>2308</v>
      </c>
      <c r="Q320" s="22" t="s">
        <v>2308</v>
      </c>
      <c r="R320" s="22" t="s">
        <v>2308</v>
      </c>
      <c r="S320" s="22" t="s">
        <v>2308</v>
      </c>
      <c r="T320" s="5" t="s">
        <v>2155</v>
      </c>
    </row>
    <row r="321" spans="1:20" ht="36" customHeight="1">
      <c r="A321" s="36" t="s">
        <v>2129</v>
      </c>
      <c r="B321" s="4"/>
      <c r="C321" s="12" t="s">
        <v>12</v>
      </c>
      <c r="D321" s="12" t="s">
        <v>136</v>
      </c>
      <c r="E321" s="5" t="s">
        <v>404</v>
      </c>
      <c r="F321" s="4" t="s">
        <v>143</v>
      </c>
      <c r="G321" s="4" t="s">
        <v>2308</v>
      </c>
      <c r="H321" s="22" t="s">
        <v>2308</v>
      </c>
      <c r="I321" s="22" t="s">
        <v>2308</v>
      </c>
      <c r="J321" s="22" t="s">
        <v>2308</v>
      </c>
      <c r="K321" s="22"/>
      <c r="L321" s="22" t="s">
        <v>2308</v>
      </c>
      <c r="M321" s="22" t="s">
        <v>2308</v>
      </c>
      <c r="N321" s="22" t="s">
        <v>2308</v>
      </c>
      <c r="O321" s="22" t="s">
        <v>2308</v>
      </c>
      <c r="P321" s="22" t="s">
        <v>2308</v>
      </c>
      <c r="Q321" s="22" t="s">
        <v>2308</v>
      </c>
      <c r="R321" s="22" t="s">
        <v>2308</v>
      </c>
      <c r="S321" s="22" t="s">
        <v>2308</v>
      </c>
      <c r="T321" s="5" t="s">
        <v>2156</v>
      </c>
    </row>
    <row r="322" spans="1:20" ht="36" customHeight="1">
      <c r="A322" s="36" t="s">
        <v>2130</v>
      </c>
      <c r="B322" s="4"/>
      <c r="C322" s="12" t="s">
        <v>12</v>
      </c>
      <c r="D322" s="12" t="s">
        <v>136</v>
      </c>
      <c r="E322" s="5" t="s">
        <v>404</v>
      </c>
      <c r="F322" s="4" t="s">
        <v>143</v>
      </c>
      <c r="G322" s="4" t="s">
        <v>2308</v>
      </c>
      <c r="H322" s="22" t="s">
        <v>2308</v>
      </c>
      <c r="I322" s="22" t="s">
        <v>2308</v>
      </c>
      <c r="J322" s="22" t="s">
        <v>2308</v>
      </c>
      <c r="K322" s="22"/>
      <c r="L322" s="22" t="s">
        <v>2308</v>
      </c>
      <c r="M322" s="22" t="s">
        <v>2308</v>
      </c>
      <c r="N322" s="22" t="s">
        <v>2308</v>
      </c>
      <c r="O322" s="22" t="s">
        <v>2308</v>
      </c>
      <c r="P322" s="22" t="s">
        <v>2308</v>
      </c>
      <c r="Q322" s="22" t="s">
        <v>2308</v>
      </c>
      <c r="R322" s="22" t="s">
        <v>2308</v>
      </c>
      <c r="S322" s="22" t="s">
        <v>2308</v>
      </c>
      <c r="T322" s="5" t="s">
        <v>2156</v>
      </c>
    </row>
    <row r="323" spans="1:20" ht="36" customHeight="1">
      <c r="A323" s="36" t="s">
        <v>2131</v>
      </c>
      <c r="B323" s="4"/>
      <c r="C323" s="12" t="s">
        <v>12</v>
      </c>
      <c r="D323" s="12" t="s">
        <v>136</v>
      </c>
      <c r="E323" s="5" t="s">
        <v>404</v>
      </c>
      <c r="F323" s="4" t="s">
        <v>143</v>
      </c>
      <c r="G323" s="4" t="s">
        <v>2308</v>
      </c>
      <c r="H323" s="22" t="s">
        <v>2308</v>
      </c>
      <c r="I323" s="22" t="s">
        <v>2308</v>
      </c>
      <c r="J323" s="22" t="s">
        <v>2308</v>
      </c>
      <c r="K323" s="22"/>
      <c r="L323" s="22" t="s">
        <v>2308</v>
      </c>
      <c r="M323" s="22" t="s">
        <v>2308</v>
      </c>
      <c r="N323" s="22" t="s">
        <v>2308</v>
      </c>
      <c r="O323" s="22" t="s">
        <v>2308</v>
      </c>
      <c r="P323" s="22" t="s">
        <v>2308</v>
      </c>
      <c r="Q323" s="22" t="s">
        <v>2308</v>
      </c>
      <c r="R323" s="22" t="s">
        <v>2308</v>
      </c>
      <c r="S323" s="22" t="s">
        <v>2308</v>
      </c>
      <c r="T323" s="5" t="s">
        <v>2156</v>
      </c>
    </row>
    <row r="324" spans="1:20" ht="36" customHeight="1">
      <c r="A324" s="36" t="s">
        <v>2132</v>
      </c>
      <c r="B324" s="4"/>
      <c r="C324" s="12" t="s">
        <v>12</v>
      </c>
      <c r="D324" s="12" t="s">
        <v>136</v>
      </c>
      <c r="E324" s="5" t="s">
        <v>404</v>
      </c>
      <c r="F324" s="4" t="s">
        <v>143</v>
      </c>
      <c r="G324" s="4" t="s">
        <v>2308</v>
      </c>
      <c r="H324" s="22" t="s">
        <v>2308</v>
      </c>
      <c r="I324" s="22" t="s">
        <v>2308</v>
      </c>
      <c r="J324" s="22" t="s">
        <v>2308</v>
      </c>
      <c r="K324" s="22"/>
      <c r="L324" s="22" t="s">
        <v>2308</v>
      </c>
      <c r="M324" s="22" t="s">
        <v>2308</v>
      </c>
      <c r="N324" s="22" t="s">
        <v>2308</v>
      </c>
      <c r="O324" s="22" t="s">
        <v>2308</v>
      </c>
      <c r="P324" s="22" t="s">
        <v>2308</v>
      </c>
      <c r="Q324" s="22" t="s">
        <v>2308</v>
      </c>
      <c r="R324" s="22" t="s">
        <v>2308</v>
      </c>
      <c r="S324" s="22" t="s">
        <v>2308</v>
      </c>
      <c r="T324" s="5" t="s">
        <v>2156</v>
      </c>
    </row>
    <row r="325" spans="1:20" ht="36" customHeight="1">
      <c r="A325" s="36" t="s">
        <v>2133</v>
      </c>
      <c r="B325" s="4"/>
      <c r="C325" s="12" t="s">
        <v>12</v>
      </c>
      <c r="D325" s="12" t="s">
        <v>136</v>
      </c>
      <c r="E325" s="5" t="s">
        <v>404</v>
      </c>
      <c r="F325" s="4" t="s">
        <v>143</v>
      </c>
      <c r="G325" s="4" t="s">
        <v>2308</v>
      </c>
      <c r="H325" s="22" t="s">
        <v>2308</v>
      </c>
      <c r="I325" s="22" t="s">
        <v>2308</v>
      </c>
      <c r="J325" s="22" t="s">
        <v>2308</v>
      </c>
      <c r="K325" s="22"/>
      <c r="L325" s="22" t="s">
        <v>2308</v>
      </c>
      <c r="M325" s="22" t="s">
        <v>2308</v>
      </c>
      <c r="N325" s="22" t="s">
        <v>2308</v>
      </c>
      <c r="O325" s="22" t="s">
        <v>2308</v>
      </c>
      <c r="P325" s="22" t="s">
        <v>2308</v>
      </c>
      <c r="Q325" s="22" t="s">
        <v>2308</v>
      </c>
      <c r="R325" s="22" t="s">
        <v>2308</v>
      </c>
      <c r="S325" s="22" t="s">
        <v>2308</v>
      </c>
      <c r="T325" s="5" t="s">
        <v>2156</v>
      </c>
    </row>
    <row r="326" spans="1:20" ht="36" customHeight="1">
      <c r="A326" s="36" t="s">
        <v>2134</v>
      </c>
      <c r="B326" s="4"/>
      <c r="C326" s="12" t="s">
        <v>12</v>
      </c>
      <c r="D326" s="12" t="s">
        <v>136</v>
      </c>
      <c r="E326" s="5" t="s">
        <v>404</v>
      </c>
      <c r="F326" s="4" t="s">
        <v>143</v>
      </c>
      <c r="G326" s="4" t="s">
        <v>2308</v>
      </c>
      <c r="H326" s="22" t="s">
        <v>2308</v>
      </c>
      <c r="I326" s="22" t="s">
        <v>2308</v>
      </c>
      <c r="J326" s="22" t="s">
        <v>2308</v>
      </c>
      <c r="K326" s="22"/>
      <c r="L326" s="22" t="s">
        <v>2308</v>
      </c>
      <c r="M326" s="22" t="s">
        <v>2308</v>
      </c>
      <c r="N326" s="22" t="s">
        <v>2308</v>
      </c>
      <c r="O326" s="22" t="s">
        <v>2308</v>
      </c>
      <c r="P326" s="22" t="s">
        <v>2308</v>
      </c>
      <c r="Q326" s="22" t="s">
        <v>2308</v>
      </c>
      <c r="R326" s="22" t="s">
        <v>2308</v>
      </c>
      <c r="S326" s="22" t="s">
        <v>2308</v>
      </c>
      <c r="T326" s="5" t="s">
        <v>2156</v>
      </c>
    </row>
    <row r="327" spans="1:20" ht="36" customHeight="1">
      <c r="A327" s="36" t="s">
        <v>2135</v>
      </c>
      <c r="B327" s="4"/>
      <c r="C327" s="12" t="s">
        <v>12</v>
      </c>
      <c r="D327" s="12" t="s">
        <v>136</v>
      </c>
      <c r="E327" s="5" t="s">
        <v>404</v>
      </c>
      <c r="F327" s="4" t="s">
        <v>143</v>
      </c>
      <c r="G327" s="4" t="s">
        <v>2308</v>
      </c>
      <c r="H327" s="22" t="s">
        <v>2308</v>
      </c>
      <c r="I327" s="22" t="s">
        <v>2308</v>
      </c>
      <c r="J327" s="22" t="s">
        <v>2308</v>
      </c>
      <c r="K327" s="22"/>
      <c r="L327" s="22" t="s">
        <v>2308</v>
      </c>
      <c r="M327" s="22" t="s">
        <v>2308</v>
      </c>
      <c r="N327" s="22" t="s">
        <v>2308</v>
      </c>
      <c r="O327" s="22" t="s">
        <v>2308</v>
      </c>
      <c r="P327" s="22" t="s">
        <v>2308</v>
      </c>
      <c r="Q327" s="22" t="s">
        <v>2308</v>
      </c>
      <c r="R327" s="22" t="s">
        <v>2308</v>
      </c>
      <c r="S327" s="22" t="s">
        <v>2308</v>
      </c>
      <c r="T327" s="5" t="s">
        <v>2156</v>
      </c>
    </row>
    <row r="328" spans="1:20" ht="36" customHeight="1">
      <c r="A328" s="36" t="s">
        <v>2136</v>
      </c>
      <c r="B328" s="4"/>
      <c r="C328" s="12" t="s">
        <v>12</v>
      </c>
      <c r="D328" s="12" t="s">
        <v>136</v>
      </c>
      <c r="E328" s="5" t="s">
        <v>404</v>
      </c>
      <c r="F328" s="4" t="s">
        <v>143</v>
      </c>
      <c r="G328" s="4" t="s">
        <v>2308</v>
      </c>
      <c r="H328" s="22" t="s">
        <v>2308</v>
      </c>
      <c r="I328" s="22" t="s">
        <v>2308</v>
      </c>
      <c r="J328" s="22" t="s">
        <v>2308</v>
      </c>
      <c r="K328" s="22"/>
      <c r="L328" s="22" t="s">
        <v>2308</v>
      </c>
      <c r="M328" s="22" t="s">
        <v>2308</v>
      </c>
      <c r="N328" s="22" t="s">
        <v>2308</v>
      </c>
      <c r="O328" s="22" t="s">
        <v>2308</v>
      </c>
      <c r="P328" s="22" t="s">
        <v>2308</v>
      </c>
      <c r="Q328" s="22" t="s">
        <v>2308</v>
      </c>
      <c r="R328" s="22" t="s">
        <v>2308</v>
      </c>
      <c r="S328" s="22" t="s">
        <v>2308</v>
      </c>
      <c r="T328" s="5" t="s">
        <v>2156</v>
      </c>
    </row>
    <row r="329" spans="1:20" ht="36" customHeight="1">
      <c r="A329" s="36" t="s">
        <v>2137</v>
      </c>
      <c r="B329" s="4"/>
      <c r="C329" s="12" t="s">
        <v>12</v>
      </c>
      <c r="D329" s="12" t="s">
        <v>136</v>
      </c>
      <c r="E329" s="5" t="s">
        <v>404</v>
      </c>
      <c r="F329" s="4" t="s">
        <v>143</v>
      </c>
      <c r="G329" s="4" t="s">
        <v>2308</v>
      </c>
      <c r="H329" s="22" t="s">
        <v>2308</v>
      </c>
      <c r="I329" s="22" t="s">
        <v>2308</v>
      </c>
      <c r="J329" s="22" t="s">
        <v>2308</v>
      </c>
      <c r="K329" s="22"/>
      <c r="L329" s="22" t="s">
        <v>2308</v>
      </c>
      <c r="M329" s="22" t="s">
        <v>2308</v>
      </c>
      <c r="N329" s="22" t="s">
        <v>2308</v>
      </c>
      <c r="O329" s="22" t="s">
        <v>2308</v>
      </c>
      <c r="P329" s="22" t="s">
        <v>2308</v>
      </c>
      <c r="Q329" s="22" t="s">
        <v>2308</v>
      </c>
      <c r="R329" s="22" t="s">
        <v>2308</v>
      </c>
      <c r="S329" s="22" t="s">
        <v>2308</v>
      </c>
      <c r="T329" s="5" t="s">
        <v>2156</v>
      </c>
    </row>
    <row r="330" spans="1:20" ht="36" customHeight="1">
      <c r="A330" s="36" t="s">
        <v>2138</v>
      </c>
      <c r="B330" s="4"/>
      <c r="C330" s="12" t="s">
        <v>12</v>
      </c>
      <c r="D330" s="12" t="s">
        <v>136</v>
      </c>
      <c r="E330" s="5" t="s">
        <v>404</v>
      </c>
      <c r="F330" s="4" t="s">
        <v>143</v>
      </c>
      <c r="G330" s="4" t="s">
        <v>2308</v>
      </c>
      <c r="H330" s="22" t="s">
        <v>2308</v>
      </c>
      <c r="I330" s="22" t="s">
        <v>2308</v>
      </c>
      <c r="J330" s="22" t="s">
        <v>2308</v>
      </c>
      <c r="K330" s="22"/>
      <c r="L330" s="22" t="s">
        <v>2308</v>
      </c>
      <c r="M330" s="22" t="s">
        <v>2308</v>
      </c>
      <c r="N330" s="22" t="s">
        <v>2308</v>
      </c>
      <c r="O330" s="22" t="s">
        <v>2308</v>
      </c>
      <c r="P330" s="22" t="s">
        <v>2308</v>
      </c>
      <c r="Q330" s="22" t="s">
        <v>2308</v>
      </c>
      <c r="R330" s="22" t="s">
        <v>2308</v>
      </c>
      <c r="S330" s="22" t="s">
        <v>2308</v>
      </c>
      <c r="T330" s="5" t="s">
        <v>2156</v>
      </c>
    </row>
    <row r="331" spans="1:20" ht="36" customHeight="1">
      <c r="A331" s="36" t="s">
        <v>2139</v>
      </c>
      <c r="B331" s="4"/>
      <c r="C331" s="12" t="s">
        <v>12</v>
      </c>
      <c r="D331" s="12" t="s">
        <v>136</v>
      </c>
      <c r="E331" s="5" t="s">
        <v>404</v>
      </c>
      <c r="F331" s="4" t="s">
        <v>143</v>
      </c>
      <c r="G331" s="4" t="s">
        <v>2308</v>
      </c>
      <c r="H331" s="22" t="s">
        <v>2308</v>
      </c>
      <c r="I331" s="22" t="s">
        <v>2308</v>
      </c>
      <c r="J331" s="22" t="s">
        <v>2308</v>
      </c>
      <c r="K331" s="22"/>
      <c r="L331" s="22" t="s">
        <v>2308</v>
      </c>
      <c r="M331" s="22" t="s">
        <v>2308</v>
      </c>
      <c r="N331" s="22" t="s">
        <v>2308</v>
      </c>
      <c r="O331" s="22" t="s">
        <v>2308</v>
      </c>
      <c r="P331" s="22" t="s">
        <v>2308</v>
      </c>
      <c r="Q331" s="22" t="s">
        <v>2308</v>
      </c>
      <c r="R331" s="22" t="s">
        <v>2308</v>
      </c>
      <c r="S331" s="22" t="s">
        <v>2308</v>
      </c>
      <c r="T331" s="5" t="s">
        <v>2156</v>
      </c>
    </row>
    <row r="332" spans="1:20" ht="36" customHeight="1">
      <c r="A332" s="36" t="s">
        <v>2140</v>
      </c>
      <c r="B332" s="4"/>
      <c r="C332" s="12" t="s">
        <v>12</v>
      </c>
      <c r="D332" s="12" t="s">
        <v>136</v>
      </c>
      <c r="E332" s="5" t="s">
        <v>404</v>
      </c>
      <c r="F332" s="4" t="s">
        <v>143</v>
      </c>
      <c r="G332" s="4" t="s">
        <v>2308</v>
      </c>
      <c r="H332" s="22" t="s">
        <v>2308</v>
      </c>
      <c r="I332" s="22" t="s">
        <v>2308</v>
      </c>
      <c r="J332" s="22" t="s">
        <v>2308</v>
      </c>
      <c r="K332" s="22"/>
      <c r="L332" s="22" t="s">
        <v>2308</v>
      </c>
      <c r="M332" s="22" t="s">
        <v>2308</v>
      </c>
      <c r="N332" s="22" t="s">
        <v>2308</v>
      </c>
      <c r="O332" s="22" t="s">
        <v>2308</v>
      </c>
      <c r="P332" s="22" t="s">
        <v>2308</v>
      </c>
      <c r="Q332" s="22" t="s">
        <v>2308</v>
      </c>
      <c r="R332" s="22" t="s">
        <v>2308</v>
      </c>
      <c r="S332" s="22" t="s">
        <v>2308</v>
      </c>
      <c r="T332" s="5" t="s">
        <v>2156</v>
      </c>
    </row>
    <row r="333" spans="1:20" ht="36" customHeight="1">
      <c r="A333" s="36" t="s">
        <v>2141</v>
      </c>
      <c r="B333" s="4"/>
      <c r="C333" s="12" t="s">
        <v>12</v>
      </c>
      <c r="D333" s="12" t="s">
        <v>136</v>
      </c>
      <c r="E333" s="5" t="s">
        <v>404</v>
      </c>
      <c r="F333" s="4" t="s">
        <v>143</v>
      </c>
      <c r="G333" s="4" t="s">
        <v>2308</v>
      </c>
      <c r="H333" s="22" t="s">
        <v>2308</v>
      </c>
      <c r="I333" s="22" t="s">
        <v>2308</v>
      </c>
      <c r="J333" s="22" t="s">
        <v>2308</v>
      </c>
      <c r="K333" s="22"/>
      <c r="L333" s="22" t="s">
        <v>2308</v>
      </c>
      <c r="M333" s="22" t="s">
        <v>2308</v>
      </c>
      <c r="N333" s="22" t="s">
        <v>2308</v>
      </c>
      <c r="O333" s="22" t="s">
        <v>2308</v>
      </c>
      <c r="P333" s="22" t="s">
        <v>2308</v>
      </c>
      <c r="Q333" s="22" t="s">
        <v>2308</v>
      </c>
      <c r="R333" s="22" t="s">
        <v>2308</v>
      </c>
      <c r="S333" s="22" t="s">
        <v>2308</v>
      </c>
      <c r="T333" s="5" t="s">
        <v>2156</v>
      </c>
    </row>
    <row r="334" spans="1:20" ht="36" customHeight="1">
      <c r="A334" s="36" t="s">
        <v>2142</v>
      </c>
      <c r="B334" s="4"/>
      <c r="C334" s="12" t="s">
        <v>12</v>
      </c>
      <c r="D334" s="12" t="s">
        <v>136</v>
      </c>
      <c r="E334" s="5" t="s">
        <v>404</v>
      </c>
      <c r="F334" s="4" t="s">
        <v>143</v>
      </c>
      <c r="G334" s="4" t="s">
        <v>2308</v>
      </c>
      <c r="H334" s="22" t="s">
        <v>2308</v>
      </c>
      <c r="I334" s="22" t="s">
        <v>2308</v>
      </c>
      <c r="J334" s="22" t="s">
        <v>2308</v>
      </c>
      <c r="K334" s="22"/>
      <c r="L334" s="22" t="s">
        <v>2308</v>
      </c>
      <c r="M334" s="22" t="s">
        <v>2308</v>
      </c>
      <c r="N334" s="22" t="s">
        <v>2308</v>
      </c>
      <c r="O334" s="22" t="s">
        <v>2308</v>
      </c>
      <c r="P334" s="22" t="s">
        <v>2308</v>
      </c>
      <c r="Q334" s="22" t="s">
        <v>2308</v>
      </c>
      <c r="R334" s="22" t="s">
        <v>2308</v>
      </c>
      <c r="S334" s="22" t="s">
        <v>2308</v>
      </c>
      <c r="T334" s="5" t="s">
        <v>2156</v>
      </c>
    </row>
    <row r="335" spans="1:20" ht="36" customHeight="1">
      <c r="A335" s="36" t="s">
        <v>2143</v>
      </c>
      <c r="B335" s="4"/>
      <c r="C335" s="12" t="s">
        <v>12</v>
      </c>
      <c r="D335" s="12" t="s">
        <v>136</v>
      </c>
      <c r="E335" s="5" t="s">
        <v>404</v>
      </c>
      <c r="F335" s="4" t="s">
        <v>143</v>
      </c>
      <c r="G335" s="4" t="s">
        <v>2308</v>
      </c>
      <c r="H335" s="22" t="s">
        <v>2308</v>
      </c>
      <c r="I335" s="22" t="s">
        <v>2308</v>
      </c>
      <c r="J335" s="22" t="s">
        <v>2308</v>
      </c>
      <c r="K335" s="22"/>
      <c r="L335" s="22" t="s">
        <v>2308</v>
      </c>
      <c r="M335" s="22" t="s">
        <v>2308</v>
      </c>
      <c r="N335" s="22" t="s">
        <v>2308</v>
      </c>
      <c r="O335" s="22" t="s">
        <v>2308</v>
      </c>
      <c r="P335" s="22" t="s">
        <v>2308</v>
      </c>
      <c r="Q335" s="22" t="s">
        <v>2308</v>
      </c>
      <c r="R335" s="22" t="s">
        <v>2308</v>
      </c>
      <c r="S335" s="22" t="s">
        <v>2308</v>
      </c>
      <c r="T335" s="5" t="s">
        <v>2156</v>
      </c>
    </row>
    <row r="336" spans="1:20" ht="36" customHeight="1">
      <c r="A336" s="36" t="s">
        <v>2144</v>
      </c>
      <c r="B336" s="4"/>
      <c r="C336" s="12" t="s">
        <v>12</v>
      </c>
      <c r="D336" s="12" t="s">
        <v>136</v>
      </c>
      <c r="E336" s="5" t="s">
        <v>404</v>
      </c>
      <c r="F336" s="4" t="s">
        <v>143</v>
      </c>
      <c r="G336" s="4" t="s">
        <v>2308</v>
      </c>
      <c r="H336" s="22" t="s">
        <v>2308</v>
      </c>
      <c r="I336" s="22" t="s">
        <v>2308</v>
      </c>
      <c r="J336" s="22" t="s">
        <v>2308</v>
      </c>
      <c r="K336" s="22"/>
      <c r="L336" s="22" t="s">
        <v>2308</v>
      </c>
      <c r="M336" s="22" t="s">
        <v>2308</v>
      </c>
      <c r="N336" s="22" t="s">
        <v>2308</v>
      </c>
      <c r="O336" s="22" t="s">
        <v>2308</v>
      </c>
      <c r="P336" s="22" t="s">
        <v>2308</v>
      </c>
      <c r="Q336" s="22" t="s">
        <v>2308</v>
      </c>
      <c r="R336" s="22" t="s">
        <v>2308</v>
      </c>
      <c r="S336" s="22" t="s">
        <v>2308</v>
      </c>
      <c r="T336" s="5" t="s">
        <v>2156</v>
      </c>
    </row>
    <row r="337" spans="1:20" ht="36" customHeight="1">
      <c r="A337" s="36" t="s">
        <v>2145</v>
      </c>
      <c r="B337" s="4"/>
      <c r="C337" s="12" t="s">
        <v>12</v>
      </c>
      <c r="D337" s="12" t="s">
        <v>136</v>
      </c>
      <c r="E337" s="5" t="s">
        <v>404</v>
      </c>
      <c r="F337" s="4" t="s">
        <v>143</v>
      </c>
      <c r="G337" s="4" t="s">
        <v>2308</v>
      </c>
      <c r="H337" s="22" t="s">
        <v>2308</v>
      </c>
      <c r="I337" s="22" t="s">
        <v>2308</v>
      </c>
      <c r="J337" s="22" t="s">
        <v>2308</v>
      </c>
      <c r="K337" s="22"/>
      <c r="L337" s="22" t="s">
        <v>2308</v>
      </c>
      <c r="M337" s="22" t="s">
        <v>2308</v>
      </c>
      <c r="N337" s="22" t="s">
        <v>2308</v>
      </c>
      <c r="O337" s="22" t="s">
        <v>2308</v>
      </c>
      <c r="P337" s="22" t="s">
        <v>2308</v>
      </c>
      <c r="Q337" s="22" t="s">
        <v>2308</v>
      </c>
      <c r="R337" s="22" t="s">
        <v>2308</v>
      </c>
      <c r="S337" s="22" t="s">
        <v>2308</v>
      </c>
      <c r="T337" s="5" t="s">
        <v>2156</v>
      </c>
    </row>
    <row r="338" spans="1:20" ht="36" customHeight="1">
      <c r="A338" s="36" t="s">
        <v>2146</v>
      </c>
      <c r="B338" s="4"/>
      <c r="C338" s="12" t="s">
        <v>12</v>
      </c>
      <c r="D338" s="12" t="s">
        <v>136</v>
      </c>
      <c r="E338" s="5" t="s">
        <v>404</v>
      </c>
      <c r="F338" s="4" t="s">
        <v>143</v>
      </c>
      <c r="G338" s="4" t="s">
        <v>2308</v>
      </c>
      <c r="H338" s="22" t="s">
        <v>2308</v>
      </c>
      <c r="I338" s="22" t="s">
        <v>2308</v>
      </c>
      <c r="J338" s="22" t="s">
        <v>2308</v>
      </c>
      <c r="K338" s="22"/>
      <c r="L338" s="22" t="s">
        <v>2308</v>
      </c>
      <c r="M338" s="22" t="s">
        <v>2308</v>
      </c>
      <c r="N338" s="22" t="s">
        <v>2308</v>
      </c>
      <c r="O338" s="22" t="s">
        <v>2308</v>
      </c>
      <c r="P338" s="22" t="s">
        <v>2308</v>
      </c>
      <c r="Q338" s="22" t="s">
        <v>2308</v>
      </c>
      <c r="R338" s="22" t="s">
        <v>2308</v>
      </c>
      <c r="S338" s="22" t="s">
        <v>2308</v>
      </c>
      <c r="T338" s="5" t="s">
        <v>2156</v>
      </c>
    </row>
    <row r="339" spans="1:20" ht="36" customHeight="1">
      <c r="A339" s="36" t="s">
        <v>2147</v>
      </c>
      <c r="B339" s="4"/>
      <c r="C339" s="12" t="s">
        <v>12</v>
      </c>
      <c r="D339" s="12" t="s">
        <v>136</v>
      </c>
      <c r="E339" s="5" t="s">
        <v>404</v>
      </c>
      <c r="F339" s="4" t="s">
        <v>143</v>
      </c>
      <c r="G339" s="4" t="s">
        <v>2308</v>
      </c>
      <c r="H339" s="22" t="s">
        <v>2308</v>
      </c>
      <c r="I339" s="22" t="s">
        <v>2308</v>
      </c>
      <c r="J339" s="22" t="s">
        <v>2308</v>
      </c>
      <c r="K339" s="22"/>
      <c r="L339" s="22" t="s">
        <v>2308</v>
      </c>
      <c r="M339" s="22" t="s">
        <v>2308</v>
      </c>
      <c r="N339" s="22" t="s">
        <v>2308</v>
      </c>
      <c r="O339" s="22" t="s">
        <v>2308</v>
      </c>
      <c r="P339" s="22" t="s">
        <v>2308</v>
      </c>
      <c r="Q339" s="22" t="s">
        <v>2308</v>
      </c>
      <c r="R339" s="22" t="s">
        <v>2308</v>
      </c>
      <c r="S339" s="22" t="s">
        <v>2308</v>
      </c>
      <c r="T339" s="5" t="s">
        <v>2156</v>
      </c>
    </row>
    <row r="340" spans="1:20" ht="36" customHeight="1">
      <c r="A340" s="36" t="s">
        <v>2148</v>
      </c>
      <c r="B340" s="4"/>
      <c r="C340" s="12" t="s">
        <v>12</v>
      </c>
      <c r="D340" s="12" t="s">
        <v>136</v>
      </c>
      <c r="E340" s="5" t="s">
        <v>404</v>
      </c>
      <c r="F340" s="4" t="s">
        <v>143</v>
      </c>
      <c r="G340" s="4" t="s">
        <v>2308</v>
      </c>
      <c r="H340" s="22" t="s">
        <v>2308</v>
      </c>
      <c r="I340" s="22" t="s">
        <v>2308</v>
      </c>
      <c r="J340" s="22" t="s">
        <v>2308</v>
      </c>
      <c r="K340" s="22"/>
      <c r="L340" s="22" t="s">
        <v>2308</v>
      </c>
      <c r="M340" s="22" t="s">
        <v>2308</v>
      </c>
      <c r="N340" s="22" t="s">
        <v>2308</v>
      </c>
      <c r="O340" s="22" t="s">
        <v>2308</v>
      </c>
      <c r="P340" s="22" t="s">
        <v>2308</v>
      </c>
      <c r="Q340" s="22" t="s">
        <v>2308</v>
      </c>
      <c r="R340" s="22" t="s">
        <v>2308</v>
      </c>
      <c r="S340" s="22" t="s">
        <v>2308</v>
      </c>
      <c r="T340" s="5" t="s">
        <v>2156</v>
      </c>
    </row>
    <row r="341" spans="1:20" ht="36" customHeight="1">
      <c r="A341" s="36" t="s">
        <v>2149</v>
      </c>
      <c r="B341" s="4"/>
      <c r="C341" s="12" t="s">
        <v>12</v>
      </c>
      <c r="D341" s="12" t="s">
        <v>136</v>
      </c>
      <c r="E341" s="5" t="s">
        <v>404</v>
      </c>
      <c r="F341" s="4" t="s">
        <v>143</v>
      </c>
      <c r="G341" s="4" t="s">
        <v>2308</v>
      </c>
      <c r="H341" s="22" t="s">
        <v>2308</v>
      </c>
      <c r="I341" s="22" t="s">
        <v>2308</v>
      </c>
      <c r="J341" s="22" t="s">
        <v>2308</v>
      </c>
      <c r="K341" s="22"/>
      <c r="L341" s="22" t="s">
        <v>2308</v>
      </c>
      <c r="M341" s="22" t="s">
        <v>2308</v>
      </c>
      <c r="N341" s="22" t="s">
        <v>2308</v>
      </c>
      <c r="O341" s="22" t="s">
        <v>2308</v>
      </c>
      <c r="P341" s="22" t="s">
        <v>2308</v>
      </c>
      <c r="Q341" s="22" t="s">
        <v>2308</v>
      </c>
      <c r="R341" s="22" t="s">
        <v>2308</v>
      </c>
      <c r="S341" s="22" t="s">
        <v>2308</v>
      </c>
      <c r="T341" s="5" t="s">
        <v>2156</v>
      </c>
    </row>
    <row r="342" spans="1:20" ht="36" customHeight="1">
      <c r="A342" s="36" t="s">
        <v>2150</v>
      </c>
      <c r="B342" s="4"/>
      <c r="C342" s="12" t="s">
        <v>12</v>
      </c>
      <c r="D342" s="12" t="s">
        <v>136</v>
      </c>
      <c r="E342" s="5" t="s">
        <v>404</v>
      </c>
      <c r="F342" s="4" t="s">
        <v>143</v>
      </c>
      <c r="G342" s="4" t="s">
        <v>2308</v>
      </c>
      <c r="H342" s="22" t="s">
        <v>2308</v>
      </c>
      <c r="I342" s="22" t="s">
        <v>2308</v>
      </c>
      <c r="J342" s="22" t="s">
        <v>2308</v>
      </c>
      <c r="K342" s="22"/>
      <c r="L342" s="22" t="s">
        <v>2308</v>
      </c>
      <c r="M342" s="22" t="s">
        <v>2308</v>
      </c>
      <c r="N342" s="22" t="s">
        <v>2308</v>
      </c>
      <c r="O342" s="22" t="s">
        <v>2308</v>
      </c>
      <c r="P342" s="22" t="s">
        <v>2308</v>
      </c>
      <c r="Q342" s="22" t="s">
        <v>2308</v>
      </c>
      <c r="R342" s="22" t="s">
        <v>2308</v>
      </c>
      <c r="S342" s="22" t="s">
        <v>2308</v>
      </c>
      <c r="T342" s="5" t="s">
        <v>2156</v>
      </c>
    </row>
    <row r="343" spans="1:20" ht="36" customHeight="1">
      <c r="A343" s="36" t="s">
        <v>2151</v>
      </c>
      <c r="B343" s="4"/>
      <c r="C343" s="12" t="s">
        <v>12</v>
      </c>
      <c r="D343" s="12" t="s">
        <v>136</v>
      </c>
      <c r="E343" s="5" t="s">
        <v>404</v>
      </c>
      <c r="F343" s="4" t="s">
        <v>143</v>
      </c>
      <c r="G343" s="4" t="s">
        <v>2308</v>
      </c>
      <c r="H343" s="22" t="s">
        <v>2308</v>
      </c>
      <c r="I343" s="22" t="s">
        <v>2308</v>
      </c>
      <c r="J343" s="22" t="s">
        <v>2308</v>
      </c>
      <c r="K343" s="22"/>
      <c r="L343" s="22" t="s">
        <v>2308</v>
      </c>
      <c r="M343" s="22" t="s">
        <v>2308</v>
      </c>
      <c r="N343" s="22" t="s">
        <v>2308</v>
      </c>
      <c r="O343" s="22" t="s">
        <v>2308</v>
      </c>
      <c r="P343" s="22" t="s">
        <v>2308</v>
      </c>
      <c r="Q343" s="22" t="s">
        <v>2308</v>
      </c>
      <c r="R343" s="22" t="s">
        <v>2308</v>
      </c>
      <c r="S343" s="22" t="s">
        <v>2308</v>
      </c>
      <c r="T343" s="5" t="s">
        <v>2156</v>
      </c>
    </row>
    <row r="344" spans="1:20" ht="36" customHeight="1">
      <c r="A344" s="36" t="s">
        <v>2152</v>
      </c>
      <c r="B344" s="4"/>
      <c r="C344" s="12" t="s">
        <v>12</v>
      </c>
      <c r="D344" s="12" t="s">
        <v>136</v>
      </c>
      <c r="E344" s="5" t="s">
        <v>404</v>
      </c>
      <c r="F344" s="4" t="s">
        <v>143</v>
      </c>
      <c r="G344" s="4" t="s">
        <v>2308</v>
      </c>
      <c r="H344" s="22" t="s">
        <v>2308</v>
      </c>
      <c r="I344" s="22" t="s">
        <v>2308</v>
      </c>
      <c r="J344" s="22" t="s">
        <v>2308</v>
      </c>
      <c r="K344" s="22"/>
      <c r="L344" s="22" t="s">
        <v>2308</v>
      </c>
      <c r="M344" s="22" t="s">
        <v>2308</v>
      </c>
      <c r="N344" s="22" t="s">
        <v>2308</v>
      </c>
      <c r="O344" s="22" t="s">
        <v>2308</v>
      </c>
      <c r="P344" s="22" t="s">
        <v>2308</v>
      </c>
      <c r="Q344" s="22" t="s">
        <v>2308</v>
      </c>
      <c r="R344" s="22" t="s">
        <v>2308</v>
      </c>
      <c r="S344" s="22" t="s">
        <v>2308</v>
      </c>
      <c r="T344" s="5" t="s">
        <v>2156</v>
      </c>
    </row>
    <row r="345" spans="1:20" ht="36" customHeight="1">
      <c r="A345" s="36" t="s">
        <v>2153</v>
      </c>
      <c r="B345" s="4"/>
      <c r="C345" s="12" t="s">
        <v>12</v>
      </c>
      <c r="D345" s="12" t="s">
        <v>136</v>
      </c>
      <c r="E345" s="5" t="s">
        <v>404</v>
      </c>
      <c r="F345" s="4" t="s">
        <v>143</v>
      </c>
      <c r="G345" s="4" t="s">
        <v>2308</v>
      </c>
      <c r="H345" s="22" t="s">
        <v>2308</v>
      </c>
      <c r="I345" s="22" t="s">
        <v>2308</v>
      </c>
      <c r="J345" s="22" t="s">
        <v>2308</v>
      </c>
      <c r="K345" s="22"/>
      <c r="L345" s="22" t="s">
        <v>2308</v>
      </c>
      <c r="M345" s="22" t="s">
        <v>2308</v>
      </c>
      <c r="N345" s="22" t="s">
        <v>2308</v>
      </c>
      <c r="O345" s="22" t="s">
        <v>2308</v>
      </c>
      <c r="P345" s="22" t="s">
        <v>2308</v>
      </c>
      <c r="Q345" s="22" t="s">
        <v>2308</v>
      </c>
      <c r="R345" s="22" t="s">
        <v>2308</v>
      </c>
      <c r="S345" s="22" t="s">
        <v>2308</v>
      </c>
      <c r="T345" s="5" t="s">
        <v>2156</v>
      </c>
    </row>
    <row r="346" spans="1:20" ht="36" customHeight="1">
      <c r="A346" s="36" t="s">
        <v>2154</v>
      </c>
      <c r="B346" s="4"/>
      <c r="C346" s="12" t="s">
        <v>12</v>
      </c>
      <c r="D346" s="12" t="s">
        <v>136</v>
      </c>
      <c r="E346" s="5" t="s">
        <v>404</v>
      </c>
      <c r="F346" s="4" t="s">
        <v>143</v>
      </c>
      <c r="G346" s="4" t="s">
        <v>2308</v>
      </c>
      <c r="H346" s="22" t="s">
        <v>2308</v>
      </c>
      <c r="I346" s="22" t="s">
        <v>2308</v>
      </c>
      <c r="J346" s="22" t="s">
        <v>2308</v>
      </c>
      <c r="K346" s="22"/>
      <c r="L346" s="22" t="s">
        <v>2308</v>
      </c>
      <c r="M346" s="22" t="s">
        <v>2308</v>
      </c>
      <c r="N346" s="22" t="s">
        <v>2308</v>
      </c>
      <c r="O346" s="22" t="s">
        <v>2308</v>
      </c>
      <c r="P346" s="22" t="s">
        <v>2308</v>
      </c>
      <c r="Q346" s="22" t="s">
        <v>2308</v>
      </c>
      <c r="R346" s="22" t="s">
        <v>2308</v>
      </c>
      <c r="S346" s="22" t="s">
        <v>2308</v>
      </c>
      <c r="T346" s="5" t="s">
        <v>2156</v>
      </c>
    </row>
    <row r="347" spans="1:20" ht="36" customHeight="1">
      <c r="A347" s="12" t="s">
        <v>890</v>
      </c>
      <c r="B347" s="4"/>
      <c r="C347" s="12" t="s">
        <v>402</v>
      </c>
      <c r="D347" s="12" t="s">
        <v>136</v>
      </c>
      <c r="E347" s="4" t="s">
        <v>2308</v>
      </c>
      <c r="F347" s="4" t="s">
        <v>2308</v>
      </c>
      <c r="G347" s="4" t="s">
        <v>2308</v>
      </c>
      <c r="H347" s="22" t="s">
        <v>2308</v>
      </c>
      <c r="I347" s="22" t="s">
        <v>2308</v>
      </c>
      <c r="J347" s="22">
        <v>2.77</v>
      </c>
      <c r="K347" s="22"/>
      <c r="L347" s="22" t="s">
        <v>2308</v>
      </c>
      <c r="M347" s="22" t="s">
        <v>2308</v>
      </c>
      <c r="N347" s="22" t="s">
        <v>2308</v>
      </c>
      <c r="O347" s="22" t="s">
        <v>2308</v>
      </c>
      <c r="P347" s="22" t="s">
        <v>2308</v>
      </c>
      <c r="Q347" s="22" t="s">
        <v>2308</v>
      </c>
      <c r="R347" s="22" t="s">
        <v>2308</v>
      </c>
      <c r="S347" s="22" t="s">
        <v>2308</v>
      </c>
      <c r="T347" s="5" t="s">
        <v>2236</v>
      </c>
    </row>
    <row r="348" spans="1:20" ht="31" customHeight="1">
      <c r="A348" s="4" t="s">
        <v>895</v>
      </c>
      <c r="B348" s="4" t="s">
        <v>69</v>
      </c>
      <c r="C348" s="12" t="s">
        <v>12</v>
      </c>
      <c r="D348" s="12" t="s">
        <v>136</v>
      </c>
      <c r="E348" s="4" t="s">
        <v>116</v>
      </c>
      <c r="F348" s="4" t="s">
        <v>2308</v>
      </c>
      <c r="G348" s="4" t="s">
        <v>2308</v>
      </c>
      <c r="H348" s="22" t="s">
        <v>2308</v>
      </c>
      <c r="I348" s="22">
        <v>1.7</v>
      </c>
      <c r="J348" s="22" t="s">
        <v>2308</v>
      </c>
      <c r="K348" s="22"/>
      <c r="L348" s="22" t="s">
        <v>2308</v>
      </c>
      <c r="M348" s="22" t="s">
        <v>2308</v>
      </c>
      <c r="N348" s="22" t="s">
        <v>2308</v>
      </c>
      <c r="O348" s="22" t="s">
        <v>2308</v>
      </c>
      <c r="P348" s="22" t="s">
        <v>2308</v>
      </c>
      <c r="Q348" s="22" t="s">
        <v>2308</v>
      </c>
      <c r="R348" s="22" t="s">
        <v>2308</v>
      </c>
      <c r="S348" s="22" t="s">
        <v>2308</v>
      </c>
      <c r="T348" s="4"/>
    </row>
    <row r="349" spans="1:20" ht="33.5" customHeight="1">
      <c r="A349" s="12" t="s">
        <v>900</v>
      </c>
      <c r="B349" s="4"/>
      <c r="C349" s="12" t="s">
        <v>402</v>
      </c>
      <c r="D349" s="12" t="s">
        <v>136</v>
      </c>
      <c r="E349" s="5" t="s">
        <v>404</v>
      </c>
      <c r="F349" s="4" t="s">
        <v>2308</v>
      </c>
      <c r="G349" s="4" t="s">
        <v>2308</v>
      </c>
      <c r="H349" s="22" t="s">
        <v>2308</v>
      </c>
      <c r="I349" s="22" t="s">
        <v>2308</v>
      </c>
      <c r="J349" s="22" t="s">
        <v>2308</v>
      </c>
      <c r="K349" s="22"/>
      <c r="L349" s="22" t="s">
        <v>2308</v>
      </c>
      <c r="M349" s="22" t="s">
        <v>2308</v>
      </c>
      <c r="N349" s="22" t="s">
        <v>2308</v>
      </c>
      <c r="O349" s="22" t="s">
        <v>2308</v>
      </c>
      <c r="P349" s="22" t="s">
        <v>2308</v>
      </c>
      <c r="Q349" s="22" t="s">
        <v>2308</v>
      </c>
      <c r="R349" s="22" t="s">
        <v>2308</v>
      </c>
      <c r="S349" s="22" t="s">
        <v>2308</v>
      </c>
      <c r="T349" s="4" t="s">
        <v>905</v>
      </c>
    </row>
    <row r="350" spans="1:20" ht="34.5" customHeight="1">
      <c r="A350" s="12" t="s">
        <v>912</v>
      </c>
      <c r="B350" s="4"/>
      <c r="C350" s="12" t="s">
        <v>402</v>
      </c>
      <c r="D350" s="12" t="s">
        <v>136</v>
      </c>
      <c r="E350" s="4" t="s">
        <v>2308</v>
      </c>
      <c r="F350" s="4" t="s">
        <v>2308</v>
      </c>
      <c r="G350" s="4" t="s">
        <v>2308</v>
      </c>
      <c r="H350" s="22" t="s">
        <v>2308</v>
      </c>
      <c r="I350" s="22" t="s">
        <v>2308</v>
      </c>
      <c r="J350" s="22" t="s">
        <v>2308</v>
      </c>
      <c r="K350" s="22"/>
      <c r="L350" s="22" t="s">
        <v>2308</v>
      </c>
      <c r="M350" s="22" t="s">
        <v>2308</v>
      </c>
      <c r="N350" s="22" t="s">
        <v>2308</v>
      </c>
      <c r="O350" s="22" t="s">
        <v>2308</v>
      </c>
      <c r="P350" s="22" t="s">
        <v>2308</v>
      </c>
      <c r="Q350" s="22" t="s">
        <v>2308</v>
      </c>
      <c r="R350" s="22" t="s">
        <v>2308</v>
      </c>
      <c r="S350" s="22" t="s">
        <v>2308</v>
      </c>
      <c r="T350" s="4"/>
    </row>
    <row r="351" spans="1:20" ht="37" customHeight="1">
      <c r="A351" s="12" t="s">
        <v>915</v>
      </c>
      <c r="B351" s="4" t="s">
        <v>69</v>
      </c>
      <c r="C351" s="12" t="s">
        <v>402</v>
      </c>
      <c r="D351" s="12" t="s">
        <v>136</v>
      </c>
      <c r="E351" s="12" t="s">
        <v>116</v>
      </c>
      <c r="F351" s="4" t="s">
        <v>2308</v>
      </c>
      <c r="G351" s="4" t="s">
        <v>2308</v>
      </c>
      <c r="H351" s="22" t="s">
        <v>2308</v>
      </c>
      <c r="I351" s="22" t="s">
        <v>2308</v>
      </c>
      <c r="J351" s="22" t="s">
        <v>2308</v>
      </c>
      <c r="K351" s="22"/>
      <c r="L351" s="22" t="s">
        <v>2308</v>
      </c>
      <c r="M351" s="22" t="s">
        <v>2308</v>
      </c>
      <c r="N351" s="22" t="s">
        <v>2308</v>
      </c>
      <c r="O351" s="22" t="s">
        <v>2308</v>
      </c>
      <c r="P351" s="22" t="s">
        <v>2308</v>
      </c>
      <c r="Q351" s="22" t="s">
        <v>2308</v>
      </c>
      <c r="R351" s="22" t="s">
        <v>2308</v>
      </c>
      <c r="S351" s="22" t="s">
        <v>2308</v>
      </c>
      <c r="T351" s="4" t="s">
        <v>917</v>
      </c>
    </row>
    <row r="352" spans="1:20" ht="49.5" customHeight="1">
      <c r="A352" s="4" t="s">
        <v>920</v>
      </c>
      <c r="B352" s="4"/>
      <c r="C352" s="12" t="s">
        <v>12</v>
      </c>
      <c r="D352" s="4" t="s">
        <v>45</v>
      </c>
      <c r="E352" s="5" t="s">
        <v>403</v>
      </c>
      <c r="F352" s="4" t="s">
        <v>136</v>
      </c>
      <c r="G352" s="4" t="s">
        <v>2308</v>
      </c>
      <c r="H352" s="22" t="s">
        <v>2308</v>
      </c>
      <c r="I352" s="22">
        <v>29</v>
      </c>
      <c r="J352" s="22" t="s">
        <v>2308</v>
      </c>
      <c r="K352" s="22"/>
      <c r="L352" s="22" t="s">
        <v>2308</v>
      </c>
      <c r="M352" s="22" t="s">
        <v>2308</v>
      </c>
      <c r="N352" s="22" t="s">
        <v>2308</v>
      </c>
      <c r="O352" s="22">
        <v>31.034483000000002</v>
      </c>
      <c r="P352" s="22">
        <v>27.586206900000001</v>
      </c>
      <c r="Q352" s="22">
        <v>17.241379299999998</v>
      </c>
      <c r="R352" s="22">
        <v>24.137930000000001</v>
      </c>
      <c r="S352" s="22" t="s">
        <v>2308</v>
      </c>
      <c r="T352" s="5" t="s">
        <v>2243</v>
      </c>
    </row>
    <row r="353" spans="1:20" ht="52" customHeight="1">
      <c r="A353" s="4" t="s">
        <v>923</v>
      </c>
      <c r="B353" s="4"/>
      <c r="C353" s="12" t="s">
        <v>12</v>
      </c>
      <c r="D353" s="5" t="s">
        <v>2684</v>
      </c>
      <c r="E353" s="4" t="s">
        <v>45</v>
      </c>
      <c r="F353" s="5" t="s">
        <v>404</v>
      </c>
      <c r="G353" s="4" t="s">
        <v>2308</v>
      </c>
      <c r="H353" s="22" t="s">
        <v>2308</v>
      </c>
      <c r="I353" s="22">
        <v>27</v>
      </c>
      <c r="J353" s="22" t="s">
        <v>2308</v>
      </c>
      <c r="K353" s="22" t="s">
        <v>542</v>
      </c>
      <c r="L353" s="22" t="s">
        <v>2308</v>
      </c>
      <c r="M353" s="22" t="s">
        <v>2308</v>
      </c>
      <c r="N353" s="22" t="s">
        <v>2308</v>
      </c>
      <c r="O353" s="22">
        <v>22.222221999999999</v>
      </c>
      <c r="P353" s="22">
        <v>11.11111111</v>
      </c>
      <c r="Q353" s="22">
        <v>44.444444400000002</v>
      </c>
      <c r="R353" s="22">
        <v>22.22222</v>
      </c>
      <c r="S353" s="22" t="s">
        <v>2308</v>
      </c>
      <c r="T353" s="5" t="s">
        <v>2242</v>
      </c>
    </row>
    <row r="354" spans="1:20" ht="52" customHeight="1">
      <c r="A354" s="4" t="s">
        <v>937</v>
      </c>
      <c r="B354" s="4"/>
      <c r="C354" s="12" t="s">
        <v>12</v>
      </c>
      <c r="D354" s="5" t="s">
        <v>2684</v>
      </c>
      <c r="E354" s="4" t="s">
        <v>45</v>
      </c>
      <c r="F354" s="5" t="s">
        <v>404</v>
      </c>
      <c r="G354" s="4" t="s">
        <v>2308</v>
      </c>
      <c r="H354" s="22" t="s">
        <v>2308</v>
      </c>
      <c r="I354" s="22">
        <v>28</v>
      </c>
      <c r="J354" s="22" t="s">
        <v>2308</v>
      </c>
      <c r="K354" s="22" t="s">
        <v>542</v>
      </c>
      <c r="L354" s="22" t="s">
        <v>2308</v>
      </c>
      <c r="M354" s="22" t="s">
        <v>2308</v>
      </c>
      <c r="N354" s="22" t="s">
        <v>2308</v>
      </c>
      <c r="O354" s="22">
        <v>17.857143000000001</v>
      </c>
      <c r="P354" s="22">
        <v>7.1428571400000003</v>
      </c>
      <c r="Q354" s="22">
        <v>62.068965499999997</v>
      </c>
      <c r="R354" s="22">
        <v>10.71429</v>
      </c>
      <c r="S354" s="22" t="s">
        <v>2308</v>
      </c>
      <c r="T354" s="5" t="s">
        <v>2242</v>
      </c>
    </row>
    <row r="355" spans="1:20" ht="52" customHeight="1">
      <c r="A355" s="4" t="s">
        <v>938</v>
      </c>
      <c r="B355" s="4"/>
      <c r="C355" s="12" t="s">
        <v>12</v>
      </c>
      <c r="D355" s="5" t="s">
        <v>2684</v>
      </c>
      <c r="E355" s="4" t="s">
        <v>45</v>
      </c>
      <c r="F355" s="5" t="s">
        <v>404</v>
      </c>
      <c r="G355" s="4" t="s">
        <v>2308</v>
      </c>
      <c r="H355" s="22" t="s">
        <v>2308</v>
      </c>
      <c r="I355" s="22" t="s">
        <v>2308</v>
      </c>
      <c r="J355" s="22" t="s">
        <v>2308</v>
      </c>
      <c r="K355" s="22" t="s">
        <v>542</v>
      </c>
      <c r="L355" s="22" t="s">
        <v>2308</v>
      </c>
      <c r="M355" s="22" t="s">
        <v>2308</v>
      </c>
      <c r="N355" s="22" t="s">
        <v>2308</v>
      </c>
      <c r="O355" s="22">
        <v>18.275862</v>
      </c>
      <c r="P355" s="22">
        <v>12.758620690000001</v>
      </c>
      <c r="Q355" s="22">
        <v>44.137931000000002</v>
      </c>
      <c r="R355" s="22">
        <v>24.827590000000001</v>
      </c>
      <c r="S355" s="22" t="s">
        <v>2308</v>
      </c>
      <c r="T355" s="4"/>
    </row>
    <row r="356" spans="1:20" ht="52" customHeight="1">
      <c r="A356" s="4" t="s">
        <v>939</v>
      </c>
      <c r="B356" s="4"/>
      <c r="C356" s="12" t="s">
        <v>12</v>
      </c>
      <c r="D356" s="5" t="s">
        <v>2684</v>
      </c>
      <c r="E356" s="4" t="s">
        <v>45</v>
      </c>
      <c r="F356" s="5" t="s">
        <v>404</v>
      </c>
      <c r="G356" s="4" t="s">
        <v>2308</v>
      </c>
      <c r="H356" s="22" t="s">
        <v>2308</v>
      </c>
      <c r="I356" s="22" t="s">
        <v>2308</v>
      </c>
      <c r="J356" s="22" t="s">
        <v>2308</v>
      </c>
      <c r="K356" s="22" t="s">
        <v>542</v>
      </c>
      <c r="L356" s="22" t="s">
        <v>2308</v>
      </c>
      <c r="M356" s="22" t="s">
        <v>2308</v>
      </c>
      <c r="N356" s="22" t="s">
        <v>2308</v>
      </c>
      <c r="O356" s="22">
        <v>18.275862</v>
      </c>
      <c r="P356" s="22">
        <v>12.758620690000001</v>
      </c>
      <c r="Q356" s="22">
        <v>44.137931000000002</v>
      </c>
      <c r="R356" s="22">
        <v>24.827590000000001</v>
      </c>
      <c r="S356" s="22" t="s">
        <v>2308</v>
      </c>
      <c r="T356" s="4"/>
    </row>
    <row r="357" spans="1:20" ht="39.5" customHeight="1">
      <c r="A357" s="12" t="s">
        <v>926</v>
      </c>
      <c r="B357" s="4" t="s">
        <v>70</v>
      </c>
      <c r="C357" s="4" t="s">
        <v>12</v>
      </c>
      <c r="D357" s="5" t="s">
        <v>2683</v>
      </c>
      <c r="E357" s="4" t="s">
        <v>45</v>
      </c>
      <c r="F357" s="4" t="s">
        <v>136</v>
      </c>
      <c r="G357" s="5" t="s">
        <v>403</v>
      </c>
      <c r="H357" s="22" t="s">
        <v>2308</v>
      </c>
      <c r="I357" s="22" t="s">
        <v>2308</v>
      </c>
      <c r="J357" s="22" t="s">
        <v>2308</v>
      </c>
      <c r="K357" s="22" t="s">
        <v>542</v>
      </c>
      <c r="L357" s="22" t="s">
        <v>2308</v>
      </c>
      <c r="M357" s="22" t="s">
        <v>2308</v>
      </c>
      <c r="N357" s="22">
        <v>50</v>
      </c>
      <c r="O357" s="22" t="s">
        <v>2308</v>
      </c>
      <c r="P357" s="22" t="s">
        <v>2308</v>
      </c>
      <c r="Q357" s="22" t="s">
        <v>2308</v>
      </c>
      <c r="R357" s="22" t="s">
        <v>2308</v>
      </c>
      <c r="S357" s="22" t="s">
        <v>2308</v>
      </c>
      <c r="T357" s="4"/>
    </row>
    <row r="358" spans="1:20" ht="42" customHeight="1">
      <c r="A358" s="69" t="s">
        <v>951</v>
      </c>
      <c r="B358" s="45"/>
      <c r="C358" s="45"/>
      <c r="D358" s="45"/>
      <c r="E358" s="45" t="s">
        <v>2308</v>
      </c>
      <c r="F358" s="45" t="s">
        <v>2308</v>
      </c>
      <c r="G358" s="45" t="s">
        <v>2308</v>
      </c>
      <c r="H358" s="78" t="s">
        <v>2308</v>
      </c>
      <c r="I358" s="78" t="s">
        <v>2308</v>
      </c>
      <c r="J358" s="78" t="s">
        <v>2308</v>
      </c>
      <c r="K358" s="78"/>
      <c r="L358" s="78" t="s">
        <v>2308</v>
      </c>
      <c r="M358" s="78" t="s">
        <v>2308</v>
      </c>
      <c r="N358" s="78" t="s">
        <v>2308</v>
      </c>
      <c r="O358" s="78" t="s">
        <v>2308</v>
      </c>
      <c r="P358" s="78" t="s">
        <v>2308</v>
      </c>
      <c r="Q358" s="78" t="s">
        <v>2308</v>
      </c>
      <c r="R358" s="78" t="s">
        <v>2308</v>
      </c>
      <c r="S358" s="78" t="s">
        <v>2308</v>
      </c>
      <c r="T358" s="45"/>
    </row>
    <row r="359" spans="1:20" ht="59" customHeight="1">
      <c r="A359" s="12" t="s">
        <v>945</v>
      </c>
      <c r="B359" s="4"/>
      <c r="C359" s="4" t="s">
        <v>12</v>
      </c>
      <c r="D359" s="4" t="s">
        <v>45</v>
      </c>
      <c r="E359" s="5" t="s">
        <v>403</v>
      </c>
      <c r="F359" s="5" t="s">
        <v>404</v>
      </c>
      <c r="G359" s="4" t="s">
        <v>116</v>
      </c>
      <c r="H359" s="22">
        <v>0.46594980000000003</v>
      </c>
      <c r="I359" s="22">
        <v>62</v>
      </c>
      <c r="J359" s="22" t="s">
        <v>2308</v>
      </c>
      <c r="K359" s="22" t="s">
        <v>542</v>
      </c>
      <c r="L359" s="22" t="s">
        <v>2308</v>
      </c>
      <c r="M359" s="22" t="s">
        <v>2308</v>
      </c>
      <c r="N359" s="22" t="s">
        <v>2308</v>
      </c>
      <c r="O359" s="22">
        <v>21</v>
      </c>
      <c r="P359" s="22">
        <v>17.850000000000001</v>
      </c>
      <c r="Q359" s="22">
        <v>9.15</v>
      </c>
      <c r="R359" s="22">
        <v>44.7</v>
      </c>
      <c r="S359" s="22" t="s">
        <v>2308</v>
      </c>
      <c r="T359" s="5" t="s">
        <v>2245</v>
      </c>
    </row>
    <row r="360" spans="1:20" ht="61.5" customHeight="1">
      <c r="A360" s="12" t="s">
        <v>950</v>
      </c>
      <c r="B360" s="4"/>
      <c r="C360" s="4" t="s">
        <v>12</v>
      </c>
      <c r="D360" s="4" t="s">
        <v>45</v>
      </c>
      <c r="E360" s="4" t="s">
        <v>136</v>
      </c>
      <c r="F360" s="5" t="s">
        <v>403</v>
      </c>
      <c r="G360" s="4" t="s">
        <v>116</v>
      </c>
      <c r="H360" s="22">
        <v>0.39100679999999999</v>
      </c>
      <c r="I360" s="22">
        <v>49.5</v>
      </c>
      <c r="J360" s="22" t="s">
        <v>2308</v>
      </c>
      <c r="K360" s="22" t="s">
        <v>542</v>
      </c>
      <c r="L360" s="22" t="s">
        <v>2308</v>
      </c>
      <c r="M360" s="22" t="s">
        <v>2308</v>
      </c>
      <c r="N360" s="22" t="s">
        <v>2308</v>
      </c>
      <c r="O360" s="22">
        <v>35.65</v>
      </c>
      <c r="P360" s="22">
        <v>4.3</v>
      </c>
      <c r="Q360" s="22">
        <v>12.35</v>
      </c>
      <c r="R360" s="22">
        <v>37.75</v>
      </c>
      <c r="S360" s="22" t="s">
        <v>2308</v>
      </c>
      <c r="T360" s="5" t="s">
        <v>955</v>
      </c>
    </row>
    <row r="361" spans="1:20" ht="52.5" customHeight="1">
      <c r="A361" s="12" t="s">
        <v>956</v>
      </c>
      <c r="B361" s="4" t="s">
        <v>69</v>
      </c>
      <c r="C361" s="4" t="s">
        <v>402</v>
      </c>
      <c r="D361" s="4" t="s">
        <v>136</v>
      </c>
      <c r="E361" s="5" t="s">
        <v>404</v>
      </c>
      <c r="F361" s="4" t="s">
        <v>45</v>
      </c>
      <c r="G361" s="4" t="s">
        <v>2308</v>
      </c>
      <c r="H361" s="22" t="s">
        <v>2308</v>
      </c>
      <c r="I361" s="22" t="s">
        <v>2308</v>
      </c>
      <c r="J361" s="22" t="s">
        <v>2308</v>
      </c>
      <c r="K361" s="22"/>
      <c r="L361" s="22" t="s">
        <v>2308</v>
      </c>
      <c r="M361" s="22" t="s">
        <v>2308</v>
      </c>
      <c r="N361" s="22" t="s">
        <v>2308</v>
      </c>
      <c r="O361" s="22" t="s">
        <v>2308</v>
      </c>
      <c r="P361" s="22" t="s">
        <v>2308</v>
      </c>
      <c r="Q361" s="22" t="s">
        <v>2308</v>
      </c>
      <c r="R361" s="22" t="s">
        <v>2308</v>
      </c>
      <c r="S361" s="22" t="s">
        <v>2308</v>
      </c>
      <c r="T361" s="5" t="s">
        <v>959</v>
      </c>
    </row>
    <row r="362" spans="1:20" ht="56" customHeight="1">
      <c r="A362" s="12" t="s">
        <v>962</v>
      </c>
      <c r="B362" s="4"/>
      <c r="C362" s="4" t="s">
        <v>12</v>
      </c>
      <c r="D362" s="12" t="s">
        <v>877</v>
      </c>
      <c r="E362" s="4" t="s">
        <v>136</v>
      </c>
      <c r="F362" s="4" t="s">
        <v>2308</v>
      </c>
      <c r="G362" s="4" t="s">
        <v>2308</v>
      </c>
      <c r="H362" s="22" t="s">
        <v>2308</v>
      </c>
      <c r="I362" s="22" t="s">
        <v>2308</v>
      </c>
      <c r="J362" s="22" t="s">
        <v>2308</v>
      </c>
      <c r="K362" s="22" t="s">
        <v>542</v>
      </c>
      <c r="L362" s="22" t="s">
        <v>2308</v>
      </c>
      <c r="M362" s="22">
        <v>2.072539E-2</v>
      </c>
      <c r="N362" s="22" t="s">
        <v>2308</v>
      </c>
      <c r="O362" s="22" t="s">
        <v>2308</v>
      </c>
      <c r="P362" s="22">
        <v>20</v>
      </c>
      <c r="Q362" s="22">
        <v>47</v>
      </c>
      <c r="R362" s="22">
        <v>13.67</v>
      </c>
      <c r="S362" s="22">
        <v>1.3574198799999999</v>
      </c>
      <c r="T362" s="5" t="s">
        <v>2249</v>
      </c>
    </row>
    <row r="363" spans="1:20" ht="50" customHeight="1">
      <c r="A363" s="12" t="s">
        <v>964</v>
      </c>
      <c r="B363" s="4"/>
      <c r="C363" s="12" t="s">
        <v>12</v>
      </c>
      <c r="D363" s="12" t="s">
        <v>877</v>
      </c>
      <c r="E363" s="4" t="s">
        <v>136</v>
      </c>
      <c r="F363" s="4" t="s">
        <v>2308</v>
      </c>
      <c r="G363" s="4" t="s">
        <v>2308</v>
      </c>
      <c r="H363" s="22" t="s">
        <v>2308</v>
      </c>
      <c r="I363" s="22" t="s">
        <v>2308</v>
      </c>
      <c r="J363" s="22" t="s">
        <v>2308</v>
      </c>
      <c r="K363" s="22" t="s">
        <v>542</v>
      </c>
      <c r="L363" s="22" t="s">
        <v>2308</v>
      </c>
      <c r="M363" s="22">
        <v>2.072539E-2</v>
      </c>
      <c r="N363" s="22" t="s">
        <v>2308</v>
      </c>
      <c r="O363" s="22" t="s">
        <v>2308</v>
      </c>
      <c r="P363" s="22">
        <v>21.67</v>
      </c>
      <c r="Q363" s="22">
        <v>35</v>
      </c>
      <c r="R363" s="22">
        <v>16.329999999999998</v>
      </c>
      <c r="S363" s="22">
        <v>1.3574198799999999</v>
      </c>
      <c r="T363" s="5" t="s">
        <v>2250</v>
      </c>
    </row>
    <row r="364" spans="1:20" ht="65" customHeight="1">
      <c r="A364" s="12" t="s">
        <v>975</v>
      </c>
      <c r="B364" s="4" t="s">
        <v>32</v>
      </c>
      <c r="C364" s="12" t="s">
        <v>12</v>
      </c>
      <c r="D364" s="5" t="s">
        <v>2683</v>
      </c>
      <c r="E364" s="4" t="s">
        <v>45</v>
      </c>
      <c r="F364" s="12" t="s">
        <v>136</v>
      </c>
      <c r="G364" s="4" t="s">
        <v>2308</v>
      </c>
      <c r="H364" s="22" t="s">
        <v>2308</v>
      </c>
      <c r="I364" s="22">
        <v>21.604340000000001</v>
      </c>
      <c r="J364" s="22" t="s">
        <v>2308</v>
      </c>
      <c r="K364" s="22"/>
      <c r="L364" s="22" t="s">
        <v>2308</v>
      </c>
      <c r="M364" s="22" t="s">
        <v>2308</v>
      </c>
      <c r="N364" s="22" t="s">
        <v>2308</v>
      </c>
      <c r="O364" s="22" t="s">
        <v>2308</v>
      </c>
      <c r="P364" s="22" t="s">
        <v>2308</v>
      </c>
      <c r="Q364" s="22" t="s">
        <v>2308</v>
      </c>
      <c r="R364" s="22" t="s">
        <v>2308</v>
      </c>
      <c r="S364" s="22" t="s">
        <v>2308</v>
      </c>
      <c r="T364" s="5" t="s">
        <v>2252</v>
      </c>
    </row>
    <row r="365" spans="1:20" ht="56" customHeight="1">
      <c r="A365" s="12" t="s">
        <v>978</v>
      </c>
      <c r="B365" s="5" t="s">
        <v>1218</v>
      </c>
      <c r="C365" s="12" t="s">
        <v>12</v>
      </c>
      <c r="D365" s="12" t="s">
        <v>136</v>
      </c>
      <c r="E365" s="5" t="s">
        <v>2683</v>
      </c>
      <c r="F365" s="4" t="s">
        <v>45</v>
      </c>
      <c r="G365" s="5" t="s">
        <v>404</v>
      </c>
      <c r="H365" s="22" t="s">
        <v>2308</v>
      </c>
      <c r="I365" s="22">
        <v>1.94</v>
      </c>
      <c r="J365" s="22">
        <v>1.3</v>
      </c>
      <c r="K365" s="22"/>
      <c r="L365" s="22" t="s">
        <v>2308</v>
      </c>
      <c r="M365" s="22" t="s">
        <v>2308</v>
      </c>
      <c r="N365" s="22" t="s">
        <v>2308</v>
      </c>
      <c r="O365" s="22" t="s">
        <v>2308</v>
      </c>
      <c r="P365" s="22" t="s">
        <v>2308</v>
      </c>
      <c r="Q365" s="22" t="s">
        <v>2308</v>
      </c>
      <c r="R365" s="22" t="s">
        <v>2308</v>
      </c>
      <c r="S365" s="22" t="s">
        <v>2308</v>
      </c>
      <c r="T365" s="5" t="s">
        <v>980</v>
      </c>
    </row>
    <row r="366" spans="1:20" ht="54.5" customHeight="1">
      <c r="A366" s="12" t="s">
        <v>984</v>
      </c>
      <c r="B366" s="5" t="s">
        <v>1218</v>
      </c>
      <c r="C366" s="12" t="s">
        <v>12</v>
      </c>
      <c r="D366" s="12" t="s">
        <v>136</v>
      </c>
      <c r="E366" s="5" t="s">
        <v>404</v>
      </c>
      <c r="F366" s="4" t="s">
        <v>45</v>
      </c>
      <c r="G366" s="5" t="s">
        <v>2683</v>
      </c>
      <c r="H366" s="22" t="s">
        <v>2308</v>
      </c>
      <c r="I366" s="22">
        <v>1.26</v>
      </c>
      <c r="J366" s="22">
        <v>1.3</v>
      </c>
      <c r="K366" s="22"/>
      <c r="L366" s="22" t="s">
        <v>2308</v>
      </c>
      <c r="M366" s="22" t="s">
        <v>2308</v>
      </c>
      <c r="N366" s="22" t="s">
        <v>2308</v>
      </c>
      <c r="O366" s="22" t="s">
        <v>2308</v>
      </c>
      <c r="P366" s="22" t="s">
        <v>2308</v>
      </c>
      <c r="Q366" s="22" t="s">
        <v>2308</v>
      </c>
      <c r="R366" s="22" t="s">
        <v>2308</v>
      </c>
      <c r="S366" s="22" t="s">
        <v>2308</v>
      </c>
      <c r="T366" s="5" t="s">
        <v>980</v>
      </c>
    </row>
    <row r="367" spans="1:20" ht="60.5" customHeight="1">
      <c r="A367" s="12" t="s">
        <v>985</v>
      </c>
      <c r="B367" s="5" t="s">
        <v>1218</v>
      </c>
      <c r="C367" s="12" t="s">
        <v>12</v>
      </c>
      <c r="D367" s="12" t="s">
        <v>136</v>
      </c>
      <c r="E367" s="4" t="s">
        <v>45</v>
      </c>
      <c r="F367" s="5" t="s">
        <v>404</v>
      </c>
      <c r="G367" s="5" t="s">
        <v>2683</v>
      </c>
      <c r="H367" s="22" t="s">
        <v>2308</v>
      </c>
      <c r="I367" s="22">
        <v>1.1299999999999999</v>
      </c>
      <c r="J367" s="22">
        <v>1.66</v>
      </c>
      <c r="K367" s="22"/>
      <c r="L367" s="22" t="s">
        <v>2308</v>
      </c>
      <c r="M367" s="22" t="s">
        <v>2308</v>
      </c>
      <c r="N367" s="22" t="s">
        <v>2308</v>
      </c>
      <c r="O367" s="22" t="s">
        <v>2308</v>
      </c>
      <c r="P367" s="22" t="s">
        <v>2308</v>
      </c>
      <c r="Q367" s="22" t="s">
        <v>2308</v>
      </c>
      <c r="R367" s="22" t="s">
        <v>2308</v>
      </c>
      <c r="S367" s="22" t="s">
        <v>2308</v>
      </c>
      <c r="T367" s="5" t="s">
        <v>980</v>
      </c>
    </row>
    <row r="368" spans="1:20" ht="46" customHeight="1">
      <c r="A368" s="20" t="s">
        <v>995</v>
      </c>
      <c r="B368" s="5"/>
      <c r="C368" s="20" t="s">
        <v>12</v>
      </c>
      <c r="D368" s="20" t="s">
        <v>136</v>
      </c>
      <c r="E368" s="20" t="s">
        <v>404</v>
      </c>
      <c r="F368" s="20" t="s">
        <v>403</v>
      </c>
      <c r="G368" s="5" t="s">
        <v>2308</v>
      </c>
      <c r="H368" s="82" t="s">
        <v>2308</v>
      </c>
      <c r="I368" s="82">
        <v>2.1344439999999998</v>
      </c>
      <c r="J368" s="82" t="s">
        <v>2308</v>
      </c>
      <c r="K368" s="82"/>
      <c r="L368" s="82" t="s">
        <v>2308</v>
      </c>
      <c r="M368" s="82" t="s">
        <v>2308</v>
      </c>
      <c r="N368" s="82" t="s">
        <v>2308</v>
      </c>
      <c r="O368" s="82" t="s">
        <v>2308</v>
      </c>
      <c r="P368" s="82" t="s">
        <v>2308</v>
      </c>
      <c r="Q368" s="82" t="s">
        <v>2308</v>
      </c>
      <c r="R368" s="82" t="s">
        <v>2308</v>
      </c>
      <c r="S368" s="82" t="s">
        <v>2308</v>
      </c>
      <c r="T368" s="5" t="s">
        <v>2256</v>
      </c>
    </row>
    <row r="369" spans="1:20" ht="39.5" customHeight="1">
      <c r="A369" s="4" t="s">
        <v>997</v>
      </c>
      <c r="B369" s="20" t="s">
        <v>70</v>
      </c>
      <c r="C369" s="20" t="s">
        <v>12</v>
      </c>
      <c r="D369" s="5" t="s">
        <v>404</v>
      </c>
      <c r="E369" s="5" t="s">
        <v>2683</v>
      </c>
      <c r="F369" s="4" t="s">
        <v>877</v>
      </c>
      <c r="G369" s="4" t="s">
        <v>2308</v>
      </c>
      <c r="H369" s="22" t="s">
        <v>2308</v>
      </c>
      <c r="I369" s="22" t="s">
        <v>2308</v>
      </c>
      <c r="J369" s="22" t="s">
        <v>2308</v>
      </c>
      <c r="K369" s="22" t="s">
        <v>542</v>
      </c>
      <c r="L369" s="22" t="s">
        <v>2308</v>
      </c>
      <c r="M369" s="22" t="s">
        <v>2308</v>
      </c>
      <c r="N369" s="22" t="s">
        <v>2308</v>
      </c>
      <c r="O369" s="22" t="s">
        <v>2308</v>
      </c>
      <c r="P369" s="22">
        <v>59</v>
      </c>
      <c r="Q369" s="22">
        <v>5</v>
      </c>
      <c r="R369" s="22">
        <v>34</v>
      </c>
      <c r="S369" s="22">
        <v>4.88</v>
      </c>
      <c r="T369" s="5" t="s">
        <v>1005</v>
      </c>
    </row>
    <row r="370" spans="1:20" ht="44" customHeight="1">
      <c r="A370" s="4" t="s">
        <v>1000</v>
      </c>
      <c r="B370" s="20" t="s">
        <v>32</v>
      </c>
      <c r="C370" s="20" t="s">
        <v>12</v>
      </c>
      <c r="D370" s="5" t="s">
        <v>404</v>
      </c>
      <c r="E370" s="5" t="s">
        <v>2683</v>
      </c>
      <c r="F370" s="4" t="s">
        <v>136</v>
      </c>
      <c r="G370" s="4" t="s">
        <v>877</v>
      </c>
      <c r="H370" s="22" t="s">
        <v>2308</v>
      </c>
      <c r="I370" s="22" t="s">
        <v>2308</v>
      </c>
      <c r="J370" s="22" t="s">
        <v>2308</v>
      </c>
      <c r="K370" s="22" t="s">
        <v>542</v>
      </c>
      <c r="L370" s="22" t="s">
        <v>2308</v>
      </c>
      <c r="M370" s="22" t="s">
        <v>2308</v>
      </c>
      <c r="N370" s="22" t="s">
        <v>2308</v>
      </c>
      <c r="O370" s="22" t="s">
        <v>2308</v>
      </c>
      <c r="P370" s="22">
        <v>36</v>
      </c>
      <c r="Q370" s="22">
        <v>14</v>
      </c>
      <c r="R370" s="22">
        <v>49</v>
      </c>
      <c r="S370" s="22">
        <v>1.63</v>
      </c>
      <c r="T370" s="5" t="s">
        <v>1005</v>
      </c>
    </row>
    <row r="371" spans="1:20" ht="48.5" customHeight="1">
      <c r="A371" s="4" t="s">
        <v>1001</v>
      </c>
      <c r="B371" s="4" t="s">
        <v>69</v>
      </c>
      <c r="C371" s="20" t="s">
        <v>12</v>
      </c>
      <c r="D371" s="4" t="s">
        <v>136</v>
      </c>
      <c r="E371" s="5" t="s">
        <v>2683</v>
      </c>
      <c r="F371" s="5" t="s">
        <v>404</v>
      </c>
      <c r="G371" s="4" t="s">
        <v>143</v>
      </c>
      <c r="H371" s="22" t="s">
        <v>2308</v>
      </c>
      <c r="I371" s="22">
        <v>5</v>
      </c>
      <c r="J371" s="22" t="s">
        <v>2308</v>
      </c>
      <c r="K371" s="22"/>
      <c r="L371" s="22" t="s">
        <v>2308</v>
      </c>
      <c r="M371" s="22" t="s">
        <v>2308</v>
      </c>
      <c r="N371" s="22" t="s">
        <v>2308</v>
      </c>
      <c r="O371" s="22" t="s">
        <v>2308</v>
      </c>
      <c r="P371" s="22">
        <v>15</v>
      </c>
      <c r="Q371" s="22">
        <v>4</v>
      </c>
      <c r="R371" s="22">
        <v>81</v>
      </c>
      <c r="S371" s="22">
        <v>0.86</v>
      </c>
      <c r="T371" s="5" t="s">
        <v>1006</v>
      </c>
    </row>
    <row r="372" spans="1:20" ht="54.5" customHeight="1">
      <c r="A372" s="12" t="s">
        <v>1009</v>
      </c>
      <c r="B372" s="20" t="s">
        <v>32</v>
      </c>
      <c r="C372" s="20" t="s">
        <v>12</v>
      </c>
      <c r="D372" s="5" t="s">
        <v>404</v>
      </c>
      <c r="E372" s="4" t="s">
        <v>136</v>
      </c>
      <c r="F372" s="20" t="s">
        <v>403</v>
      </c>
      <c r="G372" s="4" t="s">
        <v>2308</v>
      </c>
      <c r="H372" s="22" t="s">
        <v>2308</v>
      </c>
      <c r="I372" s="22">
        <v>1.4806779999999999</v>
      </c>
      <c r="J372" s="22" t="s">
        <v>2308</v>
      </c>
      <c r="K372" s="22"/>
      <c r="L372" s="22" t="s">
        <v>2308</v>
      </c>
      <c r="M372" s="22" t="s">
        <v>2308</v>
      </c>
      <c r="N372" s="22" t="s">
        <v>2308</v>
      </c>
      <c r="O372" s="22" t="s">
        <v>2308</v>
      </c>
      <c r="P372" s="22" t="s">
        <v>2308</v>
      </c>
      <c r="Q372" s="22" t="s">
        <v>2308</v>
      </c>
      <c r="R372" s="22" t="s">
        <v>2308</v>
      </c>
      <c r="S372" s="22" t="s">
        <v>2308</v>
      </c>
      <c r="T372" s="5" t="s">
        <v>1031</v>
      </c>
    </row>
    <row r="373" spans="1:20" ht="54.5" customHeight="1">
      <c r="A373" s="12" t="s">
        <v>1010</v>
      </c>
      <c r="B373" s="20" t="s">
        <v>32</v>
      </c>
      <c r="C373" s="20" t="s">
        <v>12</v>
      </c>
      <c r="D373" s="5" t="s">
        <v>404</v>
      </c>
      <c r="E373" s="20" t="s">
        <v>403</v>
      </c>
      <c r="F373" s="4" t="s">
        <v>136</v>
      </c>
      <c r="G373" s="4" t="s">
        <v>2308</v>
      </c>
      <c r="H373" s="22" t="s">
        <v>2308</v>
      </c>
      <c r="I373" s="22">
        <v>1.5918669999999999</v>
      </c>
      <c r="J373" s="22" t="s">
        <v>2308</v>
      </c>
      <c r="K373" s="22"/>
      <c r="L373" s="22" t="s">
        <v>2308</v>
      </c>
      <c r="M373" s="22" t="s">
        <v>2308</v>
      </c>
      <c r="N373" s="22" t="s">
        <v>2308</v>
      </c>
      <c r="O373" s="22" t="s">
        <v>2308</v>
      </c>
      <c r="P373" s="22" t="s">
        <v>2308</v>
      </c>
      <c r="Q373" s="22" t="s">
        <v>2308</v>
      </c>
      <c r="R373" s="22" t="s">
        <v>2308</v>
      </c>
      <c r="S373" s="22" t="s">
        <v>2308</v>
      </c>
      <c r="T373" s="4" t="s">
        <v>1030</v>
      </c>
    </row>
    <row r="374" spans="1:20" ht="58" customHeight="1">
      <c r="A374" s="12" t="s">
        <v>1011</v>
      </c>
      <c r="B374" s="20" t="s">
        <v>32</v>
      </c>
      <c r="C374" s="20" t="s">
        <v>12</v>
      </c>
      <c r="D374" s="20" t="s">
        <v>403</v>
      </c>
      <c r="E374" s="5" t="s">
        <v>404</v>
      </c>
      <c r="F374" s="4" t="s">
        <v>136</v>
      </c>
      <c r="G374" s="4" t="s">
        <v>2308</v>
      </c>
      <c r="H374" s="22" t="s">
        <v>2308</v>
      </c>
      <c r="I374" s="22">
        <v>2.0376810000000001</v>
      </c>
      <c r="J374" s="22" t="s">
        <v>2308</v>
      </c>
      <c r="K374" s="22"/>
      <c r="L374" s="22" t="s">
        <v>2308</v>
      </c>
      <c r="M374" s="22" t="s">
        <v>2308</v>
      </c>
      <c r="N374" s="22" t="s">
        <v>2308</v>
      </c>
      <c r="O374" s="22" t="s">
        <v>2308</v>
      </c>
      <c r="P374" s="22" t="s">
        <v>2308</v>
      </c>
      <c r="Q374" s="22" t="s">
        <v>2308</v>
      </c>
      <c r="R374" s="22" t="s">
        <v>2308</v>
      </c>
      <c r="S374" s="22" t="s">
        <v>2308</v>
      </c>
      <c r="T374" s="4" t="s">
        <v>1030</v>
      </c>
    </row>
    <row r="375" spans="1:20" ht="49.5" customHeight="1">
      <c r="A375" s="12" t="s">
        <v>1012</v>
      </c>
      <c r="B375" s="20" t="s">
        <v>32</v>
      </c>
      <c r="C375" s="20" t="s">
        <v>12</v>
      </c>
      <c r="D375" s="20" t="s">
        <v>403</v>
      </c>
      <c r="E375" s="5" t="s">
        <v>404</v>
      </c>
      <c r="F375" s="4" t="s">
        <v>136</v>
      </c>
      <c r="G375" s="4" t="s">
        <v>2308</v>
      </c>
      <c r="H375" s="22" t="s">
        <v>2308</v>
      </c>
      <c r="I375" s="22">
        <v>2.8747569999999998</v>
      </c>
      <c r="J375" s="22">
        <v>2.91</v>
      </c>
      <c r="K375" s="22"/>
      <c r="L375" s="22" t="s">
        <v>2308</v>
      </c>
      <c r="M375" s="22" t="s">
        <v>2308</v>
      </c>
      <c r="N375" s="22" t="s">
        <v>2308</v>
      </c>
      <c r="O375" s="22" t="s">
        <v>2308</v>
      </c>
      <c r="P375" s="22" t="s">
        <v>2308</v>
      </c>
      <c r="Q375" s="22" t="s">
        <v>2308</v>
      </c>
      <c r="R375" s="22" t="s">
        <v>2308</v>
      </c>
      <c r="S375" s="22" t="s">
        <v>2308</v>
      </c>
      <c r="T375" s="5" t="s">
        <v>2258</v>
      </c>
    </row>
    <row r="376" spans="1:20" ht="55.5" customHeight="1">
      <c r="A376" s="12" t="s">
        <v>1013</v>
      </c>
      <c r="B376" s="20" t="s">
        <v>32</v>
      </c>
      <c r="C376" s="20" t="s">
        <v>12</v>
      </c>
      <c r="D376" s="20" t="s">
        <v>403</v>
      </c>
      <c r="E376" s="5" t="s">
        <v>404</v>
      </c>
      <c r="F376" s="4" t="s">
        <v>136</v>
      </c>
      <c r="G376" s="4" t="s">
        <v>2308</v>
      </c>
      <c r="H376" s="22" t="s">
        <v>2308</v>
      </c>
      <c r="I376" s="22">
        <v>2.815385</v>
      </c>
      <c r="J376" s="22">
        <v>2.91</v>
      </c>
      <c r="K376" s="22"/>
      <c r="L376" s="22" t="s">
        <v>2308</v>
      </c>
      <c r="M376" s="22" t="s">
        <v>2308</v>
      </c>
      <c r="N376" s="22" t="s">
        <v>2308</v>
      </c>
      <c r="O376" s="22" t="s">
        <v>2308</v>
      </c>
      <c r="P376" s="22" t="s">
        <v>2308</v>
      </c>
      <c r="Q376" s="22" t="s">
        <v>2308</v>
      </c>
      <c r="R376" s="22" t="s">
        <v>2308</v>
      </c>
      <c r="S376" s="22" t="s">
        <v>2308</v>
      </c>
      <c r="T376" s="5" t="s">
        <v>2259</v>
      </c>
    </row>
    <row r="377" spans="1:20" ht="58" customHeight="1">
      <c r="A377" s="12" t="s">
        <v>1014</v>
      </c>
      <c r="B377" s="20" t="s">
        <v>32</v>
      </c>
      <c r="C377" s="20" t="s">
        <v>12</v>
      </c>
      <c r="D377" s="20" t="s">
        <v>403</v>
      </c>
      <c r="E377" s="4" t="s">
        <v>136</v>
      </c>
      <c r="F377" s="5" t="s">
        <v>404</v>
      </c>
      <c r="G377" s="4" t="s">
        <v>2308</v>
      </c>
      <c r="H377" s="22" t="s">
        <v>2308</v>
      </c>
      <c r="I377" s="22">
        <v>1.254902</v>
      </c>
      <c r="J377" s="22" t="s">
        <v>2308</v>
      </c>
      <c r="K377" s="22"/>
      <c r="L377" s="22" t="s">
        <v>2308</v>
      </c>
      <c r="M377" s="22" t="s">
        <v>2308</v>
      </c>
      <c r="N377" s="22" t="s">
        <v>2308</v>
      </c>
      <c r="O377" s="22" t="s">
        <v>2308</v>
      </c>
      <c r="P377" s="22" t="s">
        <v>2308</v>
      </c>
      <c r="Q377" s="22" t="s">
        <v>2308</v>
      </c>
      <c r="R377" s="22" t="s">
        <v>2308</v>
      </c>
      <c r="S377" s="22" t="s">
        <v>2308</v>
      </c>
      <c r="T377" s="5" t="s">
        <v>1031</v>
      </c>
    </row>
    <row r="378" spans="1:20" ht="49" customHeight="1">
      <c r="A378" s="12" t="s">
        <v>1016</v>
      </c>
      <c r="B378" s="20" t="s">
        <v>32</v>
      </c>
      <c r="C378" s="20" t="s">
        <v>12</v>
      </c>
      <c r="D378" s="20" t="s">
        <v>403</v>
      </c>
      <c r="E378" s="4" t="s">
        <v>136</v>
      </c>
      <c r="F378" s="5" t="s">
        <v>404</v>
      </c>
      <c r="G378" s="4" t="s">
        <v>2308</v>
      </c>
      <c r="H378" s="22" t="s">
        <v>2308</v>
      </c>
      <c r="I378" s="22">
        <v>1.6984379999999999</v>
      </c>
      <c r="J378" s="22" t="s">
        <v>2308</v>
      </c>
      <c r="K378" s="22"/>
      <c r="L378" s="22" t="s">
        <v>2308</v>
      </c>
      <c r="M378" s="22" t="s">
        <v>2308</v>
      </c>
      <c r="N378" s="22" t="s">
        <v>2308</v>
      </c>
      <c r="O378" s="22" t="s">
        <v>2308</v>
      </c>
      <c r="P378" s="22" t="s">
        <v>2308</v>
      </c>
      <c r="Q378" s="22" t="s">
        <v>2308</v>
      </c>
      <c r="R378" s="22" t="s">
        <v>2308</v>
      </c>
      <c r="S378" s="22" t="s">
        <v>2308</v>
      </c>
      <c r="T378" s="4" t="s">
        <v>1030</v>
      </c>
    </row>
    <row r="379" spans="1:20" ht="50.5" customHeight="1">
      <c r="A379" s="12" t="s">
        <v>1015</v>
      </c>
      <c r="B379" s="20" t="s">
        <v>32</v>
      </c>
      <c r="C379" s="20" t="s">
        <v>12</v>
      </c>
      <c r="D379" s="20" t="s">
        <v>403</v>
      </c>
      <c r="E379" s="4" t="s">
        <v>136</v>
      </c>
      <c r="F379" s="5" t="s">
        <v>404</v>
      </c>
      <c r="G379" s="4" t="s">
        <v>2308</v>
      </c>
      <c r="H379" s="22" t="s">
        <v>2308</v>
      </c>
      <c r="I379" s="22">
        <v>1.2664089999999999</v>
      </c>
      <c r="J379" s="22" t="s">
        <v>2308</v>
      </c>
      <c r="K379" s="22"/>
      <c r="L379" s="22" t="s">
        <v>2308</v>
      </c>
      <c r="M379" s="22" t="s">
        <v>2308</v>
      </c>
      <c r="N379" s="22" t="s">
        <v>2308</v>
      </c>
      <c r="O379" s="22" t="s">
        <v>2308</v>
      </c>
      <c r="P379" s="22" t="s">
        <v>2308</v>
      </c>
      <c r="Q379" s="22" t="s">
        <v>2308</v>
      </c>
      <c r="R379" s="22" t="s">
        <v>2308</v>
      </c>
      <c r="S379" s="22" t="s">
        <v>2308</v>
      </c>
      <c r="T379" s="4" t="s">
        <v>1030</v>
      </c>
    </row>
    <row r="380" spans="1:20" ht="52" customHeight="1">
      <c r="A380" s="12" t="s">
        <v>1017</v>
      </c>
      <c r="B380" s="20" t="s">
        <v>32</v>
      </c>
      <c r="C380" s="20" t="s">
        <v>12</v>
      </c>
      <c r="D380" s="20" t="s">
        <v>403</v>
      </c>
      <c r="E380" s="4" t="s">
        <v>136</v>
      </c>
      <c r="F380" s="5" t="s">
        <v>404</v>
      </c>
      <c r="G380" s="4" t="s">
        <v>2308</v>
      </c>
      <c r="H380" s="22" t="s">
        <v>2308</v>
      </c>
      <c r="I380" s="22">
        <v>1.4007430000000001</v>
      </c>
      <c r="J380" s="22" t="s">
        <v>2308</v>
      </c>
      <c r="K380" s="22"/>
      <c r="L380" s="22" t="s">
        <v>2308</v>
      </c>
      <c r="M380" s="22" t="s">
        <v>2308</v>
      </c>
      <c r="N380" s="22" t="s">
        <v>2308</v>
      </c>
      <c r="O380" s="22" t="s">
        <v>2308</v>
      </c>
      <c r="P380" s="22">
        <v>21.091120140000001</v>
      </c>
      <c r="Q380" s="22">
        <v>66.115302799999995</v>
      </c>
      <c r="R380" s="22">
        <v>15.496230000000001</v>
      </c>
      <c r="S380" s="22" t="s">
        <v>2308</v>
      </c>
      <c r="T380" s="4" t="s">
        <v>1029</v>
      </c>
    </row>
    <row r="381" spans="1:20" ht="46" customHeight="1">
      <c r="A381" s="12" t="s">
        <v>1036</v>
      </c>
      <c r="B381" s="20" t="s">
        <v>1218</v>
      </c>
      <c r="C381" s="20" t="s">
        <v>12</v>
      </c>
      <c r="D381" s="5" t="s">
        <v>404</v>
      </c>
      <c r="E381" s="4" t="s">
        <v>136</v>
      </c>
      <c r="F381" s="4" t="s">
        <v>143</v>
      </c>
      <c r="G381" s="20" t="s">
        <v>403</v>
      </c>
      <c r="H381" s="22" t="s">
        <v>2308</v>
      </c>
      <c r="I381" s="22" t="s">
        <v>2308</v>
      </c>
      <c r="J381" s="22" t="s">
        <v>2308</v>
      </c>
      <c r="K381" s="22"/>
      <c r="L381" s="22" t="s">
        <v>2308</v>
      </c>
      <c r="M381" s="22" t="s">
        <v>2308</v>
      </c>
      <c r="N381" s="22" t="s">
        <v>2308</v>
      </c>
      <c r="O381" s="22" t="s">
        <v>2308</v>
      </c>
      <c r="P381" s="22">
        <v>1.4632267999999999</v>
      </c>
      <c r="Q381" s="22">
        <v>31.382364299999999</v>
      </c>
      <c r="R381" s="22">
        <v>66.884870000000006</v>
      </c>
      <c r="S381" s="22" t="s">
        <v>2308</v>
      </c>
      <c r="T381" s="4"/>
    </row>
    <row r="382" spans="1:20" ht="51" customHeight="1">
      <c r="A382" s="12" t="s">
        <v>1039</v>
      </c>
      <c r="B382" s="20" t="s">
        <v>1218</v>
      </c>
      <c r="C382" s="20" t="s">
        <v>12</v>
      </c>
      <c r="D382" s="5" t="s">
        <v>404</v>
      </c>
      <c r="E382" s="4" t="s">
        <v>136</v>
      </c>
      <c r="F382" s="4" t="s">
        <v>143</v>
      </c>
      <c r="G382" s="20" t="s">
        <v>403</v>
      </c>
      <c r="H382" s="22" t="s">
        <v>2308</v>
      </c>
      <c r="I382" s="22" t="s">
        <v>2308</v>
      </c>
      <c r="J382" s="22" t="s">
        <v>2308</v>
      </c>
      <c r="K382" s="22"/>
      <c r="L382" s="22" t="s">
        <v>2308</v>
      </c>
      <c r="M382" s="22" t="s">
        <v>2308</v>
      </c>
      <c r="N382" s="22" t="s">
        <v>2308</v>
      </c>
      <c r="O382" s="22" t="s">
        <v>2308</v>
      </c>
      <c r="P382" s="22">
        <v>2.7339237600000001</v>
      </c>
      <c r="Q382" s="22">
        <v>4.2471041999999999</v>
      </c>
      <c r="R382" s="22">
        <v>93.468469999999996</v>
      </c>
      <c r="S382" s="22" t="s">
        <v>2308</v>
      </c>
      <c r="T382" s="4"/>
    </row>
    <row r="383" spans="1:20" ht="38" customHeight="1">
      <c r="A383" s="12" t="s">
        <v>1043</v>
      </c>
      <c r="B383" s="4" t="s">
        <v>2308</v>
      </c>
      <c r="C383" s="4" t="s">
        <v>402</v>
      </c>
      <c r="D383" s="4" t="s">
        <v>136</v>
      </c>
      <c r="E383" s="5" t="s">
        <v>404</v>
      </c>
      <c r="F383" s="4" t="s">
        <v>45</v>
      </c>
      <c r="G383" s="4" t="s">
        <v>2308</v>
      </c>
      <c r="H383" s="22" t="s">
        <v>2308</v>
      </c>
      <c r="I383" s="22" t="s">
        <v>2308</v>
      </c>
      <c r="J383" s="22">
        <v>0.54</v>
      </c>
      <c r="K383" s="22"/>
      <c r="L383" s="22" t="s">
        <v>2308</v>
      </c>
      <c r="M383" s="22" t="s">
        <v>2308</v>
      </c>
      <c r="N383" s="22" t="s">
        <v>2308</v>
      </c>
      <c r="O383" s="22" t="s">
        <v>2308</v>
      </c>
      <c r="P383" s="22" t="s">
        <v>2308</v>
      </c>
      <c r="Q383" s="22" t="s">
        <v>2308</v>
      </c>
      <c r="R383" s="22" t="s">
        <v>2308</v>
      </c>
      <c r="S383" s="22" t="s">
        <v>2308</v>
      </c>
      <c r="T383" s="4" t="s">
        <v>1050</v>
      </c>
    </row>
    <row r="384" spans="1:20" ht="35" customHeight="1">
      <c r="A384" s="12" t="s">
        <v>1044</v>
      </c>
      <c r="B384" s="4" t="s">
        <v>2308</v>
      </c>
      <c r="C384" s="4" t="s">
        <v>402</v>
      </c>
      <c r="D384" s="4" t="s">
        <v>136</v>
      </c>
      <c r="E384" s="5" t="s">
        <v>404</v>
      </c>
      <c r="F384" s="4" t="s">
        <v>45</v>
      </c>
      <c r="G384" s="4" t="s">
        <v>2308</v>
      </c>
      <c r="H384" s="22" t="s">
        <v>2308</v>
      </c>
      <c r="I384" s="22" t="s">
        <v>2308</v>
      </c>
      <c r="J384" s="22">
        <v>0.54</v>
      </c>
      <c r="K384" s="22"/>
      <c r="L384" s="22" t="s">
        <v>2308</v>
      </c>
      <c r="M384" s="22" t="s">
        <v>2308</v>
      </c>
      <c r="N384" s="22" t="s">
        <v>2308</v>
      </c>
      <c r="O384" s="22" t="s">
        <v>2308</v>
      </c>
      <c r="P384" s="22" t="s">
        <v>2308</v>
      </c>
      <c r="Q384" s="22" t="s">
        <v>2308</v>
      </c>
      <c r="R384" s="22" t="s">
        <v>2308</v>
      </c>
      <c r="S384" s="22" t="s">
        <v>2308</v>
      </c>
      <c r="T384" s="4" t="s">
        <v>1050</v>
      </c>
    </row>
    <row r="385" spans="1:20" ht="40" customHeight="1">
      <c r="A385" s="12" t="s">
        <v>1061</v>
      </c>
      <c r="B385" s="20" t="s">
        <v>1218</v>
      </c>
      <c r="C385" s="20" t="s">
        <v>12</v>
      </c>
      <c r="D385" s="20" t="s">
        <v>403</v>
      </c>
      <c r="E385" s="4" t="s">
        <v>2308</v>
      </c>
      <c r="F385" s="4" t="s">
        <v>2308</v>
      </c>
      <c r="G385" s="4" t="s">
        <v>2308</v>
      </c>
      <c r="H385" s="22" t="s">
        <v>2308</v>
      </c>
      <c r="I385" s="22" t="s">
        <v>2308</v>
      </c>
      <c r="J385" s="22" t="s">
        <v>2308</v>
      </c>
      <c r="K385" s="22"/>
      <c r="L385" s="22" t="s">
        <v>2308</v>
      </c>
      <c r="M385" s="22" t="s">
        <v>2308</v>
      </c>
      <c r="N385" s="22" t="s">
        <v>2308</v>
      </c>
      <c r="O385" s="22" t="s">
        <v>2308</v>
      </c>
      <c r="P385" s="22" t="s">
        <v>2308</v>
      </c>
      <c r="Q385" s="22" t="s">
        <v>2308</v>
      </c>
      <c r="R385" s="22" t="s">
        <v>2308</v>
      </c>
      <c r="S385" s="22" t="s">
        <v>2308</v>
      </c>
      <c r="T385" s="4"/>
    </row>
    <row r="386" spans="1:20" ht="39.5" customHeight="1">
      <c r="A386" s="12" t="s">
        <v>1064</v>
      </c>
      <c r="B386" s="20" t="s">
        <v>1218</v>
      </c>
      <c r="C386" s="20" t="s">
        <v>12</v>
      </c>
      <c r="D386" s="20" t="s">
        <v>403</v>
      </c>
      <c r="E386" s="4" t="s">
        <v>136</v>
      </c>
      <c r="F386" s="4" t="s">
        <v>143</v>
      </c>
      <c r="G386" s="4" t="s">
        <v>2308</v>
      </c>
      <c r="H386" s="22" t="s">
        <v>2308</v>
      </c>
      <c r="I386" s="22" t="s">
        <v>2308</v>
      </c>
      <c r="J386" s="22" t="s">
        <v>2308</v>
      </c>
      <c r="K386" s="22"/>
      <c r="L386" s="22" t="s">
        <v>2308</v>
      </c>
      <c r="M386" s="22" t="s">
        <v>2308</v>
      </c>
      <c r="N386" s="22" t="s">
        <v>2308</v>
      </c>
      <c r="O386" s="22" t="s">
        <v>2308</v>
      </c>
      <c r="P386" s="22" t="s">
        <v>2308</v>
      </c>
      <c r="Q386" s="22" t="s">
        <v>2308</v>
      </c>
      <c r="R386" s="22" t="s">
        <v>2308</v>
      </c>
      <c r="S386" s="22" t="s">
        <v>2308</v>
      </c>
      <c r="T386" s="4"/>
    </row>
    <row r="387" spans="1:20" ht="34.5" customHeight="1">
      <c r="A387" s="12" t="s">
        <v>1065</v>
      </c>
      <c r="B387" s="4" t="s">
        <v>2290</v>
      </c>
      <c r="C387" s="20" t="s">
        <v>12</v>
      </c>
      <c r="D387" s="20" t="s">
        <v>403</v>
      </c>
      <c r="E387" s="4" t="s">
        <v>136</v>
      </c>
      <c r="F387" s="4" t="s">
        <v>2308</v>
      </c>
      <c r="G387" s="4" t="s">
        <v>2308</v>
      </c>
      <c r="H387" s="22" t="s">
        <v>2308</v>
      </c>
      <c r="I387" s="22" t="s">
        <v>2308</v>
      </c>
      <c r="J387" s="22" t="s">
        <v>2308</v>
      </c>
      <c r="K387" s="22"/>
      <c r="L387" s="22" t="s">
        <v>2308</v>
      </c>
      <c r="M387" s="22" t="s">
        <v>2308</v>
      </c>
      <c r="N387" s="22" t="s">
        <v>2308</v>
      </c>
      <c r="O387" s="22" t="s">
        <v>2308</v>
      </c>
      <c r="P387" s="22" t="s">
        <v>2308</v>
      </c>
      <c r="Q387" s="22" t="s">
        <v>2308</v>
      </c>
      <c r="R387" s="22" t="s">
        <v>2308</v>
      </c>
      <c r="S387" s="22" t="s">
        <v>2308</v>
      </c>
      <c r="T387" s="4"/>
    </row>
    <row r="388" spans="1:20" ht="36" customHeight="1">
      <c r="A388" s="12" t="s">
        <v>1066</v>
      </c>
      <c r="B388" s="4" t="s">
        <v>2290</v>
      </c>
      <c r="C388" s="20" t="s">
        <v>12</v>
      </c>
      <c r="D388" s="20" t="s">
        <v>84</v>
      </c>
      <c r="E388" s="4" t="s">
        <v>136</v>
      </c>
      <c r="F388" s="12" t="s">
        <v>877</v>
      </c>
      <c r="G388" s="4" t="s">
        <v>2308</v>
      </c>
      <c r="H388" s="22" t="s">
        <v>2308</v>
      </c>
      <c r="I388" s="22" t="s">
        <v>2308</v>
      </c>
      <c r="J388" s="22" t="s">
        <v>2308</v>
      </c>
      <c r="K388" s="22" t="s">
        <v>542</v>
      </c>
      <c r="L388" s="22" t="s">
        <v>2308</v>
      </c>
      <c r="M388" s="22" t="s">
        <v>2308</v>
      </c>
      <c r="N388" s="22" t="s">
        <v>2308</v>
      </c>
      <c r="O388" s="22" t="s">
        <v>2308</v>
      </c>
      <c r="P388" s="22" t="s">
        <v>2308</v>
      </c>
      <c r="Q388" s="22" t="s">
        <v>2308</v>
      </c>
      <c r="R388" s="22" t="s">
        <v>2308</v>
      </c>
      <c r="S388" s="22" t="s">
        <v>2308</v>
      </c>
      <c r="T388" s="4"/>
    </row>
    <row r="389" spans="1:20" ht="43.5" customHeight="1">
      <c r="A389" s="12" t="s">
        <v>1067</v>
      </c>
      <c r="B389" s="4" t="s">
        <v>69</v>
      </c>
      <c r="C389" s="20" t="s">
        <v>12</v>
      </c>
      <c r="D389" s="4" t="s">
        <v>136</v>
      </c>
      <c r="E389" s="20" t="s">
        <v>403</v>
      </c>
      <c r="F389" s="12" t="s">
        <v>2682</v>
      </c>
      <c r="G389" s="4" t="s">
        <v>2308</v>
      </c>
      <c r="H389" s="22" t="s">
        <v>2308</v>
      </c>
      <c r="I389" s="22" t="s">
        <v>2308</v>
      </c>
      <c r="J389" s="22" t="s">
        <v>2308</v>
      </c>
      <c r="K389" s="22" t="s">
        <v>542</v>
      </c>
      <c r="L389" s="22" t="s">
        <v>2308</v>
      </c>
      <c r="M389" s="22" t="s">
        <v>2308</v>
      </c>
      <c r="N389" s="22" t="s">
        <v>2308</v>
      </c>
      <c r="O389" s="22" t="s">
        <v>2308</v>
      </c>
      <c r="P389" s="22" t="s">
        <v>2308</v>
      </c>
      <c r="Q389" s="22" t="s">
        <v>2308</v>
      </c>
      <c r="R389" s="22" t="s">
        <v>2308</v>
      </c>
      <c r="S389" s="22" t="s">
        <v>2308</v>
      </c>
      <c r="T389" s="4"/>
    </row>
    <row r="390" spans="1:20" ht="45" customHeight="1">
      <c r="A390" s="12" t="s">
        <v>1074</v>
      </c>
      <c r="B390" s="4" t="s">
        <v>69</v>
      </c>
      <c r="C390" s="20" t="s">
        <v>12</v>
      </c>
      <c r="D390" s="20" t="s">
        <v>403</v>
      </c>
      <c r="E390" s="5" t="s">
        <v>404</v>
      </c>
      <c r="F390" s="4" t="s">
        <v>136</v>
      </c>
      <c r="G390" s="4" t="s">
        <v>84</v>
      </c>
      <c r="H390" s="22" t="s">
        <v>2308</v>
      </c>
      <c r="I390" s="22" t="s">
        <v>2308</v>
      </c>
      <c r="J390" s="22" t="s">
        <v>2308</v>
      </c>
      <c r="K390" s="22"/>
      <c r="L390" s="22" t="s">
        <v>2308</v>
      </c>
      <c r="M390" s="22" t="s">
        <v>2308</v>
      </c>
      <c r="N390" s="22" t="s">
        <v>2308</v>
      </c>
      <c r="O390" s="22" t="s">
        <v>2308</v>
      </c>
      <c r="P390" s="22" t="s">
        <v>2308</v>
      </c>
      <c r="Q390" s="22" t="s">
        <v>2308</v>
      </c>
      <c r="R390" s="22" t="s">
        <v>2308</v>
      </c>
      <c r="S390" s="22" t="s">
        <v>2308</v>
      </c>
      <c r="T390" s="4"/>
    </row>
    <row r="391" spans="1:20" ht="42.5" customHeight="1">
      <c r="A391" s="12" t="s">
        <v>1091</v>
      </c>
      <c r="B391" s="20" t="s">
        <v>1218</v>
      </c>
      <c r="C391" s="20" t="s">
        <v>12</v>
      </c>
      <c r="D391" s="20" t="s">
        <v>403</v>
      </c>
      <c r="E391" s="20" t="s">
        <v>143</v>
      </c>
      <c r="F391" s="5" t="s">
        <v>2683</v>
      </c>
      <c r="G391" s="22" t="s">
        <v>2308</v>
      </c>
      <c r="H391" s="22" t="s">
        <v>2308</v>
      </c>
      <c r="I391" s="22" t="s">
        <v>2308</v>
      </c>
      <c r="J391" s="22" t="s">
        <v>2308</v>
      </c>
      <c r="K391" s="22" t="s">
        <v>542</v>
      </c>
      <c r="L391" s="22" t="s">
        <v>2308</v>
      </c>
      <c r="M391" s="22" t="s">
        <v>2308</v>
      </c>
      <c r="N391" s="22" t="s">
        <v>2308</v>
      </c>
      <c r="O391" s="22" t="s">
        <v>2308</v>
      </c>
      <c r="P391" s="22" t="s">
        <v>2308</v>
      </c>
      <c r="Q391" s="22" t="s">
        <v>2308</v>
      </c>
      <c r="R391" s="22" t="s">
        <v>2308</v>
      </c>
      <c r="S391" s="22" t="s">
        <v>2308</v>
      </c>
      <c r="T391" s="5" t="s">
        <v>1094</v>
      </c>
    </row>
    <row r="392" spans="1:20" ht="45.5" customHeight="1">
      <c r="A392" s="12" t="s">
        <v>1095</v>
      </c>
      <c r="B392" s="20" t="s">
        <v>1218</v>
      </c>
      <c r="C392" s="20" t="s">
        <v>12</v>
      </c>
      <c r="D392" s="5" t="s">
        <v>136</v>
      </c>
      <c r="E392" s="20" t="s">
        <v>45</v>
      </c>
      <c r="F392" s="20" t="s">
        <v>403</v>
      </c>
      <c r="G392" s="4"/>
      <c r="H392" s="22" t="s">
        <v>2308</v>
      </c>
      <c r="I392" s="22">
        <v>6</v>
      </c>
      <c r="J392" s="22" t="s">
        <v>2308</v>
      </c>
      <c r="K392" s="22"/>
      <c r="L392" s="22" t="s">
        <v>2308</v>
      </c>
      <c r="M392" s="22" t="s">
        <v>2308</v>
      </c>
      <c r="N392" s="22" t="s">
        <v>2308</v>
      </c>
      <c r="O392" s="22" t="s">
        <v>2308</v>
      </c>
      <c r="P392" s="22" t="s">
        <v>2308</v>
      </c>
      <c r="Q392" s="22" t="s">
        <v>2308</v>
      </c>
      <c r="R392" s="22" t="s">
        <v>2308</v>
      </c>
      <c r="S392" s="22" t="s">
        <v>2308</v>
      </c>
      <c r="T392" s="5" t="s">
        <v>1103</v>
      </c>
    </row>
    <row r="393" spans="1:20" ht="49.5" customHeight="1">
      <c r="A393" s="12" t="s">
        <v>1105</v>
      </c>
      <c r="B393" s="4" t="s">
        <v>2308</v>
      </c>
      <c r="C393" s="20" t="s">
        <v>12</v>
      </c>
      <c r="D393" s="20" t="s">
        <v>877</v>
      </c>
      <c r="E393" s="20" t="s">
        <v>116</v>
      </c>
      <c r="F393" s="4" t="s">
        <v>2308</v>
      </c>
      <c r="G393" s="4" t="s">
        <v>2308</v>
      </c>
      <c r="H393" s="22" t="s">
        <v>2308</v>
      </c>
      <c r="I393" s="22" t="s">
        <v>2308</v>
      </c>
      <c r="J393" s="22" t="s">
        <v>2308</v>
      </c>
      <c r="K393" s="22" t="s">
        <v>542</v>
      </c>
      <c r="L393" s="22" t="s">
        <v>2308</v>
      </c>
      <c r="M393" s="22" t="s">
        <v>2308</v>
      </c>
      <c r="N393" s="22" t="s">
        <v>2308</v>
      </c>
      <c r="O393" s="22" t="s">
        <v>2308</v>
      </c>
      <c r="P393" s="22" t="s">
        <v>2308</v>
      </c>
      <c r="Q393" s="22" t="s">
        <v>2308</v>
      </c>
      <c r="R393" s="22" t="s">
        <v>2308</v>
      </c>
      <c r="S393" s="22" t="s">
        <v>2308</v>
      </c>
      <c r="T393" s="4"/>
    </row>
    <row r="394" spans="1:20" ht="53.5" customHeight="1">
      <c r="A394" s="12" t="s">
        <v>1118</v>
      </c>
      <c r="B394" s="4" t="s">
        <v>2308</v>
      </c>
      <c r="C394" s="20" t="s">
        <v>12</v>
      </c>
      <c r="D394" s="4" t="s">
        <v>143</v>
      </c>
      <c r="E394" s="4" t="s">
        <v>45</v>
      </c>
      <c r="F394" s="4" t="s">
        <v>116</v>
      </c>
      <c r="G394" s="4" t="s">
        <v>2308</v>
      </c>
      <c r="H394" s="22" t="s">
        <v>2308</v>
      </c>
      <c r="I394" s="22" t="s">
        <v>2308</v>
      </c>
      <c r="J394" s="22" t="s">
        <v>2308</v>
      </c>
      <c r="K394" s="22"/>
      <c r="L394" s="22" t="s">
        <v>2308</v>
      </c>
      <c r="M394" s="22" t="s">
        <v>2308</v>
      </c>
      <c r="N394" s="22" t="s">
        <v>2308</v>
      </c>
      <c r="O394" s="22" t="s">
        <v>2308</v>
      </c>
      <c r="P394" s="22" t="s">
        <v>2308</v>
      </c>
      <c r="Q394" s="22" t="s">
        <v>2308</v>
      </c>
      <c r="R394" s="22" t="s">
        <v>2308</v>
      </c>
      <c r="S394" s="22" t="s">
        <v>2308</v>
      </c>
      <c r="T394" s="4"/>
    </row>
    <row r="395" spans="1:20" ht="53.5" customHeight="1">
      <c r="A395" s="12" t="s">
        <v>1137</v>
      </c>
      <c r="B395" s="5" t="s">
        <v>1218</v>
      </c>
      <c r="C395" s="20" t="s">
        <v>12</v>
      </c>
      <c r="D395" s="4" t="s">
        <v>116</v>
      </c>
      <c r="E395" s="4" t="s">
        <v>136</v>
      </c>
      <c r="F395" s="4" t="s">
        <v>143</v>
      </c>
      <c r="G395" s="4" t="s">
        <v>877</v>
      </c>
      <c r="H395" s="22" t="s">
        <v>2308</v>
      </c>
      <c r="I395" s="22" t="s">
        <v>2308</v>
      </c>
      <c r="J395" s="22">
        <v>1.6</v>
      </c>
      <c r="K395" s="22" t="s">
        <v>542</v>
      </c>
      <c r="L395" s="22" t="s">
        <v>2308</v>
      </c>
      <c r="M395" s="22" t="s">
        <v>2308</v>
      </c>
      <c r="N395" s="22" t="s">
        <v>2308</v>
      </c>
      <c r="O395" s="22" t="s">
        <v>2308</v>
      </c>
      <c r="P395" s="22">
        <v>4.8</v>
      </c>
      <c r="Q395" s="22">
        <v>91.8</v>
      </c>
      <c r="R395" s="22">
        <v>2.7</v>
      </c>
      <c r="S395" s="22" t="s">
        <v>2308</v>
      </c>
      <c r="T395" s="4" t="s">
        <v>2366</v>
      </c>
    </row>
    <row r="396" spans="1:20" ht="53.5" customHeight="1">
      <c r="A396" s="12" t="s">
        <v>1138</v>
      </c>
      <c r="B396" s="4" t="s">
        <v>2290</v>
      </c>
      <c r="C396" s="20" t="s">
        <v>12</v>
      </c>
      <c r="D396" s="4" t="s">
        <v>84</v>
      </c>
      <c r="E396" s="5" t="s">
        <v>2682</v>
      </c>
      <c r="F396" s="4" t="s">
        <v>136</v>
      </c>
      <c r="G396" s="4" t="s">
        <v>877</v>
      </c>
      <c r="H396" s="22" t="s">
        <v>2308</v>
      </c>
      <c r="I396" s="22" t="s">
        <v>2308</v>
      </c>
      <c r="J396" s="22">
        <v>2.2000000000000002</v>
      </c>
      <c r="K396" s="22" t="s">
        <v>542</v>
      </c>
      <c r="L396" s="22" t="s">
        <v>2308</v>
      </c>
      <c r="M396" s="22" t="s">
        <v>2308</v>
      </c>
      <c r="N396" s="22" t="s">
        <v>2308</v>
      </c>
      <c r="O396" s="22" t="s">
        <v>2308</v>
      </c>
      <c r="P396" s="22" t="s">
        <v>2308</v>
      </c>
      <c r="Q396" s="22" t="s">
        <v>2308</v>
      </c>
      <c r="R396" s="22" t="s">
        <v>2308</v>
      </c>
      <c r="S396" s="22" t="s">
        <v>2308</v>
      </c>
      <c r="T396" s="4" t="s">
        <v>2366</v>
      </c>
    </row>
    <row r="397" spans="1:20" ht="44.5" customHeight="1">
      <c r="A397" s="12" t="s">
        <v>1145</v>
      </c>
      <c r="B397" s="4" t="s">
        <v>2308</v>
      </c>
      <c r="C397" s="20" t="s">
        <v>402</v>
      </c>
      <c r="D397" s="4" t="s">
        <v>136</v>
      </c>
      <c r="E397" s="4" t="s">
        <v>2308</v>
      </c>
      <c r="F397" s="4" t="s">
        <v>2308</v>
      </c>
      <c r="G397" s="4" t="s">
        <v>2308</v>
      </c>
      <c r="H397" s="22" t="s">
        <v>2308</v>
      </c>
      <c r="I397" s="22">
        <v>1</v>
      </c>
      <c r="J397" s="22" t="s">
        <v>2308</v>
      </c>
      <c r="K397" s="22"/>
      <c r="L397" s="22" t="s">
        <v>2308</v>
      </c>
      <c r="M397" s="22" t="s">
        <v>2308</v>
      </c>
      <c r="N397" s="22" t="s">
        <v>2308</v>
      </c>
      <c r="O397" s="22" t="s">
        <v>2308</v>
      </c>
      <c r="P397" s="22" t="s">
        <v>2308</v>
      </c>
      <c r="Q397" s="22" t="s">
        <v>2308</v>
      </c>
      <c r="R397" s="22" t="s">
        <v>2308</v>
      </c>
      <c r="S397" s="22" t="s">
        <v>2308</v>
      </c>
      <c r="T397" s="4"/>
    </row>
    <row r="398" spans="1:20" ht="51" customHeight="1">
      <c r="A398" s="12" t="s">
        <v>1156</v>
      </c>
      <c r="B398" s="4" t="s">
        <v>32</v>
      </c>
      <c r="C398" s="20" t="s">
        <v>12</v>
      </c>
      <c r="D398" s="20" t="s">
        <v>45</v>
      </c>
      <c r="E398" s="20" t="s">
        <v>877</v>
      </c>
      <c r="F398" s="12" t="s">
        <v>84</v>
      </c>
      <c r="G398" s="20" t="s">
        <v>136</v>
      </c>
      <c r="H398" s="22" t="s">
        <v>2308</v>
      </c>
      <c r="I398" s="22" t="s">
        <v>2308</v>
      </c>
      <c r="J398" s="22" t="s">
        <v>2308</v>
      </c>
      <c r="K398" s="22" t="s">
        <v>542</v>
      </c>
      <c r="L398" s="22" t="s">
        <v>2308</v>
      </c>
      <c r="M398" s="22" t="s">
        <v>2308</v>
      </c>
      <c r="N398" s="22" t="s">
        <v>2308</v>
      </c>
      <c r="O398" s="22" t="s">
        <v>2308</v>
      </c>
      <c r="P398" s="22" t="s">
        <v>2308</v>
      </c>
      <c r="Q398" s="22" t="s">
        <v>2308</v>
      </c>
      <c r="R398" s="22" t="s">
        <v>2308</v>
      </c>
      <c r="S398" s="22" t="s">
        <v>2308</v>
      </c>
      <c r="T398" s="4"/>
    </row>
    <row r="399" spans="1:20" ht="52" customHeight="1">
      <c r="A399" s="12" t="s">
        <v>1163</v>
      </c>
      <c r="B399" s="4" t="s">
        <v>2308</v>
      </c>
      <c r="C399" s="4" t="s">
        <v>402</v>
      </c>
      <c r="D399" s="4" t="s">
        <v>136</v>
      </c>
      <c r="E399" s="20" t="s">
        <v>2682</v>
      </c>
      <c r="F399" s="5" t="s">
        <v>404</v>
      </c>
      <c r="G399" s="5" t="s">
        <v>2684</v>
      </c>
      <c r="H399" s="22" t="s">
        <v>2308</v>
      </c>
      <c r="I399" s="22" t="s">
        <v>2308</v>
      </c>
      <c r="J399" s="22" t="s">
        <v>2308</v>
      </c>
      <c r="K399" s="22" t="s">
        <v>542</v>
      </c>
      <c r="L399" s="22" t="s">
        <v>2308</v>
      </c>
      <c r="M399" s="22" t="s">
        <v>2308</v>
      </c>
      <c r="N399" s="22" t="s">
        <v>2308</v>
      </c>
      <c r="O399" s="22" t="s">
        <v>2308</v>
      </c>
      <c r="P399" s="22" t="s">
        <v>2308</v>
      </c>
      <c r="Q399" s="22" t="s">
        <v>2308</v>
      </c>
      <c r="R399" s="22" t="s">
        <v>2308</v>
      </c>
      <c r="S399" s="22" t="s">
        <v>2308</v>
      </c>
      <c r="T399" s="4"/>
    </row>
    <row r="400" spans="1:20" ht="53.5" customHeight="1">
      <c r="A400" s="12" t="s">
        <v>1176</v>
      </c>
      <c r="B400" s="4" t="s">
        <v>2308</v>
      </c>
      <c r="C400" s="4" t="s">
        <v>402</v>
      </c>
      <c r="D400" s="4" t="s">
        <v>136</v>
      </c>
      <c r="E400" s="20" t="s">
        <v>2682</v>
      </c>
      <c r="F400" s="5" t="s">
        <v>1104</v>
      </c>
      <c r="G400" s="5" t="s">
        <v>2308</v>
      </c>
      <c r="H400" s="22" t="s">
        <v>2308</v>
      </c>
      <c r="I400" s="22" t="s">
        <v>2308</v>
      </c>
      <c r="J400" s="22" t="s">
        <v>2308</v>
      </c>
      <c r="K400" s="22" t="s">
        <v>542</v>
      </c>
      <c r="L400" s="22" t="s">
        <v>2308</v>
      </c>
      <c r="M400" s="22" t="s">
        <v>2308</v>
      </c>
      <c r="N400" s="22" t="s">
        <v>2308</v>
      </c>
      <c r="O400" s="22" t="s">
        <v>2308</v>
      </c>
      <c r="P400" s="22" t="s">
        <v>2308</v>
      </c>
      <c r="Q400" s="22" t="s">
        <v>2308</v>
      </c>
      <c r="R400" s="22" t="s">
        <v>2308</v>
      </c>
      <c r="S400" s="22" t="s">
        <v>2308</v>
      </c>
      <c r="T400" s="4"/>
    </row>
    <row r="401" spans="1:20" ht="53.5" customHeight="1">
      <c r="A401" s="12" t="s">
        <v>1180</v>
      </c>
      <c r="B401" s="4" t="s">
        <v>2308</v>
      </c>
      <c r="C401" s="4" t="s">
        <v>402</v>
      </c>
      <c r="D401" s="4" t="s">
        <v>136</v>
      </c>
      <c r="E401" s="20" t="s">
        <v>2682</v>
      </c>
      <c r="F401" s="5" t="s">
        <v>1104</v>
      </c>
      <c r="G401" s="5" t="s">
        <v>2308</v>
      </c>
      <c r="H401" s="22" t="s">
        <v>2308</v>
      </c>
      <c r="I401" s="22" t="s">
        <v>2308</v>
      </c>
      <c r="J401" s="22" t="s">
        <v>2308</v>
      </c>
      <c r="K401" s="22" t="s">
        <v>542</v>
      </c>
      <c r="L401" s="22" t="s">
        <v>2308</v>
      </c>
      <c r="M401" s="22" t="s">
        <v>2308</v>
      </c>
      <c r="N401" s="22" t="s">
        <v>2308</v>
      </c>
      <c r="O401" s="22" t="s">
        <v>2308</v>
      </c>
      <c r="P401" s="22" t="s">
        <v>2308</v>
      </c>
      <c r="Q401" s="22" t="s">
        <v>2308</v>
      </c>
      <c r="R401" s="22" t="s">
        <v>2308</v>
      </c>
      <c r="S401" s="22" t="s">
        <v>2308</v>
      </c>
      <c r="T401" s="4"/>
    </row>
    <row r="402" spans="1:20" ht="47" customHeight="1">
      <c r="A402" s="12" t="s">
        <v>1165</v>
      </c>
      <c r="B402" s="4" t="s">
        <v>2290</v>
      </c>
      <c r="C402" s="4" t="s">
        <v>12</v>
      </c>
      <c r="D402" s="4" t="s">
        <v>877</v>
      </c>
      <c r="E402" s="45" t="s">
        <v>2682</v>
      </c>
      <c r="F402" s="4" t="s">
        <v>116</v>
      </c>
      <c r="G402" s="4" t="s">
        <v>2308</v>
      </c>
      <c r="H402" s="22" t="s">
        <v>2308</v>
      </c>
      <c r="I402" s="22" t="s">
        <v>2308</v>
      </c>
      <c r="J402" s="22" t="s">
        <v>2308</v>
      </c>
      <c r="K402" s="22" t="s">
        <v>542</v>
      </c>
      <c r="L402" s="22" t="s">
        <v>2308</v>
      </c>
      <c r="M402" s="22" t="s">
        <v>2308</v>
      </c>
      <c r="N402" s="22" t="s">
        <v>2308</v>
      </c>
      <c r="O402" s="22" t="s">
        <v>2308</v>
      </c>
      <c r="P402" s="22" t="s">
        <v>2308</v>
      </c>
      <c r="Q402" s="22" t="s">
        <v>2308</v>
      </c>
      <c r="R402" s="22" t="s">
        <v>2308</v>
      </c>
      <c r="S402" s="22" t="s">
        <v>2308</v>
      </c>
      <c r="T402" s="5" t="s">
        <v>2328</v>
      </c>
    </row>
    <row r="403" spans="1:20" ht="47" customHeight="1">
      <c r="A403" s="24" t="s">
        <v>1166</v>
      </c>
      <c r="B403" s="4" t="s">
        <v>70</v>
      </c>
      <c r="C403" s="4" t="s">
        <v>12</v>
      </c>
      <c r="D403" s="4" t="s">
        <v>877</v>
      </c>
      <c r="E403" s="4" t="s">
        <v>2308</v>
      </c>
      <c r="F403" s="4" t="s">
        <v>2308</v>
      </c>
      <c r="G403" s="4" t="s">
        <v>2308</v>
      </c>
      <c r="H403" s="22" t="s">
        <v>2308</v>
      </c>
      <c r="I403" s="22" t="s">
        <v>2308</v>
      </c>
      <c r="J403" s="22" t="s">
        <v>2308</v>
      </c>
      <c r="K403" s="22" t="s">
        <v>542</v>
      </c>
      <c r="L403" s="22" t="s">
        <v>2308</v>
      </c>
      <c r="M403" s="22">
        <v>19</v>
      </c>
      <c r="N403" s="22" t="s">
        <v>2308</v>
      </c>
      <c r="O403" s="22" t="s">
        <v>2308</v>
      </c>
      <c r="P403" s="22" t="s">
        <v>2308</v>
      </c>
      <c r="Q403" s="22" t="s">
        <v>2308</v>
      </c>
      <c r="R403" s="22" t="s">
        <v>2308</v>
      </c>
      <c r="S403" s="22" t="s">
        <v>2308</v>
      </c>
      <c r="T403" s="4"/>
    </row>
    <row r="404" spans="1:20" ht="47" customHeight="1">
      <c r="A404" s="24" t="s">
        <v>1526</v>
      </c>
      <c r="B404" s="4" t="s">
        <v>70</v>
      </c>
      <c r="C404" s="4" t="s">
        <v>12</v>
      </c>
      <c r="D404" s="4" t="s">
        <v>877</v>
      </c>
      <c r="E404" s="4" t="s">
        <v>2308</v>
      </c>
      <c r="F404" s="4" t="s">
        <v>2308</v>
      </c>
      <c r="G404" s="4" t="s">
        <v>2308</v>
      </c>
      <c r="H404" s="22" t="s">
        <v>2308</v>
      </c>
      <c r="I404" s="22" t="s">
        <v>2308</v>
      </c>
      <c r="J404" s="22" t="s">
        <v>2308</v>
      </c>
      <c r="K404" s="22" t="s">
        <v>542</v>
      </c>
      <c r="L404" s="22" t="s">
        <v>2308</v>
      </c>
      <c r="M404" s="22">
        <v>19</v>
      </c>
      <c r="N404" s="22" t="s">
        <v>2308</v>
      </c>
      <c r="O404" s="22" t="s">
        <v>2308</v>
      </c>
      <c r="P404" s="22" t="s">
        <v>2308</v>
      </c>
      <c r="Q404" s="22" t="s">
        <v>2308</v>
      </c>
      <c r="R404" s="22" t="s">
        <v>2308</v>
      </c>
      <c r="S404" s="22" t="s">
        <v>2308</v>
      </c>
      <c r="T404" s="4"/>
    </row>
    <row r="405" spans="1:20" ht="47" customHeight="1">
      <c r="A405" s="24" t="s">
        <v>1527</v>
      </c>
      <c r="B405" s="4" t="s">
        <v>70</v>
      </c>
      <c r="C405" s="4" t="s">
        <v>12</v>
      </c>
      <c r="D405" s="4" t="s">
        <v>877</v>
      </c>
      <c r="E405" s="4" t="s">
        <v>2308</v>
      </c>
      <c r="F405" s="4" t="s">
        <v>2308</v>
      </c>
      <c r="G405" s="4" t="s">
        <v>2308</v>
      </c>
      <c r="H405" s="22" t="s">
        <v>2308</v>
      </c>
      <c r="I405" s="22" t="s">
        <v>2308</v>
      </c>
      <c r="J405" s="22" t="s">
        <v>2308</v>
      </c>
      <c r="K405" s="22" t="s">
        <v>542</v>
      </c>
      <c r="L405" s="22" t="s">
        <v>2308</v>
      </c>
      <c r="M405" s="22">
        <v>19</v>
      </c>
      <c r="N405" s="22" t="s">
        <v>2308</v>
      </c>
      <c r="O405" s="22" t="s">
        <v>2308</v>
      </c>
      <c r="P405" s="22" t="s">
        <v>2308</v>
      </c>
      <c r="Q405" s="22" t="s">
        <v>2308</v>
      </c>
      <c r="R405" s="22" t="s">
        <v>2308</v>
      </c>
      <c r="S405" s="22" t="s">
        <v>2308</v>
      </c>
      <c r="T405" s="4"/>
    </row>
    <row r="406" spans="1:20" ht="47" customHeight="1">
      <c r="A406" s="24" t="s">
        <v>1528</v>
      </c>
      <c r="B406" s="4" t="s">
        <v>70</v>
      </c>
      <c r="C406" s="4" t="s">
        <v>12</v>
      </c>
      <c r="D406" s="4" t="s">
        <v>877</v>
      </c>
      <c r="E406" s="4" t="s">
        <v>2308</v>
      </c>
      <c r="F406" s="4" t="s">
        <v>2308</v>
      </c>
      <c r="G406" s="4" t="s">
        <v>2308</v>
      </c>
      <c r="H406" s="22" t="s">
        <v>2308</v>
      </c>
      <c r="I406" s="22" t="s">
        <v>2308</v>
      </c>
      <c r="J406" s="22" t="s">
        <v>2308</v>
      </c>
      <c r="K406" s="22" t="s">
        <v>542</v>
      </c>
      <c r="L406" s="22" t="s">
        <v>2308</v>
      </c>
      <c r="M406" s="22">
        <v>19</v>
      </c>
      <c r="N406" s="22" t="s">
        <v>2308</v>
      </c>
      <c r="O406" s="22" t="s">
        <v>2308</v>
      </c>
      <c r="P406" s="22" t="s">
        <v>2308</v>
      </c>
      <c r="Q406" s="22" t="s">
        <v>2308</v>
      </c>
      <c r="R406" s="22" t="s">
        <v>2308</v>
      </c>
      <c r="S406" s="22" t="s">
        <v>2308</v>
      </c>
      <c r="T406" s="4"/>
    </row>
    <row r="407" spans="1:20" ht="47" customHeight="1">
      <c r="A407" s="24" t="s">
        <v>1529</v>
      </c>
      <c r="B407" s="4" t="s">
        <v>70</v>
      </c>
      <c r="C407" s="4" t="s">
        <v>12</v>
      </c>
      <c r="D407" s="4" t="s">
        <v>877</v>
      </c>
      <c r="E407" s="4" t="s">
        <v>2308</v>
      </c>
      <c r="F407" s="4" t="s">
        <v>2308</v>
      </c>
      <c r="G407" s="4" t="s">
        <v>2308</v>
      </c>
      <c r="H407" s="22" t="s">
        <v>2308</v>
      </c>
      <c r="I407" s="22" t="s">
        <v>2308</v>
      </c>
      <c r="J407" s="22" t="s">
        <v>2308</v>
      </c>
      <c r="K407" s="22" t="s">
        <v>542</v>
      </c>
      <c r="L407" s="22" t="s">
        <v>2308</v>
      </c>
      <c r="M407" s="22">
        <v>28</v>
      </c>
      <c r="N407" s="22" t="s">
        <v>2308</v>
      </c>
      <c r="O407" s="22" t="s">
        <v>2308</v>
      </c>
      <c r="P407" s="22" t="s">
        <v>2308</v>
      </c>
      <c r="Q407" s="22" t="s">
        <v>2308</v>
      </c>
      <c r="R407" s="22" t="s">
        <v>2308</v>
      </c>
      <c r="S407" s="22" t="s">
        <v>2308</v>
      </c>
      <c r="T407" s="4"/>
    </row>
    <row r="408" spans="1:20" ht="47" customHeight="1">
      <c r="A408" s="24" t="s">
        <v>1530</v>
      </c>
      <c r="B408" s="4" t="s">
        <v>70</v>
      </c>
      <c r="C408" s="4" t="s">
        <v>12</v>
      </c>
      <c r="D408" s="4" t="s">
        <v>877</v>
      </c>
      <c r="E408" s="4" t="s">
        <v>2308</v>
      </c>
      <c r="F408" s="4" t="s">
        <v>2308</v>
      </c>
      <c r="G408" s="4" t="s">
        <v>2308</v>
      </c>
      <c r="H408" s="22" t="s">
        <v>2308</v>
      </c>
      <c r="I408" s="22" t="s">
        <v>2308</v>
      </c>
      <c r="J408" s="22" t="s">
        <v>2308</v>
      </c>
      <c r="K408" s="22" t="s">
        <v>542</v>
      </c>
      <c r="L408" s="22" t="s">
        <v>2308</v>
      </c>
      <c r="M408" s="22">
        <v>28</v>
      </c>
      <c r="N408" s="22" t="s">
        <v>2308</v>
      </c>
      <c r="O408" s="22" t="s">
        <v>2308</v>
      </c>
      <c r="P408" s="22" t="s">
        <v>2308</v>
      </c>
      <c r="Q408" s="22" t="s">
        <v>2308</v>
      </c>
      <c r="R408" s="22" t="s">
        <v>2308</v>
      </c>
      <c r="S408" s="22" t="s">
        <v>2308</v>
      </c>
      <c r="T408" s="4"/>
    </row>
    <row r="409" spans="1:20" ht="47" customHeight="1">
      <c r="A409" s="24" t="s">
        <v>1531</v>
      </c>
      <c r="B409" s="4" t="s">
        <v>70</v>
      </c>
      <c r="C409" s="4" t="s">
        <v>12</v>
      </c>
      <c r="D409" s="4" t="s">
        <v>877</v>
      </c>
      <c r="E409" s="4" t="s">
        <v>2308</v>
      </c>
      <c r="F409" s="4" t="s">
        <v>2308</v>
      </c>
      <c r="G409" s="4" t="s">
        <v>2308</v>
      </c>
      <c r="H409" s="22" t="s">
        <v>2308</v>
      </c>
      <c r="I409" s="22" t="s">
        <v>2308</v>
      </c>
      <c r="J409" s="22" t="s">
        <v>2308</v>
      </c>
      <c r="K409" s="22" t="s">
        <v>542</v>
      </c>
      <c r="L409" s="22" t="s">
        <v>2308</v>
      </c>
      <c r="M409" s="22">
        <v>28</v>
      </c>
      <c r="N409" s="22" t="s">
        <v>2308</v>
      </c>
      <c r="O409" s="22" t="s">
        <v>2308</v>
      </c>
      <c r="P409" s="22" t="s">
        <v>2308</v>
      </c>
      <c r="Q409" s="22" t="s">
        <v>2308</v>
      </c>
      <c r="R409" s="22" t="s">
        <v>2308</v>
      </c>
      <c r="S409" s="22" t="s">
        <v>2308</v>
      </c>
      <c r="T409" s="4"/>
    </row>
    <row r="410" spans="1:20" ht="47" customHeight="1">
      <c r="A410" s="24" t="s">
        <v>1532</v>
      </c>
      <c r="B410" s="4" t="s">
        <v>70</v>
      </c>
      <c r="C410" s="4" t="s">
        <v>12</v>
      </c>
      <c r="D410" s="4" t="s">
        <v>877</v>
      </c>
      <c r="E410" s="4" t="s">
        <v>2308</v>
      </c>
      <c r="F410" s="4" t="s">
        <v>2308</v>
      </c>
      <c r="G410" s="4" t="s">
        <v>2308</v>
      </c>
      <c r="H410" s="22" t="s">
        <v>2308</v>
      </c>
      <c r="I410" s="22" t="s">
        <v>2308</v>
      </c>
      <c r="J410" s="22" t="s">
        <v>2308</v>
      </c>
      <c r="K410" s="22" t="s">
        <v>542</v>
      </c>
      <c r="L410" s="22" t="s">
        <v>2308</v>
      </c>
      <c r="M410" s="22">
        <v>28</v>
      </c>
      <c r="N410" s="22" t="s">
        <v>2308</v>
      </c>
      <c r="O410" s="22" t="s">
        <v>2308</v>
      </c>
      <c r="P410" s="22" t="s">
        <v>2308</v>
      </c>
      <c r="Q410" s="22" t="s">
        <v>2308</v>
      </c>
      <c r="R410" s="22" t="s">
        <v>2308</v>
      </c>
      <c r="S410" s="22" t="s">
        <v>2308</v>
      </c>
      <c r="T410" s="4"/>
    </row>
    <row r="411" spans="1:20" ht="47" customHeight="1">
      <c r="A411" s="24" t="s">
        <v>1533</v>
      </c>
      <c r="B411" s="4" t="s">
        <v>70</v>
      </c>
      <c r="C411" s="4" t="s">
        <v>12</v>
      </c>
      <c r="D411" s="4" t="s">
        <v>877</v>
      </c>
      <c r="E411" s="4" t="s">
        <v>2308</v>
      </c>
      <c r="F411" s="4" t="s">
        <v>2308</v>
      </c>
      <c r="G411" s="4" t="s">
        <v>2308</v>
      </c>
      <c r="H411" s="22" t="s">
        <v>2308</v>
      </c>
      <c r="I411" s="22" t="s">
        <v>2308</v>
      </c>
      <c r="J411" s="22" t="s">
        <v>2308</v>
      </c>
      <c r="K411" s="22" t="s">
        <v>542</v>
      </c>
      <c r="L411" s="22" t="s">
        <v>2308</v>
      </c>
      <c r="M411" s="22">
        <v>28</v>
      </c>
      <c r="N411" s="22" t="s">
        <v>2308</v>
      </c>
      <c r="O411" s="22" t="s">
        <v>2308</v>
      </c>
      <c r="P411" s="22" t="s">
        <v>2308</v>
      </c>
      <c r="Q411" s="22" t="s">
        <v>2308</v>
      </c>
      <c r="R411" s="22" t="s">
        <v>2308</v>
      </c>
      <c r="S411" s="22" t="s">
        <v>2308</v>
      </c>
      <c r="T411" s="4"/>
    </row>
    <row r="412" spans="1:20" ht="47" customHeight="1">
      <c r="A412" s="24" t="s">
        <v>1534</v>
      </c>
      <c r="B412" s="4" t="s">
        <v>70</v>
      </c>
      <c r="C412" s="4" t="s">
        <v>12</v>
      </c>
      <c r="D412" s="4" t="s">
        <v>877</v>
      </c>
      <c r="E412" s="4" t="s">
        <v>2308</v>
      </c>
      <c r="F412" s="4" t="s">
        <v>2308</v>
      </c>
      <c r="G412" s="4" t="s">
        <v>2308</v>
      </c>
      <c r="H412" s="22" t="s">
        <v>2308</v>
      </c>
      <c r="I412" s="22" t="s">
        <v>2308</v>
      </c>
      <c r="J412" s="22" t="s">
        <v>2308</v>
      </c>
      <c r="K412" s="22" t="s">
        <v>542</v>
      </c>
      <c r="L412" s="22" t="s">
        <v>2308</v>
      </c>
      <c r="M412" s="22">
        <v>40</v>
      </c>
      <c r="N412" s="22" t="s">
        <v>2308</v>
      </c>
      <c r="O412" s="22" t="s">
        <v>2308</v>
      </c>
      <c r="P412" s="22" t="s">
        <v>2308</v>
      </c>
      <c r="Q412" s="22" t="s">
        <v>2308</v>
      </c>
      <c r="R412" s="22" t="s">
        <v>2308</v>
      </c>
      <c r="S412" s="22" t="s">
        <v>2308</v>
      </c>
      <c r="T412" s="4"/>
    </row>
    <row r="413" spans="1:20" ht="47" customHeight="1">
      <c r="A413" s="24" t="s">
        <v>1535</v>
      </c>
      <c r="B413" s="4" t="s">
        <v>70</v>
      </c>
      <c r="C413" s="4" t="s">
        <v>12</v>
      </c>
      <c r="D413" s="4" t="s">
        <v>877</v>
      </c>
      <c r="E413" s="4" t="s">
        <v>2308</v>
      </c>
      <c r="F413" s="4" t="s">
        <v>2308</v>
      </c>
      <c r="G413" s="4" t="s">
        <v>2308</v>
      </c>
      <c r="H413" s="22" t="s">
        <v>2308</v>
      </c>
      <c r="I413" s="22" t="s">
        <v>2308</v>
      </c>
      <c r="J413" s="22" t="s">
        <v>2308</v>
      </c>
      <c r="K413" s="22" t="s">
        <v>542</v>
      </c>
      <c r="L413" s="22" t="s">
        <v>2308</v>
      </c>
      <c r="M413" s="22">
        <v>40</v>
      </c>
      <c r="N413" s="22" t="s">
        <v>2308</v>
      </c>
      <c r="O413" s="22" t="s">
        <v>2308</v>
      </c>
      <c r="P413" s="22" t="s">
        <v>2308</v>
      </c>
      <c r="Q413" s="22" t="s">
        <v>2308</v>
      </c>
      <c r="R413" s="22" t="s">
        <v>2308</v>
      </c>
      <c r="S413" s="22" t="s">
        <v>2308</v>
      </c>
      <c r="T413" s="4"/>
    </row>
    <row r="414" spans="1:20" ht="47" customHeight="1">
      <c r="A414" s="24" t="s">
        <v>1536</v>
      </c>
      <c r="B414" s="4" t="s">
        <v>70</v>
      </c>
      <c r="C414" s="4" t="s">
        <v>12</v>
      </c>
      <c r="D414" s="4" t="s">
        <v>877</v>
      </c>
      <c r="E414" s="4" t="s">
        <v>2308</v>
      </c>
      <c r="F414" s="4" t="s">
        <v>2308</v>
      </c>
      <c r="G414" s="4" t="s">
        <v>2308</v>
      </c>
      <c r="H414" s="22" t="s">
        <v>2308</v>
      </c>
      <c r="I414" s="22" t="s">
        <v>2308</v>
      </c>
      <c r="J414" s="22" t="s">
        <v>2308</v>
      </c>
      <c r="K414" s="22" t="s">
        <v>542</v>
      </c>
      <c r="L414" s="22" t="s">
        <v>2308</v>
      </c>
      <c r="M414" s="22">
        <v>40</v>
      </c>
      <c r="N414" s="22" t="s">
        <v>2308</v>
      </c>
      <c r="O414" s="22" t="s">
        <v>2308</v>
      </c>
      <c r="P414" s="22" t="s">
        <v>2308</v>
      </c>
      <c r="Q414" s="22" t="s">
        <v>2308</v>
      </c>
      <c r="R414" s="22" t="s">
        <v>2308</v>
      </c>
      <c r="S414" s="22" t="s">
        <v>2308</v>
      </c>
      <c r="T414" s="4"/>
    </row>
    <row r="415" spans="1:20" ht="47" customHeight="1">
      <c r="A415" s="24" t="s">
        <v>1537</v>
      </c>
      <c r="B415" s="4" t="s">
        <v>70</v>
      </c>
      <c r="C415" s="4" t="s">
        <v>12</v>
      </c>
      <c r="D415" s="4" t="s">
        <v>877</v>
      </c>
      <c r="E415" s="4" t="s">
        <v>2308</v>
      </c>
      <c r="F415" s="4" t="s">
        <v>2308</v>
      </c>
      <c r="G415" s="4" t="s">
        <v>2308</v>
      </c>
      <c r="H415" s="22" t="s">
        <v>2308</v>
      </c>
      <c r="I415" s="22" t="s">
        <v>2308</v>
      </c>
      <c r="J415" s="22" t="s">
        <v>2308</v>
      </c>
      <c r="K415" s="22" t="s">
        <v>542</v>
      </c>
      <c r="L415" s="22" t="s">
        <v>2308</v>
      </c>
      <c r="M415" s="22">
        <v>40</v>
      </c>
      <c r="N415" s="22" t="s">
        <v>2308</v>
      </c>
      <c r="O415" s="22" t="s">
        <v>2308</v>
      </c>
      <c r="P415" s="22" t="s">
        <v>2308</v>
      </c>
      <c r="Q415" s="22" t="s">
        <v>2308</v>
      </c>
      <c r="R415" s="22" t="s">
        <v>2308</v>
      </c>
      <c r="S415" s="22" t="s">
        <v>2308</v>
      </c>
      <c r="T415" s="4"/>
    </row>
    <row r="416" spans="1:20" ht="47" customHeight="1">
      <c r="A416" s="24" t="s">
        <v>1538</v>
      </c>
      <c r="B416" s="4" t="s">
        <v>70</v>
      </c>
      <c r="C416" s="4" t="s">
        <v>12</v>
      </c>
      <c r="D416" s="4" t="s">
        <v>877</v>
      </c>
      <c r="E416" s="4" t="s">
        <v>2308</v>
      </c>
      <c r="F416" s="4" t="s">
        <v>2308</v>
      </c>
      <c r="G416" s="4" t="s">
        <v>2308</v>
      </c>
      <c r="H416" s="22" t="s">
        <v>2308</v>
      </c>
      <c r="I416" s="22" t="s">
        <v>2308</v>
      </c>
      <c r="J416" s="22" t="s">
        <v>2308</v>
      </c>
      <c r="K416" s="22" t="s">
        <v>542</v>
      </c>
      <c r="L416" s="22" t="s">
        <v>2308</v>
      </c>
      <c r="M416" s="22">
        <v>40</v>
      </c>
      <c r="N416" s="22" t="s">
        <v>2308</v>
      </c>
      <c r="O416" s="22" t="s">
        <v>2308</v>
      </c>
      <c r="P416" s="22" t="s">
        <v>2308</v>
      </c>
      <c r="Q416" s="22" t="s">
        <v>2308</v>
      </c>
      <c r="R416" s="22" t="s">
        <v>2308</v>
      </c>
      <c r="S416" s="22" t="s">
        <v>2308</v>
      </c>
      <c r="T416" s="4"/>
    </row>
    <row r="417" spans="1:20" ht="47" customHeight="1">
      <c r="A417" s="24" t="s">
        <v>1539</v>
      </c>
      <c r="B417" s="4" t="s">
        <v>70</v>
      </c>
      <c r="C417" s="4" t="s">
        <v>12</v>
      </c>
      <c r="D417" s="4" t="s">
        <v>877</v>
      </c>
      <c r="E417" s="4" t="s">
        <v>2308</v>
      </c>
      <c r="F417" s="4" t="s">
        <v>2308</v>
      </c>
      <c r="G417" s="4" t="s">
        <v>2308</v>
      </c>
      <c r="H417" s="22" t="s">
        <v>2308</v>
      </c>
      <c r="I417" s="22" t="s">
        <v>2308</v>
      </c>
      <c r="J417" s="22" t="s">
        <v>2308</v>
      </c>
      <c r="K417" s="22" t="s">
        <v>542</v>
      </c>
      <c r="L417" s="22" t="s">
        <v>2308</v>
      </c>
      <c r="M417" s="22">
        <v>28</v>
      </c>
      <c r="N417" s="22" t="s">
        <v>2308</v>
      </c>
      <c r="O417" s="22" t="s">
        <v>2308</v>
      </c>
      <c r="P417" s="22" t="s">
        <v>2308</v>
      </c>
      <c r="Q417" s="22" t="s">
        <v>2308</v>
      </c>
      <c r="R417" s="22" t="s">
        <v>2308</v>
      </c>
      <c r="S417" s="22" t="s">
        <v>2308</v>
      </c>
      <c r="T417" s="4"/>
    </row>
    <row r="418" spans="1:20" ht="47" customHeight="1">
      <c r="A418" s="24" t="s">
        <v>1540</v>
      </c>
      <c r="B418" s="4" t="s">
        <v>70</v>
      </c>
      <c r="C418" s="4" t="s">
        <v>12</v>
      </c>
      <c r="D418" s="4" t="s">
        <v>877</v>
      </c>
      <c r="E418" s="4" t="s">
        <v>2308</v>
      </c>
      <c r="F418" s="4" t="s">
        <v>2308</v>
      </c>
      <c r="G418" s="4" t="s">
        <v>2308</v>
      </c>
      <c r="H418" s="22" t="s">
        <v>2308</v>
      </c>
      <c r="I418" s="22" t="s">
        <v>2308</v>
      </c>
      <c r="J418" s="22" t="s">
        <v>2308</v>
      </c>
      <c r="K418" s="22" t="s">
        <v>542</v>
      </c>
      <c r="L418" s="22" t="s">
        <v>2308</v>
      </c>
      <c r="M418" s="22">
        <v>40</v>
      </c>
      <c r="N418" s="22" t="s">
        <v>2308</v>
      </c>
      <c r="O418" s="22" t="s">
        <v>2308</v>
      </c>
      <c r="P418" s="22" t="s">
        <v>2308</v>
      </c>
      <c r="Q418" s="22" t="s">
        <v>2308</v>
      </c>
      <c r="R418" s="22" t="s">
        <v>2308</v>
      </c>
      <c r="S418" s="22" t="s">
        <v>2308</v>
      </c>
      <c r="T418" s="4"/>
    </row>
    <row r="419" spans="1:20" ht="47" customHeight="1">
      <c r="A419" s="24" t="s">
        <v>1541</v>
      </c>
      <c r="B419" s="4" t="s">
        <v>70</v>
      </c>
      <c r="C419" s="4" t="s">
        <v>12</v>
      </c>
      <c r="D419" s="4" t="s">
        <v>877</v>
      </c>
      <c r="E419" s="4" t="s">
        <v>2308</v>
      </c>
      <c r="F419" s="4" t="s">
        <v>2308</v>
      </c>
      <c r="G419" s="4" t="s">
        <v>2308</v>
      </c>
      <c r="H419" s="22" t="s">
        <v>2308</v>
      </c>
      <c r="I419" s="22" t="s">
        <v>2308</v>
      </c>
      <c r="J419" s="22" t="s">
        <v>2308</v>
      </c>
      <c r="K419" s="22" t="s">
        <v>542</v>
      </c>
      <c r="L419" s="22" t="s">
        <v>2308</v>
      </c>
      <c r="M419" s="22">
        <v>40</v>
      </c>
      <c r="N419" s="22" t="s">
        <v>2308</v>
      </c>
      <c r="O419" s="22" t="s">
        <v>2308</v>
      </c>
      <c r="P419" s="22" t="s">
        <v>2308</v>
      </c>
      <c r="Q419" s="22" t="s">
        <v>2308</v>
      </c>
      <c r="R419" s="22" t="s">
        <v>2308</v>
      </c>
      <c r="S419" s="22" t="s">
        <v>2308</v>
      </c>
      <c r="T419" s="4"/>
    </row>
    <row r="420" spans="1:20" ht="47" customHeight="1">
      <c r="A420" s="24" t="s">
        <v>1542</v>
      </c>
      <c r="B420" s="4" t="s">
        <v>70</v>
      </c>
      <c r="C420" s="4" t="s">
        <v>12</v>
      </c>
      <c r="D420" s="4" t="s">
        <v>877</v>
      </c>
      <c r="E420" s="4" t="s">
        <v>2308</v>
      </c>
      <c r="F420" s="4" t="s">
        <v>2308</v>
      </c>
      <c r="G420" s="4" t="s">
        <v>2308</v>
      </c>
      <c r="H420" s="22" t="s">
        <v>2308</v>
      </c>
      <c r="I420" s="22" t="s">
        <v>2308</v>
      </c>
      <c r="J420" s="22" t="s">
        <v>2308</v>
      </c>
      <c r="K420" s="22" t="s">
        <v>542</v>
      </c>
      <c r="L420" s="22" t="s">
        <v>2308</v>
      </c>
      <c r="M420" s="22">
        <v>28</v>
      </c>
      <c r="N420" s="22" t="s">
        <v>2308</v>
      </c>
      <c r="O420" s="22" t="s">
        <v>2308</v>
      </c>
      <c r="P420" s="22" t="s">
        <v>2308</v>
      </c>
      <c r="Q420" s="22" t="s">
        <v>2308</v>
      </c>
      <c r="R420" s="22" t="s">
        <v>2308</v>
      </c>
      <c r="S420" s="22" t="s">
        <v>2308</v>
      </c>
      <c r="T420" s="4"/>
    </row>
    <row r="421" spans="1:20" ht="47" customHeight="1">
      <c r="A421" s="24" t="s">
        <v>1543</v>
      </c>
      <c r="B421" s="4" t="s">
        <v>70</v>
      </c>
      <c r="C421" s="4" t="s">
        <v>12</v>
      </c>
      <c r="D421" s="4" t="s">
        <v>877</v>
      </c>
      <c r="E421" s="4" t="s">
        <v>2308</v>
      </c>
      <c r="F421" s="4" t="s">
        <v>2308</v>
      </c>
      <c r="G421" s="4" t="s">
        <v>2308</v>
      </c>
      <c r="H421" s="22" t="s">
        <v>2308</v>
      </c>
      <c r="I421" s="22" t="s">
        <v>2308</v>
      </c>
      <c r="J421" s="22" t="s">
        <v>2308</v>
      </c>
      <c r="K421" s="22" t="s">
        <v>542</v>
      </c>
      <c r="L421" s="22" t="s">
        <v>2308</v>
      </c>
      <c r="M421" s="22">
        <v>40</v>
      </c>
      <c r="N421" s="22" t="s">
        <v>2308</v>
      </c>
      <c r="O421" s="22" t="s">
        <v>2308</v>
      </c>
      <c r="P421" s="22" t="s">
        <v>2308</v>
      </c>
      <c r="Q421" s="22" t="s">
        <v>2308</v>
      </c>
      <c r="R421" s="22" t="s">
        <v>2308</v>
      </c>
      <c r="S421" s="22" t="s">
        <v>2308</v>
      </c>
      <c r="T421" s="4"/>
    </row>
    <row r="422" spans="1:20" ht="47" customHeight="1">
      <c r="A422" s="24" t="s">
        <v>1544</v>
      </c>
      <c r="B422" s="4" t="s">
        <v>70</v>
      </c>
      <c r="C422" s="4" t="s">
        <v>12</v>
      </c>
      <c r="D422" s="4" t="s">
        <v>877</v>
      </c>
      <c r="E422" s="4" t="s">
        <v>2308</v>
      </c>
      <c r="F422" s="4" t="s">
        <v>2308</v>
      </c>
      <c r="G422" s="4" t="s">
        <v>2308</v>
      </c>
      <c r="H422" s="22" t="s">
        <v>2308</v>
      </c>
      <c r="I422" s="22" t="s">
        <v>2308</v>
      </c>
      <c r="J422" s="22" t="s">
        <v>2308</v>
      </c>
      <c r="K422" s="22" t="s">
        <v>542</v>
      </c>
      <c r="L422" s="22" t="s">
        <v>2308</v>
      </c>
      <c r="M422" s="22">
        <v>40</v>
      </c>
      <c r="N422" s="22" t="s">
        <v>2308</v>
      </c>
      <c r="O422" s="22" t="s">
        <v>2308</v>
      </c>
      <c r="P422" s="22" t="s">
        <v>2308</v>
      </c>
      <c r="Q422" s="22" t="s">
        <v>2308</v>
      </c>
      <c r="R422" s="22" t="s">
        <v>2308</v>
      </c>
      <c r="S422" s="22" t="s">
        <v>2308</v>
      </c>
      <c r="T422" s="4"/>
    </row>
    <row r="423" spans="1:20" ht="47" customHeight="1">
      <c r="A423" s="24" t="s">
        <v>1545</v>
      </c>
      <c r="B423" s="4" t="s">
        <v>70</v>
      </c>
      <c r="C423" s="4" t="s">
        <v>12</v>
      </c>
      <c r="D423" s="4" t="s">
        <v>877</v>
      </c>
      <c r="E423" s="4" t="s">
        <v>2308</v>
      </c>
      <c r="F423" s="4" t="s">
        <v>2308</v>
      </c>
      <c r="G423" s="4" t="s">
        <v>2308</v>
      </c>
      <c r="H423" s="22" t="s">
        <v>2308</v>
      </c>
      <c r="I423" s="22" t="s">
        <v>2308</v>
      </c>
      <c r="J423" s="22" t="s">
        <v>2308</v>
      </c>
      <c r="K423" s="22" t="s">
        <v>542</v>
      </c>
      <c r="L423" s="22" t="s">
        <v>2308</v>
      </c>
      <c r="M423" s="22">
        <v>40</v>
      </c>
      <c r="N423" s="22" t="s">
        <v>2308</v>
      </c>
      <c r="O423" s="22" t="s">
        <v>2308</v>
      </c>
      <c r="P423" s="22" t="s">
        <v>2308</v>
      </c>
      <c r="Q423" s="22" t="s">
        <v>2308</v>
      </c>
      <c r="R423" s="22" t="s">
        <v>2308</v>
      </c>
      <c r="S423" s="22" t="s">
        <v>2308</v>
      </c>
      <c r="T423" s="4"/>
    </row>
    <row r="424" spans="1:20" ht="47" customHeight="1">
      <c r="A424" s="24" t="s">
        <v>1546</v>
      </c>
      <c r="B424" s="4" t="s">
        <v>70</v>
      </c>
      <c r="C424" s="4" t="s">
        <v>12</v>
      </c>
      <c r="D424" s="4" t="s">
        <v>877</v>
      </c>
      <c r="E424" s="4" t="s">
        <v>2308</v>
      </c>
      <c r="F424" s="4" t="s">
        <v>2308</v>
      </c>
      <c r="G424" s="4" t="s">
        <v>2308</v>
      </c>
      <c r="H424" s="22" t="s">
        <v>2308</v>
      </c>
      <c r="I424" s="22" t="s">
        <v>2308</v>
      </c>
      <c r="J424" s="22" t="s">
        <v>2308</v>
      </c>
      <c r="K424" s="22" t="s">
        <v>542</v>
      </c>
      <c r="L424" s="22" t="s">
        <v>2308</v>
      </c>
      <c r="M424" s="22">
        <v>40</v>
      </c>
      <c r="N424" s="22" t="s">
        <v>2308</v>
      </c>
      <c r="O424" s="22" t="s">
        <v>2308</v>
      </c>
      <c r="P424" s="22" t="s">
        <v>2308</v>
      </c>
      <c r="Q424" s="22" t="s">
        <v>2308</v>
      </c>
      <c r="R424" s="22" t="s">
        <v>2308</v>
      </c>
      <c r="S424" s="22" t="s">
        <v>2308</v>
      </c>
      <c r="T424" s="4"/>
    </row>
    <row r="425" spans="1:20" ht="47" customHeight="1">
      <c r="A425" s="24" t="s">
        <v>1547</v>
      </c>
      <c r="B425" s="4" t="s">
        <v>70</v>
      </c>
      <c r="C425" s="4" t="s">
        <v>12</v>
      </c>
      <c r="D425" s="4" t="s">
        <v>877</v>
      </c>
      <c r="E425" s="4" t="s">
        <v>2308</v>
      </c>
      <c r="F425" s="4" t="s">
        <v>2308</v>
      </c>
      <c r="G425" s="4" t="s">
        <v>2308</v>
      </c>
      <c r="H425" s="22" t="s">
        <v>2308</v>
      </c>
      <c r="I425" s="22" t="s">
        <v>2308</v>
      </c>
      <c r="J425" s="22" t="s">
        <v>2308</v>
      </c>
      <c r="K425" s="22" t="s">
        <v>542</v>
      </c>
      <c r="L425" s="22" t="s">
        <v>2308</v>
      </c>
      <c r="M425" s="22">
        <v>40</v>
      </c>
      <c r="N425" s="22" t="s">
        <v>2308</v>
      </c>
      <c r="O425" s="22" t="s">
        <v>2308</v>
      </c>
      <c r="P425" s="22" t="s">
        <v>2308</v>
      </c>
      <c r="Q425" s="22" t="s">
        <v>2308</v>
      </c>
      <c r="R425" s="22" t="s">
        <v>2308</v>
      </c>
      <c r="S425" s="22" t="s">
        <v>2308</v>
      </c>
      <c r="T425" s="4"/>
    </row>
    <row r="426" spans="1:20" ht="47" customHeight="1">
      <c r="A426" s="24" t="s">
        <v>1548</v>
      </c>
      <c r="B426" s="4" t="s">
        <v>70</v>
      </c>
      <c r="C426" s="4" t="s">
        <v>12</v>
      </c>
      <c r="D426" s="4" t="s">
        <v>877</v>
      </c>
      <c r="E426" s="4" t="s">
        <v>2308</v>
      </c>
      <c r="F426" s="4" t="s">
        <v>2308</v>
      </c>
      <c r="G426" s="4" t="s">
        <v>2308</v>
      </c>
      <c r="H426" s="22" t="s">
        <v>2308</v>
      </c>
      <c r="I426" s="22" t="s">
        <v>2308</v>
      </c>
      <c r="J426" s="22" t="s">
        <v>2308</v>
      </c>
      <c r="K426" s="22" t="s">
        <v>542</v>
      </c>
      <c r="L426" s="22" t="s">
        <v>2308</v>
      </c>
      <c r="M426" s="22">
        <v>40</v>
      </c>
      <c r="N426" s="22" t="s">
        <v>2308</v>
      </c>
      <c r="O426" s="22" t="s">
        <v>2308</v>
      </c>
      <c r="P426" s="22" t="s">
        <v>2308</v>
      </c>
      <c r="Q426" s="22" t="s">
        <v>2308</v>
      </c>
      <c r="R426" s="22" t="s">
        <v>2308</v>
      </c>
      <c r="S426" s="22" t="s">
        <v>2308</v>
      </c>
      <c r="T426" s="4"/>
    </row>
    <row r="427" spans="1:20" ht="47" customHeight="1">
      <c r="A427" s="24" t="s">
        <v>1549</v>
      </c>
      <c r="B427" s="4" t="s">
        <v>70</v>
      </c>
      <c r="C427" s="4" t="s">
        <v>12</v>
      </c>
      <c r="D427" s="4" t="s">
        <v>877</v>
      </c>
      <c r="E427" s="4" t="s">
        <v>2308</v>
      </c>
      <c r="F427" s="4" t="s">
        <v>2308</v>
      </c>
      <c r="G427" s="4" t="s">
        <v>2308</v>
      </c>
      <c r="H427" s="22" t="s">
        <v>2308</v>
      </c>
      <c r="I427" s="22" t="s">
        <v>2308</v>
      </c>
      <c r="J427" s="22" t="s">
        <v>2308</v>
      </c>
      <c r="K427" s="22" t="s">
        <v>542</v>
      </c>
      <c r="L427" s="22" t="s">
        <v>2308</v>
      </c>
      <c r="M427" s="22">
        <v>40</v>
      </c>
      <c r="N427" s="22" t="s">
        <v>2308</v>
      </c>
      <c r="O427" s="22" t="s">
        <v>2308</v>
      </c>
      <c r="P427" s="22" t="s">
        <v>2308</v>
      </c>
      <c r="Q427" s="22" t="s">
        <v>2308</v>
      </c>
      <c r="R427" s="22" t="s">
        <v>2308</v>
      </c>
      <c r="S427" s="22" t="s">
        <v>2308</v>
      </c>
      <c r="T427" s="4"/>
    </row>
    <row r="428" spans="1:20" ht="47" customHeight="1">
      <c r="A428" s="24" t="s">
        <v>1550</v>
      </c>
      <c r="B428" s="4" t="s">
        <v>70</v>
      </c>
      <c r="C428" s="4" t="s">
        <v>12</v>
      </c>
      <c r="D428" s="4" t="s">
        <v>877</v>
      </c>
      <c r="E428" s="4" t="s">
        <v>2308</v>
      </c>
      <c r="F428" s="4" t="s">
        <v>2308</v>
      </c>
      <c r="G428" s="4" t="s">
        <v>2308</v>
      </c>
      <c r="H428" s="22" t="s">
        <v>2308</v>
      </c>
      <c r="I428" s="22" t="s">
        <v>2308</v>
      </c>
      <c r="J428" s="22" t="s">
        <v>2308</v>
      </c>
      <c r="K428" s="22" t="s">
        <v>542</v>
      </c>
      <c r="L428" s="22" t="s">
        <v>2308</v>
      </c>
      <c r="M428" s="22">
        <v>28</v>
      </c>
      <c r="N428" s="22" t="s">
        <v>2308</v>
      </c>
      <c r="O428" s="22" t="s">
        <v>2308</v>
      </c>
      <c r="P428" s="22" t="s">
        <v>2308</v>
      </c>
      <c r="Q428" s="22" t="s">
        <v>2308</v>
      </c>
      <c r="R428" s="22" t="s">
        <v>2308</v>
      </c>
      <c r="S428" s="22" t="s">
        <v>2308</v>
      </c>
      <c r="T428" s="4"/>
    </row>
    <row r="429" spans="1:20" ht="47" customHeight="1">
      <c r="A429" s="24" t="s">
        <v>1551</v>
      </c>
      <c r="B429" s="4" t="s">
        <v>70</v>
      </c>
      <c r="C429" s="4" t="s">
        <v>12</v>
      </c>
      <c r="D429" s="4" t="s">
        <v>877</v>
      </c>
      <c r="E429" s="4" t="s">
        <v>2308</v>
      </c>
      <c r="F429" s="4" t="s">
        <v>2308</v>
      </c>
      <c r="G429" s="4" t="s">
        <v>2308</v>
      </c>
      <c r="H429" s="22" t="s">
        <v>2308</v>
      </c>
      <c r="I429" s="22" t="s">
        <v>2308</v>
      </c>
      <c r="J429" s="22" t="s">
        <v>2308</v>
      </c>
      <c r="K429" s="22" t="s">
        <v>542</v>
      </c>
      <c r="L429" s="22" t="s">
        <v>2308</v>
      </c>
      <c r="M429" s="22">
        <v>28</v>
      </c>
      <c r="N429" s="22" t="s">
        <v>2308</v>
      </c>
      <c r="O429" s="22" t="s">
        <v>2308</v>
      </c>
      <c r="P429" s="22" t="s">
        <v>2308</v>
      </c>
      <c r="Q429" s="22" t="s">
        <v>2308</v>
      </c>
      <c r="R429" s="22" t="s">
        <v>2308</v>
      </c>
      <c r="S429" s="22" t="s">
        <v>2308</v>
      </c>
      <c r="T429" s="4"/>
    </row>
    <row r="430" spans="1:20" ht="47" customHeight="1">
      <c r="A430" s="24" t="s">
        <v>1552</v>
      </c>
      <c r="B430" s="4" t="s">
        <v>70</v>
      </c>
      <c r="C430" s="4" t="s">
        <v>12</v>
      </c>
      <c r="D430" s="4" t="s">
        <v>877</v>
      </c>
      <c r="E430" s="4" t="s">
        <v>2308</v>
      </c>
      <c r="F430" s="4" t="s">
        <v>2308</v>
      </c>
      <c r="G430" s="4" t="s">
        <v>2308</v>
      </c>
      <c r="H430" s="22" t="s">
        <v>2308</v>
      </c>
      <c r="I430" s="22" t="s">
        <v>2308</v>
      </c>
      <c r="J430" s="22" t="s">
        <v>2308</v>
      </c>
      <c r="K430" s="22" t="s">
        <v>542</v>
      </c>
      <c r="L430" s="22" t="s">
        <v>2308</v>
      </c>
      <c r="M430" s="22">
        <v>28</v>
      </c>
      <c r="N430" s="22" t="s">
        <v>2308</v>
      </c>
      <c r="O430" s="22" t="s">
        <v>2308</v>
      </c>
      <c r="P430" s="22" t="s">
        <v>2308</v>
      </c>
      <c r="Q430" s="22" t="s">
        <v>2308</v>
      </c>
      <c r="R430" s="22" t="s">
        <v>2308</v>
      </c>
      <c r="S430" s="22" t="s">
        <v>2308</v>
      </c>
      <c r="T430" s="4"/>
    </row>
    <row r="431" spans="1:20" ht="47" customHeight="1">
      <c r="A431" s="24" t="s">
        <v>1553</v>
      </c>
      <c r="B431" s="4" t="s">
        <v>70</v>
      </c>
      <c r="C431" s="4" t="s">
        <v>12</v>
      </c>
      <c r="D431" s="4" t="s">
        <v>877</v>
      </c>
      <c r="E431" s="4" t="s">
        <v>2308</v>
      </c>
      <c r="F431" s="4" t="s">
        <v>2308</v>
      </c>
      <c r="G431" s="4" t="s">
        <v>2308</v>
      </c>
      <c r="H431" s="22" t="s">
        <v>2308</v>
      </c>
      <c r="I431" s="22" t="s">
        <v>2308</v>
      </c>
      <c r="J431" s="22" t="s">
        <v>2308</v>
      </c>
      <c r="K431" s="22" t="s">
        <v>542</v>
      </c>
      <c r="L431" s="22" t="s">
        <v>2308</v>
      </c>
      <c r="M431" s="22">
        <v>19</v>
      </c>
      <c r="N431" s="22" t="s">
        <v>2308</v>
      </c>
      <c r="O431" s="22" t="s">
        <v>2308</v>
      </c>
      <c r="P431" s="22" t="s">
        <v>2308</v>
      </c>
      <c r="Q431" s="22" t="s">
        <v>2308</v>
      </c>
      <c r="R431" s="22" t="s">
        <v>2308</v>
      </c>
      <c r="S431" s="22" t="s">
        <v>2308</v>
      </c>
      <c r="T431" s="4"/>
    </row>
    <row r="432" spans="1:20" ht="47" customHeight="1">
      <c r="A432" s="24" t="s">
        <v>1554</v>
      </c>
      <c r="B432" s="4" t="s">
        <v>70</v>
      </c>
      <c r="C432" s="4" t="s">
        <v>12</v>
      </c>
      <c r="D432" s="4" t="s">
        <v>877</v>
      </c>
      <c r="E432" s="4" t="s">
        <v>2308</v>
      </c>
      <c r="F432" s="4" t="s">
        <v>2308</v>
      </c>
      <c r="G432" s="4" t="s">
        <v>2308</v>
      </c>
      <c r="H432" s="22" t="s">
        <v>2308</v>
      </c>
      <c r="I432" s="22" t="s">
        <v>2308</v>
      </c>
      <c r="J432" s="22" t="s">
        <v>2308</v>
      </c>
      <c r="K432" s="22" t="s">
        <v>542</v>
      </c>
      <c r="L432" s="22" t="s">
        <v>2308</v>
      </c>
      <c r="M432" s="22">
        <v>19</v>
      </c>
      <c r="N432" s="22" t="s">
        <v>2308</v>
      </c>
      <c r="O432" s="22" t="s">
        <v>2308</v>
      </c>
      <c r="P432" s="22" t="s">
        <v>2308</v>
      </c>
      <c r="Q432" s="22" t="s">
        <v>2308</v>
      </c>
      <c r="R432" s="22" t="s">
        <v>2308</v>
      </c>
      <c r="S432" s="22" t="s">
        <v>2308</v>
      </c>
      <c r="T432" s="4"/>
    </row>
    <row r="433" spans="1:20" ht="47" customHeight="1">
      <c r="A433" s="24" t="s">
        <v>1555</v>
      </c>
      <c r="B433" s="4" t="s">
        <v>70</v>
      </c>
      <c r="C433" s="4" t="s">
        <v>12</v>
      </c>
      <c r="D433" s="4" t="s">
        <v>877</v>
      </c>
      <c r="E433" s="4" t="s">
        <v>2308</v>
      </c>
      <c r="F433" s="4" t="s">
        <v>2308</v>
      </c>
      <c r="G433" s="4" t="s">
        <v>2308</v>
      </c>
      <c r="H433" s="22" t="s">
        <v>2308</v>
      </c>
      <c r="I433" s="22" t="s">
        <v>2308</v>
      </c>
      <c r="J433" s="22" t="s">
        <v>2308</v>
      </c>
      <c r="K433" s="22" t="s">
        <v>542</v>
      </c>
      <c r="L433" s="22" t="s">
        <v>2308</v>
      </c>
      <c r="M433" s="22">
        <v>28</v>
      </c>
      <c r="N433" s="22" t="s">
        <v>2308</v>
      </c>
      <c r="O433" s="22" t="s">
        <v>2308</v>
      </c>
      <c r="P433" s="22" t="s">
        <v>2308</v>
      </c>
      <c r="Q433" s="22" t="s">
        <v>2308</v>
      </c>
      <c r="R433" s="22" t="s">
        <v>2308</v>
      </c>
      <c r="S433" s="22" t="s">
        <v>2308</v>
      </c>
      <c r="T433" s="4"/>
    </row>
    <row r="434" spans="1:20" ht="47" customHeight="1">
      <c r="A434" s="24" t="s">
        <v>1556</v>
      </c>
      <c r="B434" s="4" t="s">
        <v>70</v>
      </c>
      <c r="C434" s="4" t="s">
        <v>12</v>
      </c>
      <c r="D434" s="4" t="s">
        <v>877</v>
      </c>
      <c r="E434" s="4" t="s">
        <v>2308</v>
      </c>
      <c r="F434" s="4" t="s">
        <v>2308</v>
      </c>
      <c r="G434" s="4" t="s">
        <v>2308</v>
      </c>
      <c r="H434" s="22" t="s">
        <v>2308</v>
      </c>
      <c r="I434" s="22" t="s">
        <v>2308</v>
      </c>
      <c r="J434" s="22" t="s">
        <v>2308</v>
      </c>
      <c r="K434" s="22" t="s">
        <v>542</v>
      </c>
      <c r="L434" s="22" t="s">
        <v>2308</v>
      </c>
      <c r="M434" s="22">
        <v>19</v>
      </c>
      <c r="N434" s="22" t="s">
        <v>2308</v>
      </c>
      <c r="O434" s="22" t="s">
        <v>2308</v>
      </c>
      <c r="P434" s="22" t="s">
        <v>2308</v>
      </c>
      <c r="Q434" s="22" t="s">
        <v>2308</v>
      </c>
      <c r="R434" s="22" t="s">
        <v>2308</v>
      </c>
      <c r="S434" s="22" t="s">
        <v>2308</v>
      </c>
      <c r="T434" s="4"/>
    </row>
    <row r="435" spans="1:20" ht="47" customHeight="1">
      <c r="A435" s="24" t="s">
        <v>1557</v>
      </c>
      <c r="B435" s="4" t="s">
        <v>70</v>
      </c>
      <c r="C435" s="4" t="s">
        <v>12</v>
      </c>
      <c r="D435" s="4" t="s">
        <v>877</v>
      </c>
      <c r="E435" s="4" t="s">
        <v>2308</v>
      </c>
      <c r="F435" s="4" t="s">
        <v>2308</v>
      </c>
      <c r="G435" s="4" t="s">
        <v>2308</v>
      </c>
      <c r="H435" s="22" t="s">
        <v>2308</v>
      </c>
      <c r="I435" s="22" t="s">
        <v>2308</v>
      </c>
      <c r="J435" s="22" t="s">
        <v>2308</v>
      </c>
      <c r="K435" s="22" t="s">
        <v>542</v>
      </c>
      <c r="L435" s="22" t="s">
        <v>2308</v>
      </c>
      <c r="M435" s="22">
        <v>19</v>
      </c>
      <c r="N435" s="22" t="s">
        <v>2308</v>
      </c>
      <c r="O435" s="22" t="s">
        <v>2308</v>
      </c>
      <c r="P435" s="22" t="s">
        <v>2308</v>
      </c>
      <c r="Q435" s="22" t="s">
        <v>2308</v>
      </c>
      <c r="R435" s="22" t="s">
        <v>2308</v>
      </c>
      <c r="S435" s="22" t="s">
        <v>2308</v>
      </c>
      <c r="T435" s="4"/>
    </row>
    <row r="436" spans="1:20" ht="47" customHeight="1">
      <c r="A436" s="24" t="s">
        <v>1558</v>
      </c>
      <c r="B436" s="4" t="s">
        <v>70</v>
      </c>
      <c r="C436" s="4" t="s">
        <v>12</v>
      </c>
      <c r="D436" s="4" t="s">
        <v>877</v>
      </c>
      <c r="E436" s="4" t="s">
        <v>2308</v>
      </c>
      <c r="F436" s="4" t="s">
        <v>2308</v>
      </c>
      <c r="G436" s="4" t="s">
        <v>2308</v>
      </c>
      <c r="H436" s="22" t="s">
        <v>2308</v>
      </c>
      <c r="I436" s="22" t="s">
        <v>2308</v>
      </c>
      <c r="J436" s="22" t="s">
        <v>2308</v>
      </c>
      <c r="K436" s="22" t="s">
        <v>542</v>
      </c>
      <c r="L436" s="22" t="s">
        <v>2308</v>
      </c>
      <c r="M436" s="22">
        <v>19</v>
      </c>
      <c r="N436" s="22" t="s">
        <v>2308</v>
      </c>
      <c r="O436" s="22" t="s">
        <v>2308</v>
      </c>
      <c r="P436" s="22" t="s">
        <v>2308</v>
      </c>
      <c r="Q436" s="22" t="s">
        <v>2308</v>
      </c>
      <c r="R436" s="22" t="s">
        <v>2308</v>
      </c>
      <c r="S436" s="22" t="s">
        <v>2308</v>
      </c>
      <c r="T436" s="4"/>
    </row>
    <row r="437" spans="1:20" ht="47" customHeight="1">
      <c r="A437" s="24" t="s">
        <v>1559</v>
      </c>
      <c r="B437" s="4" t="s">
        <v>70</v>
      </c>
      <c r="C437" s="4" t="s">
        <v>12</v>
      </c>
      <c r="D437" s="4" t="s">
        <v>877</v>
      </c>
      <c r="E437" s="4" t="s">
        <v>2308</v>
      </c>
      <c r="F437" s="4" t="s">
        <v>2308</v>
      </c>
      <c r="G437" s="4" t="s">
        <v>2308</v>
      </c>
      <c r="H437" s="22" t="s">
        <v>2308</v>
      </c>
      <c r="I437" s="22" t="s">
        <v>2308</v>
      </c>
      <c r="J437" s="22" t="s">
        <v>2308</v>
      </c>
      <c r="K437" s="22" t="s">
        <v>542</v>
      </c>
      <c r="L437" s="22" t="s">
        <v>2308</v>
      </c>
      <c r="M437" s="22">
        <v>19</v>
      </c>
      <c r="N437" s="22" t="s">
        <v>2308</v>
      </c>
      <c r="O437" s="22" t="s">
        <v>2308</v>
      </c>
      <c r="P437" s="22" t="s">
        <v>2308</v>
      </c>
      <c r="Q437" s="22" t="s">
        <v>2308</v>
      </c>
      <c r="R437" s="22" t="s">
        <v>2308</v>
      </c>
      <c r="S437" s="22" t="s">
        <v>2308</v>
      </c>
      <c r="T437" s="4"/>
    </row>
    <row r="438" spans="1:20" ht="47" customHeight="1">
      <c r="A438" s="24" t="s">
        <v>1560</v>
      </c>
      <c r="B438" s="4" t="s">
        <v>70</v>
      </c>
      <c r="C438" s="4" t="s">
        <v>12</v>
      </c>
      <c r="D438" s="4" t="s">
        <v>877</v>
      </c>
      <c r="E438" s="4" t="s">
        <v>2308</v>
      </c>
      <c r="F438" s="4" t="s">
        <v>2308</v>
      </c>
      <c r="G438" s="4" t="s">
        <v>2308</v>
      </c>
      <c r="H438" s="22" t="s">
        <v>2308</v>
      </c>
      <c r="I438" s="22" t="s">
        <v>2308</v>
      </c>
      <c r="J438" s="22" t="s">
        <v>2308</v>
      </c>
      <c r="K438" s="22" t="s">
        <v>542</v>
      </c>
      <c r="L438" s="22" t="s">
        <v>2308</v>
      </c>
      <c r="M438" s="22">
        <v>19</v>
      </c>
      <c r="N438" s="22" t="s">
        <v>2308</v>
      </c>
      <c r="O438" s="22" t="s">
        <v>2308</v>
      </c>
      <c r="P438" s="22" t="s">
        <v>2308</v>
      </c>
      <c r="Q438" s="22" t="s">
        <v>2308</v>
      </c>
      <c r="R438" s="22" t="s">
        <v>2308</v>
      </c>
      <c r="S438" s="22" t="s">
        <v>2308</v>
      </c>
      <c r="T438" s="4"/>
    </row>
    <row r="439" spans="1:20" ht="47" customHeight="1">
      <c r="A439" s="24" t="s">
        <v>1561</v>
      </c>
      <c r="B439" s="4" t="s">
        <v>70</v>
      </c>
      <c r="C439" s="4" t="s">
        <v>12</v>
      </c>
      <c r="D439" s="4" t="s">
        <v>877</v>
      </c>
      <c r="E439" s="4" t="s">
        <v>2308</v>
      </c>
      <c r="F439" s="4" t="s">
        <v>2308</v>
      </c>
      <c r="G439" s="4" t="s">
        <v>2308</v>
      </c>
      <c r="H439" s="22" t="s">
        <v>2308</v>
      </c>
      <c r="I439" s="22" t="s">
        <v>2308</v>
      </c>
      <c r="J439" s="22" t="s">
        <v>2308</v>
      </c>
      <c r="K439" s="22" t="s">
        <v>542</v>
      </c>
      <c r="L439" s="22" t="s">
        <v>2308</v>
      </c>
      <c r="M439" s="22">
        <v>19</v>
      </c>
      <c r="N439" s="22" t="s">
        <v>2308</v>
      </c>
      <c r="O439" s="22" t="s">
        <v>2308</v>
      </c>
      <c r="P439" s="22" t="s">
        <v>2308</v>
      </c>
      <c r="Q439" s="22" t="s">
        <v>2308</v>
      </c>
      <c r="R439" s="22" t="s">
        <v>2308</v>
      </c>
      <c r="S439" s="22" t="s">
        <v>2308</v>
      </c>
      <c r="T439" s="4"/>
    </row>
    <row r="440" spans="1:20" ht="47" customHeight="1">
      <c r="A440" s="24" t="s">
        <v>1562</v>
      </c>
      <c r="B440" s="4" t="s">
        <v>70</v>
      </c>
      <c r="C440" s="4" t="s">
        <v>12</v>
      </c>
      <c r="D440" s="4" t="s">
        <v>877</v>
      </c>
      <c r="E440" s="4" t="s">
        <v>2308</v>
      </c>
      <c r="F440" s="4" t="s">
        <v>2308</v>
      </c>
      <c r="G440" s="4" t="s">
        <v>2308</v>
      </c>
      <c r="H440" s="22" t="s">
        <v>2308</v>
      </c>
      <c r="I440" s="22" t="s">
        <v>2308</v>
      </c>
      <c r="J440" s="22" t="s">
        <v>2308</v>
      </c>
      <c r="K440" s="22" t="s">
        <v>542</v>
      </c>
      <c r="L440" s="22" t="s">
        <v>2308</v>
      </c>
      <c r="M440" s="22">
        <v>19</v>
      </c>
      <c r="N440" s="22" t="s">
        <v>2308</v>
      </c>
      <c r="O440" s="22" t="s">
        <v>2308</v>
      </c>
      <c r="P440" s="22" t="s">
        <v>2308</v>
      </c>
      <c r="Q440" s="22" t="s">
        <v>2308</v>
      </c>
      <c r="R440" s="22" t="s">
        <v>2308</v>
      </c>
      <c r="S440" s="22" t="s">
        <v>2308</v>
      </c>
      <c r="T440" s="4"/>
    </row>
    <row r="441" spans="1:20" ht="47" customHeight="1">
      <c r="A441" s="24" t="s">
        <v>1563</v>
      </c>
      <c r="B441" s="4" t="s">
        <v>70</v>
      </c>
      <c r="C441" s="4" t="s">
        <v>12</v>
      </c>
      <c r="D441" s="4" t="s">
        <v>877</v>
      </c>
      <c r="E441" s="4" t="s">
        <v>2308</v>
      </c>
      <c r="F441" s="4" t="s">
        <v>2308</v>
      </c>
      <c r="G441" s="4" t="s">
        <v>2308</v>
      </c>
      <c r="H441" s="22" t="s">
        <v>2308</v>
      </c>
      <c r="I441" s="22" t="s">
        <v>2308</v>
      </c>
      <c r="J441" s="22" t="s">
        <v>2308</v>
      </c>
      <c r="K441" s="22" t="s">
        <v>542</v>
      </c>
      <c r="L441" s="22" t="s">
        <v>2308</v>
      </c>
      <c r="M441" s="22">
        <v>19</v>
      </c>
      <c r="N441" s="22" t="s">
        <v>2308</v>
      </c>
      <c r="O441" s="22" t="s">
        <v>2308</v>
      </c>
      <c r="P441" s="22" t="s">
        <v>2308</v>
      </c>
      <c r="Q441" s="22" t="s">
        <v>2308</v>
      </c>
      <c r="R441" s="22" t="s">
        <v>2308</v>
      </c>
      <c r="S441" s="22" t="s">
        <v>2308</v>
      </c>
      <c r="T441" s="4"/>
    </row>
    <row r="442" spans="1:20" ht="47" customHeight="1">
      <c r="A442" s="24" t="s">
        <v>1564</v>
      </c>
      <c r="B442" s="4" t="s">
        <v>70</v>
      </c>
      <c r="C442" s="4" t="s">
        <v>12</v>
      </c>
      <c r="D442" s="4" t="s">
        <v>877</v>
      </c>
      <c r="E442" s="4" t="s">
        <v>2308</v>
      </c>
      <c r="F442" s="4" t="s">
        <v>2308</v>
      </c>
      <c r="G442" s="4" t="s">
        <v>2308</v>
      </c>
      <c r="H442" s="22" t="s">
        <v>2308</v>
      </c>
      <c r="I442" s="22" t="s">
        <v>2308</v>
      </c>
      <c r="J442" s="22" t="s">
        <v>2308</v>
      </c>
      <c r="K442" s="22" t="s">
        <v>542</v>
      </c>
      <c r="L442" s="22" t="s">
        <v>2308</v>
      </c>
      <c r="M442" s="22">
        <v>19</v>
      </c>
      <c r="N442" s="22" t="s">
        <v>2308</v>
      </c>
      <c r="O442" s="22" t="s">
        <v>2308</v>
      </c>
      <c r="P442" s="22" t="s">
        <v>2308</v>
      </c>
      <c r="Q442" s="22" t="s">
        <v>2308</v>
      </c>
      <c r="R442" s="22" t="s">
        <v>2308</v>
      </c>
      <c r="S442" s="22" t="s">
        <v>2308</v>
      </c>
      <c r="T442" s="4"/>
    </row>
    <row r="443" spans="1:20" ht="47" customHeight="1">
      <c r="A443" s="24" t="s">
        <v>1565</v>
      </c>
      <c r="B443" s="4" t="s">
        <v>70</v>
      </c>
      <c r="C443" s="4" t="s">
        <v>12</v>
      </c>
      <c r="D443" s="4" t="s">
        <v>877</v>
      </c>
      <c r="E443" s="4" t="s">
        <v>2308</v>
      </c>
      <c r="F443" s="4" t="s">
        <v>2308</v>
      </c>
      <c r="G443" s="4" t="s">
        <v>2308</v>
      </c>
      <c r="H443" s="22" t="s">
        <v>2308</v>
      </c>
      <c r="I443" s="22" t="s">
        <v>2308</v>
      </c>
      <c r="J443" s="22" t="s">
        <v>2308</v>
      </c>
      <c r="K443" s="22" t="s">
        <v>542</v>
      </c>
      <c r="L443" s="22" t="s">
        <v>2308</v>
      </c>
      <c r="M443" s="22">
        <v>19</v>
      </c>
      <c r="N443" s="22" t="s">
        <v>2308</v>
      </c>
      <c r="O443" s="22" t="s">
        <v>2308</v>
      </c>
      <c r="P443" s="22" t="s">
        <v>2308</v>
      </c>
      <c r="Q443" s="22" t="s">
        <v>2308</v>
      </c>
      <c r="R443" s="22" t="s">
        <v>2308</v>
      </c>
      <c r="S443" s="22" t="s">
        <v>2308</v>
      </c>
      <c r="T443" s="4"/>
    </row>
    <row r="444" spans="1:20" ht="47" customHeight="1">
      <c r="A444" s="24" t="s">
        <v>1566</v>
      </c>
      <c r="B444" s="4" t="s">
        <v>70</v>
      </c>
      <c r="C444" s="4" t="s">
        <v>12</v>
      </c>
      <c r="D444" s="4" t="s">
        <v>877</v>
      </c>
      <c r="E444" s="4" t="s">
        <v>2308</v>
      </c>
      <c r="F444" s="4" t="s">
        <v>2308</v>
      </c>
      <c r="G444" s="4" t="s">
        <v>2308</v>
      </c>
      <c r="H444" s="22" t="s">
        <v>2308</v>
      </c>
      <c r="I444" s="22" t="s">
        <v>2308</v>
      </c>
      <c r="J444" s="22" t="s">
        <v>2308</v>
      </c>
      <c r="K444" s="22" t="s">
        <v>542</v>
      </c>
      <c r="L444" s="22" t="s">
        <v>2308</v>
      </c>
      <c r="M444" s="22">
        <v>19</v>
      </c>
      <c r="N444" s="22" t="s">
        <v>2308</v>
      </c>
      <c r="O444" s="22" t="s">
        <v>2308</v>
      </c>
      <c r="P444" s="22" t="s">
        <v>2308</v>
      </c>
      <c r="Q444" s="22" t="s">
        <v>2308</v>
      </c>
      <c r="R444" s="22" t="s">
        <v>2308</v>
      </c>
      <c r="S444" s="22" t="s">
        <v>2308</v>
      </c>
      <c r="T444" s="4"/>
    </row>
    <row r="445" spans="1:20" ht="47" customHeight="1">
      <c r="A445" s="24" t="s">
        <v>1567</v>
      </c>
      <c r="B445" s="4" t="s">
        <v>70</v>
      </c>
      <c r="C445" s="4" t="s">
        <v>12</v>
      </c>
      <c r="D445" s="4" t="s">
        <v>877</v>
      </c>
      <c r="E445" s="4" t="s">
        <v>2308</v>
      </c>
      <c r="F445" s="4" t="s">
        <v>2308</v>
      </c>
      <c r="G445" s="4" t="s">
        <v>2308</v>
      </c>
      <c r="H445" s="22" t="s">
        <v>2308</v>
      </c>
      <c r="I445" s="22" t="s">
        <v>2308</v>
      </c>
      <c r="J445" s="22" t="s">
        <v>2308</v>
      </c>
      <c r="K445" s="22" t="s">
        <v>542</v>
      </c>
      <c r="L445" s="22" t="s">
        <v>2308</v>
      </c>
      <c r="M445" s="22">
        <v>19</v>
      </c>
      <c r="N445" s="22" t="s">
        <v>2308</v>
      </c>
      <c r="O445" s="22" t="s">
        <v>2308</v>
      </c>
      <c r="P445" s="22" t="s">
        <v>2308</v>
      </c>
      <c r="Q445" s="22" t="s">
        <v>2308</v>
      </c>
      <c r="R445" s="22" t="s">
        <v>2308</v>
      </c>
      <c r="S445" s="22" t="s">
        <v>2308</v>
      </c>
      <c r="T445" s="4"/>
    </row>
    <row r="446" spans="1:20" ht="47" customHeight="1">
      <c r="A446" s="24" t="s">
        <v>1568</v>
      </c>
      <c r="B446" s="4" t="s">
        <v>70</v>
      </c>
      <c r="C446" s="4" t="s">
        <v>12</v>
      </c>
      <c r="D446" s="4" t="s">
        <v>877</v>
      </c>
      <c r="E446" s="4" t="s">
        <v>2308</v>
      </c>
      <c r="F446" s="4" t="s">
        <v>2308</v>
      </c>
      <c r="G446" s="4" t="s">
        <v>2308</v>
      </c>
      <c r="H446" s="22" t="s">
        <v>2308</v>
      </c>
      <c r="I446" s="22" t="s">
        <v>2308</v>
      </c>
      <c r="J446" s="22" t="s">
        <v>2308</v>
      </c>
      <c r="K446" s="22" t="s">
        <v>542</v>
      </c>
      <c r="L446" s="22" t="s">
        <v>2308</v>
      </c>
      <c r="M446" s="22">
        <v>19</v>
      </c>
      <c r="N446" s="22" t="s">
        <v>2308</v>
      </c>
      <c r="O446" s="22" t="s">
        <v>2308</v>
      </c>
      <c r="P446" s="22" t="s">
        <v>2308</v>
      </c>
      <c r="Q446" s="22" t="s">
        <v>2308</v>
      </c>
      <c r="R446" s="22" t="s">
        <v>2308</v>
      </c>
      <c r="S446" s="22" t="s">
        <v>2308</v>
      </c>
      <c r="T446" s="4"/>
    </row>
    <row r="447" spans="1:20" ht="47" customHeight="1">
      <c r="A447" s="24" t="s">
        <v>1569</v>
      </c>
      <c r="B447" s="4" t="s">
        <v>70</v>
      </c>
      <c r="C447" s="4" t="s">
        <v>12</v>
      </c>
      <c r="D447" s="4" t="s">
        <v>877</v>
      </c>
      <c r="E447" s="4" t="s">
        <v>2308</v>
      </c>
      <c r="F447" s="4" t="s">
        <v>2308</v>
      </c>
      <c r="G447" s="4" t="s">
        <v>2308</v>
      </c>
      <c r="H447" s="22" t="s">
        <v>2308</v>
      </c>
      <c r="I447" s="22" t="s">
        <v>2308</v>
      </c>
      <c r="J447" s="22" t="s">
        <v>2308</v>
      </c>
      <c r="K447" s="22" t="s">
        <v>542</v>
      </c>
      <c r="L447" s="22" t="s">
        <v>2308</v>
      </c>
      <c r="M447" s="22">
        <v>19</v>
      </c>
      <c r="N447" s="22" t="s">
        <v>2308</v>
      </c>
      <c r="O447" s="22" t="s">
        <v>2308</v>
      </c>
      <c r="P447" s="22" t="s">
        <v>2308</v>
      </c>
      <c r="Q447" s="22" t="s">
        <v>2308</v>
      </c>
      <c r="R447" s="22" t="s">
        <v>2308</v>
      </c>
      <c r="S447" s="22" t="s">
        <v>2308</v>
      </c>
      <c r="T447" s="4"/>
    </row>
    <row r="448" spans="1:20" ht="47" customHeight="1">
      <c r="A448" s="24" t="s">
        <v>1570</v>
      </c>
      <c r="B448" s="4" t="s">
        <v>70</v>
      </c>
      <c r="C448" s="4" t="s">
        <v>12</v>
      </c>
      <c r="D448" s="4" t="s">
        <v>877</v>
      </c>
      <c r="E448" s="4" t="s">
        <v>2308</v>
      </c>
      <c r="F448" s="4" t="s">
        <v>2308</v>
      </c>
      <c r="G448" s="4" t="s">
        <v>2308</v>
      </c>
      <c r="H448" s="22" t="s">
        <v>2308</v>
      </c>
      <c r="I448" s="22" t="s">
        <v>2308</v>
      </c>
      <c r="J448" s="22" t="s">
        <v>2308</v>
      </c>
      <c r="K448" s="22" t="s">
        <v>542</v>
      </c>
      <c r="L448" s="22" t="s">
        <v>2308</v>
      </c>
      <c r="M448" s="22">
        <v>19</v>
      </c>
      <c r="N448" s="22" t="s">
        <v>2308</v>
      </c>
      <c r="O448" s="22" t="s">
        <v>2308</v>
      </c>
      <c r="P448" s="22" t="s">
        <v>2308</v>
      </c>
      <c r="Q448" s="22" t="s">
        <v>2308</v>
      </c>
      <c r="R448" s="22" t="s">
        <v>2308</v>
      </c>
      <c r="S448" s="22" t="s">
        <v>2308</v>
      </c>
      <c r="T448" s="4"/>
    </row>
    <row r="449" spans="1:20" ht="47" customHeight="1">
      <c r="A449" s="24" t="s">
        <v>1571</v>
      </c>
      <c r="B449" s="4" t="s">
        <v>70</v>
      </c>
      <c r="C449" s="4" t="s">
        <v>12</v>
      </c>
      <c r="D449" s="4" t="s">
        <v>877</v>
      </c>
      <c r="E449" s="4" t="s">
        <v>2308</v>
      </c>
      <c r="F449" s="4" t="s">
        <v>2308</v>
      </c>
      <c r="G449" s="4" t="s">
        <v>2308</v>
      </c>
      <c r="H449" s="22" t="s">
        <v>2308</v>
      </c>
      <c r="I449" s="22" t="s">
        <v>2308</v>
      </c>
      <c r="J449" s="22" t="s">
        <v>2308</v>
      </c>
      <c r="K449" s="22" t="s">
        <v>542</v>
      </c>
      <c r="L449" s="22" t="s">
        <v>2308</v>
      </c>
      <c r="M449" s="22">
        <v>19</v>
      </c>
      <c r="N449" s="22" t="s">
        <v>2308</v>
      </c>
      <c r="O449" s="22" t="s">
        <v>2308</v>
      </c>
      <c r="P449" s="22" t="s">
        <v>2308</v>
      </c>
      <c r="Q449" s="22" t="s">
        <v>2308</v>
      </c>
      <c r="R449" s="22" t="s">
        <v>2308</v>
      </c>
      <c r="S449" s="22" t="s">
        <v>2308</v>
      </c>
      <c r="T449" s="4"/>
    </row>
    <row r="450" spans="1:20" ht="47" customHeight="1">
      <c r="A450" s="24" t="s">
        <v>1572</v>
      </c>
      <c r="B450" s="4" t="s">
        <v>70</v>
      </c>
      <c r="C450" s="4" t="s">
        <v>12</v>
      </c>
      <c r="D450" s="4" t="s">
        <v>877</v>
      </c>
      <c r="E450" s="4" t="s">
        <v>2308</v>
      </c>
      <c r="F450" s="4" t="s">
        <v>2308</v>
      </c>
      <c r="G450" s="4" t="s">
        <v>2308</v>
      </c>
      <c r="H450" s="22" t="s">
        <v>2308</v>
      </c>
      <c r="I450" s="22" t="s">
        <v>2308</v>
      </c>
      <c r="J450" s="22" t="s">
        <v>2308</v>
      </c>
      <c r="K450" s="22" t="s">
        <v>542</v>
      </c>
      <c r="L450" s="22" t="s">
        <v>2308</v>
      </c>
      <c r="M450" s="22">
        <v>19</v>
      </c>
      <c r="N450" s="22" t="s">
        <v>2308</v>
      </c>
      <c r="O450" s="22" t="s">
        <v>2308</v>
      </c>
      <c r="P450" s="22" t="s">
        <v>2308</v>
      </c>
      <c r="Q450" s="22" t="s">
        <v>2308</v>
      </c>
      <c r="R450" s="22" t="s">
        <v>2308</v>
      </c>
      <c r="S450" s="22" t="s">
        <v>2308</v>
      </c>
      <c r="T450" s="4"/>
    </row>
    <row r="451" spans="1:20" ht="47" customHeight="1">
      <c r="A451" s="24" t="s">
        <v>1573</v>
      </c>
      <c r="B451" s="4" t="s">
        <v>70</v>
      </c>
      <c r="C451" s="4" t="s">
        <v>12</v>
      </c>
      <c r="D451" s="4" t="s">
        <v>877</v>
      </c>
      <c r="E451" s="4" t="s">
        <v>2308</v>
      </c>
      <c r="F451" s="4" t="s">
        <v>2308</v>
      </c>
      <c r="G451" s="4" t="s">
        <v>2308</v>
      </c>
      <c r="H451" s="22" t="s">
        <v>2308</v>
      </c>
      <c r="I451" s="22" t="s">
        <v>2308</v>
      </c>
      <c r="J451" s="22" t="s">
        <v>2308</v>
      </c>
      <c r="K451" s="22" t="s">
        <v>542</v>
      </c>
      <c r="L451" s="22" t="s">
        <v>2308</v>
      </c>
      <c r="M451" s="22">
        <v>19</v>
      </c>
      <c r="N451" s="22" t="s">
        <v>2308</v>
      </c>
      <c r="O451" s="22" t="s">
        <v>2308</v>
      </c>
      <c r="P451" s="22" t="s">
        <v>2308</v>
      </c>
      <c r="Q451" s="22" t="s">
        <v>2308</v>
      </c>
      <c r="R451" s="22" t="s">
        <v>2308</v>
      </c>
      <c r="S451" s="22" t="s">
        <v>2308</v>
      </c>
      <c r="T451" s="4"/>
    </row>
    <row r="452" spans="1:20" ht="47" customHeight="1">
      <c r="A452" s="24" t="s">
        <v>1574</v>
      </c>
      <c r="B452" s="4" t="s">
        <v>70</v>
      </c>
      <c r="C452" s="4" t="s">
        <v>12</v>
      </c>
      <c r="D452" s="4" t="s">
        <v>877</v>
      </c>
      <c r="E452" s="4" t="s">
        <v>2308</v>
      </c>
      <c r="F452" s="4" t="s">
        <v>2308</v>
      </c>
      <c r="G452" s="4" t="s">
        <v>2308</v>
      </c>
      <c r="H452" s="22" t="s">
        <v>2308</v>
      </c>
      <c r="I452" s="22" t="s">
        <v>2308</v>
      </c>
      <c r="J452" s="22" t="s">
        <v>2308</v>
      </c>
      <c r="K452" s="22" t="s">
        <v>542</v>
      </c>
      <c r="L452" s="22" t="s">
        <v>2308</v>
      </c>
      <c r="M452" s="22">
        <v>19</v>
      </c>
      <c r="N452" s="22" t="s">
        <v>2308</v>
      </c>
      <c r="O452" s="22" t="s">
        <v>2308</v>
      </c>
      <c r="P452" s="22" t="s">
        <v>2308</v>
      </c>
      <c r="Q452" s="22" t="s">
        <v>2308</v>
      </c>
      <c r="R452" s="22" t="s">
        <v>2308</v>
      </c>
      <c r="S452" s="22" t="s">
        <v>2308</v>
      </c>
      <c r="T452" s="4"/>
    </row>
    <row r="453" spans="1:20" ht="47" customHeight="1">
      <c r="A453" s="24" t="s">
        <v>1575</v>
      </c>
      <c r="B453" s="4" t="s">
        <v>70</v>
      </c>
      <c r="C453" s="4" t="s">
        <v>12</v>
      </c>
      <c r="D453" s="4" t="s">
        <v>877</v>
      </c>
      <c r="E453" s="4" t="s">
        <v>2308</v>
      </c>
      <c r="F453" s="4" t="s">
        <v>2308</v>
      </c>
      <c r="G453" s="4" t="s">
        <v>2308</v>
      </c>
      <c r="H453" s="22" t="s">
        <v>2308</v>
      </c>
      <c r="I453" s="22" t="s">
        <v>2308</v>
      </c>
      <c r="J453" s="22" t="s">
        <v>2308</v>
      </c>
      <c r="K453" s="22" t="s">
        <v>542</v>
      </c>
      <c r="L453" s="22" t="s">
        <v>2308</v>
      </c>
      <c r="M453" s="22">
        <v>19</v>
      </c>
      <c r="N453" s="22" t="s">
        <v>2308</v>
      </c>
      <c r="O453" s="22" t="s">
        <v>2308</v>
      </c>
      <c r="P453" s="22" t="s">
        <v>2308</v>
      </c>
      <c r="Q453" s="22" t="s">
        <v>2308</v>
      </c>
      <c r="R453" s="22" t="s">
        <v>2308</v>
      </c>
      <c r="S453" s="22" t="s">
        <v>2308</v>
      </c>
      <c r="T453" s="4"/>
    </row>
    <row r="454" spans="1:20" ht="47" customHeight="1">
      <c r="A454" s="24" t="s">
        <v>1576</v>
      </c>
      <c r="B454" s="4" t="s">
        <v>70</v>
      </c>
      <c r="C454" s="4" t="s">
        <v>12</v>
      </c>
      <c r="D454" s="4" t="s">
        <v>877</v>
      </c>
      <c r="E454" s="4" t="s">
        <v>2308</v>
      </c>
      <c r="F454" s="4" t="s">
        <v>2308</v>
      </c>
      <c r="G454" s="4" t="s">
        <v>2308</v>
      </c>
      <c r="H454" s="22" t="s">
        <v>2308</v>
      </c>
      <c r="I454" s="22" t="s">
        <v>2308</v>
      </c>
      <c r="J454" s="22" t="s">
        <v>2308</v>
      </c>
      <c r="K454" s="22" t="s">
        <v>542</v>
      </c>
      <c r="L454" s="22" t="s">
        <v>2308</v>
      </c>
      <c r="M454" s="22">
        <v>19</v>
      </c>
      <c r="N454" s="22" t="s">
        <v>2308</v>
      </c>
      <c r="O454" s="22" t="s">
        <v>2308</v>
      </c>
      <c r="P454" s="22" t="s">
        <v>2308</v>
      </c>
      <c r="Q454" s="22" t="s">
        <v>2308</v>
      </c>
      <c r="R454" s="22" t="s">
        <v>2308</v>
      </c>
      <c r="S454" s="22" t="s">
        <v>2308</v>
      </c>
      <c r="T454" s="4"/>
    </row>
    <row r="455" spans="1:20" ht="47" customHeight="1">
      <c r="A455" s="24" t="s">
        <v>1577</v>
      </c>
      <c r="B455" s="4" t="s">
        <v>70</v>
      </c>
      <c r="C455" s="4" t="s">
        <v>12</v>
      </c>
      <c r="D455" s="4" t="s">
        <v>877</v>
      </c>
      <c r="E455" s="4" t="s">
        <v>2308</v>
      </c>
      <c r="F455" s="4" t="s">
        <v>2308</v>
      </c>
      <c r="G455" s="4" t="s">
        <v>2308</v>
      </c>
      <c r="H455" s="22" t="s">
        <v>2308</v>
      </c>
      <c r="I455" s="22" t="s">
        <v>2308</v>
      </c>
      <c r="J455" s="22" t="s">
        <v>2308</v>
      </c>
      <c r="K455" s="22" t="s">
        <v>542</v>
      </c>
      <c r="L455" s="22" t="s">
        <v>2308</v>
      </c>
      <c r="M455" s="22">
        <v>19</v>
      </c>
      <c r="N455" s="22" t="s">
        <v>2308</v>
      </c>
      <c r="O455" s="22" t="s">
        <v>2308</v>
      </c>
      <c r="P455" s="22" t="s">
        <v>2308</v>
      </c>
      <c r="Q455" s="22" t="s">
        <v>2308</v>
      </c>
      <c r="R455" s="22" t="s">
        <v>2308</v>
      </c>
      <c r="S455" s="22" t="s">
        <v>2308</v>
      </c>
      <c r="T455" s="4"/>
    </row>
    <row r="456" spans="1:20" ht="47" customHeight="1">
      <c r="A456" s="24" t="s">
        <v>1578</v>
      </c>
      <c r="B456" s="4" t="s">
        <v>70</v>
      </c>
      <c r="C456" s="4" t="s">
        <v>12</v>
      </c>
      <c r="D456" s="4" t="s">
        <v>877</v>
      </c>
      <c r="E456" s="4" t="s">
        <v>2308</v>
      </c>
      <c r="F456" s="4" t="s">
        <v>2308</v>
      </c>
      <c r="G456" s="4" t="s">
        <v>2308</v>
      </c>
      <c r="H456" s="22" t="s">
        <v>2308</v>
      </c>
      <c r="I456" s="22" t="s">
        <v>2308</v>
      </c>
      <c r="J456" s="22" t="s">
        <v>2308</v>
      </c>
      <c r="K456" s="22" t="s">
        <v>542</v>
      </c>
      <c r="L456" s="22" t="s">
        <v>2308</v>
      </c>
      <c r="M456" s="22">
        <v>19</v>
      </c>
      <c r="N456" s="22" t="s">
        <v>2308</v>
      </c>
      <c r="O456" s="22" t="s">
        <v>2308</v>
      </c>
      <c r="P456" s="22" t="s">
        <v>2308</v>
      </c>
      <c r="Q456" s="22" t="s">
        <v>2308</v>
      </c>
      <c r="R456" s="22" t="s">
        <v>2308</v>
      </c>
      <c r="S456" s="22" t="s">
        <v>2308</v>
      </c>
      <c r="T456" s="4"/>
    </row>
    <row r="457" spans="1:20" ht="47" customHeight="1">
      <c r="A457" s="24" t="s">
        <v>1579</v>
      </c>
      <c r="B457" s="4" t="s">
        <v>70</v>
      </c>
      <c r="C457" s="4" t="s">
        <v>12</v>
      </c>
      <c r="D457" s="4" t="s">
        <v>877</v>
      </c>
      <c r="E457" s="4" t="s">
        <v>2308</v>
      </c>
      <c r="F457" s="4" t="s">
        <v>2308</v>
      </c>
      <c r="G457" s="4" t="s">
        <v>2308</v>
      </c>
      <c r="H457" s="22" t="s">
        <v>2308</v>
      </c>
      <c r="I457" s="22" t="s">
        <v>2308</v>
      </c>
      <c r="J457" s="22" t="s">
        <v>2308</v>
      </c>
      <c r="K457" s="22" t="s">
        <v>542</v>
      </c>
      <c r="L457" s="22" t="s">
        <v>2308</v>
      </c>
      <c r="M457" s="22">
        <v>19</v>
      </c>
      <c r="N457" s="22" t="s">
        <v>2308</v>
      </c>
      <c r="O457" s="22" t="s">
        <v>2308</v>
      </c>
      <c r="P457" s="22" t="s">
        <v>2308</v>
      </c>
      <c r="Q457" s="22" t="s">
        <v>2308</v>
      </c>
      <c r="R457" s="22" t="s">
        <v>2308</v>
      </c>
      <c r="S457" s="22" t="s">
        <v>2308</v>
      </c>
      <c r="T457" s="4"/>
    </row>
    <row r="458" spans="1:20" ht="47" customHeight="1">
      <c r="A458" s="24" t="s">
        <v>1580</v>
      </c>
      <c r="B458" s="4" t="s">
        <v>70</v>
      </c>
      <c r="C458" s="4" t="s">
        <v>12</v>
      </c>
      <c r="D458" s="4" t="s">
        <v>877</v>
      </c>
      <c r="E458" s="4" t="s">
        <v>2308</v>
      </c>
      <c r="F458" s="4" t="s">
        <v>2308</v>
      </c>
      <c r="G458" s="4" t="s">
        <v>2308</v>
      </c>
      <c r="H458" s="22" t="s">
        <v>2308</v>
      </c>
      <c r="I458" s="22" t="s">
        <v>2308</v>
      </c>
      <c r="J458" s="22" t="s">
        <v>2308</v>
      </c>
      <c r="K458" s="22" t="s">
        <v>542</v>
      </c>
      <c r="L458" s="22" t="s">
        <v>2308</v>
      </c>
      <c r="M458" s="22">
        <v>19</v>
      </c>
      <c r="N458" s="22" t="s">
        <v>2308</v>
      </c>
      <c r="O458" s="22" t="s">
        <v>2308</v>
      </c>
      <c r="P458" s="22" t="s">
        <v>2308</v>
      </c>
      <c r="Q458" s="22" t="s">
        <v>2308</v>
      </c>
      <c r="R458" s="22" t="s">
        <v>2308</v>
      </c>
      <c r="S458" s="22" t="s">
        <v>2308</v>
      </c>
      <c r="T458" s="4"/>
    </row>
    <row r="459" spans="1:20" ht="47" customHeight="1">
      <c r="A459" s="24" t="s">
        <v>1581</v>
      </c>
      <c r="B459" s="4" t="s">
        <v>70</v>
      </c>
      <c r="C459" s="4" t="s">
        <v>12</v>
      </c>
      <c r="D459" s="4" t="s">
        <v>877</v>
      </c>
      <c r="E459" s="4" t="s">
        <v>2308</v>
      </c>
      <c r="F459" s="4" t="s">
        <v>2308</v>
      </c>
      <c r="G459" s="4" t="s">
        <v>2308</v>
      </c>
      <c r="H459" s="22" t="s">
        <v>2308</v>
      </c>
      <c r="I459" s="22" t="s">
        <v>2308</v>
      </c>
      <c r="J459" s="22" t="s">
        <v>2308</v>
      </c>
      <c r="K459" s="22" t="s">
        <v>542</v>
      </c>
      <c r="L459" s="22" t="s">
        <v>2308</v>
      </c>
      <c r="M459" s="22">
        <v>19</v>
      </c>
      <c r="N459" s="22" t="s">
        <v>2308</v>
      </c>
      <c r="O459" s="22" t="s">
        <v>2308</v>
      </c>
      <c r="P459" s="22" t="s">
        <v>2308</v>
      </c>
      <c r="Q459" s="22" t="s">
        <v>2308</v>
      </c>
      <c r="R459" s="22" t="s">
        <v>2308</v>
      </c>
      <c r="S459" s="22" t="s">
        <v>2308</v>
      </c>
      <c r="T459" s="4"/>
    </row>
    <row r="460" spans="1:20" ht="47" customHeight="1">
      <c r="A460" s="24" t="s">
        <v>1582</v>
      </c>
      <c r="B460" s="4" t="s">
        <v>70</v>
      </c>
      <c r="C460" s="4" t="s">
        <v>12</v>
      </c>
      <c r="D460" s="4" t="s">
        <v>877</v>
      </c>
      <c r="E460" s="4" t="s">
        <v>2308</v>
      </c>
      <c r="F460" s="4" t="s">
        <v>2308</v>
      </c>
      <c r="G460" s="4" t="s">
        <v>2308</v>
      </c>
      <c r="H460" s="22" t="s">
        <v>2308</v>
      </c>
      <c r="I460" s="22" t="s">
        <v>2308</v>
      </c>
      <c r="J460" s="22" t="s">
        <v>2308</v>
      </c>
      <c r="K460" s="22" t="s">
        <v>542</v>
      </c>
      <c r="L460" s="22" t="s">
        <v>2308</v>
      </c>
      <c r="M460" s="22">
        <v>28</v>
      </c>
      <c r="N460" s="22" t="s">
        <v>2308</v>
      </c>
      <c r="O460" s="22" t="s">
        <v>2308</v>
      </c>
      <c r="P460" s="22" t="s">
        <v>2308</v>
      </c>
      <c r="Q460" s="22" t="s">
        <v>2308</v>
      </c>
      <c r="R460" s="22" t="s">
        <v>2308</v>
      </c>
      <c r="S460" s="22" t="s">
        <v>2308</v>
      </c>
      <c r="T460" s="4"/>
    </row>
    <row r="461" spans="1:20" ht="47" customHeight="1">
      <c r="A461" s="24" t="s">
        <v>1583</v>
      </c>
      <c r="B461" s="4" t="s">
        <v>70</v>
      </c>
      <c r="C461" s="4" t="s">
        <v>12</v>
      </c>
      <c r="D461" s="4" t="s">
        <v>877</v>
      </c>
      <c r="E461" s="4" t="s">
        <v>2308</v>
      </c>
      <c r="F461" s="4" t="s">
        <v>2308</v>
      </c>
      <c r="G461" s="4" t="s">
        <v>2308</v>
      </c>
      <c r="H461" s="22" t="s">
        <v>2308</v>
      </c>
      <c r="I461" s="22" t="s">
        <v>2308</v>
      </c>
      <c r="J461" s="22" t="s">
        <v>2308</v>
      </c>
      <c r="K461" s="22" t="s">
        <v>542</v>
      </c>
      <c r="L461" s="22" t="s">
        <v>2308</v>
      </c>
      <c r="M461" s="22">
        <v>28</v>
      </c>
      <c r="N461" s="22" t="s">
        <v>2308</v>
      </c>
      <c r="O461" s="22" t="s">
        <v>2308</v>
      </c>
      <c r="P461" s="22" t="s">
        <v>2308</v>
      </c>
      <c r="Q461" s="22" t="s">
        <v>2308</v>
      </c>
      <c r="R461" s="22" t="s">
        <v>2308</v>
      </c>
      <c r="S461" s="22" t="s">
        <v>2308</v>
      </c>
      <c r="T461" s="4"/>
    </row>
    <row r="462" spans="1:20" ht="47" customHeight="1">
      <c r="A462" s="24" t="s">
        <v>1584</v>
      </c>
      <c r="B462" s="4" t="s">
        <v>70</v>
      </c>
      <c r="C462" s="4" t="s">
        <v>12</v>
      </c>
      <c r="D462" s="4" t="s">
        <v>877</v>
      </c>
      <c r="E462" s="4" t="s">
        <v>2308</v>
      </c>
      <c r="F462" s="4" t="s">
        <v>2308</v>
      </c>
      <c r="G462" s="4" t="s">
        <v>2308</v>
      </c>
      <c r="H462" s="22" t="s">
        <v>2308</v>
      </c>
      <c r="I462" s="22" t="s">
        <v>2308</v>
      </c>
      <c r="J462" s="22" t="s">
        <v>2308</v>
      </c>
      <c r="K462" s="22" t="s">
        <v>542</v>
      </c>
      <c r="L462" s="22" t="s">
        <v>2308</v>
      </c>
      <c r="M462" s="22">
        <v>28</v>
      </c>
      <c r="N462" s="22" t="s">
        <v>2308</v>
      </c>
      <c r="O462" s="22" t="s">
        <v>2308</v>
      </c>
      <c r="P462" s="22" t="s">
        <v>2308</v>
      </c>
      <c r="Q462" s="22" t="s">
        <v>2308</v>
      </c>
      <c r="R462" s="22" t="s">
        <v>2308</v>
      </c>
      <c r="S462" s="22" t="s">
        <v>2308</v>
      </c>
      <c r="T462" s="4"/>
    </row>
    <row r="463" spans="1:20" ht="47" customHeight="1">
      <c r="A463" s="24" t="s">
        <v>1585</v>
      </c>
      <c r="B463" s="4" t="s">
        <v>70</v>
      </c>
      <c r="C463" s="4" t="s">
        <v>12</v>
      </c>
      <c r="D463" s="4" t="s">
        <v>877</v>
      </c>
      <c r="E463" s="4" t="s">
        <v>2308</v>
      </c>
      <c r="F463" s="4" t="s">
        <v>2308</v>
      </c>
      <c r="G463" s="4" t="s">
        <v>2308</v>
      </c>
      <c r="H463" s="22" t="s">
        <v>2308</v>
      </c>
      <c r="I463" s="22" t="s">
        <v>2308</v>
      </c>
      <c r="J463" s="22" t="s">
        <v>2308</v>
      </c>
      <c r="K463" s="22" t="s">
        <v>542</v>
      </c>
      <c r="L463" s="22" t="s">
        <v>2308</v>
      </c>
      <c r="M463" s="22">
        <v>28</v>
      </c>
      <c r="N463" s="22" t="s">
        <v>2308</v>
      </c>
      <c r="O463" s="22" t="s">
        <v>2308</v>
      </c>
      <c r="P463" s="22" t="s">
        <v>2308</v>
      </c>
      <c r="Q463" s="22" t="s">
        <v>2308</v>
      </c>
      <c r="R463" s="22" t="s">
        <v>2308</v>
      </c>
      <c r="S463" s="22" t="s">
        <v>2308</v>
      </c>
      <c r="T463" s="4"/>
    </row>
    <row r="464" spans="1:20" ht="47" customHeight="1">
      <c r="A464" s="24" t="s">
        <v>1586</v>
      </c>
      <c r="B464" s="4" t="s">
        <v>70</v>
      </c>
      <c r="C464" s="4" t="s">
        <v>12</v>
      </c>
      <c r="D464" s="4" t="s">
        <v>877</v>
      </c>
      <c r="E464" s="4" t="s">
        <v>2308</v>
      </c>
      <c r="F464" s="4" t="s">
        <v>2308</v>
      </c>
      <c r="G464" s="4" t="s">
        <v>2308</v>
      </c>
      <c r="H464" s="22" t="s">
        <v>2308</v>
      </c>
      <c r="I464" s="22" t="s">
        <v>2308</v>
      </c>
      <c r="J464" s="22" t="s">
        <v>2308</v>
      </c>
      <c r="K464" s="22" t="s">
        <v>542</v>
      </c>
      <c r="L464" s="22" t="s">
        <v>2308</v>
      </c>
      <c r="M464" s="22">
        <v>28</v>
      </c>
      <c r="N464" s="22" t="s">
        <v>2308</v>
      </c>
      <c r="O464" s="22" t="s">
        <v>2308</v>
      </c>
      <c r="P464" s="22" t="s">
        <v>2308</v>
      </c>
      <c r="Q464" s="22" t="s">
        <v>2308</v>
      </c>
      <c r="R464" s="22" t="s">
        <v>2308</v>
      </c>
      <c r="S464" s="22" t="s">
        <v>2308</v>
      </c>
      <c r="T464" s="4"/>
    </row>
    <row r="465" spans="1:20" ht="47" customHeight="1">
      <c r="A465" s="24" t="s">
        <v>1587</v>
      </c>
      <c r="B465" s="4" t="s">
        <v>70</v>
      </c>
      <c r="C465" s="4" t="s">
        <v>12</v>
      </c>
      <c r="D465" s="4" t="s">
        <v>877</v>
      </c>
      <c r="E465" s="4" t="s">
        <v>2308</v>
      </c>
      <c r="F465" s="4" t="s">
        <v>2308</v>
      </c>
      <c r="G465" s="4" t="s">
        <v>2308</v>
      </c>
      <c r="H465" s="22" t="s">
        <v>2308</v>
      </c>
      <c r="I465" s="22" t="s">
        <v>2308</v>
      </c>
      <c r="J465" s="22" t="s">
        <v>2308</v>
      </c>
      <c r="K465" s="22" t="s">
        <v>542</v>
      </c>
      <c r="L465" s="22" t="s">
        <v>2308</v>
      </c>
      <c r="M465" s="22">
        <v>28</v>
      </c>
      <c r="N465" s="22" t="s">
        <v>2308</v>
      </c>
      <c r="O465" s="22" t="s">
        <v>2308</v>
      </c>
      <c r="P465" s="22" t="s">
        <v>2308</v>
      </c>
      <c r="Q465" s="22" t="s">
        <v>2308</v>
      </c>
      <c r="R465" s="22" t="s">
        <v>2308</v>
      </c>
      <c r="S465" s="22" t="s">
        <v>2308</v>
      </c>
      <c r="T465" s="4"/>
    </row>
    <row r="466" spans="1:20" ht="47" customHeight="1">
      <c r="A466" s="24" t="s">
        <v>1588</v>
      </c>
      <c r="B466" s="4" t="s">
        <v>70</v>
      </c>
      <c r="C466" s="4" t="s">
        <v>12</v>
      </c>
      <c r="D466" s="4" t="s">
        <v>877</v>
      </c>
      <c r="E466" s="4" t="s">
        <v>2308</v>
      </c>
      <c r="F466" s="4" t="s">
        <v>2308</v>
      </c>
      <c r="G466" s="4" t="s">
        <v>2308</v>
      </c>
      <c r="H466" s="22" t="s">
        <v>2308</v>
      </c>
      <c r="I466" s="22" t="s">
        <v>2308</v>
      </c>
      <c r="J466" s="22" t="s">
        <v>2308</v>
      </c>
      <c r="K466" s="22" t="s">
        <v>542</v>
      </c>
      <c r="L466" s="22" t="s">
        <v>2308</v>
      </c>
      <c r="M466" s="22">
        <v>28</v>
      </c>
      <c r="N466" s="22" t="s">
        <v>2308</v>
      </c>
      <c r="O466" s="22" t="s">
        <v>2308</v>
      </c>
      <c r="P466" s="22" t="s">
        <v>2308</v>
      </c>
      <c r="Q466" s="22" t="s">
        <v>2308</v>
      </c>
      <c r="R466" s="22" t="s">
        <v>2308</v>
      </c>
      <c r="S466" s="22" t="s">
        <v>2308</v>
      </c>
      <c r="T466" s="4"/>
    </row>
    <row r="467" spans="1:20" ht="47" customHeight="1">
      <c r="A467" s="24" t="s">
        <v>1589</v>
      </c>
      <c r="B467" s="4" t="s">
        <v>70</v>
      </c>
      <c r="C467" s="4" t="s">
        <v>12</v>
      </c>
      <c r="D467" s="4" t="s">
        <v>877</v>
      </c>
      <c r="E467" s="4" t="s">
        <v>2308</v>
      </c>
      <c r="F467" s="4" t="s">
        <v>2308</v>
      </c>
      <c r="G467" s="4" t="s">
        <v>2308</v>
      </c>
      <c r="H467" s="22" t="s">
        <v>2308</v>
      </c>
      <c r="I467" s="22" t="s">
        <v>2308</v>
      </c>
      <c r="J467" s="22" t="s">
        <v>2308</v>
      </c>
      <c r="K467" s="22" t="s">
        <v>542</v>
      </c>
      <c r="L467" s="22" t="s">
        <v>2308</v>
      </c>
      <c r="M467" s="22">
        <v>28</v>
      </c>
      <c r="N467" s="22" t="s">
        <v>2308</v>
      </c>
      <c r="O467" s="22" t="s">
        <v>2308</v>
      </c>
      <c r="P467" s="22" t="s">
        <v>2308</v>
      </c>
      <c r="Q467" s="22" t="s">
        <v>2308</v>
      </c>
      <c r="R467" s="22" t="s">
        <v>2308</v>
      </c>
      <c r="S467" s="22" t="s">
        <v>2308</v>
      </c>
      <c r="T467" s="4"/>
    </row>
    <row r="468" spans="1:20" ht="47" customHeight="1">
      <c r="A468" s="24" t="s">
        <v>1590</v>
      </c>
      <c r="B468" s="4" t="s">
        <v>70</v>
      </c>
      <c r="C468" s="4" t="s">
        <v>12</v>
      </c>
      <c r="D468" s="4" t="s">
        <v>877</v>
      </c>
      <c r="E468" s="4" t="s">
        <v>2308</v>
      </c>
      <c r="F468" s="4" t="s">
        <v>2308</v>
      </c>
      <c r="G468" s="4" t="s">
        <v>2308</v>
      </c>
      <c r="H468" s="22" t="s">
        <v>2308</v>
      </c>
      <c r="I468" s="22" t="s">
        <v>2308</v>
      </c>
      <c r="J468" s="22" t="s">
        <v>2308</v>
      </c>
      <c r="K468" s="22" t="s">
        <v>542</v>
      </c>
      <c r="L468" s="22" t="s">
        <v>2308</v>
      </c>
      <c r="M468" s="22">
        <v>28</v>
      </c>
      <c r="N468" s="22" t="s">
        <v>2308</v>
      </c>
      <c r="O468" s="22" t="s">
        <v>2308</v>
      </c>
      <c r="P468" s="22" t="s">
        <v>2308</v>
      </c>
      <c r="Q468" s="22" t="s">
        <v>2308</v>
      </c>
      <c r="R468" s="22" t="s">
        <v>2308</v>
      </c>
      <c r="S468" s="22" t="s">
        <v>2308</v>
      </c>
      <c r="T468" s="4"/>
    </row>
    <row r="469" spans="1:20" ht="47" customHeight="1">
      <c r="A469" s="24" t="s">
        <v>1591</v>
      </c>
      <c r="B469" s="4" t="s">
        <v>70</v>
      </c>
      <c r="C469" s="4" t="s">
        <v>12</v>
      </c>
      <c r="D469" s="4" t="s">
        <v>877</v>
      </c>
      <c r="E469" s="4" t="s">
        <v>2308</v>
      </c>
      <c r="F469" s="4" t="s">
        <v>2308</v>
      </c>
      <c r="G469" s="4" t="s">
        <v>2308</v>
      </c>
      <c r="H469" s="22" t="s">
        <v>2308</v>
      </c>
      <c r="I469" s="22" t="s">
        <v>2308</v>
      </c>
      <c r="J469" s="22" t="s">
        <v>2308</v>
      </c>
      <c r="K469" s="22" t="s">
        <v>542</v>
      </c>
      <c r="L469" s="22" t="s">
        <v>2308</v>
      </c>
      <c r="M469" s="22">
        <v>28</v>
      </c>
      <c r="N469" s="22" t="s">
        <v>2308</v>
      </c>
      <c r="O469" s="22" t="s">
        <v>2308</v>
      </c>
      <c r="P469" s="22" t="s">
        <v>2308</v>
      </c>
      <c r="Q469" s="22" t="s">
        <v>2308</v>
      </c>
      <c r="R469" s="22" t="s">
        <v>2308</v>
      </c>
      <c r="S469" s="22" t="s">
        <v>2308</v>
      </c>
      <c r="T469" s="4"/>
    </row>
    <row r="470" spans="1:20" ht="47" customHeight="1">
      <c r="A470" s="24" t="s">
        <v>1592</v>
      </c>
      <c r="B470" s="4" t="s">
        <v>70</v>
      </c>
      <c r="C470" s="4" t="s">
        <v>12</v>
      </c>
      <c r="D470" s="4" t="s">
        <v>877</v>
      </c>
      <c r="E470" s="4" t="s">
        <v>2308</v>
      </c>
      <c r="F470" s="4" t="s">
        <v>2308</v>
      </c>
      <c r="G470" s="4" t="s">
        <v>2308</v>
      </c>
      <c r="H470" s="22" t="s">
        <v>2308</v>
      </c>
      <c r="I470" s="22" t="s">
        <v>2308</v>
      </c>
      <c r="J470" s="22" t="s">
        <v>2308</v>
      </c>
      <c r="K470" s="22" t="s">
        <v>542</v>
      </c>
      <c r="L470" s="22" t="s">
        <v>2308</v>
      </c>
      <c r="M470" s="22">
        <v>28</v>
      </c>
      <c r="N470" s="22" t="s">
        <v>2308</v>
      </c>
      <c r="O470" s="22" t="s">
        <v>2308</v>
      </c>
      <c r="P470" s="22" t="s">
        <v>2308</v>
      </c>
      <c r="Q470" s="22" t="s">
        <v>2308</v>
      </c>
      <c r="R470" s="22" t="s">
        <v>2308</v>
      </c>
      <c r="S470" s="22" t="s">
        <v>2308</v>
      </c>
      <c r="T470" s="4"/>
    </row>
    <row r="471" spans="1:20" ht="47" customHeight="1">
      <c r="A471" s="24" t="s">
        <v>1593</v>
      </c>
      <c r="B471" s="4" t="s">
        <v>70</v>
      </c>
      <c r="C471" s="4" t="s">
        <v>12</v>
      </c>
      <c r="D471" s="4" t="s">
        <v>877</v>
      </c>
      <c r="E471" s="4" t="s">
        <v>2308</v>
      </c>
      <c r="F471" s="4" t="s">
        <v>2308</v>
      </c>
      <c r="G471" s="4" t="s">
        <v>2308</v>
      </c>
      <c r="H471" s="22" t="s">
        <v>2308</v>
      </c>
      <c r="I471" s="22" t="s">
        <v>2308</v>
      </c>
      <c r="J471" s="22" t="s">
        <v>2308</v>
      </c>
      <c r="K471" s="22" t="s">
        <v>542</v>
      </c>
      <c r="L471" s="22" t="s">
        <v>2308</v>
      </c>
      <c r="M471" s="22">
        <v>28</v>
      </c>
      <c r="N471" s="22" t="s">
        <v>2308</v>
      </c>
      <c r="O471" s="22" t="s">
        <v>2308</v>
      </c>
      <c r="P471" s="22" t="s">
        <v>2308</v>
      </c>
      <c r="Q471" s="22" t="s">
        <v>2308</v>
      </c>
      <c r="R471" s="22" t="s">
        <v>2308</v>
      </c>
      <c r="S471" s="22" t="s">
        <v>2308</v>
      </c>
      <c r="T471" s="4"/>
    </row>
    <row r="472" spans="1:20" ht="47" customHeight="1">
      <c r="A472" s="24" t="s">
        <v>1594</v>
      </c>
      <c r="B472" s="4" t="s">
        <v>70</v>
      </c>
      <c r="C472" s="4" t="s">
        <v>12</v>
      </c>
      <c r="D472" s="4" t="s">
        <v>877</v>
      </c>
      <c r="E472" s="4" t="s">
        <v>2308</v>
      </c>
      <c r="F472" s="4" t="s">
        <v>2308</v>
      </c>
      <c r="G472" s="4" t="s">
        <v>2308</v>
      </c>
      <c r="H472" s="22" t="s">
        <v>2308</v>
      </c>
      <c r="I472" s="22" t="s">
        <v>2308</v>
      </c>
      <c r="J472" s="22" t="s">
        <v>2308</v>
      </c>
      <c r="K472" s="22" t="s">
        <v>542</v>
      </c>
      <c r="L472" s="22" t="s">
        <v>2308</v>
      </c>
      <c r="M472" s="22">
        <v>19</v>
      </c>
      <c r="N472" s="22" t="s">
        <v>2308</v>
      </c>
      <c r="O472" s="22" t="s">
        <v>2308</v>
      </c>
      <c r="P472" s="22" t="s">
        <v>2308</v>
      </c>
      <c r="Q472" s="22" t="s">
        <v>2308</v>
      </c>
      <c r="R472" s="22" t="s">
        <v>2308</v>
      </c>
      <c r="S472" s="22" t="s">
        <v>2308</v>
      </c>
      <c r="T472" s="4"/>
    </row>
    <row r="473" spans="1:20" ht="47" customHeight="1">
      <c r="A473" s="24" t="s">
        <v>1595</v>
      </c>
      <c r="B473" s="4" t="s">
        <v>70</v>
      </c>
      <c r="C473" s="4" t="s">
        <v>12</v>
      </c>
      <c r="D473" s="4" t="s">
        <v>877</v>
      </c>
      <c r="E473" s="4" t="s">
        <v>2308</v>
      </c>
      <c r="F473" s="4" t="s">
        <v>2308</v>
      </c>
      <c r="G473" s="4" t="s">
        <v>2308</v>
      </c>
      <c r="H473" s="22" t="s">
        <v>2308</v>
      </c>
      <c r="I473" s="22" t="s">
        <v>2308</v>
      </c>
      <c r="J473" s="22" t="s">
        <v>2308</v>
      </c>
      <c r="K473" s="22" t="s">
        <v>542</v>
      </c>
      <c r="L473" s="22" t="s">
        <v>2308</v>
      </c>
      <c r="M473" s="22">
        <v>19</v>
      </c>
      <c r="N473" s="22" t="s">
        <v>2308</v>
      </c>
      <c r="O473" s="22" t="s">
        <v>2308</v>
      </c>
      <c r="P473" s="22" t="s">
        <v>2308</v>
      </c>
      <c r="Q473" s="22" t="s">
        <v>2308</v>
      </c>
      <c r="R473" s="22" t="s">
        <v>2308</v>
      </c>
      <c r="S473" s="22" t="s">
        <v>2308</v>
      </c>
      <c r="T473" s="4"/>
    </row>
    <row r="474" spans="1:20" ht="47" customHeight="1">
      <c r="A474" s="24" t="s">
        <v>1596</v>
      </c>
      <c r="B474" s="4" t="s">
        <v>70</v>
      </c>
      <c r="C474" s="4" t="s">
        <v>12</v>
      </c>
      <c r="D474" s="4" t="s">
        <v>877</v>
      </c>
      <c r="E474" s="4" t="s">
        <v>2308</v>
      </c>
      <c r="F474" s="4" t="s">
        <v>2308</v>
      </c>
      <c r="G474" s="4" t="s">
        <v>2308</v>
      </c>
      <c r="H474" s="22" t="s">
        <v>2308</v>
      </c>
      <c r="I474" s="22" t="s">
        <v>2308</v>
      </c>
      <c r="J474" s="22" t="s">
        <v>2308</v>
      </c>
      <c r="K474" s="22" t="s">
        <v>542</v>
      </c>
      <c r="L474" s="22" t="s">
        <v>2308</v>
      </c>
      <c r="M474" s="22">
        <v>19</v>
      </c>
      <c r="N474" s="22" t="s">
        <v>2308</v>
      </c>
      <c r="O474" s="22" t="s">
        <v>2308</v>
      </c>
      <c r="P474" s="22" t="s">
        <v>2308</v>
      </c>
      <c r="Q474" s="22" t="s">
        <v>2308</v>
      </c>
      <c r="R474" s="22" t="s">
        <v>2308</v>
      </c>
      <c r="S474" s="22" t="s">
        <v>2308</v>
      </c>
      <c r="T474" s="4"/>
    </row>
    <row r="475" spans="1:20" ht="47" customHeight="1">
      <c r="A475" s="24" t="s">
        <v>1597</v>
      </c>
      <c r="B475" s="4" t="s">
        <v>70</v>
      </c>
      <c r="C475" s="4" t="s">
        <v>12</v>
      </c>
      <c r="D475" s="4" t="s">
        <v>877</v>
      </c>
      <c r="E475" s="4" t="s">
        <v>2308</v>
      </c>
      <c r="F475" s="4" t="s">
        <v>2308</v>
      </c>
      <c r="G475" s="4" t="s">
        <v>2308</v>
      </c>
      <c r="H475" s="22" t="s">
        <v>2308</v>
      </c>
      <c r="I475" s="22" t="s">
        <v>2308</v>
      </c>
      <c r="J475" s="22" t="s">
        <v>2308</v>
      </c>
      <c r="K475" s="22" t="s">
        <v>542</v>
      </c>
      <c r="L475" s="22" t="s">
        <v>2308</v>
      </c>
      <c r="M475" s="22">
        <v>19</v>
      </c>
      <c r="N475" s="22" t="s">
        <v>2308</v>
      </c>
      <c r="O475" s="22" t="s">
        <v>2308</v>
      </c>
      <c r="P475" s="22" t="s">
        <v>2308</v>
      </c>
      <c r="Q475" s="22" t="s">
        <v>2308</v>
      </c>
      <c r="R475" s="22" t="s">
        <v>2308</v>
      </c>
      <c r="S475" s="22" t="s">
        <v>2308</v>
      </c>
      <c r="T475" s="4"/>
    </row>
    <row r="476" spans="1:20" ht="47" customHeight="1">
      <c r="A476" s="24" t="s">
        <v>1598</v>
      </c>
      <c r="B476" s="4" t="s">
        <v>70</v>
      </c>
      <c r="C476" s="4" t="s">
        <v>12</v>
      </c>
      <c r="D476" s="4" t="s">
        <v>877</v>
      </c>
      <c r="E476" s="4" t="s">
        <v>2308</v>
      </c>
      <c r="F476" s="4" t="s">
        <v>2308</v>
      </c>
      <c r="G476" s="4" t="s">
        <v>2308</v>
      </c>
      <c r="H476" s="22" t="s">
        <v>2308</v>
      </c>
      <c r="I476" s="22" t="s">
        <v>2308</v>
      </c>
      <c r="J476" s="22" t="s">
        <v>2308</v>
      </c>
      <c r="K476" s="22" t="s">
        <v>542</v>
      </c>
      <c r="L476" s="22" t="s">
        <v>2308</v>
      </c>
      <c r="M476" s="22">
        <v>19</v>
      </c>
      <c r="N476" s="22" t="s">
        <v>2308</v>
      </c>
      <c r="O476" s="22" t="s">
        <v>2308</v>
      </c>
      <c r="P476" s="22" t="s">
        <v>2308</v>
      </c>
      <c r="Q476" s="22" t="s">
        <v>2308</v>
      </c>
      <c r="R476" s="22" t="s">
        <v>2308</v>
      </c>
      <c r="S476" s="22" t="s">
        <v>2308</v>
      </c>
      <c r="T476" s="4"/>
    </row>
    <row r="477" spans="1:20" ht="39.5" customHeight="1">
      <c r="A477" s="12" t="s">
        <v>1174</v>
      </c>
      <c r="B477" s="4" t="s">
        <v>1218</v>
      </c>
      <c r="C477" s="20" t="s">
        <v>12</v>
      </c>
      <c r="D477" s="4" t="s">
        <v>143</v>
      </c>
      <c r="E477" s="20" t="s">
        <v>877</v>
      </c>
      <c r="F477" s="5" t="s">
        <v>403</v>
      </c>
      <c r="G477" s="5" t="s">
        <v>2308</v>
      </c>
      <c r="H477" s="22" t="s">
        <v>2308</v>
      </c>
      <c r="I477" s="22" t="s">
        <v>2308</v>
      </c>
      <c r="J477" s="22" t="s">
        <v>2308</v>
      </c>
      <c r="K477" s="22" t="s">
        <v>542</v>
      </c>
      <c r="L477" s="22" t="s">
        <v>2308</v>
      </c>
      <c r="M477" s="22" t="s">
        <v>2308</v>
      </c>
      <c r="N477" s="22" t="s">
        <v>2308</v>
      </c>
      <c r="O477" s="22" t="s">
        <v>2308</v>
      </c>
      <c r="P477" s="22" t="s">
        <v>2308</v>
      </c>
      <c r="Q477" s="22" t="s">
        <v>2308</v>
      </c>
      <c r="R477" s="22" t="s">
        <v>2308</v>
      </c>
      <c r="S477" s="22" t="s">
        <v>2308</v>
      </c>
      <c r="T477" s="4" t="s">
        <v>1195</v>
      </c>
    </row>
    <row r="478" spans="1:20" ht="41" customHeight="1">
      <c r="A478" s="12" t="s">
        <v>1190</v>
      </c>
      <c r="B478" s="4" t="s">
        <v>1218</v>
      </c>
      <c r="C478" s="20" t="s">
        <v>12</v>
      </c>
      <c r="D478" s="4" t="s">
        <v>143</v>
      </c>
      <c r="E478" s="20" t="s">
        <v>877</v>
      </c>
      <c r="F478" s="5" t="s">
        <v>403</v>
      </c>
      <c r="G478" s="5" t="s">
        <v>2308</v>
      </c>
      <c r="H478" s="22" t="s">
        <v>2308</v>
      </c>
      <c r="I478" s="22" t="s">
        <v>2308</v>
      </c>
      <c r="J478" s="22" t="s">
        <v>2308</v>
      </c>
      <c r="K478" s="22" t="s">
        <v>542</v>
      </c>
      <c r="L478" s="22" t="s">
        <v>2308</v>
      </c>
      <c r="M478" s="22" t="s">
        <v>2308</v>
      </c>
      <c r="N478" s="22" t="s">
        <v>2308</v>
      </c>
      <c r="O478" s="22" t="s">
        <v>2308</v>
      </c>
      <c r="P478" s="22" t="s">
        <v>2308</v>
      </c>
      <c r="Q478" s="22" t="s">
        <v>2308</v>
      </c>
      <c r="R478" s="22" t="s">
        <v>2308</v>
      </c>
      <c r="S478" s="22" t="s">
        <v>2308</v>
      </c>
      <c r="T478" s="4" t="s">
        <v>1195</v>
      </c>
    </row>
    <row r="479" spans="1:20" ht="47" customHeight="1">
      <c r="A479" s="12" t="s">
        <v>1192</v>
      </c>
      <c r="B479" s="4" t="s">
        <v>1218</v>
      </c>
      <c r="C479" s="20" t="s">
        <v>12</v>
      </c>
      <c r="D479" s="4" t="s">
        <v>143</v>
      </c>
      <c r="E479" s="20" t="s">
        <v>877</v>
      </c>
      <c r="F479" s="5" t="s">
        <v>403</v>
      </c>
      <c r="G479" s="5" t="s">
        <v>2308</v>
      </c>
      <c r="H479" s="22" t="s">
        <v>2308</v>
      </c>
      <c r="I479" s="22" t="s">
        <v>2308</v>
      </c>
      <c r="J479" s="22" t="s">
        <v>2308</v>
      </c>
      <c r="K479" s="22" t="s">
        <v>542</v>
      </c>
      <c r="L479" s="22" t="s">
        <v>2308</v>
      </c>
      <c r="M479" s="22" t="s">
        <v>2308</v>
      </c>
      <c r="N479" s="22" t="s">
        <v>2308</v>
      </c>
      <c r="O479" s="22" t="s">
        <v>2308</v>
      </c>
      <c r="P479" s="22" t="s">
        <v>2308</v>
      </c>
      <c r="Q479" s="22" t="s">
        <v>2308</v>
      </c>
      <c r="R479" s="22" t="s">
        <v>2308</v>
      </c>
      <c r="S479" s="22" t="s">
        <v>2308</v>
      </c>
      <c r="T479" s="4" t="s">
        <v>1195</v>
      </c>
    </row>
    <row r="480" spans="1:20" ht="38.5" customHeight="1">
      <c r="A480" s="12" t="s">
        <v>1199</v>
      </c>
      <c r="B480" s="4" t="s">
        <v>32</v>
      </c>
      <c r="C480" s="20" t="s">
        <v>12</v>
      </c>
      <c r="D480" s="4" t="s">
        <v>136</v>
      </c>
      <c r="E480" s="4" t="s">
        <v>45</v>
      </c>
      <c r="F480" s="4" t="s">
        <v>877</v>
      </c>
      <c r="G480" s="5" t="s">
        <v>2308</v>
      </c>
      <c r="H480" s="22" t="s">
        <v>2308</v>
      </c>
      <c r="I480" s="22" t="s">
        <v>2308</v>
      </c>
      <c r="J480" s="22" t="s">
        <v>2308</v>
      </c>
      <c r="K480" s="22" t="s">
        <v>542</v>
      </c>
      <c r="L480" s="22" t="s">
        <v>2308</v>
      </c>
      <c r="M480" s="22" t="s">
        <v>2308</v>
      </c>
      <c r="N480" s="22" t="s">
        <v>2308</v>
      </c>
      <c r="O480" s="22" t="s">
        <v>2308</v>
      </c>
      <c r="P480" s="22" t="s">
        <v>2308</v>
      </c>
      <c r="Q480" s="22" t="s">
        <v>2308</v>
      </c>
      <c r="R480" s="22" t="s">
        <v>2308</v>
      </c>
      <c r="S480" s="22" t="s">
        <v>2308</v>
      </c>
      <c r="T480" s="4"/>
    </row>
    <row r="481" spans="1:20" ht="54.5" customHeight="1">
      <c r="A481" s="12" t="s">
        <v>1212</v>
      </c>
      <c r="B481" s="4" t="s">
        <v>32</v>
      </c>
      <c r="C481" s="20" t="s">
        <v>12</v>
      </c>
      <c r="D481" s="4" t="s">
        <v>136</v>
      </c>
      <c r="E481" s="5" t="s">
        <v>404</v>
      </c>
      <c r="F481" s="20" t="s">
        <v>877</v>
      </c>
      <c r="G481" s="5" t="s">
        <v>2684</v>
      </c>
      <c r="H481" s="22" t="s">
        <v>2308</v>
      </c>
      <c r="I481" s="22">
        <v>1.3759999999999999</v>
      </c>
      <c r="J481" s="22">
        <v>0.80373000000000006</v>
      </c>
      <c r="K481" s="22" t="s">
        <v>542</v>
      </c>
      <c r="L481" s="22" t="s">
        <v>2308</v>
      </c>
      <c r="M481" s="22" t="s">
        <v>2308</v>
      </c>
      <c r="N481" s="22" t="s">
        <v>2308</v>
      </c>
      <c r="O481" s="22" t="s">
        <v>2308</v>
      </c>
      <c r="P481" s="22" t="s">
        <v>2308</v>
      </c>
      <c r="Q481" s="22" t="s">
        <v>2308</v>
      </c>
      <c r="R481" s="22" t="s">
        <v>2308</v>
      </c>
      <c r="S481" s="22" t="s">
        <v>2308</v>
      </c>
      <c r="T481" s="4" t="s">
        <v>1219</v>
      </c>
    </row>
    <row r="482" spans="1:20" ht="50.5" customHeight="1">
      <c r="A482" s="12" t="s">
        <v>1216</v>
      </c>
      <c r="B482" s="5" t="s">
        <v>1218</v>
      </c>
      <c r="C482" s="20" t="s">
        <v>12</v>
      </c>
      <c r="D482" s="4" t="s">
        <v>136</v>
      </c>
      <c r="E482" s="5" t="s">
        <v>404</v>
      </c>
      <c r="F482" s="20" t="s">
        <v>877</v>
      </c>
      <c r="G482" s="5" t="s">
        <v>2684</v>
      </c>
      <c r="H482" s="22">
        <v>0.1146667</v>
      </c>
      <c r="I482" s="22">
        <v>1.0285</v>
      </c>
      <c r="J482" s="22">
        <v>1.175662</v>
      </c>
      <c r="K482" s="22" t="s">
        <v>542</v>
      </c>
      <c r="L482" s="22" t="s">
        <v>2308</v>
      </c>
      <c r="M482" s="22" t="s">
        <v>2308</v>
      </c>
      <c r="N482" s="22" t="s">
        <v>2308</v>
      </c>
      <c r="O482" s="22" t="s">
        <v>2308</v>
      </c>
      <c r="P482" s="22">
        <v>20.106666669999999</v>
      </c>
      <c r="Q482" s="22">
        <v>77.066666699999999</v>
      </c>
      <c r="R482" s="22">
        <v>0</v>
      </c>
      <c r="S482" s="22" t="s">
        <v>2308</v>
      </c>
      <c r="T482" s="5" t="s">
        <v>1225</v>
      </c>
    </row>
    <row r="483" spans="1:20" ht="53" customHeight="1">
      <c r="A483" s="12" t="s">
        <v>1217</v>
      </c>
      <c r="B483" s="5" t="s">
        <v>1218</v>
      </c>
      <c r="C483" s="20" t="s">
        <v>12</v>
      </c>
      <c r="D483" s="4" t="s">
        <v>136</v>
      </c>
      <c r="E483" s="5" t="s">
        <v>404</v>
      </c>
      <c r="F483" s="20" t="s">
        <v>877</v>
      </c>
      <c r="G483" s="5" t="s">
        <v>2684</v>
      </c>
      <c r="H483" s="22">
        <v>0.1413333</v>
      </c>
      <c r="I483" s="22">
        <v>0.79349999999999998</v>
      </c>
      <c r="J483" s="22">
        <v>1.4976879999999999</v>
      </c>
      <c r="K483" s="22" t="s">
        <v>542</v>
      </c>
      <c r="L483" s="22" t="s">
        <v>2308</v>
      </c>
      <c r="M483" s="22" t="s">
        <v>2308</v>
      </c>
      <c r="N483" s="22" t="s">
        <v>2308</v>
      </c>
      <c r="O483" s="22" t="s">
        <v>2308</v>
      </c>
      <c r="P483" s="22">
        <v>12.90666667</v>
      </c>
      <c r="Q483" s="22">
        <v>84.04</v>
      </c>
      <c r="R483" s="22">
        <v>0</v>
      </c>
      <c r="S483" s="22" t="s">
        <v>2308</v>
      </c>
      <c r="T483" s="5" t="s">
        <v>1225</v>
      </c>
    </row>
    <row r="484" spans="1:20" ht="41" customHeight="1">
      <c r="A484" s="12" t="s">
        <v>1226</v>
      </c>
      <c r="B484" s="4" t="s">
        <v>69</v>
      </c>
      <c r="C484" s="4" t="s">
        <v>402</v>
      </c>
      <c r="D484" s="4" t="s">
        <v>136</v>
      </c>
      <c r="E484" s="5" t="s">
        <v>404</v>
      </c>
      <c r="F484" s="4" t="s">
        <v>2308</v>
      </c>
      <c r="G484" s="4" t="s">
        <v>2308</v>
      </c>
      <c r="H484" s="22" t="s">
        <v>2308</v>
      </c>
      <c r="I484" s="22" t="s">
        <v>2308</v>
      </c>
      <c r="J484" s="22" t="s">
        <v>2308</v>
      </c>
      <c r="K484" s="22" t="s">
        <v>2308</v>
      </c>
      <c r="L484" s="22" t="s">
        <v>2308</v>
      </c>
      <c r="M484" s="22" t="s">
        <v>2308</v>
      </c>
      <c r="N484" s="22" t="s">
        <v>2308</v>
      </c>
      <c r="O484" s="22" t="s">
        <v>2308</v>
      </c>
      <c r="P484" s="22" t="s">
        <v>2308</v>
      </c>
      <c r="Q484" s="22" t="s">
        <v>2308</v>
      </c>
      <c r="R484" s="22" t="s">
        <v>2308</v>
      </c>
      <c r="S484" s="22" t="s">
        <v>2308</v>
      </c>
      <c r="T484" s="4"/>
    </row>
    <row r="485" spans="1:20" ht="40" customHeight="1">
      <c r="A485" s="12" t="s">
        <v>1227</v>
      </c>
      <c r="B485" s="4" t="s">
        <v>69</v>
      </c>
      <c r="C485" s="4" t="s">
        <v>402</v>
      </c>
      <c r="D485" s="4" t="s">
        <v>136</v>
      </c>
      <c r="E485" s="5" t="s">
        <v>404</v>
      </c>
      <c r="F485" s="4" t="s">
        <v>2308</v>
      </c>
      <c r="G485" s="4" t="s">
        <v>2308</v>
      </c>
      <c r="H485" s="22" t="s">
        <v>2308</v>
      </c>
      <c r="I485" s="22" t="s">
        <v>2308</v>
      </c>
      <c r="J485" s="22" t="s">
        <v>2308</v>
      </c>
      <c r="K485" s="22" t="s">
        <v>2308</v>
      </c>
      <c r="L485" s="22" t="s">
        <v>2308</v>
      </c>
      <c r="M485" s="22" t="s">
        <v>2308</v>
      </c>
      <c r="N485" s="22" t="s">
        <v>2308</v>
      </c>
      <c r="O485" s="22" t="s">
        <v>2308</v>
      </c>
      <c r="P485" s="22" t="s">
        <v>2308</v>
      </c>
      <c r="Q485" s="22" t="s">
        <v>2308</v>
      </c>
      <c r="R485" s="22" t="s">
        <v>2308</v>
      </c>
      <c r="S485" s="22" t="s">
        <v>2308</v>
      </c>
      <c r="T485" s="4"/>
    </row>
    <row r="486" spans="1:20" ht="41" customHeight="1">
      <c r="A486" s="12" t="s">
        <v>1228</v>
      </c>
      <c r="B486" s="4" t="s">
        <v>69</v>
      </c>
      <c r="C486" s="4" t="s">
        <v>402</v>
      </c>
      <c r="D486" s="4" t="s">
        <v>136</v>
      </c>
      <c r="E486" s="5" t="s">
        <v>404</v>
      </c>
      <c r="F486" s="4" t="s">
        <v>2308</v>
      </c>
      <c r="G486" s="4" t="s">
        <v>2308</v>
      </c>
      <c r="H486" s="22" t="s">
        <v>2308</v>
      </c>
      <c r="I486" s="22" t="s">
        <v>2308</v>
      </c>
      <c r="J486" s="22" t="s">
        <v>2308</v>
      </c>
      <c r="K486" s="22" t="s">
        <v>2308</v>
      </c>
      <c r="L486" s="22" t="s">
        <v>2308</v>
      </c>
      <c r="M486" s="22" t="s">
        <v>2308</v>
      </c>
      <c r="N486" s="22" t="s">
        <v>2308</v>
      </c>
      <c r="O486" s="22" t="s">
        <v>2308</v>
      </c>
      <c r="P486" s="22" t="s">
        <v>2308</v>
      </c>
      <c r="Q486" s="22" t="s">
        <v>2308</v>
      </c>
      <c r="R486" s="22" t="s">
        <v>2308</v>
      </c>
      <c r="S486" s="22" t="s">
        <v>2308</v>
      </c>
      <c r="T486" s="4"/>
    </row>
    <row r="487" spans="1:20" ht="45" customHeight="1">
      <c r="A487" s="12" t="s">
        <v>1229</v>
      </c>
      <c r="B487" s="4" t="s">
        <v>69</v>
      </c>
      <c r="C487" s="4" t="s">
        <v>402</v>
      </c>
      <c r="D487" s="4" t="s">
        <v>136</v>
      </c>
      <c r="E487" s="5" t="s">
        <v>404</v>
      </c>
      <c r="F487" s="4" t="s">
        <v>2308</v>
      </c>
      <c r="G487" s="4" t="s">
        <v>2308</v>
      </c>
      <c r="H487" s="22" t="s">
        <v>2308</v>
      </c>
      <c r="I487" s="22" t="s">
        <v>2308</v>
      </c>
      <c r="J487" s="22" t="s">
        <v>2308</v>
      </c>
      <c r="K487" s="22" t="s">
        <v>2308</v>
      </c>
      <c r="L487" s="22" t="s">
        <v>2308</v>
      </c>
      <c r="M487" s="22" t="s">
        <v>2308</v>
      </c>
      <c r="N487" s="22" t="s">
        <v>2308</v>
      </c>
      <c r="O487" s="22" t="s">
        <v>2308</v>
      </c>
      <c r="P487" s="22" t="s">
        <v>2308</v>
      </c>
      <c r="Q487" s="22" t="s">
        <v>2308</v>
      </c>
      <c r="R487" s="22" t="s">
        <v>2308</v>
      </c>
      <c r="S487" s="22" t="s">
        <v>2308</v>
      </c>
      <c r="T487" s="4"/>
    </row>
    <row r="488" spans="1:20" ht="53.5" customHeight="1">
      <c r="A488" s="12" t="s">
        <v>1254</v>
      </c>
      <c r="B488" s="12" t="s">
        <v>32</v>
      </c>
      <c r="C488" s="4" t="s">
        <v>402</v>
      </c>
      <c r="D488" s="12" t="s">
        <v>5065</v>
      </c>
      <c r="E488" s="20" t="s">
        <v>143</v>
      </c>
      <c r="F488" s="4" t="s">
        <v>2308</v>
      </c>
      <c r="G488" s="4" t="s">
        <v>2308</v>
      </c>
      <c r="H488" s="22" t="s">
        <v>2308</v>
      </c>
      <c r="I488" s="22" t="s">
        <v>2308</v>
      </c>
      <c r="J488" s="22" t="s">
        <v>2308</v>
      </c>
      <c r="K488" s="22" t="s">
        <v>2308</v>
      </c>
      <c r="L488" s="22" t="s">
        <v>2308</v>
      </c>
      <c r="M488" s="22" t="s">
        <v>2308</v>
      </c>
      <c r="N488" s="22" t="s">
        <v>2308</v>
      </c>
      <c r="O488" s="22" t="s">
        <v>2308</v>
      </c>
      <c r="P488" s="22" t="s">
        <v>2308</v>
      </c>
      <c r="Q488" s="22" t="s">
        <v>2308</v>
      </c>
      <c r="R488" s="22" t="s">
        <v>2308</v>
      </c>
      <c r="S488" s="22" t="s">
        <v>2308</v>
      </c>
      <c r="T488" s="4"/>
    </row>
    <row r="489" spans="1:20" ht="52" customHeight="1">
      <c r="A489" s="12" t="s">
        <v>1262</v>
      </c>
      <c r="B489" s="12" t="s">
        <v>32</v>
      </c>
      <c r="C489" s="4" t="s">
        <v>402</v>
      </c>
      <c r="D489" s="12" t="s">
        <v>143</v>
      </c>
      <c r="E489" s="4" t="s">
        <v>116</v>
      </c>
      <c r="F489" s="4" t="s">
        <v>2308</v>
      </c>
      <c r="G489" s="4" t="s">
        <v>2308</v>
      </c>
      <c r="H489" s="22" t="s">
        <v>2308</v>
      </c>
      <c r="I489" s="22" t="s">
        <v>2308</v>
      </c>
      <c r="J489" s="22" t="s">
        <v>2308</v>
      </c>
      <c r="K489" s="22" t="s">
        <v>2308</v>
      </c>
      <c r="L489" s="22" t="s">
        <v>2308</v>
      </c>
      <c r="M489" s="22" t="s">
        <v>2308</v>
      </c>
      <c r="N489" s="22" t="s">
        <v>2308</v>
      </c>
      <c r="O489" s="22" t="s">
        <v>2308</v>
      </c>
      <c r="P489" s="22" t="s">
        <v>2308</v>
      </c>
      <c r="Q489" s="22" t="s">
        <v>2308</v>
      </c>
      <c r="R489" s="22" t="s">
        <v>2308</v>
      </c>
      <c r="S489" s="22" t="s">
        <v>2308</v>
      </c>
      <c r="T489" s="4" t="s">
        <v>5067</v>
      </c>
    </row>
    <row r="490" spans="1:20" ht="37" customHeight="1">
      <c r="A490" s="12" t="s">
        <v>2479</v>
      </c>
      <c r="B490" s="4" t="s">
        <v>2308</v>
      </c>
      <c r="C490" s="12" t="s">
        <v>12</v>
      </c>
      <c r="D490" s="12" t="s">
        <v>143</v>
      </c>
      <c r="E490" s="4" t="s">
        <v>136</v>
      </c>
      <c r="F490" s="4" t="s">
        <v>2308</v>
      </c>
      <c r="G490" s="4" t="s">
        <v>2308</v>
      </c>
      <c r="H490" s="4" t="s">
        <v>2308</v>
      </c>
      <c r="I490" s="4" t="s">
        <v>2308</v>
      </c>
      <c r="J490" s="4" t="s">
        <v>2308</v>
      </c>
      <c r="K490" s="4" t="s">
        <v>2308</v>
      </c>
      <c r="L490" s="4" t="s">
        <v>2308</v>
      </c>
      <c r="M490" s="4" t="s">
        <v>2308</v>
      </c>
      <c r="N490" s="22" t="s">
        <v>2308</v>
      </c>
      <c r="O490" s="22" t="s">
        <v>2308</v>
      </c>
      <c r="P490" s="22" t="s">
        <v>2308</v>
      </c>
      <c r="Q490" s="22" t="s">
        <v>2308</v>
      </c>
      <c r="R490" s="22" t="s">
        <v>2308</v>
      </c>
      <c r="S490" s="22">
        <v>4</v>
      </c>
      <c r="T490" s="4" t="s">
        <v>2308</v>
      </c>
    </row>
    <row r="491" spans="1:20" ht="38.5" customHeight="1">
      <c r="A491" s="12" t="s">
        <v>2482</v>
      </c>
      <c r="B491" s="4" t="s">
        <v>2308</v>
      </c>
      <c r="C491" s="4" t="s">
        <v>402</v>
      </c>
      <c r="D491" s="4" t="s">
        <v>136</v>
      </c>
      <c r="E491" s="5" t="s">
        <v>404</v>
      </c>
      <c r="F491" s="4" t="s">
        <v>2308</v>
      </c>
      <c r="G491" s="4" t="s">
        <v>2308</v>
      </c>
      <c r="H491" s="4" t="s">
        <v>2308</v>
      </c>
      <c r="I491" s="4" t="s">
        <v>2308</v>
      </c>
      <c r="J491" s="4" t="s">
        <v>2308</v>
      </c>
      <c r="K491" s="4" t="s">
        <v>2308</v>
      </c>
      <c r="L491" s="4" t="s">
        <v>2308</v>
      </c>
      <c r="M491" s="4" t="s">
        <v>2308</v>
      </c>
      <c r="N491" s="22" t="s">
        <v>2308</v>
      </c>
      <c r="O491" s="22" t="s">
        <v>2308</v>
      </c>
      <c r="P491" s="22" t="s">
        <v>2308</v>
      </c>
      <c r="Q491" s="22" t="s">
        <v>2308</v>
      </c>
      <c r="R491" s="22" t="s">
        <v>2308</v>
      </c>
      <c r="S491" s="22" t="s">
        <v>2308</v>
      </c>
      <c r="T491" s="5" t="s">
        <v>2497</v>
      </c>
    </row>
    <row r="492" spans="1:20" ht="36" customHeight="1">
      <c r="A492" s="4" t="s">
        <v>2499</v>
      </c>
      <c r="B492" s="4" t="s">
        <v>69</v>
      </c>
      <c r="C492" s="4" t="s">
        <v>402</v>
      </c>
      <c r="D492" s="4" t="s">
        <v>136</v>
      </c>
      <c r="E492" s="5" t="s">
        <v>404</v>
      </c>
      <c r="F492" s="4" t="s">
        <v>2308</v>
      </c>
      <c r="G492" s="4" t="s">
        <v>2308</v>
      </c>
      <c r="H492" s="4" t="s">
        <v>2308</v>
      </c>
      <c r="I492" s="4">
        <v>1.2</v>
      </c>
      <c r="J492" s="4">
        <v>1.6</v>
      </c>
      <c r="K492" s="4" t="s">
        <v>2308</v>
      </c>
      <c r="L492" s="4" t="s">
        <v>2308</v>
      </c>
      <c r="M492" s="4" t="s">
        <v>2308</v>
      </c>
      <c r="N492" s="22" t="s">
        <v>2308</v>
      </c>
      <c r="O492" s="22" t="s">
        <v>2308</v>
      </c>
      <c r="P492" s="22" t="s">
        <v>2308</v>
      </c>
      <c r="Q492" s="22" t="s">
        <v>2308</v>
      </c>
      <c r="R492" s="22" t="s">
        <v>2308</v>
      </c>
      <c r="S492" s="22" t="s">
        <v>2308</v>
      </c>
      <c r="T492" s="5" t="s">
        <v>2532</v>
      </c>
    </row>
    <row r="493" spans="1:20" ht="36" customHeight="1">
      <c r="A493" s="4" t="s">
        <v>2500</v>
      </c>
      <c r="B493" s="4" t="s">
        <v>69</v>
      </c>
      <c r="C493" s="4" t="s">
        <v>402</v>
      </c>
      <c r="D493" s="4" t="s">
        <v>136</v>
      </c>
      <c r="E493" s="5" t="s">
        <v>404</v>
      </c>
      <c r="F493" s="4" t="s">
        <v>2308</v>
      </c>
      <c r="G493" s="4" t="s">
        <v>2308</v>
      </c>
      <c r="H493" s="4" t="s">
        <v>2308</v>
      </c>
      <c r="I493" s="4">
        <v>1.2</v>
      </c>
      <c r="J493" s="4">
        <v>1.6</v>
      </c>
      <c r="K493" s="4" t="s">
        <v>2308</v>
      </c>
      <c r="L493" s="4" t="s">
        <v>2308</v>
      </c>
      <c r="M493" s="4" t="s">
        <v>2308</v>
      </c>
      <c r="N493" s="22" t="s">
        <v>2308</v>
      </c>
      <c r="O493" s="22" t="s">
        <v>2308</v>
      </c>
      <c r="P493" s="22" t="s">
        <v>2308</v>
      </c>
      <c r="Q493" s="22" t="s">
        <v>2308</v>
      </c>
      <c r="R493" s="22" t="s">
        <v>2308</v>
      </c>
      <c r="S493" s="22" t="s">
        <v>2308</v>
      </c>
      <c r="T493" s="5" t="s">
        <v>2532</v>
      </c>
    </row>
    <row r="494" spans="1:20" ht="37.5" customHeight="1">
      <c r="A494" s="4" t="s">
        <v>2501</v>
      </c>
      <c r="B494" s="4" t="s">
        <v>69</v>
      </c>
      <c r="C494" s="4" t="s">
        <v>402</v>
      </c>
      <c r="D494" s="4" t="s">
        <v>136</v>
      </c>
      <c r="E494" s="5" t="s">
        <v>404</v>
      </c>
      <c r="F494" s="4" t="s">
        <v>2308</v>
      </c>
      <c r="G494" s="4" t="s">
        <v>2308</v>
      </c>
      <c r="H494" s="4" t="s">
        <v>2308</v>
      </c>
      <c r="I494" s="4">
        <v>1.2</v>
      </c>
      <c r="J494" s="4">
        <v>1.6</v>
      </c>
      <c r="K494" s="4" t="s">
        <v>2308</v>
      </c>
      <c r="L494" s="4" t="s">
        <v>2308</v>
      </c>
      <c r="M494" s="4" t="s">
        <v>2308</v>
      </c>
      <c r="N494" s="22" t="s">
        <v>2308</v>
      </c>
      <c r="O494" s="22" t="s">
        <v>2308</v>
      </c>
      <c r="P494" s="22" t="s">
        <v>2308</v>
      </c>
      <c r="Q494" s="22" t="s">
        <v>2308</v>
      </c>
      <c r="R494" s="22" t="s">
        <v>2308</v>
      </c>
      <c r="S494" s="22" t="s">
        <v>2308</v>
      </c>
      <c r="T494" s="5" t="s">
        <v>2532</v>
      </c>
    </row>
    <row r="495" spans="1:20" ht="37" customHeight="1">
      <c r="A495" s="4" t="s">
        <v>2502</v>
      </c>
      <c r="B495" s="4" t="s">
        <v>69</v>
      </c>
      <c r="C495" s="4" t="s">
        <v>402</v>
      </c>
      <c r="D495" s="4" t="s">
        <v>136</v>
      </c>
      <c r="E495" s="5" t="s">
        <v>404</v>
      </c>
      <c r="F495" s="4" t="s">
        <v>2308</v>
      </c>
      <c r="G495" s="4" t="s">
        <v>2308</v>
      </c>
      <c r="H495" s="4" t="s">
        <v>2308</v>
      </c>
      <c r="I495" s="4">
        <v>1.2</v>
      </c>
      <c r="J495" s="4">
        <v>1.6</v>
      </c>
      <c r="K495" s="4" t="s">
        <v>2308</v>
      </c>
      <c r="L495" s="4" t="s">
        <v>2308</v>
      </c>
      <c r="M495" s="4" t="s">
        <v>2308</v>
      </c>
      <c r="N495" s="22" t="s">
        <v>2308</v>
      </c>
      <c r="O495" s="22" t="s">
        <v>2308</v>
      </c>
      <c r="P495" s="22" t="s">
        <v>2308</v>
      </c>
      <c r="Q495" s="22" t="s">
        <v>2308</v>
      </c>
      <c r="R495" s="22" t="s">
        <v>2308</v>
      </c>
      <c r="S495" s="22" t="s">
        <v>2308</v>
      </c>
      <c r="T495" s="5" t="s">
        <v>2532</v>
      </c>
    </row>
    <row r="496" spans="1:20" ht="37" customHeight="1">
      <c r="A496" s="4" t="s">
        <v>2503</v>
      </c>
      <c r="B496" s="4" t="s">
        <v>69</v>
      </c>
      <c r="C496" s="4" t="s">
        <v>402</v>
      </c>
      <c r="D496" s="4" t="s">
        <v>136</v>
      </c>
      <c r="E496" s="5" t="s">
        <v>404</v>
      </c>
      <c r="F496" s="4" t="s">
        <v>2308</v>
      </c>
      <c r="G496" s="4" t="s">
        <v>2308</v>
      </c>
      <c r="H496" s="4" t="s">
        <v>2308</v>
      </c>
      <c r="I496" s="4">
        <v>1.2</v>
      </c>
      <c r="J496" s="4">
        <v>1.6</v>
      </c>
      <c r="K496" s="4" t="s">
        <v>2308</v>
      </c>
      <c r="L496" s="4" t="s">
        <v>2308</v>
      </c>
      <c r="M496" s="4" t="s">
        <v>2308</v>
      </c>
      <c r="N496" s="22" t="s">
        <v>2308</v>
      </c>
      <c r="O496" s="22" t="s">
        <v>2308</v>
      </c>
      <c r="P496" s="22" t="s">
        <v>2308</v>
      </c>
      <c r="Q496" s="22" t="s">
        <v>2308</v>
      </c>
      <c r="R496" s="22" t="s">
        <v>2308</v>
      </c>
      <c r="S496" s="22" t="s">
        <v>2308</v>
      </c>
      <c r="T496" s="5" t="s">
        <v>2532</v>
      </c>
    </row>
    <row r="497" spans="1:20" ht="41" customHeight="1">
      <c r="A497" s="4" t="s">
        <v>2504</v>
      </c>
      <c r="B497" s="4" t="s">
        <v>69</v>
      </c>
      <c r="C497" s="4" t="s">
        <v>402</v>
      </c>
      <c r="D497" s="4" t="s">
        <v>136</v>
      </c>
      <c r="E497" s="5" t="s">
        <v>404</v>
      </c>
      <c r="F497" s="4" t="s">
        <v>2308</v>
      </c>
      <c r="G497" s="4" t="s">
        <v>2308</v>
      </c>
      <c r="H497" s="4" t="s">
        <v>2308</v>
      </c>
      <c r="I497" s="4">
        <v>1.2</v>
      </c>
      <c r="J497" s="4">
        <v>1.6</v>
      </c>
      <c r="K497" s="4" t="s">
        <v>2308</v>
      </c>
      <c r="L497" s="4" t="s">
        <v>2308</v>
      </c>
      <c r="M497" s="4" t="s">
        <v>2308</v>
      </c>
      <c r="N497" s="22" t="s">
        <v>2308</v>
      </c>
      <c r="O497" s="22" t="s">
        <v>2308</v>
      </c>
      <c r="P497" s="22" t="s">
        <v>2308</v>
      </c>
      <c r="Q497" s="22" t="s">
        <v>2308</v>
      </c>
      <c r="R497" s="22" t="s">
        <v>2308</v>
      </c>
      <c r="S497" s="22" t="s">
        <v>2308</v>
      </c>
      <c r="T497" s="5" t="s">
        <v>2532</v>
      </c>
    </row>
    <row r="498" spans="1:20" ht="39" customHeight="1">
      <c r="A498" s="4" t="s">
        <v>2505</v>
      </c>
      <c r="B498" s="4" t="s">
        <v>69</v>
      </c>
      <c r="C498" s="4" t="s">
        <v>402</v>
      </c>
      <c r="D498" s="4" t="s">
        <v>136</v>
      </c>
      <c r="E498" s="5" t="s">
        <v>404</v>
      </c>
      <c r="F498" s="4" t="s">
        <v>2308</v>
      </c>
      <c r="G498" s="4" t="s">
        <v>2308</v>
      </c>
      <c r="H498" s="4" t="s">
        <v>2308</v>
      </c>
      <c r="I498" s="4">
        <v>1.2</v>
      </c>
      <c r="J498" s="4">
        <v>1.6</v>
      </c>
      <c r="K498" s="4" t="s">
        <v>2308</v>
      </c>
      <c r="L498" s="4" t="s">
        <v>2308</v>
      </c>
      <c r="M498" s="4" t="s">
        <v>2308</v>
      </c>
      <c r="N498" s="22" t="s">
        <v>2308</v>
      </c>
      <c r="O498" s="22" t="s">
        <v>2308</v>
      </c>
      <c r="P498" s="22" t="s">
        <v>2308</v>
      </c>
      <c r="Q498" s="22" t="s">
        <v>2308</v>
      </c>
      <c r="R498" s="22" t="s">
        <v>2308</v>
      </c>
      <c r="S498" s="22" t="s">
        <v>2308</v>
      </c>
      <c r="T498" s="5" t="s">
        <v>2532</v>
      </c>
    </row>
    <row r="499" spans="1:20" ht="35.5" customHeight="1">
      <c r="A499" s="4" t="s">
        <v>2506</v>
      </c>
      <c r="B499" s="4" t="s">
        <v>69</v>
      </c>
      <c r="C499" s="4" t="s">
        <v>402</v>
      </c>
      <c r="D499" s="4" t="s">
        <v>136</v>
      </c>
      <c r="E499" s="5" t="s">
        <v>404</v>
      </c>
      <c r="F499" s="4" t="s">
        <v>2308</v>
      </c>
      <c r="G499" s="4" t="s">
        <v>2308</v>
      </c>
      <c r="H499" s="4" t="s">
        <v>2308</v>
      </c>
      <c r="I499" s="4">
        <v>1.2</v>
      </c>
      <c r="J499" s="4">
        <v>1.6</v>
      </c>
      <c r="K499" s="4" t="s">
        <v>2308</v>
      </c>
      <c r="L499" s="4" t="s">
        <v>2308</v>
      </c>
      <c r="M499" s="4" t="s">
        <v>2308</v>
      </c>
      <c r="N499" s="22" t="s">
        <v>2308</v>
      </c>
      <c r="O499" s="22" t="s">
        <v>2308</v>
      </c>
      <c r="P499" s="22" t="s">
        <v>2308</v>
      </c>
      <c r="Q499" s="22" t="s">
        <v>2308</v>
      </c>
      <c r="R499" s="22" t="s">
        <v>2308</v>
      </c>
      <c r="S499" s="22" t="s">
        <v>2308</v>
      </c>
      <c r="T499" s="5" t="s">
        <v>2532</v>
      </c>
    </row>
    <row r="500" spans="1:20" ht="33" customHeight="1">
      <c r="A500" s="4" t="s">
        <v>2507</v>
      </c>
      <c r="B500" s="4" t="s">
        <v>69</v>
      </c>
      <c r="C500" s="4" t="s">
        <v>402</v>
      </c>
      <c r="D500" s="4" t="s">
        <v>136</v>
      </c>
      <c r="E500" s="5" t="s">
        <v>404</v>
      </c>
      <c r="F500" s="4" t="s">
        <v>2308</v>
      </c>
      <c r="G500" s="4" t="s">
        <v>2308</v>
      </c>
      <c r="H500" s="4" t="s">
        <v>2308</v>
      </c>
      <c r="I500" s="4">
        <v>1.2</v>
      </c>
      <c r="J500" s="4">
        <v>1.6</v>
      </c>
      <c r="K500" s="4" t="s">
        <v>2308</v>
      </c>
      <c r="L500" s="4" t="s">
        <v>2308</v>
      </c>
      <c r="M500" s="4" t="s">
        <v>2308</v>
      </c>
      <c r="N500" s="22" t="s">
        <v>2308</v>
      </c>
      <c r="O500" s="22" t="s">
        <v>2308</v>
      </c>
      <c r="P500" s="22" t="s">
        <v>2308</v>
      </c>
      <c r="Q500" s="22" t="s">
        <v>2308</v>
      </c>
      <c r="R500" s="22" t="s">
        <v>2308</v>
      </c>
      <c r="S500" s="22" t="s">
        <v>2308</v>
      </c>
      <c r="T500" s="5" t="s">
        <v>2532</v>
      </c>
    </row>
    <row r="501" spans="1:20" ht="35.5" customHeight="1">
      <c r="A501" s="4" t="s">
        <v>2508</v>
      </c>
      <c r="B501" s="4" t="s">
        <v>69</v>
      </c>
      <c r="C501" s="4" t="s">
        <v>402</v>
      </c>
      <c r="D501" s="4" t="s">
        <v>136</v>
      </c>
      <c r="E501" s="5" t="s">
        <v>404</v>
      </c>
      <c r="F501" s="4" t="s">
        <v>2308</v>
      </c>
      <c r="G501" s="4" t="s">
        <v>2308</v>
      </c>
      <c r="H501" s="4" t="s">
        <v>2308</v>
      </c>
      <c r="I501" s="4">
        <v>1.2</v>
      </c>
      <c r="J501" s="4">
        <v>1.6</v>
      </c>
      <c r="K501" s="4" t="s">
        <v>2308</v>
      </c>
      <c r="L501" s="4" t="s">
        <v>2308</v>
      </c>
      <c r="M501" s="4" t="s">
        <v>2308</v>
      </c>
      <c r="N501" s="22" t="s">
        <v>2308</v>
      </c>
      <c r="O501" s="22" t="s">
        <v>2308</v>
      </c>
      <c r="P501" s="22" t="s">
        <v>2308</v>
      </c>
      <c r="Q501" s="22" t="s">
        <v>2308</v>
      </c>
      <c r="R501" s="22" t="s">
        <v>2308</v>
      </c>
      <c r="S501" s="22" t="s">
        <v>2308</v>
      </c>
      <c r="T501" s="5" t="s">
        <v>2532</v>
      </c>
    </row>
    <row r="502" spans="1:20" ht="39" customHeight="1">
      <c r="A502" s="4" t="s">
        <v>2509</v>
      </c>
      <c r="B502" s="4" t="s">
        <v>69</v>
      </c>
      <c r="C502" s="4" t="s">
        <v>402</v>
      </c>
      <c r="D502" s="4" t="s">
        <v>136</v>
      </c>
      <c r="E502" s="5" t="s">
        <v>404</v>
      </c>
      <c r="F502" s="4" t="s">
        <v>2308</v>
      </c>
      <c r="G502" s="4" t="s">
        <v>2308</v>
      </c>
      <c r="H502" s="4" t="s">
        <v>2308</v>
      </c>
      <c r="I502" s="4">
        <v>1.2</v>
      </c>
      <c r="J502" s="4">
        <v>1.6</v>
      </c>
      <c r="K502" s="4" t="s">
        <v>2308</v>
      </c>
      <c r="L502" s="4" t="s">
        <v>2308</v>
      </c>
      <c r="M502" s="4" t="s">
        <v>2308</v>
      </c>
      <c r="N502" s="22" t="s">
        <v>2308</v>
      </c>
      <c r="O502" s="22" t="s">
        <v>2308</v>
      </c>
      <c r="P502" s="22" t="s">
        <v>2308</v>
      </c>
      <c r="Q502" s="22" t="s">
        <v>2308</v>
      </c>
      <c r="R502" s="22" t="s">
        <v>2308</v>
      </c>
      <c r="S502" s="22" t="s">
        <v>2308</v>
      </c>
      <c r="T502" s="5" t="s">
        <v>2532</v>
      </c>
    </row>
    <row r="503" spans="1:20" ht="34" customHeight="1">
      <c r="A503" s="4" t="s">
        <v>2510</v>
      </c>
      <c r="B503" s="4" t="s">
        <v>69</v>
      </c>
      <c r="C503" s="4" t="s">
        <v>402</v>
      </c>
      <c r="D503" s="4" t="s">
        <v>136</v>
      </c>
      <c r="E503" s="5" t="s">
        <v>404</v>
      </c>
      <c r="F503" s="4" t="s">
        <v>2308</v>
      </c>
      <c r="G503" s="4" t="s">
        <v>2308</v>
      </c>
      <c r="H503" s="4" t="s">
        <v>2308</v>
      </c>
      <c r="I503" s="4">
        <v>1.2</v>
      </c>
      <c r="J503" s="4">
        <v>1.6</v>
      </c>
      <c r="K503" s="4" t="s">
        <v>2308</v>
      </c>
      <c r="L503" s="4" t="s">
        <v>2308</v>
      </c>
      <c r="M503" s="4" t="s">
        <v>2308</v>
      </c>
      <c r="N503" s="22" t="s">
        <v>2308</v>
      </c>
      <c r="O503" s="22" t="s">
        <v>2308</v>
      </c>
      <c r="P503" s="22" t="s">
        <v>2308</v>
      </c>
      <c r="Q503" s="22" t="s">
        <v>2308</v>
      </c>
      <c r="R503" s="22" t="s">
        <v>2308</v>
      </c>
      <c r="S503" s="22" t="s">
        <v>2308</v>
      </c>
      <c r="T503" s="5" t="s">
        <v>2532</v>
      </c>
    </row>
    <row r="504" spans="1:20" ht="33" customHeight="1">
      <c r="A504" s="4" t="s">
        <v>2511</v>
      </c>
      <c r="B504" s="4" t="s">
        <v>69</v>
      </c>
      <c r="C504" s="4" t="s">
        <v>402</v>
      </c>
      <c r="D504" s="4" t="s">
        <v>136</v>
      </c>
      <c r="E504" s="5" t="s">
        <v>404</v>
      </c>
      <c r="F504" s="4" t="s">
        <v>2308</v>
      </c>
      <c r="G504" s="4" t="s">
        <v>2308</v>
      </c>
      <c r="H504" s="4" t="s">
        <v>2308</v>
      </c>
      <c r="I504" s="4">
        <v>1.2</v>
      </c>
      <c r="J504" s="4">
        <v>1.6</v>
      </c>
      <c r="K504" s="4" t="s">
        <v>2308</v>
      </c>
      <c r="L504" s="4" t="s">
        <v>2308</v>
      </c>
      <c r="M504" s="4" t="s">
        <v>2308</v>
      </c>
      <c r="N504" s="22" t="s">
        <v>2308</v>
      </c>
      <c r="O504" s="22" t="s">
        <v>2308</v>
      </c>
      <c r="P504" s="22" t="s">
        <v>2308</v>
      </c>
      <c r="Q504" s="22" t="s">
        <v>2308</v>
      </c>
      <c r="R504" s="22" t="s">
        <v>2308</v>
      </c>
      <c r="S504" s="22" t="s">
        <v>2308</v>
      </c>
      <c r="T504" s="5" t="s">
        <v>2532</v>
      </c>
    </row>
    <row r="505" spans="1:20" ht="35.5" customHeight="1">
      <c r="A505" s="4" t="s">
        <v>2512</v>
      </c>
      <c r="B505" s="4" t="s">
        <v>69</v>
      </c>
      <c r="C505" s="4" t="s">
        <v>402</v>
      </c>
      <c r="D505" s="4" t="s">
        <v>136</v>
      </c>
      <c r="E505" s="5" t="s">
        <v>404</v>
      </c>
      <c r="F505" s="4" t="s">
        <v>2308</v>
      </c>
      <c r="G505" s="4" t="s">
        <v>2308</v>
      </c>
      <c r="H505" s="4" t="s">
        <v>2308</v>
      </c>
      <c r="I505" s="4">
        <v>1.2</v>
      </c>
      <c r="J505" s="4">
        <v>1.6</v>
      </c>
      <c r="K505" s="4" t="s">
        <v>2308</v>
      </c>
      <c r="L505" s="4" t="s">
        <v>2308</v>
      </c>
      <c r="M505" s="4" t="s">
        <v>2308</v>
      </c>
      <c r="N505" s="22" t="s">
        <v>2308</v>
      </c>
      <c r="O505" s="22" t="s">
        <v>2308</v>
      </c>
      <c r="P505" s="22" t="s">
        <v>2308</v>
      </c>
      <c r="Q505" s="22" t="s">
        <v>2308</v>
      </c>
      <c r="R505" s="22" t="s">
        <v>2308</v>
      </c>
      <c r="S505" s="22" t="s">
        <v>2308</v>
      </c>
      <c r="T505" s="5" t="s">
        <v>2532</v>
      </c>
    </row>
    <row r="506" spans="1:20" ht="33" customHeight="1">
      <c r="A506" s="4" t="s">
        <v>2513</v>
      </c>
      <c r="B506" s="4" t="s">
        <v>69</v>
      </c>
      <c r="C506" s="4" t="s">
        <v>402</v>
      </c>
      <c r="D506" s="4" t="s">
        <v>136</v>
      </c>
      <c r="E506" s="5" t="s">
        <v>404</v>
      </c>
      <c r="F506" s="4" t="s">
        <v>2308</v>
      </c>
      <c r="G506" s="4" t="s">
        <v>2308</v>
      </c>
      <c r="H506" s="4" t="s">
        <v>2308</v>
      </c>
      <c r="I506" s="4">
        <v>1.2</v>
      </c>
      <c r="J506" s="4">
        <v>1.6</v>
      </c>
      <c r="K506" s="4" t="s">
        <v>2308</v>
      </c>
      <c r="L506" s="4" t="s">
        <v>2308</v>
      </c>
      <c r="M506" s="4" t="s">
        <v>2308</v>
      </c>
      <c r="N506" s="22" t="s">
        <v>2308</v>
      </c>
      <c r="O506" s="22" t="s">
        <v>2308</v>
      </c>
      <c r="P506" s="22" t="s">
        <v>2308</v>
      </c>
      <c r="Q506" s="22" t="s">
        <v>2308</v>
      </c>
      <c r="R506" s="22" t="s">
        <v>2308</v>
      </c>
      <c r="S506" s="22" t="s">
        <v>2308</v>
      </c>
      <c r="T506" s="5" t="s">
        <v>2532</v>
      </c>
    </row>
    <row r="507" spans="1:20" ht="35.5" customHeight="1">
      <c r="A507" s="4" t="s">
        <v>2514</v>
      </c>
      <c r="B507" s="4" t="s">
        <v>69</v>
      </c>
      <c r="C507" s="4" t="s">
        <v>402</v>
      </c>
      <c r="D507" s="4" t="s">
        <v>136</v>
      </c>
      <c r="E507" s="5" t="s">
        <v>404</v>
      </c>
      <c r="F507" s="4" t="s">
        <v>2308</v>
      </c>
      <c r="G507" s="4" t="s">
        <v>2308</v>
      </c>
      <c r="H507" s="4" t="s">
        <v>2308</v>
      </c>
      <c r="I507" s="4">
        <v>1.2</v>
      </c>
      <c r="J507" s="4">
        <v>1.6</v>
      </c>
      <c r="K507" s="4" t="s">
        <v>2308</v>
      </c>
      <c r="L507" s="4" t="s">
        <v>2308</v>
      </c>
      <c r="M507" s="4" t="s">
        <v>2308</v>
      </c>
      <c r="N507" s="22" t="s">
        <v>2308</v>
      </c>
      <c r="O507" s="22" t="s">
        <v>2308</v>
      </c>
      <c r="P507" s="22" t="s">
        <v>2308</v>
      </c>
      <c r="Q507" s="22" t="s">
        <v>2308</v>
      </c>
      <c r="R507" s="22" t="s">
        <v>2308</v>
      </c>
      <c r="S507" s="22" t="s">
        <v>2308</v>
      </c>
      <c r="T507" s="5" t="s">
        <v>2532</v>
      </c>
    </row>
    <row r="508" spans="1:20" ht="37.5" customHeight="1">
      <c r="A508" s="12" t="s">
        <v>2551</v>
      </c>
      <c r="B508" s="4"/>
      <c r="C508" s="12" t="s">
        <v>12</v>
      </c>
      <c r="D508" s="12" t="s">
        <v>136</v>
      </c>
      <c r="E508" s="20" t="s">
        <v>877</v>
      </c>
      <c r="F508" s="12" t="s">
        <v>84</v>
      </c>
      <c r="G508" s="4" t="s">
        <v>116</v>
      </c>
      <c r="H508" s="4" t="s">
        <v>2308</v>
      </c>
      <c r="I508" s="4">
        <v>1.9</v>
      </c>
      <c r="J508" s="4" t="s">
        <v>2308</v>
      </c>
      <c r="K508" s="4" t="s">
        <v>542</v>
      </c>
      <c r="L508" s="4" t="s">
        <v>2308</v>
      </c>
      <c r="M508" s="4" t="s">
        <v>2308</v>
      </c>
      <c r="N508" s="22">
        <v>0</v>
      </c>
      <c r="O508" s="22">
        <v>0</v>
      </c>
      <c r="P508" s="22">
        <v>15.5</v>
      </c>
      <c r="Q508" s="22">
        <f>28.5+13.5+5.8</f>
        <v>47.8</v>
      </c>
      <c r="R508" s="22">
        <v>35</v>
      </c>
      <c r="S508" s="22">
        <f>100/15*(7338/(0.35*'Record info'!K508))</f>
        <v>2.987909715287385</v>
      </c>
      <c r="T508" s="5" t="s">
        <v>2561</v>
      </c>
    </row>
    <row r="509" spans="1:20" ht="39.5" customHeight="1">
      <c r="A509" s="12" t="s">
        <v>2553</v>
      </c>
      <c r="B509" s="4"/>
      <c r="C509" s="12" t="s">
        <v>12</v>
      </c>
      <c r="D509" s="12" t="s">
        <v>136</v>
      </c>
      <c r="E509" s="20" t="s">
        <v>877</v>
      </c>
      <c r="F509" s="12" t="s">
        <v>84</v>
      </c>
      <c r="G509" s="4" t="s">
        <v>116</v>
      </c>
      <c r="H509" s="4" t="s">
        <v>2308</v>
      </c>
      <c r="I509" s="4">
        <v>1.9</v>
      </c>
      <c r="J509" s="4" t="s">
        <v>2308</v>
      </c>
      <c r="K509" s="4" t="s">
        <v>542</v>
      </c>
      <c r="L509" s="4" t="s">
        <v>2308</v>
      </c>
      <c r="M509" s="4">
        <v>0.5</v>
      </c>
      <c r="N509" s="22">
        <v>0</v>
      </c>
      <c r="O509" s="22">
        <v>0</v>
      </c>
      <c r="P509" s="22">
        <f>4.5+9.1</f>
        <v>13.6</v>
      </c>
      <c r="Q509" s="22">
        <f>21.8+9.5+5.9</f>
        <v>37.200000000000003</v>
      </c>
      <c r="R509" s="22">
        <f>42.6+4.1</f>
        <v>46.7</v>
      </c>
      <c r="S509" s="22">
        <f>100/15*1137/(0.467*'Record info'!K509)</f>
        <v>0.63832245490395012</v>
      </c>
      <c r="T509" s="5" t="s">
        <v>2561</v>
      </c>
    </row>
    <row r="510" spans="1:20" ht="38.5" customHeight="1">
      <c r="A510" s="12" t="s">
        <v>2564</v>
      </c>
      <c r="B510" s="4"/>
      <c r="C510" s="12" t="s">
        <v>12</v>
      </c>
      <c r="D510" s="12" t="s">
        <v>136</v>
      </c>
      <c r="E510" s="4" t="s">
        <v>143</v>
      </c>
      <c r="F510" s="4" t="s">
        <v>2308</v>
      </c>
      <c r="G510" s="4" t="s">
        <v>2308</v>
      </c>
      <c r="H510" s="4" t="s">
        <v>2308</v>
      </c>
      <c r="I510" s="4" t="s">
        <v>2308</v>
      </c>
      <c r="J510" s="4" t="s">
        <v>2308</v>
      </c>
      <c r="K510" s="4" t="s">
        <v>2308</v>
      </c>
      <c r="L510" s="4" t="s">
        <v>2308</v>
      </c>
      <c r="M510" s="4" t="s">
        <v>2308</v>
      </c>
      <c r="N510" s="4" t="s">
        <v>2308</v>
      </c>
      <c r="O510" s="4" t="s">
        <v>2308</v>
      </c>
      <c r="P510" s="4" t="s">
        <v>2308</v>
      </c>
      <c r="Q510" s="4" t="s">
        <v>2308</v>
      </c>
      <c r="R510" s="4">
        <v>38</v>
      </c>
      <c r="S510" s="4">
        <v>3.8</v>
      </c>
      <c r="T510" s="5"/>
    </row>
    <row r="511" spans="1:20" ht="39.5" customHeight="1">
      <c r="A511" s="12" t="s">
        <v>2573</v>
      </c>
      <c r="B511" s="4"/>
      <c r="C511" s="4"/>
      <c r="D511" s="12" t="s">
        <v>136</v>
      </c>
      <c r="E511" s="4" t="s">
        <v>143</v>
      </c>
      <c r="F511" s="12" t="s">
        <v>116</v>
      </c>
      <c r="G511" s="4" t="s">
        <v>2308</v>
      </c>
      <c r="H511" s="4" t="s">
        <v>2308</v>
      </c>
      <c r="I511" s="4">
        <v>0.5</v>
      </c>
      <c r="J511" s="4" t="s">
        <v>2308</v>
      </c>
      <c r="K511" s="4" t="s">
        <v>2308</v>
      </c>
      <c r="L511" s="4" t="s">
        <v>2308</v>
      </c>
      <c r="M511" s="4" t="s">
        <v>2308</v>
      </c>
      <c r="N511" s="4" t="s">
        <v>2308</v>
      </c>
      <c r="O511" s="4" t="s">
        <v>2308</v>
      </c>
      <c r="P511" s="4" t="s">
        <v>2308</v>
      </c>
      <c r="Q511" s="4" t="s">
        <v>2308</v>
      </c>
      <c r="R511" s="22">
        <v>92</v>
      </c>
      <c r="S511" s="4" t="s">
        <v>2308</v>
      </c>
      <c r="T511" s="4" t="s">
        <v>2575</v>
      </c>
    </row>
    <row r="512" spans="1:20" ht="42" customHeight="1">
      <c r="A512" s="12" t="s">
        <v>2583</v>
      </c>
      <c r="B512" s="4" t="s">
        <v>69</v>
      </c>
      <c r="C512" s="12" t="s">
        <v>402</v>
      </c>
      <c r="D512" s="12" t="s">
        <v>136</v>
      </c>
      <c r="E512" s="5" t="s">
        <v>404</v>
      </c>
      <c r="F512" s="4" t="s">
        <v>2308</v>
      </c>
      <c r="G512" s="4" t="s">
        <v>2308</v>
      </c>
      <c r="H512" s="4" t="s">
        <v>2308</v>
      </c>
      <c r="I512" s="4" t="s">
        <v>2308</v>
      </c>
      <c r="J512" s="4" t="s">
        <v>2308</v>
      </c>
      <c r="K512" s="4" t="s">
        <v>2308</v>
      </c>
      <c r="L512" s="4" t="s">
        <v>2308</v>
      </c>
      <c r="M512" s="4" t="s">
        <v>2308</v>
      </c>
      <c r="N512" s="4" t="s">
        <v>2308</v>
      </c>
      <c r="O512" s="4" t="s">
        <v>2308</v>
      </c>
      <c r="P512" s="4" t="s">
        <v>2308</v>
      </c>
      <c r="Q512" s="4" t="s">
        <v>2308</v>
      </c>
      <c r="R512" s="4" t="s">
        <v>2308</v>
      </c>
      <c r="S512" s="4" t="s">
        <v>2308</v>
      </c>
      <c r="T512" s="4"/>
    </row>
    <row r="513" spans="1:20" ht="37.5" customHeight="1">
      <c r="A513" s="12" t="s">
        <v>2590</v>
      </c>
      <c r="B513" s="4" t="s">
        <v>69</v>
      </c>
      <c r="C513" s="12" t="s">
        <v>402</v>
      </c>
      <c r="D513" s="12" t="s">
        <v>136</v>
      </c>
      <c r="E513" s="4" t="s">
        <v>2308</v>
      </c>
      <c r="F513" s="4" t="s">
        <v>2308</v>
      </c>
      <c r="G513" s="4" t="s">
        <v>2308</v>
      </c>
      <c r="H513" s="4" t="s">
        <v>2308</v>
      </c>
      <c r="I513" s="4" t="s">
        <v>2308</v>
      </c>
      <c r="J513" s="4" t="s">
        <v>2308</v>
      </c>
      <c r="K513" s="4" t="s">
        <v>2308</v>
      </c>
      <c r="L513" s="4" t="s">
        <v>2308</v>
      </c>
      <c r="M513" s="4" t="s">
        <v>2308</v>
      </c>
      <c r="N513" s="4" t="s">
        <v>2308</v>
      </c>
      <c r="O513" s="4" t="s">
        <v>2308</v>
      </c>
      <c r="P513" s="4" t="s">
        <v>2308</v>
      </c>
      <c r="Q513" s="4" t="s">
        <v>2308</v>
      </c>
      <c r="R513" s="4" t="s">
        <v>2308</v>
      </c>
      <c r="S513" s="4" t="s">
        <v>2308</v>
      </c>
      <c r="T513" s="4"/>
    </row>
    <row r="514" spans="1:20" ht="36" customHeight="1">
      <c r="A514" s="12" t="s">
        <v>2596</v>
      </c>
      <c r="B514" s="4"/>
      <c r="C514" s="12" t="s">
        <v>12</v>
      </c>
      <c r="D514" s="5" t="s">
        <v>404</v>
      </c>
      <c r="E514" s="4" t="s">
        <v>2308</v>
      </c>
      <c r="F514" s="4" t="s">
        <v>2308</v>
      </c>
      <c r="G514" s="4" t="s">
        <v>2308</v>
      </c>
      <c r="H514" s="4" t="s">
        <v>2308</v>
      </c>
      <c r="I514" s="4" t="s">
        <v>2308</v>
      </c>
      <c r="J514" s="4">
        <v>0.9</v>
      </c>
      <c r="K514" s="4" t="s">
        <v>2308</v>
      </c>
      <c r="L514" s="4" t="s">
        <v>2308</v>
      </c>
      <c r="M514" s="4" t="s">
        <v>2308</v>
      </c>
      <c r="N514" s="4" t="s">
        <v>2308</v>
      </c>
      <c r="O514" s="4" t="s">
        <v>2308</v>
      </c>
      <c r="P514" s="22">
        <v>40</v>
      </c>
      <c r="Q514" s="22">
        <v>46</v>
      </c>
      <c r="R514" s="22">
        <v>6</v>
      </c>
      <c r="S514" s="22"/>
      <c r="T514" s="4" t="s">
        <v>2603</v>
      </c>
    </row>
    <row r="515" spans="1:20" ht="38.5" customHeight="1">
      <c r="A515" s="12" t="s">
        <v>2607</v>
      </c>
      <c r="B515" s="4" t="s">
        <v>70</v>
      </c>
      <c r="C515" s="12" t="s">
        <v>12</v>
      </c>
      <c r="D515" s="12" t="s">
        <v>136</v>
      </c>
      <c r="E515" s="4" t="s">
        <v>2685</v>
      </c>
      <c r="F515" s="5" t="s">
        <v>404</v>
      </c>
      <c r="G515" s="4" t="s">
        <v>2308</v>
      </c>
      <c r="H515" s="4" t="s">
        <v>2308</v>
      </c>
      <c r="I515" s="4" t="s">
        <v>2308</v>
      </c>
      <c r="J515" s="4" t="s">
        <v>2308</v>
      </c>
      <c r="K515" s="4" t="s">
        <v>2308</v>
      </c>
      <c r="L515" s="4" t="s">
        <v>2308</v>
      </c>
      <c r="M515" s="4" t="s">
        <v>2308</v>
      </c>
      <c r="N515" s="4" t="s">
        <v>2308</v>
      </c>
      <c r="O515" s="4" t="s">
        <v>2308</v>
      </c>
      <c r="P515" s="4" t="s">
        <v>2308</v>
      </c>
      <c r="Q515" s="4" t="s">
        <v>2308</v>
      </c>
      <c r="R515" s="4" t="s">
        <v>2308</v>
      </c>
      <c r="S515" s="4" t="s">
        <v>2308</v>
      </c>
      <c r="T515" s="4"/>
    </row>
    <row r="516" spans="1:20" ht="29">
      <c r="A516" s="12" t="s">
        <v>2609</v>
      </c>
      <c r="B516" s="4" t="s">
        <v>70</v>
      </c>
      <c r="C516" s="12" t="s">
        <v>12</v>
      </c>
      <c r="D516" s="12" t="s">
        <v>136</v>
      </c>
      <c r="E516" s="4" t="s">
        <v>2685</v>
      </c>
      <c r="F516" s="5" t="s">
        <v>404</v>
      </c>
      <c r="G516" s="4" t="s">
        <v>2308</v>
      </c>
      <c r="H516" s="4" t="s">
        <v>2308</v>
      </c>
      <c r="I516" s="4" t="s">
        <v>2308</v>
      </c>
      <c r="J516" s="4" t="s">
        <v>2308</v>
      </c>
      <c r="K516" s="4" t="s">
        <v>2308</v>
      </c>
      <c r="L516" s="4" t="s">
        <v>2308</v>
      </c>
      <c r="M516" s="4" t="s">
        <v>2308</v>
      </c>
      <c r="N516" s="4" t="s">
        <v>2308</v>
      </c>
      <c r="O516" s="4" t="s">
        <v>2308</v>
      </c>
      <c r="P516" s="4" t="s">
        <v>2308</v>
      </c>
      <c r="Q516" s="4" t="s">
        <v>2308</v>
      </c>
      <c r="R516" s="4" t="s">
        <v>2308</v>
      </c>
      <c r="S516" s="4" t="s">
        <v>2308</v>
      </c>
      <c r="T516" s="4"/>
    </row>
    <row r="517" spans="1:20" ht="29">
      <c r="A517" s="12" t="s">
        <v>2621</v>
      </c>
      <c r="B517" s="4" t="s">
        <v>70</v>
      </c>
      <c r="C517" s="12" t="s">
        <v>12</v>
      </c>
      <c r="D517" s="12" t="s">
        <v>136</v>
      </c>
      <c r="E517" s="4" t="s">
        <v>2685</v>
      </c>
      <c r="F517" s="5" t="s">
        <v>404</v>
      </c>
      <c r="G517" s="4" t="s">
        <v>2308</v>
      </c>
      <c r="H517" s="4" t="s">
        <v>2308</v>
      </c>
      <c r="I517" s="4" t="s">
        <v>2308</v>
      </c>
      <c r="J517" s="4" t="s">
        <v>2308</v>
      </c>
      <c r="K517" s="4" t="s">
        <v>2308</v>
      </c>
      <c r="L517" s="4" t="s">
        <v>2308</v>
      </c>
      <c r="M517" s="4" t="s">
        <v>2308</v>
      </c>
      <c r="N517" s="4" t="s">
        <v>2308</v>
      </c>
      <c r="O517" s="4" t="s">
        <v>2308</v>
      </c>
      <c r="P517" s="4" t="s">
        <v>2308</v>
      </c>
      <c r="Q517" s="4" t="s">
        <v>2308</v>
      </c>
      <c r="R517" s="4" t="s">
        <v>2308</v>
      </c>
      <c r="S517" s="4" t="s">
        <v>2308</v>
      </c>
      <c r="T517" s="4"/>
    </row>
    <row r="518" spans="1:20" ht="29">
      <c r="A518" s="12" t="s">
        <v>2622</v>
      </c>
      <c r="B518" s="4" t="s">
        <v>70</v>
      </c>
      <c r="C518" s="12" t="s">
        <v>12</v>
      </c>
      <c r="D518" s="12" t="s">
        <v>136</v>
      </c>
      <c r="E518" s="4" t="s">
        <v>2685</v>
      </c>
      <c r="F518" s="5" t="s">
        <v>404</v>
      </c>
      <c r="G518" s="4" t="s">
        <v>2308</v>
      </c>
      <c r="H518" s="4" t="s">
        <v>2308</v>
      </c>
      <c r="I518" s="4" t="s">
        <v>2308</v>
      </c>
      <c r="J518" s="4" t="s">
        <v>2308</v>
      </c>
      <c r="K518" s="4" t="s">
        <v>2308</v>
      </c>
      <c r="L518" s="4" t="s">
        <v>2308</v>
      </c>
      <c r="M518" s="4" t="s">
        <v>2308</v>
      </c>
      <c r="N518" s="4" t="s">
        <v>2308</v>
      </c>
      <c r="O518" s="4" t="s">
        <v>2308</v>
      </c>
      <c r="P518" s="4" t="s">
        <v>2308</v>
      </c>
      <c r="Q518" s="4" t="s">
        <v>2308</v>
      </c>
      <c r="R518" s="4" t="s">
        <v>2308</v>
      </c>
      <c r="S518" s="4" t="s">
        <v>2308</v>
      </c>
      <c r="T518" s="4"/>
    </row>
    <row r="519" spans="1:20" ht="29">
      <c r="A519" s="12" t="s">
        <v>2623</v>
      </c>
      <c r="B519" s="4" t="s">
        <v>70</v>
      </c>
      <c r="C519" s="12" t="s">
        <v>12</v>
      </c>
      <c r="D519" s="12" t="s">
        <v>136</v>
      </c>
      <c r="E519" s="4" t="s">
        <v>2685</v>
      </c>
      <c r="F519" s="5" t="s">
        <v>404</v>
      </c>
      <c r="G519" s="4" t="s">
        <v>2308</v>
      </c>
      <c r="H519" s="4" t="s">
        <v>2308</v>
      </c>
      <c r="I519" s="4" t="s">
        <v>2308</v>
      </c>
      <c r="J519" s="4" t="s">
        <v>2308</v>
      </c>
      <c r="K519" s="4" t="s">
        <v>2308</v>
      </c>
      <c r="L519" s="4" t="s">
        <v>2308</v>
      </c>
      <c r="M519" s="4" t="s">
        <v>2308</v>
      </c>
      <c r="N519" s="4" t="s">
        <v>2308</v>
      </c>
      <c r="O519" s="4" t="s">
        <v>2308</v>
      </c>
      <c r="P519" s="4" t="s">
        <v>2308</v>
      </c>
      <c r="Q519" s="4" t="s">
        <v>2308</v>
      </c>
      <c r="R519" s="4" t="s">
        <v>2308</v>
      </c>
      <c r="S519" s="4" t="s">
        <v>2308</v>
      </c>
      <c r="T519" s="4"/>
    </row>
    <row r="520" spans="1:20" ht="29">
      <c r="A520" s="12" t="s">
        <v>2624</v>
      </c>
      <c r="B520" s="4" t="s">
        <v>70</v>
      </c>
      <c r="C520" s="12" t="s">
        <v>12</v>
      </c>
      <c r="D520" s="12" t="s">
        <v>136</v>
      </c>
      <c r="E520" s="4" t="s">
        <v>2685</v>
      </c>
      <c r="F520" s="5" t="s">
        <v>404</v>
      </c>
      <c r="G520" s="4" t="s">
        <v>2308</v>
      </c>
      <c r="H520" s="4" t="s">
        <v>2308</v>
      </c>
      <c r="I520" s="4" t="s">
        <v>2308</v>
      </c>
      <c r="J520" s="4" t="s">
        <v>2308</v>
      </c>
      <c r="K520" s="4" t="s">
        <v>2308</v>
      </c>
      <c r="L520" s="4" t="s">
        <v>2308</v>
      </c>
      <c r="M520" s="4" t="s">
        <v>2308</v>
      </c>
      <c r="N520" s="4" t="s">
        <v>2308</v>
      </c>
      <c r="O520" s="4" t="s">
        <v>2308</v>
      </c>
      <c r="P520" s="4" t="s">
        <v>2308</v>
      </c>
      <c r="Q520" s="4" t="s">
        <v>2308</v>
      </c>
      <c r="R520" s="4" t="s">
        <v>2308</v>
      </c>
      <c r="S520" s="4" t="s">
        <v>2308</v>
      </c>
      <c r="T520" s="4"/>
    </row>
    <row r="521" spans="1:20">
      <c r="A521" s="12" t="s">
        <v>2625</v>
      </c>
      <c r="B521" s="4" t="s">
        <v>69</v>
      </c>
      <c r="C521" s="12" t="s">
        <v>402</v>
      </c>
      <c r="D521" s="12" t="s">
        <v>136</v>
      </c>
      <c r="E521" s="4" t="s">
        <v>2308</v>
      </c>
      <c r="F521" s="4" t="s">
        <v>2308</v>
      </c>
      <c r="G521" s="4" t="s">
        <v>2308</v>
      </c>
      <c r="H521" s="4" t="s">
        <v>2308</v>
      </c>
      <c r="I521" s="4">
        <v>2</v>
      </c>
      <c r="J521" s="4" t="s">
        <v>2308</v>
      </c>
      <c r="K521" s="4" t="s">
        <v>2308</v>
      </c>
      <c r="L521" s="4" t="s">
        <v>2308</v>
      </c>
      <c r="M521" s="4" t="s">
        <v>2308</v>
      </c>
      <c r="N521" s="4" t="s">
        <v>2308</v>
      </c>
      <c r="O521" s="4" t="s">
        <v>2308</v>
      </c>
      <c r="P521" s="4" t="s">
        <v>2308</v>
      </c>
      <c r="Q521" s="4" t="s">
        <v>2308</v>
      </c>
      <c r="R521" s="4" t="s">
        <v>2308</v>
      </c>
      <c r="S521" s="4"/>
      <c r="T521" s="4"/>
    </row>
    <row r="522" spans="1:20">
      <c r="A522" s="12" t="s">
        <v>2626</v>
      </c>
      <c r="B522" s="4" t="s">
        <v>69</v>
      </c>
      <c r="C522" s="12" t="s">
        <v>402</v>
      </c>
      <c r="D522" s="12" t="s">
        <v>136</v>
      </c>
      <c r="E522" s="4" t="s">
        <v>2308</v>
      </c>
      <c r="F522" s="4" t="s">
        <v>2308</v>
      </c>
      <c r="G522" s="4" t="s">
        <v>2308</v>
      </c>
      <c r="H522" s="4" t="s">
        <v>2308</v>
      </c>
      <c r="I522" s="4">
        <v>2</v>
      </c>
      <c r="J522" s="4" t="s">
        <v>2308</v>
      </c>
      <c r="K522" s="4" t="s">
        <v>2308</v>
      </c>
      <c r="L522" s="4" t="s">
        <v>2308</v>
      </c>
      <c r="M522" s="4" t="s">
        <v>2308</v>
      </c>
      <c r="N522" s="4" t="s">
        <v>2308</v>
      </c>
      <c r="O522" s="4" t="s">
        <v>2308</v>
      </c>
      <c r="P522" s="4" t="s">
        <v>2308</v>
      </c>
      <c r="Q522" s="4" t="s">
        <v>2308</v>
      </c>
      <c r="R522" s="4" t="s">
        <v>2308</v>
      </c>
      <c r="S522" s="4"/>
      <c r="T522" s="4"/>
    </row>
    <row r="523" spans="1:20">
      <c r="A523" s="12" t="s">
        <v>2627</v>
      </c>
      <c r="B523" s="4" t="s">
        <v>69</v>
      </c>
      <c r="C523" s="12" t="s">
        <v>402</v>
      </c>
      <c r="D523" s="12" t="s">
        <v>136</v>
      </c>
      <c r="E523" s="4" t="s">
        <v>2308</v>
      </c>
      <c r="F523" s="4" t="s">
        <v>2308</v>
      </c>
      <c r="G523" s="4" t="s">
        <v>2308</v>
      </c>
      <c r="H523" s="4" t="s">
        <v>2308</v>
      </c>
      <c r="I523" s="4">
        <v>2</v>
      </c>
      <c r="J523" s="4" t="s">
        <v>2308</v>
      </c>
      <c r="K523" s="4" t="s">
        <v>2308</v>
      </c>
      <c r="L523" s="4" t="s">
        <v>2308</v>
      </c>
      <c r="M523" s="4" t="s">
        <v>2308</v>
      </c>
      <c r="N523" s="4" t="s">
        <v>2308</v>
      </c>
      <c r="O523" s="4" t="s">
        <v>2308</v>
      </c>
      <c r="P523" s="4" t="s">
        <v>2308</v>
      </c>
      <c r="Q523" s="4" t="s">
        <v>2308</v>
      </c>
      <c r="R523" s="4" t="s">
        <v>2308</v>
      </c>
      <c r="S523" s="4"/>
      <c r="T523" s="4"/>
    </row>
    <row r="524" spans="1:20" ht="32" customHeight="1">
      <c r="A524" s="12" t="s">
        <v>2628</v>
      </c>
      <c r="B524" s="4" t="s">
        <v>69</v>
      </c>
      <c r="C524" s="12" t="s">
        <v>402</v>
      </c>
      <c r="D524" s="12" t="s">
        <v>136</v>
      </c>
      <c r="E524" s="4" t="s">
        <v>2308</v>
      </c>
      <c r="F524" s="4" t="s">
        <v>2308</v>
      </c>
      <c r="G524" s="4" t="s">
        <v>2308</v>
      </c>
      <c r="H524" s="4" t="s">
        <v>2308</v>
      </c>
      <c r="I524" s="4">
        <v>2</v>
      </c>
      <c r="J524" s="4" t="s">
        <v>2308</v>
      </c>
      <c r="K524" s="4" t="s">
        <v>2308</v>
      </c>
      <c r="L524" s="4" t="s">
        <v>2308</v>
      </c>
      <c r="M524" s="4" t="s">
        <v>2308</v>
      </c>
      <c r="N524" s="4" t="s">
        <v>2308</v>
      </c>
      <c r="O524" s="4" t="s">
        <v>2308</v>
      </c>
      <c r="P524" s="4" t="s">
        <v>2308</v>
      </c>
      <c r="Q524" s="4" t="s">
        <v>2308</v>
      </c>
      <c r="R524" s="4" t="s">
        <v>2308</v>
      </c>
      <c r="S524" s="4"/>
      <c r="T524" s="4"/>
    </row>
    <row r="525" spans="1:20" ht="34.5" customHeight="1">
      <c r="A525" s="12" t="s">
        <v>2629</v>
      </c>
      <c r="B525" s="4" t="s">
        <v>69</v>
      </c>
      <c r="C525" s="12" t="s">
        <v>402</v>
      </c>
      <c r="D525" s="12" t="s">
        <v>136</v>
      </c>
      <c r="E525" s="4" t="s">
        <v>2308</v>
      </c>
      <c r="F525" s="4" t="s">
        <v>2308</v>
      </c>
      <c r="G525" s="4" t="s">
        <v>2308</v>
      </c>
      <c r="H525" s="4" t="s">
        <v>2308</v>
      </c>
      <c r="I525" s="4">
        <v>2</v>
      </c>
      <c r="J525" s="4" t="s">
        <v>2308</v>
      </c>
      <c r="K525" s="4" t="s">
        <v>2308</v>
      </c>
      <c r="L525" s="4" t="s">
        <v>2308</v>
      </c>
      <c r="M525" s="4" t="s">
        <v>2308</v>
      </c>
      <c r="N525" s="4" t="s">
        <v>2308</v>
      </c>
      <c r="O525" s="4" t="s">
        <v>2308</v>
      </c>
      <c r="P525" s="4" t="s">
        <v>2308</v>
      </c>
      <c r="Q525" s="4" t="s">
        <v>2308</v>
      </c>
      <c r="R525" s="4" t="s">
        <v>2308</v>
      </c>
      <c r="S525" s="4"/>
      <c r="T525" s="5"/>
    </row>
    <row r="526" spans="1:20" ht="41" customHeight="1">
      <c r="A526" s="12" t="s">
        <v>2657</v>
      </c>
      <c r="B526" s="4" t="s">
        <v>69</v>
      </c>
      <c r="C526" s="12" t="s">
        <v>12</v>
      </c>
      <c r="D526" s="12" t="s">
        <v>136</v>
      </c>
      <c r="E526" s="5" t="s">
        <v>403</v>
      </c>
      <c r="F526" s="4" t="s">
        <v>84</v>
      </c>
      <c r="G526" s="4" t="s">
        <v>2308</v>
      </c>
      <c r="H526" s="4" t="s">
        <v>2308</v>
      </c>
      <c r="I526" s="4">
        <f>0.9*3.1</f>
        <v>2.79</v>
      </c>
      <c r="J526" s="4" t="s">
        <v>2308</v>
      </c>
      <c r="K526" s="4" t="s">
        <v>542</v>
      </c>
      <c r="L526" s="4" t="s">
        <v>2308</v>
      </c>
      <c r="M526" s="4" t="s">
        <v>2308</v>
      </c>
      <c r="N526" s="4" t="s">
        <v>2308</v>
      </c>
      <c r="O526" s="4" t="s">
        <v>2308</v>
      </c>
      <c r="P526" s="4" t="s">
        <v>2308</v>
      </c>
      <c r="Q526" s="4" t="s">
        <v>2308</v>
      </c>
      <c r="R526" s="4" t="s">
        <v>2308</v>
      </c>
      <c r="S526" s="4" t="s">
        <v>2308</v>
      </c>
      <c r="T526" s="5" t="s">
        <v>2716</v>
      </c>
    </row>
    <row r="527" spans="1:20" ht="53.5" customHeight="1">
      <c r="A527" s="12" t="s">
        <v>2658</v>
      </c>
      <c r="B527" s="4" t="s">
        <v>2290</v>
      </c>
      <c r="C527" s="12" t="s">
        <v>12</v>
      </c>
      <c r="D527" s="12" t="s">
        <v>136</v>
      </c>
      <c r="E527" s="5" t="s">
        <v>403</v>
      </c>
      <c r="F527" s="4" t="s">
        <v>143</v>
      </c>
      <c r="G527" s="4" t="s">
        <v>84</v>
      </c>
      <c r="H527" s="4" t="s">
        <v>2308</v>
      </c>
      <c r="I527" s="4">
        <f>0.6*3.6</f>
        <v>2.16</v>
      </c>
      <c r="J527" s="4" t="s">
        <v>2308</v>
      </c>
      <c r="K527" s="4" t="s">
        <v>542</v>
      </c>
      <c r="L527" s="4" t="s">
        <v>2308</v>
      </c>
      <c r="M527" s="4" t="s">
        <v>2308</v>
      </c>
      <c r="N527" s="4" t="s">
        <v>2308</v>
      </c>
      <c r="O527" s="4" t="s">
        <v>2308</v>
      </c>
      <c r="P527" s="4" t="s">
        <v>2308</v>
      </c>
      <c r="Q527" s="4" t="s">
        <v>2308</v>
      </c>
      <c r="R527" s="4" t="s">
        <v>2308</v>
      </c>
      <c r="S527" s="4" t="s">
        <v>2308</v>
      </c>
      <c r="T527" s="5" t="s">
        <v>2717</v>
      </c>
    </row>
    <row r="528" spans="1:20" ht="51.5" customHeight="1">
      <c r="A528" s="12" t="s">
        <v>2711</v>
      </c>
      <c r="B528" s="4" t="s">
        <v>32</v>
      </c>
      <c r="C528" s="12" t="s">
        <v>12</v>
      </c>
      <c r="D528" s="12" t="s">
        <v>136</v>
      </c>
      <c r="E528" s="4" t="s">
        <v>2661</v>
      </c>
      <c r="F528" s="12" t="s">
        <v>2682</v>
      </c>
      <c r="G528" s="5" t="s">
        <v>404</v>
      </c>
      <c r="H528" s="4" t="s">
        <v>2308</v>
      </c>
      <c r="I528" s="4">
        <f>1*4.8</f>
        <v>4.8</v>
      </c>
      <c r="J528" s="4" t="s">
        <v>2308</v>
      </c>
      <c r="K528" s="4" t="s">
        <v>542</v>
      </c>
      <c r="L528" s="4" t="s">
        <v>2308</v>
      </c>
      <c r="M528" s="4" t="s">
        <v>2308</v>
      </c>
      <c r="N528" s="4" t="s">
        <v>2308</v>
      </c>
      <c r="O528" s="4" t="s">
        <v>2308</v>
      </c>
      <c r="P528" s="4" t="s">
        <v>2308</v>
      </c>
      <c r="Q528" s="4" t="s">
        <v>2308</v>
      </c>
      <c r="R528" s="4" t="s">
        <v>2308</v>
      </c>
      <c r="S528" s="4" t="s">
        <v>2308</v>
      </c>
      <c r="T528" s="5" t="s">
        <v>2712</v>
      </c>
    </row>
    <row r="529" spans="1:20" ht="48.5" customHeight="1">
      <c r="A529" s="12" t="s">
        <v>2715</v>
      </c>
      <c r="B529" s="4" t="s">
        <v>32</v>
      </c>
      <c r="C529" s="12" t="s">
        <v>12</v>
      </c>
      <c r="D529" s="12" t="s">
        <v>136</v>
      </c>
      <c r="E529" s="4" t="s">
        <v>2661</v>
      </c>
      <c r="F529" s="12" t="s">
        <v>2682</v>
      </c>
      <c r="G529" s="5" t="s">
        <v>404</v>
      </c>
      <c r="H529" s="4" t="s">
        <v>2308</v>
      </c>
      <c r="I529" s="4">
        <f>0.6*7.8</f>
        <v>4.68</v>
      </c>
      <c r="J529" s="4" t="s">
        <v>2308</v>
      </c>
      <c r="K529" s="4" t="s">
        <v>542</v>
      </c>
      <c r="L529" s="4" t="s">
        <v>2308</v>
      </c>
      <c r="M529" s="4" t="s">
        <v>2308</v>
      </c>
      <c r="N529" s="4" t="s">
        <v>2308</v>
      </c>
      <c r="O529" s="4" t="s">
        <v>2308</v>
      </c>
      <c r="P529" s="4" t="s">
        <v>2308</v>
      </c>
      <c r="Q529" s="4" t="s">
        <v>2308</v>
      </c>
      <c r="R529" s="4" t="s">
        <v>2308</v>
      </c>
      <c r="S529" s="4" t="s">
        <v>2308</v>
      </c>
      <c r="T529" s="5" t="s">
        <v>2713</v>
      </c>
    </row>
    <row r="530" spans="1:20" ht="34.5" customHeight="1">
      <c r="A530" s="12" t="s">
        <v>2740</v>
      </c>
      <c r="B530" s="4" t="s">
        <v>69</v>
      </c>
      <c r="C530" s="4" t="s">
        <v>12</v>
      </c>
      <c r="D530" s="12" t="s">
        <v>136</v>
      </c>
      <c r="E530" s="4" t="s">
        <v>143</v>
      </c>
      <c r="F530" s="4" t="s">
        <v>84</v>
      </c>
      <c r="G530" s="4" t="s">
        <v>2308</v>
      </c>
      <c r="H530" s="4" t="s">
        <v>2308</v>
      </c>
      <c r="I530" s="4" t="s">
        <v>2308</v>
      </c>
      <c r="J530" s="4" t="s">
        <v>2308</v>
      </c>
      <c r="K530" s="4" t="s">
        <v>2308</v>
      </c>
      <c r="L530" s="4" t="s">
        <v>2308</v>
      </c>
      <c r="M530" s="4" t="s">
        <v>2308</v>
      </c>
      <c r="N530" s="4" t="s">
        <v>2308</v>
      </c>
      <c r="O530" s="4" t="s">
        <v>2308</v>
      </c>
      <c r="P530" s="4" t="s">
        <v>2308</v>
      </c>
      <c r="Q530" s="4" t="s">
        <v>2308</v>
      </c>
      <c r="R530" s="4" t="s">
        <v>2308</v>
      </c>
      <c r="S530" s="4" t="s">
        <v>2308</v>
      </c>
      <c r="T530" s="4"/>
    </row>
    <row r="531" spans="1:20" ht="37" customHeight="1">
      <c r="A531" s="12" t="s">
        <v>2741</v>
      </c>
      <c r="B531" s="4" t="s">
        <v>69</v>
      </c>
      <c r="C531" s="4" t="s">
        <v>12</v>
      </c>
      <c r="D531" s="12" t="s">
        <v>136</v>
      </c>
      <c r="E531" s="4" t="s">
        <v>84</v>
      </c>
      <c r="F531" s="4" t="s">
        <v>2308</v>
      </c>
      <c r="G531" s="4" t="s">
        <v>2308</v>
      </c>
      <c r="H531" s="4" t="s">
        <v>2308</v>
      </c>
      <c r="I531" s="4" t="s">
        <v>2308</v>
      </c>
      <c r="J531" s="4" t="s">
        <v>2308</v>
      </c>
      <c r="K531" s="4" t="s">
        <v>2308</v>
      </c>
      <c r="L531" s="4" t="s">
        <v>2308</v>
      </c>
      <c r="M531" s="4" t="s">
        <v>2308</v>
      </c>
      <c r="N531" s="4" t="s">
        <v>2308</v>
      </c>
      <c r="O531" s="4" t="s">
        <v>2308</v>
      </c>
      <c r="P531" s="4" t="s">
        <v>2308</v>
      </c>
      <c r="Q531" s="4" t="s">
        <v>2308</v>
      </c>
      <c r="R531" s="4" t="s">
        <v>2308</v>
      </c>
      <c r="S531" s="4" t="s">
        <v>2308</v>
      </c>
      <c r="T531" s="4"/>
    </row>
    <row r="532" spans="1:20" ht="33" customHeight="1">
      <c r="A532" s="24" t="s">
        <v>2742</v>
      </c>
      <c r="B532" s="23" t="s">
        <v>70</v>
      </c>
      <c r="C532" s="23" t="s">
        <v>12</v>
      </c>
      <c r="D532" s="25" t="s">
        <v>84</v>
      </c>
      <c r="E532" s="23" t="s">
        <v>45</v>
      </c>
      <c r="F532" s="25" t="s">
        <v>136</v>
      </c>
      <c r="G532" s="23" t="s">
        <v>2308</v>
      </c>
      <c r="H532" s="23" t="s">
        <v>2308</v>
      </c>
      <c r="I532" s="23" t="s">
        <v>2308</v>
      </c>
      <c r="J532" s="23" t="s">
        <v>2308</v>
      </c>
      <c r="K532" s="23" t="s">
        <v>2308</v>
      </c>
      <c r="L532" s="23" t="s">
        <v>2308</v>
      </c>
      <c r="M532" s="23" t="s">
        <v>2308</v>
      </c>
      <c r="N532" s="23" t="s">
        <v>2308</v>
      </c>
      <c r="O532" s="23" t="s">
        <v>2308</v>
      </c>
      <c r="P532" s="23" t="s">
        <v>2308</v>
      </c>
      <c r="Q532" s="23" t="s">
        <v>2308</v>
      </c>
      <c r="R532" s="23" t="s">
        <v>2308</v>
      </c>
      <c r="S532" s="23" t="s">
        <v>2308</v>
      </c>
      <c r="T532" s="23"/>
    </row>
    <row r="533" spans="1:20" ht="33" customHeight="1">
      <c r="A533" s="24" t="s">
        <v>2757</v>
      </c>
      <c r="B533" s="23" t="s">
        <v>70</v>
      </c>
      <c r="C533" s="23" t="s">
        <v>12</v>
      </c>
      <c r="D533" s="25" t="s">
        <v>84</v>
      </c>
      <c r="E533" s="23" t="s">
        <v>45</v>
      </c>
      <c r="F533" s="25" t="s">
        <v>136</v>
      </c>
      <c r="G533" s="23" t="s">
        <v>2308</v>
      </c>
      <c r="H533" s="23" t="s">
        <v>2308</v>
      </c>
      <c r="I533" s="23" t="s">
        <v>2308</v>
      </c>
      <c r="J533" s="23" t="s">
        <v>2308</v>
      </c>
      <c r="K533" s="23" t="s">
        <v>2308</v>
      </c>
      <c r="L533" s="23" t="s">
        <v>2308</v>
      </c>
      <c r="M533" s="23" t="s">
        <v>2308</v>
      </c>
      <c r="N533" s="23" t="s">
        <v>2308</v>
      </c>
      <c r="O533" s="23" t="s">
        <v>2308</v>
      </c>
      <c r="P533" s="23" t="s">
        <v>2308</v>
      </c>
      <c r="Q533" s="23" t="s">
        <v>2308</v>
      </c>
      <c r="R533" s="23" t="s">
        <v>2308</v>
      </c>
      <c r="S533" s="23" t="s">
        <v>2308</v>
      </c>
      <c r="T533" s="9"/>
    </row>
    <row r="534" spans="1:20" ht="30" customHeight="1">
      <c r="A534" s="12" t="s">
        <v>2779</v>
      </c>
      <c r="B534" s="4"/>
      <c r="C534" s="4" t="s">
        <v>12</v>
      </c>
      <c r="D534" s="12" t="s">
        <v>877</v>
      </c>
      <c r="E534" s="12" t="s">
        <v>116</v>
      </c>
      <c r="F534" s="4" t="s">
        <v>2308</v>
      </c>
      <c r="G534" s="4" t="s">
        <v>2308</v>
      </c>
      <c r="H534" s="4" t="s">
        <v>2308</v>
      </c>
      <c r="I534" s="4" t="s">
        <v>2308</v>
      </c>
      <c r="J534" s="4" t="s">
        <v>2308</v>
      </c>
      <c r="K534" s="4" t="s">
        <v>542</v>
      </c>
      <c r="L534" s="4" t="s">
        <v>2308</v>
      </c>
      <c r="M534" s="4" t="s">
        <v>2308</v>
      </c>
      <c r="N534" s="4" t="s">
        <v>2308</v>
      </c>
      <c r="O534" s="4" t="s">
        <v>2308</v>
      </c>
      <c r="P534" s="4" t="s">
        <v>2308</v>
      </c>
      <c r="Q534" s="4" t="s">
        <v>2308</v>
      </c>
      <c r="R534" s="4" t="s">
        <v>2308</v>
      </c>
      <c r="S534" s="4" t="s">
        <v>2308</v>
      </c>
      <c r="T534" s="4"/>
    </row>
    <row r="535" spans="1:20" ht="31.5" customHeight="1">
      <c r="A535" s="12" t="s">
        <v>2784</v>
      </c>
      <c r="B535" s="4"/>
      <c r="C535" s="12" t="s">
        <v>402</v>
      </c>
      <c r="D535" s="12" t="s">
        <v>136</v>
      </c>
      <c r="E535" s="4" t="s">
        <v>2308</v>
      </c>
      <c r="F535" s="4" t="s">
        <v>2308</v>
      </c>
      <c r="G535" s="4" t="s">
        <v>2308</v>
      </c>
      <c r="H535" s="4" t="s">
        <v>2308</v>
      </c>
      <c r="I535" s="4">
        <f>3900/100^2</f>
        <v>0.39</v>
      </c>
      <c r="J535" s="4">
        <v>19.440000000000001</v>
      </c>
      <c r="K535" s="4" t="s">
        <v>2308</v>
      </c>
      <c r="L535" s="4" t="s">
        <v>2308</v>
      </c>
      <c r="M535" s="4" t="s">
        <v>2308</v>
      </c>
      <c r="N535" s="4" t="s">
        <v>2308</v>
      </c>
      <c r="O535" s="4" t="s">
        <v>2308</v>
      </c>
      <c r="P535" s="22">
        <f>100*3.9/'Record info'!K535</f>
        <v>15.6</v>
      </c>
      <c r="Q535" s="4" t="s">
        <v>2308</v>
      </c>
      <c r="R535" s="4" t="s">
        <v>2308</v>
      </c>
      <c r="S535" s="4" t="s">
        <v>2308</v>
      </c>
      <c r="T535" s="4" t="s">
        <v>2792</v>
      </c>
    </row>
    <row r="536" spans="1:20" ht="28.5" customHeight="1">
      <c r="A536" s="12" t="s">
        <v>2789</v>
      </c>
      <c r="B536" s="4"/>
      <c r="C536" s="12" t="s">
        <v>402</v>
      </c>
      <c r="D536" s="12" t="s">
        <v>136</v>
      </c>
      <c r="E536" s="4" t="s">
        <v>2308</v>
      </c>
      <c r="F536" s="4" t="s">
        <v>2308</v>
      </c>
      <c r="G536" s="4" t="s">
        <v>2308</v>
      </c>
      <c r="H536" s="4" t="s">
        <v>2308</v>
      </c>
      <c r="I536" s="4" t="s">
        <v>2308</v>
      </c>
      <c r="J536" s="4" t="s">
        <v>2308</v>
      </c>
      <c r="K536" s="4" t="s">
        <v>2308</v>
      </c>
      <c r="L536" s="4" t="s">
        <v>2308</v>
      </c>
      <c r="M536" s="4" t="s">
        <v>2308</v>
      </c>
      <c r="N536" s="4" t="s">
        <v>2308</v>
      </c>
      <c r="O536" s="4" t="s">
        <v>2308</v>
      </c>
      <c r="P536" s="4" t="s">
        <v>2308</v>
      </c>
      <c r="Q536" s="4" t="s">
        <v>2308</v>
      </c>
      <c r="R536" s="4" t="s">
        <v>2308</v>
      </c>
      <c r="S536" s="4" t="s">
        <v>2308</v>
      </c>
      <c r="T536" s="4"/>
    </row>
    <row r="537" spans="1:20" ht="30.5" customHeight="1">
      <c r="A537" s="12" t="s">
        <v>2796</v>
      </c>
      <c r="B537" s="4"/>
      <c r="C537" s="12" t="s">
        <v>402</v>
      </c>
      <c r="D537" s="12" t="s">
        <v>136</v>
      </c>
      <c r="E537" s="4" t="s">
        <v>116</v>
      </c>
      <c r="F537" s="4" t="s">
        <v>2308</v>
      </c>
      <c r="G537" s="4" t="s">
        <v>2308</v>
      </c>
      <c r="H537" s="4" t="s">
        <v>2308</v>
      </c>
      <c r="I537" s="4" t="s">
        <v>2308</v>
      </c>
      <c r="J537" s="4">
        <f>(((0.65+1.18)*'Land use'!Q537/100/2) + ((2.27+3.17+2.51+3.85) / 4 / 100 *P537))</f>
        <v>1.20804</v>
      </c>
      <c r="K537" s="4" t="s">
        <v>2308</v>
      </c>
      <c r="L537" s="4" t="s">
        <v>2308</v>
      </c>
      <c r="M537" s="4">
        <f>6.9+7.5</f>
        <v>14.4</v>
      </c>
      <c r="N537" s="4">
        <v>0</v>
      </c>
      <c r="O537" s="4">
        <v>0</v>
      </c>
      <c r="P537" s="22">
        <f>6.9+7.5</f>
        <v>14.4</v>
      </c>
      <c r="Q537" s="22">
        <f>100-P537</f>
        <v>85.6</v>
      </c>
      <c r="R537" s="4">
        <v>0</v>
      </c>
      <c r="S537" s="4" t="s">
        <v>2308</v>
      </c>
      <c r="T537" s="5" t="s">
        <v>2800</v>
      </c>
    </row>
    <row r="538" spans="1:20" ht="31" customHeight="1">
      <c r="A538" s="12" t="s">
        <v>2802</v>
      </c>
      <c r="B538" s="4" t="s">
        <v>32</v>
      </c>
      <c r="C538" s="12" t="s">
        <v>12</v>
      </c>
      <c r="D538" s="12" t="s">
        <v>136</v>
      </c>
      <c r="E538" s="5" t="s">
        <v>404</v>
      </c>
      <c r="F538" s="4" t="s">
        <v>2308</v>
      </c>
      <c r="G538" s="4" t="s">
        <v>2308</v>
      </c>
      <c r="H538" s="4" t="s">
        <v>2308</v>
      </c>
      <c r="I538" s="4">
        <v>0.85</v>
      </c>
      <c r="J538" s="4" t="s">
        <v>2308</v>
      </c>
      <c r="K538" s="4" t="s">
        <v>2308</v>
      </c>
      <c r="L538" s="4" t="s">
        <v>2308</v>
      </c>
      <c r="M538" s="4" t="s">
        <v>2308</v>
      </c>
      <c r="N538" s="4" t="s">
        <v>2308</v>
      </c>
      <c r="O538" s="4" t="s">
        <v>2308</v>
      </c>
      <c r="P538" s="4" t="s">
        <v>2308</v>
      </c>
      <c r="Q538" s="4" t="s">
        <v>2308</v>
      </c>
      <c r="R538" s="22">
        <v>40</v>
      </c>
      <c r="S538" s="22">
        <f>24/18</f>
        <v>1.3333333333333333</v>
      </c>
      <c r="T538" s="5" t="s">
        <v>2820</v>
      </c>
    </row>
    <row r="539" spans="1:20" ht="29">
      <c r="A539" s="12" t="s">
        <v>2806</v>
      </c>
      <c r="B539" s="4" t="s">
        <v>32</v>
      </c>
      <c r="C539" s="12" t="s">
        <v>12</v>
      </c>
      <c r="D539" s="12" t="s">
        <v>136</v>
      </c>
      <c r="E539" s="5" t="s">
        <v>404</v>
      </c>
      <c r="F539" s="4" t="s">
        <v>2308</v>
      </c>
      <c r="G539" s="4" t="s">
        <v>2308</v>
      </c>
      <c r="H539" s="4" t="s">
        <v>2308</v>
      </c>
      <c r="I539" s="4">
        <v>0.85</v>
      </c>
      <c r="J539" s="4" t="s">
        <v>2308</v>
      </c>
      <c r="K539" s="4" t="s">
        <v>2308</v>
      </c>
      <c r="L539" s="4" t="s">
        <v>2308</v>
      </c>
      <c r="M539" s="4" t="s">
        <v>2308</v>
      </c>
      <c r="N539" s="4" t="s">
        <v>2308</v>
      </c>
      <c r="O539" s="4" t="s">
        <v>2308</v>
      </c>
      <c r="P539" s="4" t="s">
        <v>2308</v>
      </c>
      <c r="Q539" s="4" t="s">
        <v>2308</v>
      </c>
      <c r="R539" s="22">
        <v>40</v>
      </c>
      <c r="S539" s="22">
        <f t="shared" ref="S539:S542" si="0">24/18</f>
        <v>1.3333333333333333</v>
      </c>
      <c r="T539" s="5" t="s">
        <v>2820</v>
      </c>
    </row>
    <row r="540" spans="1:20" ht="29">
      <c r="A540" s="12" t="s">
        <v>2807</v>
      </c>
      <c r="B540" s="4" t="s">
        <v>32</v>
      </c>
      <c r="C540" s="12" t="s">
        <v>12</v>
      </c>
      <c r="D540" s="12" t="s">
        <v>136</v>
      </c>
      <c r="E540" s="5" t="s">
        <v>404</v>
      </c>
      <c r="F540" s="4" t="s">
        <v>2308</v>
      </c>
      <c r="G540" s="4" t="s">
        <v>2308</v>
      </c>
      <c r="H540" s="4" t="s">
        <v>2308</v>
      </c>
      <c r="I540" s="4">
        <v>0.85</v>
      </c>
      <c r="J540" s="4" t="s">
        <v>2308</v>
      </c>
      <c r="K540" s="4" t="s">
        <v>2308</v>
      </c>
      <c r="L540" s="4" t="s">
        <v>2308</v>
      </c>
      <c r="M540" s="4" t="s">
        <v>2308</v>
      </c>
      <c r="N540" s="4" t="s">
        <v>2308</v>
      </c>
      <c r="O540" s="4" t="s">
        <v>2308</v>
      </c>
      <c r="P540" s="4" t="s">
        <v>2308</v>
      </c>
      <c r="Q540" s="4" t="s">
        <v>2308</v>
      </c>
      <c r="R540" s="22">
        <v>40</v>
      </c>
      <c r="S540" s="22">
        <f t="shared" si="0"/>
        <v>1.3333333333333333</v>
      </c>
      <c r="T540" s="5" t="s">
        <v>2820</v>
      </c>
    </row>
    <row r="541" spans="1:20" ht="29">
      <c r="A541" s="12" t="s">
        <v>2808</v>
      </c>
      <c r="B541" s="4" t="s">
        <v>32</v>
      </c>
      <c r="C541" s="12" t="s">
        <v>12</v>
      </c>
      <c r="D541" s="12" t="s">
        <v>136</v>
      </c>
      <c r="E541" s="5" t="s">
        <v>404</v>
      </c>
      <c r="F541" s="4" t="s">
        <v>2308</v>
      </c>
      <c r="G541" s="4" t="s">
        <v>2308</v>
      </c>
      <c r="H541" s="4" t="s">
        <v>2308</v>
      </c>
      <c r="I541" s="4">
        <v>0.85</v>
      </c>
      <c r="J541" s="4" t="s">
        <v>2308</v>
      </c>
      <c r="K541" s="4" t="s">
        <v>2308</v>
      </c>
      <c r="L541" s="4" t="s">
        <v>2308</v>
      </c>
      <c r="M541" s="4" t="s">
        <v>2308</v>
      </c>
      <c r="N541" s="4" t="s">
        <v>2308</v>
      </c>
      <c r="O541" s="4" t="s">
        <v>2308</v>
      </c>
      <c r="P541" s="4" t="s">
        <v>2308</v>
      </c>
      <c r="Q541" s="4" t="s">
        <v>2308</v>
      </c>
      <c r="R541" s="22">
        <v>40</v>
      </c>
      <c r="S541" s="22">
        <f t="shared" si="0"/>
        <v>1.3333333333333333</v>
      </c>
      <c r="T541" s="5" t="s">
        <v>2820</v>
      </c>
    </row>
    <row r="542" spans="1:20" ht="29">
      <c r="A542" s="12" t="s">
        <v>2809</v>
      </c>
      <c r="B542" s="4" t="s">
        <v>32</v>
      </c>
      <c r="C542" s="12" t="s">
        <v>12</v>
      </c>
      <c r="D542" s="12" t="s">
        <v>136</v>
      </c>
      <c r="E542" s="5" t="s">
        <v>404</v>
      </c>
      <c r="F542" s="4" t="s">
        <v>2308</v>
      </c>
      <c r="G542" s="4" t="s">
        <v>2308</v>
      </c>
      <c r="H542" s="4" t="s">
        <v>2308</v>
      </c>
      <c r="I542" s="4">
        <v>0.85</v>
      </c>
      <c r="J542" s="4" t="s">
        <v>2308</v>
      </c>
      <c r="K542" s="4" t="s">
        <v>2308</v>
      </c>
      <c r="L542" s="4" t="s">
        <v>2308</v>
      </c>
      <c r="M542" s="4" t="s">
        <v>2308</v>
      </c>
      <c r="N542" s="4" t="s">
        <v>2308</v>
      </c>
      <c r="O542" s="4" t="s">
        <v>2308</v>
      </c>
      <c r="P542" s="4" t="s">
        <v>2308</v>
      </c>
      <c r="Q542" s="4" t="s">
        <v>2308</v>
      </c>
      <c r="R542" s="22">
        <v>40</v>
      </c>
      <c r="S542" s="22">
        <f t="shared" si="0"/>
        <v>1.3333333333333333</v>
      </c>
      <c r="T542" s="5" t="s">
        <v>2820</v>
      </c>
    </row>
    <row r="543" spans="1:20" ht="31" customHeight="1">
      <c r="A543" s="12" t="s">
        <v>2829</v>
      </c>
      <c r="B543" s="4" t="s">
        <v>69</v>
      </c>
      <c r="C543" s="12" t="s">
        <v>12</v>
      </c>
      <c r="D543" s="4" t="s">
        <v>5065</v>
      </c>
      <c r="E543" s="5" t="s">
        <v>404</v>
      </c>
      <c r="F543" s="4" t="s">
        <v>2308</v>
      </c>
      <c r="G543" s="4" t="s">
        <v>2308</v>
      </c>
      <c r="H543" s="4" t="s">
        <v>2308</v>
      </c>
      <c r="I543" s="4" t="s">
        <v>2308</v>
      </c>
      <c r="J543" s="4" t="s">
        <v>2308</v>
      </c>
      <c r="K543" s="4" t="s">
        <v>2308</v>
      </c>
      <c r="L543" s="4" t="s">
        <v>2308</v>
      </c>
      <c r="M543" s="4" t="s">
        <v>2308</v>
      </c>
      <c r="N543" s="4" t="s">
        <v>2308</v>
      </c>
      <c r="O543" s="4" t="s">
        <v>2308</v>
      </c>
      <c r="P543" s="22">
        <v>0.3</v>
      </c>
      <c r="Q543" s="4" t="s">
        <v>2308</v>
      </c>
      <c r="R543" s="22">
        <v>97.4</v>
      </c>
      <c r="S543" s="4" t="s">
        <v>2308</v>
      </c>
      <c r="T543" s="4"/>
    </row>
    <row r="544" spans="1:20" ht="35.5" customHeight="1">
      <c r="A544" s="12" t="s">
        <v>2832</v>
      </c>
      <c r="B544" s="4" t="s">
        <v>69</v>
      </c>
      <c r="C544" s="12" t="s">
        <v>12</v>
      </c>
      <c r="D544" s="4" t="s">
        <v>5065</v>
      </c>
      <c r="E544" s="5" t="s">
        <v>404</v>
      </c>
      <c r="F544" s="4" t="s">
        <v>45</v>
      </c>
      <c r="G544" s="4" t="s">
        <v>877</v>
      </c>
      <c r="H544" s="4" t="s">
        <v>2308</v>
      </c>
      <c r="I544" s="4" t="s">
        <v>2308</v>
      </c>
      <c r="J544" s="4" t="s">
        <v>2308</v>
      </c>
      <c r="K544" s="4" t="s">
        <v>542</v>
      </c>
      <c r="L544" s="4" t="s">
        <v>2308</v>
      </c>
      <c r="M544" s="4" t="s">
        <v>2308</v>
      </c>
      <c r="N544" s="4" t="s">
        <v>2308</v>
      </c>
      <c r="O544" s="4" t="s">
        <v>2308</v>
      </c>
      <c r="P544" s="22">
        <v>0.5</v>
      </c>
      <c r="Q544" s="4" t="s">
        <v>2308</v>
      </c>
      <c r="R544" s="22">
        <f>27.3+21.4+35.5+13</f>
        <v>97.2</v>
      </c>
      <c r="S544" s="4" t="s">
        <v>2308</v>
      </c>
      <c r="T544" s="4" t="s">
        <v>2855</v>
      </c>
    </row>
    <row r="545" spans="1:20" ht="39.5" customHeight="1">
      <c r="A545" s="4" t="s">
        <v>2833</v>
      </c>
      <c r="B545" s="4" t="s">
        <v>32</v>
      </c>
      <c r="C545" s="12" t="s">
        <v>12</v>
      </c>
      <c r="D545" s="5" t="s">
        <v>404</v>
      </c>
      <c r="E545" s="4" t="s">
        <v>5065</v>
      </c>
      <c r="F545" s="4" t="s">
        <v>45</v>
      </c>
      <c r="G545" s="4" t="s">
        <v>877</v>
      </c>
      <c r="H545" s="4" t="s">
        <v>2308</v>
      </c>
      <c r="I545" s="4" t="s">
        <v>2308</v>
      </c>
      <c r="J545" s="4" t="s">
        <v>2308</v>
      </c>
      <c r="K545" s="4" t="s">
        <v>542</v>
      </c>
      <c r="L545" s="4" t="s">
        <v>2308</v>
      </c>
      <c r="M545" s="4" t="s">
        <v>2308</v>
      </c>
      <c r="N545" s="4" t="s">
        <v>2308</v>
      </c>
      <c r="O545" s="4" t="s">
        <v>2308</v>
      </c>
      <c r="P545" s="22">
        <v>1.1000000000000001</v>
      </c>
      <c r="Q545" s="4" t="s">
        <v>2308</v>
      </c>
      <c r="R545" s="22">
        <f>25.2+26.6+36.8+7</f>
        <v>95.6</v>
      </c>
      <c r="S545" s="4" t="s">
        <v>2308</v>
      </c>
      <c r="T545" s="4" t="s">
        <v>2855</v>
      </c>
    </row>
    <row r="546" spans="1:20" ht="37" customHeight="1">
      <c r="A546" s="12" t="s">
        <v>2843</v>
      </c>
      <c r="B546" s="4" t="s">
        <v>69</v>
      </c>
      <c r="C546" s="12" t="s">
        <v>12</v>
      </c>
      <c r="D546" s="4" t="s">
        <v>5065</v>
      </c>
      <c r="E546" s="5" t="s">
        <v>404</v>
      </c>
      <c r="F546" s="4" t="s">
        <v>2308</v>
      </c>
      <c r="G546" s="4" t="s">
        <v>2308</v>
      </c>
      <c r="H546" s="4" t="s">
        <v>2308</v>
      </c>
      <c r="I546" s="4">
        <v>2.25</v>
      </c>
      <c r="J546" s="4" t="s">
        <v>2308</v>
      </c>
      <c r="K546" s="4" t="s">
        <v>2308</v>
      </c>
      <c r="L546" s="4" t="s">
        <v>2308</v>
      </c>
      <c r="M546" s="4" t="s">
        <v>2308</v>
      </c>
      <c r="N546" s="4" t="s">
        <v>2308</v>
      </c>
      <c r="O546" s="4" t="s">
        <v>2308</v>
      </c>
      <c r="P546" s="4" t="s">
        <v>2308</v>
      </c>
      <c r="Q546" s="4" t="s">
        <v>2308</v>
      </c>
      <c r="R546" s="4" t="s">
        <v>2308</v>
      </c>
      <c r="S546" s="4" t="s">
        <v>2308</v>
      </c>
      <c r="T546" s="5" t="s">
        <v>2870</v>
      </c>
    </row>
    <row r="547" spans="1:20" ht="32" customHeight="1">
      <c r="A547" s="12" t="s">
        <v>2844</v>
      </c>
      <c r="B547" s="4" t="s">
        <v>69</v>
      </c>
      <c r="C547" s="12" t="s">
        <v>12</v>
      </c>
      <c r="D547" s="4" t="s">
        <v>5065</v>
      </c>
      <c r="E547" s="5" t="s">
        <v>404</v>
      </c>
      <c r="F547" s="4" t="s">
        <v>2308</v>
      </c>
      <c r="G547" s="4" t="s">
        <v>2308</v>
      </c>
      <c r="H547" s="4" t="s">
        <v>2308</v>
      </c>
      <c r="I547" s="4">
        <v>1.1000000000000001</v>
      </c>
      <c r="J547" s="4" t="s">
        <v>2308</v>
      </c>
      <c r="K547" s="4" t="s">
        <v>2308</v>
      </c>
      <c r="L547" s="4" t="s">
        <v>2308</v>
      </c>
      <c r="M547" s="4" t="s">
        <v>2308</v>
      </c>
      <c r="N547" s="4" t="s">
        <v>2308</v>
      </c>
      <c r="O547" s="4" t="s">
        <v>2308</v>
      </c>
      <c r="P547" s="4" t="s">
        <v>2308</v>
      </c>
      <c r="Q547" s="4" t="s">
        <v>2308</v>
      </c>
      <c r="R547" s="4" t="s">
        <v>2308</v>
      </c>
      <c r="S547" s="4" t="s">
        <v>2308</v>
      </c>
      <c r="T547" s="5" t="s">
        <v>2870</v>
      </c>
    </row>
    <row r="548" spans="1:20" ht="38" customHeight="1">
      <c r="A548" s="12" t="s">
        <v>2845</v>
      </c>
      <c r="B548" s="4" t="s">
        <v>69</v>
      </c>
      <c r="C548" s="12" t="s">
        <v>12</v>
      </c>
      <c r="D548" s="4" t="s">
        <v>5065</v>
      </c>
      <c r="E548" s="5" t="s">
        <v>404</v>
      </c>
      <c r="F548" s="4" t="s">
        <v>2308</v>
      </c>
      <c r="G548" s="4" t="s">
        <v>2308</v>
      </c>
      <c r="H548" s="4" t="s">
        <v>2308</v>
      </c>
      <c r="I548" s="4">
        <v>1.5</v>
      </c>
      <c r="J548" s="4" t="s">
        <v>2308</v>
      </c>
      <c r="K548" s="4" t="s">
        <v>2308</v>
      </c>
      <c r="L548" s="4" t="s">
        <v>2308</v>
      </c>
      <c r="M548" s="4" t="s">
        <v>2308</v>
      </c>
      <c r="N548" s="4" t="s">
        <v>2308</v>
      </c>
      <c r="O548" s="4" t="s">
        <v>2308</v>
      </c>
      <c r="P548" s="4" t="s">
        <v>2308</v>
      </c>
      <c r="Q548" s="4" t="s">
        <v>2308</v>
      </c>
      <c r="R548" s="4" t="s">
        <v>2308</v>
      </c>
      <c r="S548" s="4" t="s">
        <v>2308</v>
      </c>
      <c r="T548" s="5" t="s">
        <v>2870</v>
      </c>
    </row>
    <row r="549" spans="1:20" ht="36.5" customHeight="1">
      <c r="A549" s="12" t="s">
        <v>2846</v>
      </c>
      <c r="B549" s="4" t="s">
        <v>69</v>
      </c>
      <c r="C549" s="12" t="s">
        <v>12</v>
      </c>
      <c r="D549" s="4" t="s">
        <v>5065</v>
      </c>
      <c r="E549" s="5" t="s">
        <v>404</v>
      </c>
      <c r="F549" s="4" t="s">
        <v>2308</v>
      </c>
      <c r="G549" s="4" t="s">
        <v>2308</v>
      </c>
      <c r="H549" s="4" t="s">
        <v>2308</v>
      </c>
      <c r="I549" s="4">
        <v>1.25</v>
      </c>
      <c r="J549" s="4" t="s">
        <v>2308</v>
      </c>
      <c r="K549" s="4" t="s">
        <v>2308</v>
      </c>
      <c r="L549" s="4" t="s">
        <v>2308</v>
      </c>
      <c r="M549" s="4" t="s">
        <v>2308</v>
      </c>
      <c r="N549" s="4" t="s">
        <v>2308</v>
      </c>
      <c r="O549" s="4" t="s">
        <v>2308</v>
      </c>
      <c r="P549" s="4" t="s">
        <v>2308</v>
      </c>
      <c r="Q549" s="4" t="s">
        <v>2308</v>
      </c>
      <c r="R549" s="4" t="s">
        <v>2308</v>
      </c>
      <c r="S549" s="4" t="s">
        <v>2308</v>
      </c>
      <c r="T549" s="5" t="s">
        <v>2870</v>
      </c>
    </row>
    <row r="550" spans="1:20" ht="41" customHeight="1">
      <c r="A550" s="12" t="s">
        <v>2847</v>
      </c>
      <c r="B550" s="4" t="s">
        <v>69</v>
      </c>
      <c r="C550" s="12" t="s">
        <v>12</v>
      </c>
      <c r="D550" s="4" t="s">
        <v>5065</v>
      </c>
      <c r="E550" s="5" t="s">
        <v>404</v>
      </c>
      <c r="F550" s="4" t="s">
        <v>2308</v>
      </c>
      <c r="G550" s="4" t="s">
        <v>2308</v>
      </c>
      <c r="H550" s="4" t="s">
        <v>2308</v>
      </c>
      <c r="I550" s="4">
        <v>1</v>
      </c>
      <c r="J550" s="4" t="s">
        <v>2308</v>
      </c>
      <c r="K550" s="4" t="s">
        <v>2308</v>
      </c>
      <c r="L550" s="4" t="s">
        <v>2308</v>
      </c>
      <c r="M550" s="4" t="s">
        <v>2308</v>
      </c>
      <c r="N550" s="4" t="s">
        <v>2308</v>
      </c>
      <c r="O550" s="4" t="s">
        <v>2308</v>
      </c>
      <c r="P550" s="4" t="s">
        <v>2308</v>
      </c>
      <c r="Q550" s="4" t="s">
        <v>2308</v>
      </c>
      <c r="R550" s="4" t="s">
        <v>2308</v>
      </c>
      <c r="S550" s="4" t="s">
        <v>2308</v>
      </c>
      <c r="T550" s="5" t="s">
        <v>2870</v>
      </c>
    </row>
    <row r="551" spans="1:20" ht="38" customHeight="1">
      <c r="A551" s="12" t="s">
        <v>2854</v>
      </c>
      <c r="B551" s="4" t="s">
        <v>69</v>
      </c>
      <c r="C551" s="4" t="s">
        <v>402</v>
      </c>
      <c r="D551" s="4" t="s">
        <v>5065</v>
      </c>
      <c r="E551" s="4" t="s">
        <v>2308</v>
      </c>
      <c r="F551" s="4" t="s">
        <v>2308</v>
      </c>
      <c r="G551" s="4" t="s">
        <v>2308</v>
      </c>
      <c r="H551" s="4" t="s">
        <v>2308</v>
      </c>
      <c r="I551" s="4" t="s">
        <v>2308</v>
      </c>
      <c r="J551" s="4" t="s">
        <v>2308</v>
      </c>
      <c r="K551" s="4" t="s">
        <v>2308</v>
      </c>
      <c r="L551" s="4" t="s">
        <v>2308</v>
      </c>
      <c r="M551" s="4" t="s">
        <v>2308</v>
      </c>
      <c r="N551" s="4" t="s">
        <v>2308</v>
      </c>
      <c r="O551" s="4" t="s">
        <v>2308</v>
      </c>
      <c r="P551" s="4" t="s">
        <v>2308</v>
      </c>
      <c r="Q551" s="4" t="s">
        <v>2308</v>
      </c>
      <c r="R551" s="4" t="s">
        <v>2308</v>
      </c>
      <c r="S551" s="4" t="s">
        <v>2308</v>
      </c>
      <c r="T551" s="4"/>
    </row>
    <row r="552" spans="1:20" ht="40.5" customHeight="1">
      <c r="A552" s="4" t="s">
        <v>2872</v>
      </c>
      <c r="B552" s="4" t="s">
        <v>69</v>
      </c>
      <c r="C552" s="4" t="s">
        <v>402</v>
      </c>
      <c r="D552" s="12" t="s">
        <v>136</v>
      </c>
      <c r="E552" s="4" t="s">
        <v>2308</v>
      </c>
      <c r="F552" s="4" t="s">
        <v>2308</v>
      </c>
      <c r="G552" s="4" t="s">
        <v>2308</v>
      </c>
      <c r="H552" s="4" t="s">
        <v>2308</v>
      </c>
      <c r="I552" s="4">
        <v>0.40400000000000003</v>
      </c>
      <c r="J552" s="4" t="s">
        <v>2308</v>
      </c>
      <c r="K552" s="4" t="s">
        <v>545</v>
      </c>
      <c r="L552" s="4" t="s">
        <v>2308</v>
      </c>
      <c r="M552" s="4" t="s">
        <v>2308</v>
      </c>
      <c r="N552" s="4" t="s">
        <v>2308</v>
      </c>
      <c r="O552" s="4" t="s">
        <v>2308</v>
      </c>
      <c r="P552" s="4" t="s">
        <v>2308</v>
      </c>
      <c r="Q552" s="4" t="s">
        <v>2308</v>
      </c>
      <c r="R552" s="4" t="s">
        <v>2308</v>
      </c>
      <c r="S552" s="4" t="s">
        <v>2308</v>
      </c>
      <c r="T552" s="4"/>
    </row>
    <row r="553" spans="1:20" ht="40" customHeight="1">
      <c r="A553" s="4" t="s">
        <v>2873</v>
      </c>
      <c r="B553" s="4" t="s">
        <v>69</v>
      </c>
      <c r="C553" s="4" t="s">
        <v>402</v>
      </c>
      <c r="D553" s="12" t="s">
        <v>136</v>
      </c>
      <c r="E553" s="4" t="s">
        <v>2308</v>
      </c>
      <c r="F553" s="4" t="s">
        <v>2308</v>
      </c>
      <c r="G553" s="4" t="s">
        <v>2308</v>
      </c>
      <c r="H553" s="4" t="s">
        <v>2308</v>
      </c>
      <c r="I553" s="4">
        <v>0.32300000000000001</v>
      </c>
      <c r="J553" s="4" t="s">
        <v>2308</v>
      </c>
      <c r="K553" s="4" t="s">
        <v>545</v>
      </c>
      <c r="L553" s="4" t="s">
        <v>2308</v>
      </c>
      <c r="M553" s="4" t="s">
        <v>2308</v>
      </c>
      <c r="N553" s="4" t="s">
        <v>2308</v>
      </c>
      <c r="O553" s="4" t="s">
        <v>2308</v>
      </c>
      <c r="P553" s="4" t="s">
        <v>2308</v>
      </c>
      <c r="Q553" s="4" t="s">
        <v>2308</v>
      </c>
      <c r="R553" s="4" t="s">
        <v>2308</v>
      </c>
      <c r="S553" s="4" t="s">
        <v>2308</v>
      </c>
      <c r="T553" s="4"/>
    </row>
    <row r="554" spans="1:20" ht="40" customHeight="1">
      <c r="A554" s="20" t="s">
        <v>2881</v>
      </c>
      <c r="B554" s="4" t="s">
        <v>2308</v>
      </c>
      <c r="C554" s="5" t="s">
        <v>12</v>
      </c>
      <c r="D554" s="5" t="s">
        <v>404</v>
      </c>
      <c r="E554" s="5" t="s">
        <v>136</v>
      </c>
      <c r="F554" s="4" t="s">
        <v>2308</v>
      </c>
      <c r="G554" s="4" t="s">
        <v>2308</v>
      </c>
      <c r="H554" s="4" t="s">
        <v>2308</v>
      </c>
      <c r="I554" s="4" t="s">
        <v>2308</v>
      </c>
      <c r="J554" s="4" t="s">
        <v>2308</v>
      </c>
      <c r="K554" s="4" t="s">
        <v>2308</v>
      </c>
      <c r="L554" s="4" t="s">
        <v>2308</v>
      </c>
      <c r="M554" s="4" t="s">
        <v>2308</v>
      </c>
      <c r="N554" s="4" t="s">
        <v>2308</v>
      </c>
      <c r="O554" s="4" t="s">
        <v>2308</v>
      </c>
      <c r="P554" s="4" t="s">
        <v>2308</v>
      </c>
      <c r="Q554" s="4" t="s">
        <v>2308</v>
      </c>
      <c r="R554" s="4" t="s">
        <v>2308</v>
      </c>
      <c r="S554" s="4" t="s">
        <v>2308</v>
      </c>
      <c r="T554" s="5"/>
    </row>
    <row r="555" spans="1:20" ht="35" customHeight="1">
      <c r="A555" s="12" t="s">
        <v>2896</v>
      </c>
      <c r="B555" s="4" t="s">
        <v>69</v>
      </c>
      <c r="C555" s="4" t="s">
        <v>12</v>
      </c>
      <c r="D555" s="12" t="s">
        <v>136</v>
      </c>
      <c r="E555" s="5" t="s">
        <v>404</v>
      </c>
      <c r="F555" s="5" t="s">
        <v>403</v>
      </c>
      <c r="G555" s="4" t="s">
        <v>2308</v>
      </c>
      <c r="H555" s="4" t="s">
        <v>2308</v>
      </c>
      <c r="I555" s="4">
        <v>3.34</v>
      </c>
      <c r="J555" s="4">
        <v>0.99</v>
      </c>
      <c r="K555" s="4" t="s">
        <v>2308</v>
      </c>
      <c r="L555" s="4" t="s">
        <v>2308</v>
      </c>
      <c r="M555" s="4" t="s">
        <v>2308</v>
      </c>
      <c r="N555" s="4" t="s">
        <v>2308</v>
      </c>
      <c r="O555" s="4" t="s">
        <v>2308</v>
      </c>
      <c r="P555" s="4" t="s">
        <v>2308</v>
      </c>
      <c r="Q555" s="4" t="s">
        <v>2308</v>
      </c>
      <c r="R555" s="4" t="s">
        <v>2308</v>
      </c>
      <c r="S555" s="4" t="s">
        <v>2308</v>
      </c>
      <c r="T555" s="5" t="s">
        <v>2904</v>
      </c>
    </row>
    <row r="556" spans="1:20" ht="34" customHeight="1">
      <c r="A556" s="12" t="s">
        <v>2903</v>
      </c>
      <c r="B556" s="4" t="s">
        <v>69</v>
      </c>
      <c r="C556" s="4" t="s">
        <v>12</v>
      </c>
      <c r="D556" s="12" t="s">
        <v>136</v>
      </c>
      <c r="E556" s="5" t="s">
        <v>403</v>
      </c>
      <c r="F556" s="4" t="s">
        <v>2308</v>
      </c>
      <c r="G556" s="4" t="s">
        <v>2308</v>
      </c>
      <c r="H556" s="4" t="s">
        <v>2308</v>
      </c>
      <c r="I556" s="4" t="s">
        <v>2308</v>
      </c>
      <c r="J556" s="4">
        <v>2.3919999999999999</v>
      </c>
      <c r="K556" s="4" t="s">
        <v>2308</v>
      </c>
      <c r="L556" s="4" t="s">
        <v>2308</v>
      </c>
      <c r="M556" s="4" t="s">
        <v>2308</v>
      </c>
      <c r="N556" s="4" t="s">
        <v>2308</v>
      </c>
      <c r="O556" s="4" t="s">
        <v>2308</v>
      </c>
      <c r="P556" s="4" t="s">
        <v>2308</v>
      </c>
      <c r="Q556" s="4" t="s">
        <v>2308</v>
      </c>
      <c r="R556" s="4" t="s">
        <v>2308</v>
      </c>
      <c r="S556" s="4" t="s">
        <v>2308</v>
      </c>
      <c r="T556" s="5" t="s">
        <v>2905</v>
      </c>
    </row>
    <row r="557" spans="1:20" ht="37.5" customHeight="1">
      <c r="A557" s="12" t="s">
        <v>2914</v>
      </c>
      <c r="B557" s="4" t="s">
        <v>69</v>
      </c>
      <c r="C557" s="4" t="s">
        <v>402</v>
      </c>
      <c r="D557" s="12" t="s">
        <v>136</v>
      </c>
      <c r="E557" s="4" t="s">
        <v>2308</v>
      </c>
      <c r="F557" s="4" t="s">
        <v>2308</v>
      </c>
      <c r="G557" s="4" t="s">
        <v>2308</v>
      </c>
      <c r="H557" s="4" t="s">
        <v>2308</v>
      </c>
      <c r="I557" s="4" t="s">
        <v>2308</v>
      </c>
      <c r="J557" s="4" t="s">
        <v>2308</v>
      </c>
      <c r="K557" s="4" t="s">
        <v>2308</v>
      </c>
      <c r="L557" s="4" t="s">
        <v>2308</v>
      </c>
      <c r="M557" s="4" t="s">
        <v>2308</v>
      </c>
      <c r="N557" s="4" t="s">
        <v>2308</v>
      </c>
      <c r="O557" s="4" t="s">
        <v>2308</v>
      </c>
      <c r="P557" s="4" t="s">
        <v>2308</v>
      </c>
      <c r="Q557" s="4" t="s">
        <v>2308</v>
      </c>
      <c r="R557" s="4" t="s">
        <v>2308</v>
      </c>
      <c r="S557" s="4" t="s">
        <v>2308</v>
      </c>
      <c r="T557" s="4"/>
    </row>
    <row r="558" spans="1:20" ht="31.5" customHeight="1">
      <c r="A558" s="12" t="s">
        <v>2919</v>
      </c>
      <c r="B558" s="12" t="s">
        <v>2290</v>
      </c>
      <c r="C558" s="4" t="s">
        <v>12</v>
      </c>
      <c r="D558" s="4" t="s">
        <v>136</v>
      </c>
      <c r="E558" s="5" t="s">
        <v>403</v>
      </c>
      <c r="F558" s="5" t="s">
        <v>2682</v>
      </c>
      <c r="G558" s="4" t="s">
        <v>143</v>
      </c>
      <c r="H558" s="4" t="s">
        <v>2308</v>
      </c>
      <c r="I558" s="4" t="s">
        <v>2308</v>
      </c>
      <c r="J558" s="4" t="s">
        <v>2308</v>
      </c>
      <c r="K558" s="4" t="s">
        <v>542</v>
      </c>
      <c r="L558" s="4" t="s">
        <v>2308</v>
      </c>
      <c r="M558" s="4" t="s">
        <v>2308</v>
      </c>
      <c r="N558" s="4" t="s">
        <v>2308</v>
      </c>
      <c r="O558" s="4" t="s">
        <v>2308</v>
      </c>
      <c r="P558" s="4" t="s">
        <v>2308</v>
      </c>
      <c r="Q558" s="4" t="s">
        <v>2308</v>
      </c>
      <c r="R558" s="4" t="s">
        <v>2308</v>
      </c>
      <c r="S558" s="4" t="s">
        <v>2308</v>
      </c>
      <c r="T558" s="4"/>
    </row>
    <row r="559" spans="1:20" ht="31.5" customHeight="1">
      <c r="A559" s="12" t="s">
        <v>2920</v>
      </c>
      <c r="B559" s="12" t="s">
        <v>2290</v>
      </c>
      <c r="C559" s="4" t="s">
        <v>12</v>
      </c>
      <c r="D559" s="4" t="s">
        <v>136</v>
      </c>
      <c r="E559" s="5" t="s">
        <v>403</v>
      </c>
      <c r="F559" s="5" t="s">
        <v>2682</v>
      </c>
      <c r="G559" s="4" t="s">
        <v>143</v>
      </c>
      <c r="H559" s="4" t="s">
        <v>2308</v>
      </c>
      <c r="I559" s="4" t="s">
        <v>2308</v>
      </c>
      <c r="J559" s="4" t="s">
        <v>2308</v>
      </c>
      <c r="K559" s="4" t="s">
        <v>542</v>
      </c>
      <c r="L559" s="4" t="s">
        <v>2308</v>
      </c>
      <c r="M559" s="4" t="s">
        <v>2308</v>
      </c>
      <c r="N559" s="4" t="s">
        <v>2308</v>
      </c>
      <c r="O559" s="4" t="s">
        <v>2308</v>
      </c>
      <c r="P559" s="4" t="s">
        <v>2308</v>
      </c>
      <c r="Q559" s="4" t="s">
        <v>2308</v>
      </c>
      <c r="R559" s="4" t="s">
        <v>2308</v>
      </c>
      <c r="S559" s="4" t="s">
        <v>2308</v>
      </c>
      <c r="T559" s="4"/>
    </row>
    <row r="560" spans="1:20" ht="35" customHeight="1">
      <c r="A560" s="12" t="s">
        <v>2921</v>
      </c>
      <c r="B560" s="12" t="s">
        <v>2290</v>
      </c>
      <c r="C560" s="4" t="s">
        <v>12</v>
      </c>
      <c r="D560" s="4" t="s">
        <v>136</v>
      </c>
      <c r="E560" s="5" t="s">
        <v>403</v>
      </c>
      <c r="F560" s="5" t="s">
        <v>2682</v>
      </c>
      <c r="G560" s="4" t="s">
        <v>143</v>
      </c>
      <c r="H560" s="4" t="s">
        <v>2308</v>
      </c>
      <c r="I560" s="4" t="s">
        <v>2308</v>
      </c>
      <c r="J560" s="4" t="s">
        <v>2308</v>
      </c>
      <c r="K560" s="4" t="s">
        <v>542</v>
      </c>
      <c r="L560" s="4" t="s">
        <v>2308</v>
      </c>
      <c r="M560" s="4" t="s">
        <v>2308</v>
      </c>
      <c r="N560" s="4" t="s">
        <v>2308</v>
      </c>
      <c r="O560" s="4" t="s">
        <v>2308</v>
      </c>
      <c r="P560" s="4" t="s">
        <v>2308</v>
      </c>
      <c r="Q560" s="4" t="s">
        <v>2308</v>
      </c>
      <c r="R560" s="4" t="s">
        <v>2308</v>
      </c>
      <c r="S560" s="4" t="s">
        <v>2308</v>
      </c>
      <c r="T560" s="4"/>
    </row>
    <row r="561" spans="1:20" ht="36" customHeight="1">
      <c r="A561" s="12" t="s">
        <v>2957</v>
      </c>
      <c r="B561" s="4" t="s">
        <v>1218</v>
      </c>
      <c r="C561" s="4" t="s">
        <v>2679</v>
      </c>
      <c r="D561" s="4" t="s">
        <v>143</v>
      </c>
      <c r="E561" s="4" t="s">
        <v>2682</v>
      </c>
      <c r="F561" s="4" t="s">
        <v>2308</v>
      </c>
      <c r="G561" s="4" t="s">
        <v>2308</v>
      </c>
      <c r="H561" s="4" t="s">
        <v>2308</v>
      </c>
      <c r="I561" s="4" t="s">
        <v>2308</v>
      </c>
      <c r="J561" s="4" t="s">
        <v>2308</v>
      </c>
      <c r="K561" s="4" t="s">
        <v>542</v>
      </c>
      <c r="L561" s="4" t="s">
        <v>2308</v>
      </c>
      <c r="M561" s="4" t="s">
        <v>2308</v>
      </c>
      <c r="N561" s="4" t="s">
        <v>2308</v>
      </c>
      <c r="O561" s="4" t="s">
        <v>2308</v>
      </c>
      <c r="P561" s="4" t="s">
        <v>2308</v>
      </c>
      <c r="Q561" s="4" t="s">
        <v>2308</v>
      </c>
      <c r="R561" s="4" t="s">
        <v>2308</v>
      </c>
      <c r="S561" s="4" t="s">
        <v>2308</v>
      </c>
      <c r="T561" s="4" t="s">
        <v>2964</v>
      </c>
    </row>
    <row r="562" spans="1:20" ht="35.5" customHeight="1">
      <c r="A562" s="12" t="s">
        <v>2967</v>
      </c>
      <c r="B562" s="4" t="s">
        <v>2290</v>
      </c>
      <c r="C562" s="12" t="s">
        <v>12</v>
      </c>
      <c r="D562" s="12" t="s">
        <v>136</v>
      </c>
      <c r="E562" s="20" t="s">
        <v>877</v>
      </c>
      <c r="F562" s="20" t="s">
        <v>403</v>
      </c>
      <c r="G562" s="4" t="s">
        <v>2308</v>
      </c>
      <c r="H562" s="4" t="s">
        <v>2308</v>
      </c>
      <c r="I562" s="4">
        <f>AVERAGE(6.9, 9.5, 4.9, 8.6)</f>
        <v>7.4749999999999996</v>
      </c>
      <c r="J562" s="4" t="s">
        <v>2308</v>
      </c>
      <c r="K562" s="4" t="s">
        <v>542</v>
      </c>
      <c r="L562" s="4" t="s">
        <v>2308</v>
      </c>
      <c r="M562" s="4" t="s">
        <v>2308</v>
      </c>
      <c r="N562" s="22">
        <f>(100*((460-20) + 60)/866) * 27/(27+56)</f>
        <v>18.781824758618772</v>
      </c>
      <c r="O562" s="4" t="s">
        <v>2308</v>
      </c>
      <c r="P562" s="22">
        <f>100*(130/866)</f>
        <v>15.011547344110854</v>
      </c>
      <c r="Q562" s="22">
        <f>(100*((460-20) + 60)/866) * 56/(27+56)</f>
        <v>38.954895795653748</v>
      </c>
      <c r="R562" s="22">
        <f>100*(20+145)/866</f>
        <v>19.053117782909929</v>
      </c>
      <c r="S562" s="22">
        <f>((100*(40+175)/866)-R562) / 13</f>
        <v>0.44412861964825012</v>
      </c>
      <c r="T562" s="5" t="s">
        <v>2973</v>
      </c>
    </row>
    <row r="563" spans="1:20" ht="33.5" customHeight="1">
      <c r="A563" s="12" t="s">
        <v>2969</v>
      </c>
      <c r="B563" s="4" t="s">
        <v>2290</v>
      </c>
      <c r="C563" s="12" t="s">
        <v>12</v>
      </c>
      <c r="D563" s="12" t="s">
        <v>136</v>
      </c>
      <c r="E563" s="20" t="s">
        <v>877</v>
      </c>
      <c r="F563" s="20" t="s">
        <v>403</v>
      </c>
      <c r="G563" s="4" t="s">
        <v>2308</v>
      </c>
      <c r="H563" s="4" t="s">
        <v>2308</v>
      </c>
      <c r="I563" s="4">
        <f>AVERAGE(5.4, 8.4, 6.5, 8.8)</f>
        <v>7.2750000000000004</v>
      </c>
      <c r="J563" s="4" t="s">
        <v>2308</v>
      </c>
      <c r="K563" s="4" t="s">
        <v>542</v>
      </c>
      <c r="L563" s="4" t="s">
        <v>2308</v>
      </c>
      <c r="M563" s="4" t="s">
        <v>2308</v>
      </c>
      <c r="N563" s="22">
        <f>(100*((460-20) + 60)/866) * 24/(24+59)</f>
        <v>16.694955340994461</v>
      </c>
      <c r="O563" s="4" t="s">
        <v>2308</v>
      </c>
      <c r="P563" s="22">
        <f>100*(80+5)/866</f>
        <v>9.8152424942263288</v>
      </c>
      <c r="Q563" s="22">
        <f>(100*((460-20) + 60)/866) * 59/(24+59)</f>
        <v>41.041765213278055</v>
      </c>
      <c r="R563" s="22">
        <f>100*(10+110)/866</f>
        <v>13.856812933025404</v>
      </c>
      <c r="S563" s="22">
        <f>(R562-R563)/16</f>
        <v>0.32476905311778281</v>
      </c>
      <c r="T563" s="5" t="s">
        <v>2973</v>
      </c>
    </row>
    <row r="564" spans="1:20" ht="34.5" customHeight="1">
      <c r="A564" s="4" t="s">
        <v>2977</v>
      </c>
      <c r="B564" s="4" t="s">
        <v>2308</v>
      </c>
      <c r="C564" s="12" t="s">
        <v>12</v>
      </c>
      <c r="D564" s="12" t="s">
        <v>136</v>
      </c>
      <c r="E564" s="20" t="s">
        <v>116</v>
      </c>
      <c r="F564" s="20" t="s">
        <v>404</v>
      </c>
      <c r="G564" s="5" t="s">
        <v>2684</v>
      </c>
      <c r="H564" s="4" t="s">
        <v>2308</v>
      </c>
      <c r="I564" s="4">
        <v>5</v>
      </c>
      <c r="J564" s="4">
        <v>0.7</v>
      </c>
      <c r="K564" s="4" t="s">
        <v>2308</v>
      </c>
      <c r="L564" s="4" t="s">
        <v>2308</v>
      </c>
      <c r="M564" s="4" t="s">
        <v>2308</v>
      </c>
      <c r="N564" s="4" t="s">
        <v>2308</v>
      </c>
      <c r="O564" s="4" t="s">
        <v>2308</v>
      </c>
      <c r="P564" s="4" t="s">
        <v>2308</v>
      </c>
      <c r="Q564" s="4" t="s">
        <v>2308</v>
      </c>
      <c r="R564" s="4" t="s">
        <v>2308</v>
      </c>
      <c r="S564" s="4" t="s">
        <v>2308</v>
      </c>
      <c r="T564" s="5" t="s">
        <v>2980</v>
      </c>
    </row>
    <row r="565" spans="1:20" ht="31" customHeight="1">
      <c r="A565" s="12" t="s">
        <v>2987</v>
      </c>
      <c r="B565" s="4" t="s">
        <v>2308</v>
      </c>
      <c r="C565" s="12" t="s">
        <v>402</v>
      </c>
      <c r="D565" s="12" t="s">
        <v>136</v>
      </c>
      <c r="E565" s="20" t="s">
        <v>116</v>
      </c>
      <c r="F565" s="4" t="s">
        <v>45</v>
      </c>
      <c r="G565" s="4" t="s">
        <v>2680</v>
      </c>
      <c r="H565" s="4" t="s">
        <v>2308</v>
      </c>
      <c r="I565" s="4" t="s">
        <v>2308</v>
      </c>
      <c r="J565" s="4" t="s">
        <v>2308</v>
      </c>
      <c r="K565" s="4" t="s">
        <v>2308</v>
      </c>
      <c r="L565" s="4" t="s">
        <v>2308</v>
      </c>
      <c r="M565" s="4" t="s">
        <v>2308</v>
      </c>
      <c r="N565" s="4" t="s">
        <v>2308</v>
      </c>
      <c r="O565" s="4" t="s">
        <v>2308</v>
      </c>
      <c r="P565" s="4" t="s">
        <v>2308</v>
      </c>
      <c r="Q565" s="4" t="s">
        <v>2308</v>
      </c>
      <c r="R565" s="4" t="s">
        <v>2308</v>
      </c>
      <c r="S565" s="4" t="s">
        <v>2308</v>
      </c>
      <c r="T565" s="4" t="s">
        <v>2990</v>
      </c>
    </row>
    <row r="566" spans="1:20" ht="33.5" customHeight="1">
      <c r="A566" s="12" t="s">
        <v>3021</v>
      </c>
      <c r="B566" s="4" t="s">
        <v>2308</v>
      </c>
      <c r="C566" s="4" t="s">
        <v>402</v>
      </c>
      <c r="D566" s="4" t="s">
        <v>5065</v>
      </c>
      <c r="E566" s="4" t="s">
        <v>136</v>
      </c>
      <c r="F566" s="4" t="s">
        <v>2682</v>
      </c>
      <c r="G566" s="4" t="s">
        <v>116</v>
      </c>
      <c r="H566" s="4" t="s">
        <v>2308</v>
      </c>
      <c r="I566" s="4" t="s">
        <v>2308</v>
      </c>
      <c r="J566" s="4" t="s">
        <v>2308</v>
      </c>
      <c r="K566" s="4" t="s">
        <v>542</v>
      </c>
      <c r="L566" s="4" t="s">
        <v>2308</v>
      </c>
      <c r="M566" s="4" t="s">
        <v>2308</v>
      </c>
      <c r="N566" s="4" t="s">
        <v>2308</v>
      </c>
      <c r="O566" s="4" t="s">
        <v>2308</v>
      </c>
      <c r="P566" s="4" t="s">
        <v>2308</v>
      </c>
      <c r="Q566" s="4" t="s">
        <v>2308</v>
      </c>
      <c r="R566" s="4" t="s">
        <v>2308</v>
      </c>
      <c r="S566" s="4" t="s">
        <v>2308</v>
      </c>
      <c r="T566" s="4"/>
    </row>
    <row r="567" spans="1:20" ht="36" customHeight="1">
      <c r="A567" s="12" t="s">
        <v>3028</v>
      </c>
      <c r="B567" s="4" t="s">
        <v>2308</v>
      </c>
      <c r="C567" s="12" t="s">
        <v>12</v>
      </c>
      <c r="D567" s="12" t="s">
        <v>45</v>
      </c>
      <c r="E567" s="20" t="s">
        <v>136</v>
      </c>
      <c r="F567" s="20" t="s">
        <v>404</v>
      </c>
      <c r="G567" s="4" t="s">
        <v>2680</v>
      </c>
      <c r="H567" s="4" t="s">
        <v>2308</v>
      </c>
      <c r="I567" s="4" t="s">
        <v>2308</v>
      </c>
      <c r="J567" s="4" t="s">
        <v>2308</v>
      </c>
      <c r="K567" s="4" t="s">
        <v>2308</v>
      </c>
      <c r="L567" s="4" t="s">
        <v>2308</v>
      </c>
      <c r="M567" s="4" t="s">
        <v>2308</v>
      </c>
      <c r="N567" s="4" t="s">
        <v>2308</v>
      </c>
      <c r="O567" s="4" t="s">
        <v>2308</v>
      </c>
      <c r="P567" s="4" t="s">
        <v>2308</v>
      </c>
      <c r="Q567" s="4" t="s">
        <v>2308</v>
      </c>
      <c r="R567" s="4" t="s">
        <v>2308</v>
      </c>
      <c r="S567" s="4" t="s">
        <v>2308</v>
      </c>
      <c r="T567" s="4"/>
    </row>
    <row r="568" spans="1:20" ht="29" customHeight="1">
      <c r="A568" s="12" t="s">
        <v>3070</v>
      </c>
      <c r="B568" s="4" t="s">
        <v>1218</v>
      </c>
      <c r="C568" s="4" t="s">
        <v>12</v>
      </c>
      <c r="D568" s="4" t="s">
        <v>2682</v>
      </c>
      <c r="E568" s="4" t="s">
        <v>45</v>
      </c>
      <c r="F568" s="5" t="s">
        <v>404</v>
      </c>
      <c r="G568" s="4" t="s">
        <v>2308</v>
      </c>
      <c r="H568" s="4" t="s">
        <v>2308</v>
      </c>
      <c r="I568" s="4" t="s">
        <v>2308</v>
      </c>
      <c r="J568" s="4" t="s">
        <v>2308</v>
      </c>
      <c r="K568" s="4" t="s">
        <v>2308</v>
      </c>
      <c r="L568" s="4" t="s">
        <v>2308</v>
      </c>
      <c r="M568" s="4" t="s">
        <v>2308</v>
      </c>
      <c r="N568" s="4" t="s">
        <v>2308</v>
      </c>
      <c r="O568" s="4" t="s">
        <v>2308</v>
      </c>
      <c r="P568" s="4" t="s">
        <v>2308</v>
      </c>
      <c r="Q568" s="4" t="s">
        <v>2308</v>
      </c>
      <c r="R568" s="4" t="s">
        <v>2308</v>
      </c>
      <c r="S568" s="4" t="s">
        <v>2308</v>
      </c>
      <c r="T568" s="4"/>
    </row>
    <row r="569" spans="1:20" ht="42" customHeight="1">
      <c r="A569" s="4" t="s">
        <v>3077</v>
      </c>
      <c r="B569" s="4" t="s">
        <v>69</v>
      </c>
      <c r="C569" s="4" t="s">
        <v>402</v>
      </c>
      <c r="D569" s="4" t="s">
        <v>45</v>
      </c>
      <c r="E569" s="4" t="s">
        <v>136</v>
      </c>
      <c r="F569" s="4" t="s">
        <v>116</v>
      </c>
      <c r="G569" s="4" t="s">
        <v>2308</v>
      </c>
      <c r="H569" s="4" t="s">
        <v>2308</v>
      </c>
      <c r="I569" s="4" t="s">
        <v>2308</v>
      </c>
      <c r="J569" s="4" t="s">
        <v>2308</v>
      </c>
      <c r="K569" s="4" t="s">
        <v>2308</v>
      </c>
      <c r="L569" s="4" t="s">
        <v>2308</v>
      </c>
      <c r="M569" s="4" t="s">
        <v>2308</v>
      </c>
      <c r="N569" s="4" t="s">
        <v>2308</v>
      </c>
      <c r="O569" s="4" t="s">
        <v>2308</v>
      </c>
      <c r="P569" s="4" t="s">
        <v>2308</v>
      </c>
      <c r="Q569" s="4" t="s">
        <v>2308</v>
      </c>
      <c r="R569" s="4" t="s">
        <v>2308</v>
      </c>
      <c r="S569" s="4" t="s">
        <v>2308</v>
      </c>
      <c r="T569" s="4" t="s">
        <v>3109</v>
      </c>
    </row>
    <row r="570" spans="1:20" ht="37" customHeight="1">
      <c r="A570" s="4" t="s">
        <v>3078</v>
      </c>
      <c r="B570" s="4" t="s">
        <v>69</v>
      </c>
      <c r="C570" s="4" t="s">
        <v>402</v>
      </c>
      <c r="D570" s="4" t="s">
        <v>45</v>
      </c>
      <c r="E570" s="4" t="s">
        <v>136</v>
      </c>
      <c r="F570" s="4" t="s">
        <v>116</v>
      </c>
      <c r="G570" s="4" t="s">
        <v>2308</v>
      </c>
      <c r="H570" s="4" t="s">
        <v>2308</v>
      </c>
      <c r="I570" s="4" t="s">
        <v>2308</v>
      </c>
      <c r="J570" s="4" t="s">
        <v>2308</v>
      </c>
      <c r="K570" s="4" t="s">
        <v>2308</v>
      </c>
      <c r="L570" s="4" t="s">
        <v>2308</v>
      </c>
      <c r="M570" s="4" t="s">
        <v>2308</v>
      </c>
      <c r="N570" s="4" t="s">
        <v>2308</v>
      </c>
      <c r="O570" s="4" t="s">
        <v>2308</v>
      </c>
      <c r="P570" s="4" t="s">
        <v>2308</v>
      </c>
      <c r="Q570" s="4" t="s">
        <v>2308</v>
      </c>
      <c r="R570" s="4" t="s">
        <v>2308</v>
      </c>
      <c r="S570" s="4" t="s">
        <v>2308</v>
      </c>
      <c r="T570" s="4" t="s">
        <v>3109</v>
      </c>
    </row>
    <row r="571" spans="1:20" ht="35.5" customHeight="1">
      <c r="A571" s="4" t="s">
        <v>3095</v>
      </c>
      <c r="B571" s="4" t="s">
        <v>1218</v>
      </c>
      <c r="C571" s="4" t="s">
        <v>2678</v>
      </c>
      <c r="D571" s="4" t="s">
        <v>143</v>
      </c>
      <c r="E571" s="4" t="s">
        <v>2308</v>
      </c>
      <c r="F571" s="4" t="s">
        <v>2308</v>
      </c>
      <c r="G571" s="4" t="s">
        <v>2308</v>
      </c>
      <c r="H571" s="4" t="s">
        <v>2308</v>
      </c>
      <c r="I571" s="4" t="s">
        <v>2308</v>
      </c>
      <c r="J571" s="4" t="s">
        <v>2308</v>
      </c>
      <c r="K571" s="4" t="s">
        <v>2308</v>
      </c>
      <c r="L571" s="4" t="s">
        <v>2308</v>
      </c>
      <c r="M571" s="4" t="s">
        <v>2308</v>
      </c>
      <c r="N571" s="4" t="s">
        <v>2308</v>
      </c>
      <c r="O571" s="4" t="s">
        <v>2308</v>
      </c>
      <c r="P571" s="4" t="s">
        <v>2308</v>
      </c>
      <c r="Q571" s="4" t="s">
        <v>2308</v>
      </c>
      <c r="R571" s="4" t="s">
        <v>2308</v>
      </c>
      <c r="S571" s="4" t="s">
        <v>2308</v>
      </c>
      <c r="T571" s="4"/>
    </row>
    <row r="572" spans="1:20" ht="37" customHeight="1">
      <c r="A572" s="4" t="s">
        <v>3096</v>
      </c>
      <c r="B572" s="4" t="s">
        <v>1218</v>
      </c>
      <c r="C572" s="4" t="s">
        <v>2678</v>
      </c>
      <c r="D572" s="4" t="s">
        <v>143</v>
      </c>
      <c r="E572" s="4" t="s">
        <v>2308</v>
      </c>
      <c r="F572" s="4" t="s">
        <v>2308</v>
      </c>
      <c r="G572" s="4" t="s">
        <v>2308</v>
      </c>
      <c r="H572" s="4" t="s">
        <v>2308</v>
      </c>
      <c r="I572" s="4" t="s">
        <v>2308</v>
      </c>
      <c r="J572" s="4" t="s">
        <v>2308</v>
      </c>
      <c r="K572" s="4" t="s">
        <v>2308</v>
      </c>
      <c r="L572" s="4" t="s">
        <v>2308</v>
      </c>
      <c r="M572" s="4" t="s">
        <v>2308</v>
      </c>
      <c r="N572" s="4" t="s">
        <v>2308</v>
      </c>
      <c r="O572" s="4" t="s">
        <v>2308</v>
      </c>
      <c r="P572" s="4" t="s">
        <v>2308</v>
      </c>
      <c r="Q572" s="4" t="s">
        <v>2308</v>
      </c>
      <c r="R572" s="4" t="s">
        <v>2308</v>
      </c>
      <c r="S572" s="4" t="s">
        <v>2308</v>
      </c>
      <c r="T572" s="4"/>
    </row>
    <row r="573" spans="1:20" ht="36" customHeight="1">
      <c r="A573" s="12" t="s">
        <v>3131</v>
      </c>
      <c r="B573" s="4" t="s">
        <v>2308</v>
      </c>
      <c r="C573" s="4" t="s">
        <v>402</v>
      </c>
      <c r="D573" s="4" t="s">
        <v>136</v>
      </c>
      <c r="E573" s="4" t="s">
        <v>116</v>
      </c>
      <c r="F573" s="5" t="s">
        <v>404</v>
      </c>
      <c r="G573" s="4" t="s">
        <v>2308</v>
      </c>
      <c r="H573" s="4" t="s">
        <v>2308</v>
      </c>
      <c r="I573" s="22">
        <f>(38/8)* (490/10000)</f>
        <v>0.23275000000000001</v>
      </c>
      <c r="J573" s="4" t="s">
        <v>2308</v>
      </c>
      <c r="K573" s="4" t="s">
        <v>545</v>
      </c>
      <c r="L573" s="4" t="s">
        <v>2308</v>
      </c>
      <c r="M573" s="4" t="s">
        <v>2308</v>
      </c>
      <c r="N573" s="4" t="s">
        <v>2308</v>
      </c>
      <c r="O573" s="4" t="s">
        <v>2308</v>
      </c>
      <c r="P573" s="4" t="s">
        <v>2308</v>
      </c>
      <c r="Q573" s="4" t="s">
        <v>2308</v>
      </c>
      <c r="R573" s="4" t="s">
        <v>2308</v>
      </c>
      <c r="S573" s="4" t="s">
        <v>2308</v>
      </c>
      <c r="T573" s="5" t="s">
        <v>3179</v>
      </c>
    </row>
    <row r="574" spans="1:20" ht="38.5" customHeight="1">
      <c r="A574" s="12" t="s">
        <v>3132</v>
      </c>
      <c r="B574" s="4" t="s">
        <v>2308</v>
      </c>
      <c r="C574" s="4" t="s">
        <v>402</v>
      </c>
      <c r="D574" s="4" t="s">
        <v>136</v>
      </c>
      <c r="E574" s="4" t="s">
        <v>116</v>
      </c>
      <c r="F574" s="5" t="s">
        <v>404</v>
      </c>
      <c r="G574" s="4" t="s">
        <v>2308</v>
      </c>
      <c r="H574" s="4" t="s">
        <v>2308</v>
      </c>
      <c r="I574" s="22">
        <f>(269*(47/14))/10000</f>
        <v>9.030714285714285E-2</v>
      </c>
      <c r="J574" s="4" t="s">
        <v>2308</v>
      </c>
      <c r="K574" s="4" t="s">
        <v>545</v>
      </c>
      <c r="L574" s="4" t="s">
        <v>2308</v>
      </c>
      <c r="M574" s="4" t="s">
        <v>2308</v>
      </c>
      <c r="N574" s="4" t="s">
        <v>2308</v>
      </c>
      <c r="O574" s="4" t="s">
        <v>2308</v>
      </c>
      <c r="P574" s="4" t="s">
        <v>2308</v>
      </c>
      <c r="Q574" s="4" t="s">
        <v>2308</v>
      </c>
      <c r="R574" s="4" t="s">
        <v>2308</v>
      </c>
      <c r="S574" s="4" t="s">
        <v>2308</v>
      </c>
      <c r="T574" s="5" t="s">
        <v>3179</v>
      </c>
    </row>
    <row r="575" spans="1:20" ht="36" customHeight="1">
      <c r="A575" s="12" t="s">
        <v>3134</v>
      </c>
      <c r="B575" s="4" t="s">
        <v>2308</v>
      </c>
      <c r="C575" s="4" t="s">
        <v>402</v>
      </c>
      <c r="D575" s="4" t="s">
        <v>136</v>
      </c>
      <c r="E575" s="4" t="s">
        <v>116</v>
      </c>
      <c r="F575" s="5" t="s">
        <v>404</v>
      </c>
      <c r="G575" s="4" t="s">
        <v>2308</v>
      </c>
      <c r="H575" s="4" t="s">
        <v>2308</v>
      </c>
      <c r="I575" s="22">
        <f>490*61/13/10000</f>
        <v>0.2299230769230769</v>
      </c>
      <c r="J575" s="4" t="s">
        <v>2308</v>
      </c>
      <c r="K575" s="4" t="s">
        <v>545</v>
      </c>
      <c r="L575" s="4" t="s">
        <v>2308</v>
      </c>
      <c r="M575" s="4" t="s">
        <v>2308</v>
      </c>
      <c r="N575" s="4" t="s">
        <v>2308</v>
      </c>
      <c r="O575" s="4" t="s">
        <v>2308</v>
      </c>
      <c r="P575" s="4" t="s">
        <v>2308</v>
      </c>
      <c r="Q575" s="4" t="s">
        <v>2308</v>
      </c>
      <c r="R575" s="4" t="s">
        <v>2308</v>
      </c>
      <c r="S575" s="4" t="s">
        <v>2308</v>
      </c>
      <c r="T575" s="5" t="s">
        <v>3179</v>
      </c>
    </row>
    <row r="576" spans="1:20" ht="37.5" customHeight="1">
      <c r="A576" s="12" t="s">
        <v>3135</v>
      </c>
      <c r="B576" s="4" t="s">
        <v>2308</v>
      </c>
      <c r="C576" s="4" t="s">
        <v>402</v>
      </c>
      <c r="D576" s="4" t="s">
        <v>136</v>
      </c>
      <c r="E576" s="4" t="s">
        <v>116</v>
      </c>
      <c r="F576" s="5" t="s">
        <v>404</v>
      </c>
      <c r="G576" s="4" t="s">
        <v>2308</v>
      </c>
      <c r="H576" s="4" t="s">
        <v>2308</v>
      </c>
      <c r="I576" s="22">
        <f>464*47/11/10000</f>
        <v>0.19825454545454546</v>
      </c>
      <c r="J576" s="4" t="s">
        <v>2308</v>
      </c>
      <c r="K576" s="4" t="s">
        <v>545</v>
      </c>
      <c r="L576" s="4" t="s">
        <v>2308</v>
      </c>
      <c r="M576" s="4" t="s">
        <v>2308</v>
      </c>
      <c r="N576" s="4" t="s">
        <v>2308</v>
      </c>
      <c r="O576" s="4" t="s">
        <v>2308</v>
      </c>
      <c r="P576" s="4" t="s">
        <v>2308</v>
      </c>
      <c r="Q576" s="4" t="s">
        <v>2308</v>
      </c>
      <c r="R576" s="4" t="s">
        <v>2308</v>
      </c>
      <c r="S576" s="4" t="s">
        <v>2308</v>
      </c>
      <c r="T576" s="5" t="s">
        <v>3179</v>
      </c>
    </row>
    <row r="577" spans="1:20" ht="39" customHeight="1">
      <c r="A577" s="4" t="s">
        <v>3136</v>
      </c>
      <c r="B577" s="4" t="s">
        <v>2308</v>
      </c>
      <c r="C577" s="4" t="s">
        <v>402</v>
      </c>
      <c r="D577" s="4" t="s">
        <v>136</v>
      </c>
      <c r="E577" s="4" t="s">
        <v>116</v>
      </c>
      <c r="F577" s="5" t="s">
        <v>404</v>
      </c>
      <c r="G577" s="4" t="s">
        <v>2308</v>
      </c>
      <c r="H577" s="4" t="s">
        <v>2308</v>
      </c>
      <c r="I577" s="22">
        <f>464*57/12/10000</f>
        <v>0.22040000000000001</v>
      </c>
      <c r="J577" s="4" t="s">
        <v>2308</v>
      </c>
      <c r="K577" s="4" t="s">
        <v>545</v>
      </c>
      <c r="L577" s="4" t="s">
        <v>2308</v>
      </c>
      <c r="M577" s="4" t="s">
        <v>2308</v>
      </c>
      <c r="N577" s="4" t="s">
        <v>2308</v>
      </c>
      <c r="O577" s="4" t="s">
        <v>2308</v>
      </c>
      <c r="P577" s="4" t="s">
        <v>2308</v>
      </c>
      <c r="Q577" s="4" t="s">
        <v>2308</v>
      </c>
      <c r="R577" s="4" t="s">
        <v>2308</v>
      </c>
      <c r="S577" s="4" t="s">
        <v>2308</v>
      </c>
      <c r="T577" s="5" t="s">
        <v>3179</v>
      </c>
    </row>
    <row r="578" spans="1:20" ht="38" customHeight="1">
      <c r="A578" s="4" t="s">
        <v>3137</v>
      </c>
      <c r="B578" s="4" t="s">
        <v>2308</v>
      </c>
      <c r="C578" s="4" t="s">
        <v>402</v>
      </c>
      <c r="D578" s="4" t="s">
        <v>136</v>
      </c>
      <c r="E578" s="4" t="s">
        <v>116</v>
      </c>
      <c r="F578" s="5" t="s">
        <v>404</v>
      </c>
      <c r="G578" s="4" t="s">
        <v>2308</v>
      </c>
      <c r="H578" s="4" t="s">
        <v>2308</v>
      </c>
      <c r="I578" s="22">
        <f>47/10*464/10000</f>
        <v>0.21808000000000002</v>
      </c>
      <c r="J578" s="4" t="s">
        <v>2308</v>
      </c>
      <c r="K578" s="4" t="s">
        <v>545</v>
      </c>
      <c r="L578" s="4" t="s">
        <v>2308</v>
      </c>
      <c r="M578" s="4" t="s">
        <v>2308</v>
      </c>
      <c r="N578" s="4" t="s">
        <v>2308</v>
      </c>
      <c r="O578" s="4" t="s">
        <v>2308</v>
      </c>
      <c r="P578" s="4" t="s">
        <v>2308</v>
      </c>
      <c r="Q578" s="4" t="s">
        <v>2308</v>
      </c>
      <c r="R578" s="4" t="s">
        <v>2308</v>
      </c>
      <c r="S578" s="4" t="s">
        <v>2308</v>
      </c>
      <c r="T578" s="5" t="s">
        <v>3179</v>
      </c>
    </row>
    <row r="579" spans="1:20" ht="36" customHeight="1">
      <c r="A579" s="4" t="s">
        <v>3163</v>
      </c>
      <c r="B579" s="4" t="s">
        <v>69</v>
      </c>
      <c r="C579" s="4" t="s">
        <v>402</v>
      </c>
      <c r="D579" s="4" t="s">
        <v>136</v>
      </c>
      <c r="E579" s="4" t="s">
        <v>116</v>
      </c>
      <c r="F579" s="4" t="s">
        <v>2685</v>
      </c>
      <c r="G579" s="4" t="s">
        <v>2308</v>
      </c>
      <c r="H579" s="4" t="s">
        <v>2308</v>
      </c>
      <c r="I579" s="4" t="s">
        <v>2308</v>
      </c>
      <c r="J579" s="4" t="s">
        <v>2308</v>
      </c>
      <c r="K579" s="4" t="s">
        <v>545</v>
      </c>
      <c r="L579" s="4" t="s">
        <v>2308</v>
      </c>
      <c r="M579" s="4" t="s">
        <v>2308</v>
      </c>
      <c r="N579" s="4" t="s">
        <v>2308</v>
      </c>
      <c r="O579" s="4" t="s">
        <v>2308</v>
      </c>
      <c r="P579" s="4" t="s">
        <v>2308</v>
      </c>
      <c r="Q579" s="4" t="s">
        <v>2308</v>
      </c>
      <c r="R579" s="4" t="s">
        <v>2308</v>
      </c>
      <c r="S579" s="4" t="s">
        <v>2308</v>
      </c>
      <c r="T579" s="4"/>
    </row>
    <row r="580" spans="1:20" ht="42" customHeight="1">
      <c r="A580" s="4" t="s">
        <v>3164</v>
      </c>
      <c r="B580" s="4" t="s">
        <v>69</v>
      </c>
      <c r="C580" s="4" t="s">
        <v>402</v>
      </c>
      <c r="D580" s="4" t="s">
        <v>136</v>
      </c>
      <c r="E580" s="4" t="s">
        <v>116</v>
      </c>
      <c r="F580" s="4" t="s">
        <v>2685</v>
      </c>
      <c r="G580" s="4" t="s">
        <v>2308</v>
      </c>
      <c r="H580" s="4" t="s">
        <v>2308</v>
      </c>
      <c r="I580" s="4" t="s">
        <v>2308</v>
      </c>
      <c r="J580" s="4" t="s">
        <v>2308</v>
      </c>
      <c r="K580" s="4" t="s">
        <v>545</v>
      </c>
      <c r="L580" s="4" t="s">
        <v>2308</v>
      </c>
      <c r="M580" s="4" t="s">
        <v>2308</v>
      </c>
      <c r="N580" s="4" t="s">
        <v>2308</v>
      </c>
      <c r="O580" s="4" t="s">
        <v>2308</v>
      </c>
      <c r="P580" s="4" t="s">
        <v>2308</v>
      </c>
      <c r="Q580" s="4" t="s">
        <v>2308</v>
      </c>
      <c r="R580" s="4" t="s">
        <v>2308</v>
      </c>
      <c r="S580" s="4" t="s">
        <v>2308</v>
      </c>
      <c r="T580" s="4"/>
    </row>
    <row r="581" spans="1:20" ht="34.5" customHeight="1">
      <c r="A581" s="4" t="s">
        <v>3165</v>
      </c>
      <c r="B581" s="4" t="s">
        <v>69</v>
      </c>
      <c r="C581" s="4" t="s">
        <v>12</v>
      </c>
      <c r="D581" s="4" t="s">
        <v>136</v>
      </c>
      <c r="E581" s="4" t="s">
        <v>116</v>
      </c>
      <c r="F581" s="4" t="s">
        <v>143</v>
      </c>
      <c r="G581" s="4" t="s">
        <v>2308</v>
      </c>
      <c r="H581" s="4" t="s">
        <v>2308</v>
      </c>
      <c r="I581" s="4" t="s">
        <v>2308</v>
      </c>
      <c r="J581" s="4" t="s">
        <v>2308</v>
      </c>
      <c r="K581" s="4" t="s">
        <v>545</v>
      </c>
      <c r="L581" s="4" t="s">
        <v>2308</v>
      </c>
      <c r="M581" s="4" t="s">
        <v>2308</v>
      </c>
      <c r="N581" s="4" t="s">
        <v>2308</v>
      </c>
      <c r="O581" s="4" t="s">
        <v>2308</v>
      </c>
      <c r="P581" s="4" t="s">
        <v>2308</v>
      </c>
      <c r="Q581" s="4" t="s">
        <v>2308</v>
      </c>
      <c r="R581" s="4" t="s">
        <v>2308</v>
      </c>
      <c r="S581" s="4" t="s">
        <v>2308</v>
      </c>
      <c r="T581" s="4"/>
    </row>
    <row r="582" spans="1:20" ht="36.5" customHeight="1">
      <c r="A582" s="4" t="s">
        <v>3166</v>
      </c>
      <c r="B582" s="4" t="s">
        <v>2290</v>
      </c>
      <c r="C582" s="4" t="s">
        <v>402</v>
      </c>
      <c r="D582" s="4" t="s">
        <v>136</v>
      </c>
      <c r="E582" s="4" t="s">
        <v>116</v>
      </c>
      <c r="F582" s="4" t="s">
        <v>143</v>
      </c>
      <c r="G582" s="4" t="s">
        <v>2308</v>
      </c>
      <c r="H582" s="4" t="s">
        <v>2308</v>
      </c>
      <c r="I582" s="4" t="s">
        <v>2308</v>
      </c>
      <c r="J582" s="4" t="s">
        <v>2308</v>
      </c>
      <c r="K582" s="4" t="s">
        <v>545</v>
      </c>
      <c r="L582" s="4" t="s">
        <v>2308</v>
      </c>
      <c r="M582" s="4" t="s">
        <v>2308</v>
      </c>
      <c r="N582" s="4" t="s">
        <v>2308</v>
      </c>
      <c r="O582" s="4" t="s">
        <v>2308</v>
      </c>
      <c r="P582" s="4" t="s">
        <v>2308</v>
      </c>
      <c r="Q582" s="4" t="s">
        <v>2308</v>
      </c>
      <c r="R582" s="4" t="s">
        <v>2308</v>
      </c>
      <c r="S582" s="4" t="s">
        <v>2308</v>
      </c>
      <c r="T582" s="4"/>
    </row>
    <row r="583" spans="1:20" ht="37" customHeight="1">
      <c r="A583" s="12" t="s">
        <v>3258</v>
      </c>
      <c r="B583" s="12" t="s">
        <v>69</v>
      </c>
      <c r="C583" s="4" t="s">
        <v>12</v>
      </c>
      <c r="D583" s="4" t="s">
        <v>136</v>
      </c>
      <c r="E583" s="4" t="s">
        <v>84</v>
      </c>
      <c r="F583" s="5" t="s">
        <v>2684</v>
      </c>
      <c r="G583" s="4" t="s">
        <v>2682</v>
      </c>
      <c r="H583" s="4" t="s">
        <v>2308</v>
      </c>
      <c r="I583" s="4">
        <v>5</v>
      </c>
      <c r="J583" s="22">
        <f>1395/424</f>
        <v>3.2900943396226414</v>
      </c>
      <c r="K583" s="4" t="s">
        <v>542</v>
      </c>
      <c r="L583" s="4" t="s">
        <v>2308</v>
      </c>
      <c r="M583" s="4" t="s">
        <v>2308</v>
      </c>
      <c r="N583" s="22">
        <f>(2760+112+15)/72.4</f>
        <v>39.875690607734803</v>
      </c>
      <c r="O583" s="4" t="s">
        <v>2308</v>
      </c>
      <c r="P583" s="22">
        <f>(15+424)/72.4</f>
        <v>6.0635359116022096</v>
      </c>
      <c r="Q583" s="22">
        <f>1874/72.4</f>
        <v>25.883977900552484</v>
      </c>
      <c r="R583" s="22">
        <f>(1226+867)/72.4</f>
        <v>28.908839779005522</v>
      </c>
      <c r="S583" s="4" t="s">
        <v>2308</v>
      </c>
      <c r="T583" s="5" t="s">
        <v>3267</v>
      </c>
    </row>
    <row r="584" spans="1:20" ht="29.5" customHeight="1">
      <c r="A584" s="12" t="s">
        <v>3264</v>
      </c>
      <c r="B584" s="12" t="s">
        <v>69</v>
      </c>
      <c r="C584" s="4" t="s">
        <v>402</v>
      </c>
      <c r="D584" s="4" t="s">
        <v>136</v>
      </c>
      <c r="E584" s="4" t="s">
        <v>2308</v>
      </c>
      <c r="F584" s="4" t="s">
        <v>2308</v>
      </c>
      <c r="G584" s="4" t="s">
        <v>2308</v>
      </c>
      <c r="H584" s="4" t="s">
        <v>2308</v>
      </c>
      <c r="I584" s="4" t="s">
        <v>2308</v>
      </c>
      <c r="J584" s="4" t="s">
        <v>2308</v>
      </c>
      <c r="K584" s="4" t="s">
        <v>2308</v>
      </c>
      <c r="L584" s="4" t="s">
        <v>2308</v>
      </c>
      <c r="M584" s="4" t="s">
        <v>2308</v>
      </c>
      <c r="N584" s="4" t="s">
        <v>2308</v>
      </c>
      <c r="O584" s="4" t="s">
        <v>2308</v>
      </c>
      <c r="P584" s="4" t="s">
        <v>2308</v>
      </c>
      <c r="Q584" s="4" t="s">
        <v>2308</v>
      </c>
      <c r="R584" s="4" t="s">
        <v>2308</v>
      </c>
      <c r="S584" s="4" t="s">
        <v>2308</v>
      </c>
      <c r="T584" s="4"/>
    </row>
    <row r="585" spans="1:20" ht="32.5" customHeight="1">
      <c r="A585" s="12" t="s">
        <v>3272</v>
      </c>
      <c r="B585" s="4" t="s">
        <v>2308</v>
      </c>
      <c r="C585" s="4" t="s">
        <v>12</v>
      </c>
      <c r="D585" s="4" t="s">
        <v>136</v>
      </c>
      <c r="E585" s="5" t="s">
        <v>404</v>
      </c>
      <c r="F585" s="4" t="s">
        <v>45</v>
      </c>
      <c r="G585" s="4" t="s">
        <v>2308</v>
      </c>
      <c r="H585" s="4" t="s">
        <v>2308</v>
      </c>
      <c r="I585" s="22">
        <v>67.33</v>
      </c>
      <c r="J585" s="22">
        <f>527.78/1000</f>
        <v>0.52778000000000003</v>
      </c>
      <c r="K585" s="4" t="s">
        <v>2308</v>
      </c>
      <c r="L585" s="4" t="s">
        <v>2308</v>
      </c>
      <c r="M585" s="4" t="s">
        <v>2308</v>
      </c>
      <c r="N585" s="4" t="s">
        <v>2308</v>
      </c>
      <c r="O585" s="22">
        <v>4.7824149710381709</v>
      </c>
      <c r="P585" s="22">
        <v>19.111605178553646</v>
      </c>
      <c r="Q585" s="22">
        <f>(100 - (SUM(O585:P585)+R585))*I585/I585</f>
        <v>19.578428981553287</v>
      </c>
      <c r="R585" s="22">
        <v>56.527550868854902</v>
      </c>
      <c r="S585" s="4" t="s">
        <v>2308</v>
      </c>
      <c r="T585" s="4" t="s">
        <v>3318</v>
      </c>
    </row>
    <row r="586" spans="1:20" ht="31" customHeight="1">
      <c r="A586" s="12" t="s">
        <v>3275</v>
      </c>
      <c r="B586" s="4" t="s">
        <v>2308</v>
      </c>
      <c r="C586" s="4" t="s">
        <v>12</v>
      </c>
      <c r="D586" s="4" t="s">
        <v>136</v>
      </c>
      <c r="E586" s="5" t="s">
        <v>404</v>
      </c>
      <c r="F586" s="4" t="s">
        <v>45</v>
      </c>
      <c r="G586" s="4" t="s">
        <v>2308</v>
      </c>
      <c r="H586" s="4" t="s">
        <v>2308</v>
      </c>
      <c r="I586" s="22">
        <v>103.33</v>
      </c>
      <c r="J586" s="22">
        <f>482.3/1000</f>
        <v>0.48230000000000001</v>
      </c>
      <c r="K586" s="4" t="s">
        <v>2308</v>
      </c>
      <c r="L586" s="4" t="s">
        <v>2308</v>
      </c>
      <c r="M586" s="4" t="s">
        <v>2308</v>
      </c>
      <c r="N586" s="4" t="s">
        <v>2308</v>
      </c>
      <c r="O586" s="22">
        <v>2.1484564018194137</v>
      </c>
      <c r="P586" s="22">
        <v>3.1162295557921227</v>
      </c>
      <c r="Q586" s="22">
        <f t="shared" ref="Q586:Q598" si="1">(100 - (SUM(O586:P586)+R586))*I586/I586</f>
        <v>16.452143617536052</v>
      </c>
      <c r="R586" s="22">
        <v>78.283170424852415</v>
      </c>
      <c r="S586" s="4" t="s">
        <v>2308</v>
      </c>
      <c r="T586" s="4" t="s">
        <v>3318</v>
      </c>
    </row>
    <row r="587" spans="1:20" ht="27" customHeight="1">
      <c r="A587" s="12" t="s">
        <v>3276</v>
      </c>
      <c r="B587" s="4" t="s">
        <v>2308</v>
      </c>
      <c r="C587" s="4" t="s">
        <v>12</v>
      </c>
      <c r="D587" s="4" t="s">
        <v>136</v>
      </c>
      <c r="E587" s="5" t="s">
        <v>404</v>
      </c>
      <c r="F587" s="4" t="s">
        <v>45</v>
      </c>
      <c r="G587" s="4" t="s">
        <v>2308</v>
      </c>
      <c r="H587" s="4" t="s">
        <v>2308</v>
      </c>
      <c r="I587" s="22">
        <v>46.17</v>
      </c>
      <c r="J587" s="22">
        <f>264.921/1000</f>
        <v>0.26492100000000002</v>
      </c>
      <c r="K587" s="4" t="s">
        <v>2308</v>
      </c>
      <c r="L587" s="4" t="s">
        <v>2308</v>
      </c>
      <c r="M587" s="4" t="s">
        <v>2308</v>
      </c>
      <c r="N587" s="4" t="s">
        <v>2308</v>
      </c>
      <c r="O587" s="22">
        <v>4.4834307992202724</v>
      </c>
      <c r="P587" s="22">
        <v>8.5986571366688338</v>
      </c>
      <c r="Q587" s="22">
        <f t="shared" si="1"/>
        <v>49.880875027073856</v>
      </c>
      <c r="R587" s="22">
        <v>37.037037037037038</v>
      </c>
      <c r="S587" s="4" t="s">
        <v>2308</v>
      </c>
      <c r="T587" s="4" t="s">
        <v>3318</v>
      </c>
    </row>
    <row r="588" spans="1:20" ht="29" customHeight="1">
      <c r="A588" s="12" t="s">
        <v>3280</v>
      </c>
      <c r="B588" s="4" t="s">
        <v>2308</v>
      </c>
      <c r="C588" s="4" t="s">
        <v>12</v>
      </c>
      <c r="D588" s="4" t="s">
        <v>136</v>
      </c>
      <c r="E588" s="5" t="s">
        <v>404</v>
      </c>
      <c r="F588" s="4" t="s">
        <v>45</v>
      </c>
      <c r="G588" s="4" t="s">
        <v>2308</v>
      </c>
      <c r="H588" s="4" t="s">
        <v>2308</v>
      </c>
      <c r="I588" s="22">
        <v>41.53</v>
      </c>
      <c r="J588" s="22">
        <f>396/1000</f>
        <v>0.39600000000000002</v>
      </c>
      <c r="K588" s="4" t="s">
        <v>2308</v>
      </c>
      <c r="L588" s="4" t="s">
        <v>2308</v>
      </c>
      <c r="M588" s="4" t="s">
        <v>2308</v>
      </c>
      <c r="N588" s="4" t="s">
        <v>2308</v>
      </c>
      <c r="O588" s="22">
        <v>12.737779918131469</v>
      </c>
      <c r="P588" s="22">
        <v>7.3922465687454846</v>
      </c>
      <c r="Q588" s="22">
        <f t="shared" si="1"/>
        <v>46.857693233806884</v>
      </c>
      <c r="R588" s="22">
        <v>33.012280279316158</v>
      </c>
      <c r="S588" s="4" t="s">
        <v>2308</v>
      </c>
      <c r="T588" s="4" t="s">
        <v>3318</v>
      </c>
    </row>
    <row r="589" spans="1:20" ht="25.5" customHeight="1">
      <c r="A589" s="12" t="s">
        <v>3281</v>
      </c>
      <c r="B589" s="4" t="s">
        <v>2308</v>
      </c>
      <c r="C589" s="4" t="s">
        <v>12</v>
      </c>
      <c r="D589" s="4" t="s">
        <v>136</v>
      </c>
      <c r="E589" s="5" t="s">
        <v>404</v>
      </c>
      <c r="F589" s="4" t="s">
        <v>45</v>
      </c>
      <c r="G589" s="4" t="s">
        <v>2308</v>
      </c>
      <c r="H589" s="4" t="s">
        <v>2308</v>
      </c>
      <c r="I589" s="22">
        <v>86.43</v>
      </c>
      <c r="J589" s="22">
        <f>216.55/1000</f>
        <v>0.21655000000000002</v>
      </c>
      <c r="K589" s="4" t="s">
        <v>2308</v>
      </c>
      <c r="L589" s="4" t="s">
        <v>2308</v>
      </c>
      <c r="M589" s="4" t="s">
        <v>2308</v>
      </c>
      <c r="N589" s="4" t="s">
        <v>2308</v>
      </c>
      <c r="O589" s="22">
        <v>17.459215550156195</v>
      </c>
      <c r="P589" s="22">
        <v>4.3850514867522845</v>
      </c>
      <c r="Q589" s="22">
        <f t="shared" si="1"/>
        <v>30.417679046627342</v>
      </c>
      <c r="R589" s="22">
        <v>47.738053916464182</v>
      </c>
      <c r="S589" s="4" t="s">
        <v>2308</v>
      </c>
      <c r="T589" s="4" t="s">
        <v>3318</v>
      </c>
    </row>
    <row r="590" spans="1:20" ht="26" customHeight="1">
      <c r="A590" s="12" t="s">
        <v>3282</v>
      </c>
      <c r="B590" s="4" t="s">
        <v>2308</v>
      </c>
      <c r="C590" s="4" t="s">
        <v>12</v>
      </c>
      <c r="D590" s="4" t="s">
        <v>136</v>
      </c>
      <c r="E590" s="5" t="s">
        <v>404</v>
      </c>
      <c r="F590" s="4" t="s">
        <v>45</v>
      </c>
      <c r="G590" s="4" t="s">
        <v>2308</v>
      </c>
      <c r="H590" s="4" t="s">
        <v>2308</v>
      </c>
      <c r="I590" s="22">
        <v>110.2</v>
      </c>
      <c r="J590" s="22">
        <f>499.638/1000</f>
        <v>0.49963799999999997</v>
      </c>
      <c r="K590" s="4" t="s">
        <v>2308</v>
      </c>
      <c r="L590" s="4" t="s">
        <v>2308</v>
      </c>
      <c r="M590" s="4" t="s">
        <v>2308</v>
      </c>
      <c r="N590" s="4" t="s">
        <v>2308</v>
      </c>
      <c r="O590" s="22">
        <v>22.186932849364791</v>
      </c>
      <c r="P590" s="22">
        <v>3.511796733212341</v>
      </c>
      <c r="Q590" s="22">
        <f t="shared" si="1"/>
        <v>32.704174228675129</v>
      </c>
      <c r="R590" s="22">
        <v>41.597096188747734</v>
      </c>
      <c r="S590" s="4" t="s">
        <v>2308</v>
      </c>
      <c r="T590" s="4" t="s">
        <v>3318</v>
      </c>
    </row>
    <row r="591" spans="1:20" ht="31" customHeight="1">
      <c r="A591" s="12" t="s">
        <v>3286</v>
      </c>
      <c r="B591" s="4" t="s">
        <v>2308</v>
      </c>
      <c r="C591" s="4" t="s">
        <v>12</v>
      </c>
      <c r="D591" s="4" t="s">
        <v>136</v>
      </c>
      <c r="E591" s="5" t="s">
        <v>404</v>
      </c>
      <c r="F591" s="4" t="s">
        <v>45</v>
      </c>
      <c r="G591" s="4" t="s">
        <v>2308</v>
      </c>
      <c r="H591" s="4" t="s">
        <v>2308</v>
      </c>
      <c r="I591" s="22">
        <v>50.67</v>
      </c>
      <c r="J591" s="22">
        <f>432.778/1000</f>
        <v>0.432778</v>
      </c>
      <c r="K591" s="4" t="s">
        <v>2308</v>
      </c>
      <c r="L591" s="4" t="s">
        <v>2308</v>
      </c>
      <c r="M591" s="4" t="s">
        <v>2308</v>
      </c>
      <c r="N591" s="4" t="s">
        <v>2308</v>
      </c>
      <c r="O591" s="22">
        <v>1.9735543714229327</v>
      </c>
      <c r="P591" s="22">
        <v>15.591079534241167</v>
      </c>
      <c r="Q591" s="22">
        <f t="shared" si="1"/>
        <v>26.682455101638055</v>
      </c>
      <c r="R591" s="22">
        <v>55.752910992697849</v>
      </c>
      <c r="S591" s="4" t="s">
        <v>2308</v>
      </c>
      <c r="T591" s="4" t="s">
        <v>3318</v>
      </c>
    </row>
    <row r="592" spans="1:20" ht="29.5" customHeight="1">
      <c r="A592" s="12" t="s">
        <v>3287</v>
      </c>
      <c r="B592" s="4" t="s">
        <v>2308</v>
      </c>
      <c r="C592" s="4" t="s">
        <v>12</v>
      </c>
      <c r="D592" s="4" t="s">
        <v>136</v>
      </c>
      <c r="E592" s="5" t="s">
        <v>404</v>
      </c>
      <c r="F592" s="4" t="s">
        <v>45</v>
      </c>
      <c r="G592" s="4" t="s">
        <v>2308</v>
      </c>
      <c r="H592" s="4" t="s">
        <v>2308</v>
      </c>
      <c r="I592" s="22">
        <v>109.93</v>
      </c>
      <c r="J592" s="22">
        <f>1107.6/1000</f>
        <v>1.1075999999999999</v>
      </c>
      <c r="K592" s="4" t="s">
        <v>2308</v>
      </c>
      <c r="L592" s="4" t="s">
        <v>2308</v>
      </c>
      <c r="M592" s="4" t="s">
        <v>2308</v>
      </c>
      <c r="N592" s="4" t="s">
        <v>2308</v>
      </c>
      <c r="O592" s="22">
        <v>20.585827344673881</v>
      </c>
      <c r="P592" s="22">
        <v>1.9375966524151731</v>
      </c>
      <c r="Q592" s="22">
        <f t="shared" si="1"/>
        <v>18.238879286818886</v>
      </c>
      <c r="R592" s="22">
        <v>59.23769671609206</v>
      </c>
      <c r="S592" s="4" t="s">
        <v>2308</v>
      </c>
      <c r="T592" s="4" t="s">
        <v>3318</v>
      </c>
    </row>
    <row r="593" spans="1:20" ht="27" customHeight="1">
      <c r="A593" s="12" t="s">
        <v>3288</v>
      </c>
      <c r="B593" s="4" t="s">
        <v>2308</v>
      </c>
      <c r="C593" s="4" t="s">
        <v>12</v>
      </c>
      <c r="D593" s="4" t="s">
        <v>136</v>
      </c>
      <c r="E593" s="5" t="s">
        <v>404</v>
      </c>
      <c r="F593" s="4" t="s">
        <v>45</v>
      </c>
      <c r="G593" s="4" t="s">
        <v>2308</v>
      </c>
      <c r="H593" s="4" t="s">
        <v>2308</v>
      </c>
      <c r="I593" s="22">
        <v>30.35</v>
      </c>
      <c r="J593" s="22">
        <f>667.39/1000</f>
        <v>0.66739000000000004</v>
      </c>
      <c r="K593" s="4" t="s">
        <v>2308</v>
      </c>
      <c r="L593" s="4" t="s">
        <v>2308</v>
      </c>
      <c r="M593" s="4" t="s">
        <v>2308</v>
      </c>
      <c r="N593" s="4" t="s">
        <v>2308</v>
      </c>
      <c r="O593" s="22">
        <v>4.4481054365733117</v>
      </c>
      <c r="P593" s="22">
        <v>10.774299835255354</v>
      </c>
      <c r="Q593" s="22">
        <f t="shared" si="1"/>
        <v>67.281713344316316</v>
      </c>
      <c r="R593" s="22">
        <v>17.495881383855021</v>
      </c>
      <c r="S593" s="4" t="s">
        <v>2308</v>
      </c>
      <c r="T593" s="4" t="s">
        <v>3318</v>
      </c>
    </row>
    <row r="594" spans="1:20" ht="29" customHeight="1">
      <c r="A594" s="12" t="s">
        <v>3292</v>
      </c>
      <c r="B594" s="4" t="s">
        <v>2308</v>
      </c>
      <c r="C594" s="4" t="s">
        <v>12</v>
      </c>
      <c r="D594" s="4" t="s">
        <v>136</v>
      </c>
      <c r="E594" s="5" t="s">
        <v>404</v>
      </c>
      <c r="F594" s="4" t="s">
        <v>45</v>
      </c>
      <c r="G594" s="4" t="s">
        <v>2308</v>
      </c>
      <c r="H594" s="4" t="s">
        <v>2308</v>
      </c>
      <c r="I594" s="22">
        <v>34.590000000000003</v>
      </c>
      <c r="J594" s="22">
        <f>478.57/1000</f>
        <v>0.47857</v>
      </c>
      <c r="K594" s="4" t="s">
        <v>2308</v>
      </c>
      <c r="L594" s="4" t="s">
        <v>2308</v>
      </c>
      <c r="M594" s="4" t="s">
        <v>2308</v>
      </c>
      <c r="N594" s="4" t="s">
        <v>2308</v>
      </c>
      <c r="O594" s="22">
        <v>56.837236195432205</v>
      </c>
      <c r="P594" s="22">
        <v>14.281584272911246</v>
      </c>
      <c r="Q594" s="22">
        <f t="shared" si="1"/>
        <v>22.896790980052046</v>
      </c>
      <c r="R594" s="22">
        <v>5.9843885516045088</v>
      </c>
      <c r="S594" s="4" t="s">
        <v>2308</v>
      </c>
      <c r="T594" s="4" t="s">
        <v>3318</v>
      </c>
    </row>
    <row r="595" spans="1:20" ht="28" customHeight="1">
      <c r="A595" s="12" t="s">
        <v>3293</v>
      </c>
      <c r="B595" s="4" t="s">
        <v>2308</v>
      </c>
      <c r="C595" s="4" t="s">
        <v>12</v>
      </c>
      <c r="D595" s="4" t="s">
        <v>136</v>
      </c>
      <c r="E595" s="5" t="s">
        <v>404</v>
      </c>
      <c r="F595" s="4" t="s">
        <v>45</v>
      </c>
      <c r="G595" s="4" t="s">
        <v>2308</v>
      </c>
      <c r="H595" s="4" t="s">
        <v>2308</v>
      </c>
      <c r="I595" s="22">
        <v>117.91</v>
      </c>
      <c r="J595" s="22">
        <f>155.6/1000</f>
        <v>0.15559999999999999</v>
      </c>
      <c r="K595" s="4" t="s">
        <v>2308</v>
      </c>
      <c r="L595" s="4" t="s">
        <v>2308</v>
      </c>
      <c r="M595" s="4" t="s">
        <v>2308</v>
      </c>
      <c r="N595" s="4" t="s">
        <v>2308</v>
      </c>
      <c r="O595" s="22">
        <v>1.1534221016029176</v>
      </c>
      <c r="P595" s="22">
        <v>2.0608939021287425</v>
      </c>
      <c r="Q595" s="22">
        <f t="shared" si="1"/>
        <v>22.847934865575439</v>
      </c>
      <c r="R595" s="22">
        <v>73.937749130692907</v>
      </c>
      <c r="S595" s="4" t="s">
        <v>2308</v>
      </c>
      <c r="T595" s="4" t="s">
        <v>3318</v>
      </c>
    </row>
    <row r="596" spans="1:20" ht="28" customHeight="1">
      <c r="A596" s="12" t="s">
        <v>3294</v>
      </c>
      <c r="B596" s="4" t="s">
        <v>2308</v>
      </c>
      <c r="C596" s="4" t="s">
        <v>12</v>
      </c>
      <c r="D596" s="4" t="s">
        <v>136</v>
      </c>
      <c r="E596" s="5" t="s">
        <v>404</v>
      </c>
      <c r="F596" s="4" t="s">
        <v>45</v>
      </c>
      <c r="G596" s="4" t="s">
        <v>2308</v>
      </c>
      <c r="H596" s="4" t="s">
        <v>2308</v>
      </c>
      <c r="I596" s="22">
        <v>66.5</v>
      </c>
      <c r="J596" s="22">
        <f>312.96/1000</f>
        <v>0.31295999999999996</v>
      </c>
      <c r="K596" s="4" t="s">
        <v>2308</v>
      </c>
      <c r="L596" s="4" t="s">
        <v>2308</v>
      </c>
      <c r="M596" s="4" t="s">
        <v>2308</v>
      </c>
      <c r="N596" s="4" t="s">
        <v>2308</v>
      </c>
      <c r="O596" s="22">
        <v>9.6842105263157894</v>
      </c>
      <c r="P596" s="22">
        <v>5.7443609022556386</v>
      </c>
      <c r="Q596" s="22">
        <f t="shared" si="1"/>
        <v>49.563909774436098</v>
      </c>
      <c r="R596" s="22">
        <v>35.007518796992478</v>
      </c>
      <c r="S596" s="4" t="s">
        <v>2308</v>
      </c>
      <c r="T596" s="4" t="s">
        <v>3318</v>
      </c>
    </row>
    <row r="597" spans="1:20" ht="30.5" customHeight="1">
      <c r="A597" s="12" t="s">
        <v>3298</v>
      </c>
      <c r="B597" s="4" t="s">
        <v>2308</v>
      </c>
      <c r="C597" s="4" t="s">
        <v>12</v>
      </c>
      <c r="D597" s="4" t="s">
        <v>136</v>
      </c>
      <c r="E597" s="5" t="s">
        <v>404</v>
      </c>
      <c r="F597" s="4" t="s">
        <v>45</v>
      </c>
      <c r="G597" s="4" t="s">
        <v>2308</v>
      </c>
      <c r="H597" s="4" t="s">
        <v>2308</v>
      </c>
      <c r="I597" s="22">
        <v>55.56</v>
      </c>
      <c r="J597" s="22">
        <f>213.1/1000</f>
        <v>0.21309999999999998</v>
      </c>
      <c r="K597" s="4" t="s">
        <v>2308</v>
      </c>
      <c r="L597" s="4" t="s">
        <v>2308</v>
      </c>
      <c r="M597" s="4" t="s">
        <v>2308</v>
      </c>
      <c r="N597" s="4" t="s">
        <v>2308</v>
      </c>
      <c r="O597" s="22">
        <v>5.3995680345572357</v>
      </c>
      <c r="P597" s="22">
        <v>8.0993520518358526</v>
      </c>
      <c r="Q597" s="22">
        <f t="shared" si="1"/>
        <v>47.660187185025201</v>
      </c>
      <c r="R597" s="22">
        <v>38.840892728581707</v>
      </c>
      <c r="S597" s="4" t="s">
        <v>2308</v>
      </c>
      <c r="T597" s="4" t="s">
        <v>3318</v>
      </c>
    </row>
    <row r="598" spans="1:20" ht="30.5" customHeight="1">
      <c r="A598" s="12" t="s">
        <v>3299</v>
      </c>
      <c r="B598" s="4" t="s">
        <v>2308</v>
      </c>
      <c r="C598" s="4" t="s">
        <v>12</v>
      </c>
      <c r="D598" s="4" t="s">
        <v>136</v>
      </c>
      <c r="E598" s="5" t="s">
        <v>404</v>
      </c>
      <c r="F598" s="4" t="s">
        <v>45</v>
      </c>
      <c r="G598" s="4" t="s">
        <v>2308</v>
      </c>
      <c r="H598" s="4" t="s">
        <v>2308</v>
      </c>
      <c r="I598" s="22">
        <v>37.380000000000003</v>
      </c>
      <c r="J598" s="22">
        <f>711.25/1000</f>
        <v>0.71125000000000005</v>
      </c>
      <c r="K598" s="4" t="s">
        <v>2308</v>
      </c>
      <c r="L598" s="4" t="s">
        <v>2308</v>
      </c>
      <c r="M598" s="4" t="s">
        <v>2308</v>
      </c>
      <c r="N598" s="4" t="s">
        <v>2308</v>
      </c>
      <c r="O598" s="22">
        <v>33.948635634028889</v>
      </c>
      <c r="P598" s="22">
        <v>12.867843766720169</v>
      </c>
      <c r="Q598" s="22">
        <f t="shared" si="1"/>
        <v>37.346174424826117</v>
      </c>
      <c r="R598" s="22">
        <v>15.837346174424823</v>
      </c>
      <c r="S598" s="4" t="s">
        <v>2308</v>
      </c>
      <c r="T598" s="4" t="s">
        <v>3318</v>
      </c>
    </row>
    <row r="599" spans="1:20" ht="35" customHeight="1">
      <c r="A599" s="12" t="s">
        <v>3320</v>
      </c>
      <c r="B599" s="4" t="s">
        <v>69</v>
      </c>
      <c r="C599" s="4" t="s">
        <v>402</v>
      </c>
      <c r="D599" s="4" t="s">
        <v>116</v>
      </c>
      <c r="E599" s="4" t="s">
        <v>2308</v>
      </c>
      <c r="F599" s="4" t="s">
        <v>2308</v>
      </c>
      <c r="G599" s="4" t="s">
        <v>2308</v>
      </c>
      <c r="H599" s="4" t="s">
        <v>2308</v>
      </c>
      <c r="I599" s="4" t="s">
        <v>2308</v>
      </c>
      <c r="J599" s="4" t="s">
        <v>2308</v>
      </c>
      <c r="K599" s="4" t="s">
        <v>2308</v>
      </c>
      <c r="L599" s="4" t="s">
        <v>2308</v>
      </c>
      <c r="M599" s="4" t="s">
        <v>2308</v>
      </c>
      <c r="N599" s="4" t="s">
        <v>2308</v>
      </c>
      <c r="O599" s="4" t="s">
        <v>2308</v>
      </c>
      <c r="P599" s="4" t="s">
        <v>2308</v>
      </c>
      <c r="Q599" s="4" t="s">
        <v>2308</v>
      </c>
      <c r="R599" s="4" t="s">
        <v>2308</v>
      </c>
      <c r="S599" s="4" t="s">
        <v>2308</v>
      </c>
      <c r="T599" s="4" t="s">
        <v>3324</v>
      </c>
    </row>
    <row r="600" spans="1:20" ht="32.5" customHeight="1">
      <c r="A600" s="4" t="s">
        <v>3321</v>
      </c>
      <c r="B600" s="4" t="s">
        <v>69</v>
      </c>
      <c r="C600" s="4" t="s">
        <v>402</v>
      </c>
      <c r="D600" s="4" t="s">
        <v>116</v>
      </c>
      <c r="E600" s="4" t="s">
        <v>2308</v>
      </c>
      <c r="F600" s="4" t="s">
        <v>2308</v>
      </c>
      <c r="G600" s="4" t="s">
        <v>2308</v>
      </c>
      <c r="H600" s="4" t="s">
        <v>2308</v>
      </c>
      <c r="I600" s="4" t="s">
        <v>2308</v>
      </c>
      <c r="J600" s="4" t="s">
        <v>2308</v>
      </c>
      <c r="K600" s="4" t="s">
        <v>2308</v>
      </c>
      <c r="L600" s="4" t="s">
        <v>2308</v>
      </c>
      <c r="M600" s="4" t="s">
        <v>2308</v>
      </c>
      <c r="N600" s="4" t="s">
        <v>2308</v>
      </c>
      <c r="O600" s="4" t="s">
        <v>2308</v>
      </c>
      <c r="P600" s="4" t="s">
        <v>2308</v>
      </c>
      <c r="Q600" s="4" t="s">
        <v>2308</v>
      </c>
      <c r="R600" s="4" t="s">
        <v>2308</v>
      </c>
      <c r="S600" s="4" t="s">
        <v>2308</v>
      </c>
      <c r="T600" s="4" t="s">
        <v>3324</v>
      </c>
    </row>
    <row r="601" spans="1:20" ht="30.5" customHeight="1">
      <c r="A601" s="12" t="s">
        <v>3331</v>
      </c>
      <c r="B601" s="4" t="s">
        <v>32</v>
      </c>
      <c r="C601" s="4" t="s">
        <v>12</v>
      </c>
      <c r="D601" s="4" t="s">
        <v>5065</v>
      </c>
      <c r="E601" s="4" t="s">
        <v>136</v>
      </c>
      <c r="F601" s="4" t="s">
        <v>143</v>
      </c>
      <c r="G601" s="4" t="s">
        <v>2685</v>
      </c>
      <c r="H601" s="22">
        <f>17500/('Record info'!K601*100)</f>
        <v>0.109375</v>
      </c>
      <c r="I601" s="4" t="s">
        <v>2308</v>
      </c>
      <c r="J601" s="4" t="s">
        <v>2308</v>
      </c>
      <c r="K601" s="4" t="s">
        <v>2308</v>
      </c>
      <c r="L601" s="4" t="s">
        <v>2308</v>
      </c>
      <c r="M601" s="4" t="s">
        <v>2308</v>
      </c>
      <c r="N601" s="4" t="s">
        <v>2308</v>
      </c>
      <c r="O601" s="4" t="s">
        <v>2308</v>
      </c>
      <c r="P601" s="4" t="s">
        <v>2308</v>
      </c>
      <c r="Q601" s="4" t="s">
        <v>2308</v>
      </c>
      <c r="R601" s="4" t="s">
        <v>2308</v>
      </c>
      <c r="S601" s="4" t="s">
        <v>2308</v>
      </c>
      <c r="T601" s="4"/>
    </row>
    <row r="602" spans="1:20" ht="30.5" customHeight="1">
      <c r="A602" s="12" t="s">
        <v>3336</v>
      </c>
      <c r="B602" s="4" t="s">
        <v>32</v>
      </c>
      <c r="C602" s="4" t="s">
        <v>12</v>
      </c>
      <c r="D602" s="4" t="s">
        <v>5065</v>
      </c>
      <c r="E602" s="4" t="s">
        <v>136</v>
      </c>
      <c r="F602" s="4" t="s">
        <v>143</v>
      </c>
      <c r="G602" s="4" t="s">
        <v>2685</v>
      </c>
      <c r="H602" s="22">
        <f>17500/('Record info'!K602*100)</f>
        <v>0.109375</v>
      </c>
      <c r="I602" s="4" t="s">
        <v>2308</v>
      </c>
      <c r="J602" s="4" t="s">
        <v>2308</v>
      </c>
      <c r="K602" s="4" t="s">
        <v>2308</v>
      </c>
      <c r="L602" s="4" t="s">
        <v>2308</v>
      </c>
      <c r="M602" s="4" t="s">
        <v>2308</v>
      </c>
      <c r="N602" s="4" t="s">
        <v>2308</v>
      </c>
      <c r="O602" s="4" t="s">
        <v>2308</v>
      </c>
      <c r="P602" s="4" t="s">
        <v>2308</v>
      </c>
      <c r="Q602" s="4" t="s">
        <v>2308</v>
      </c>
      <c r="R602" s="4" t="s">
        <v>2308</v>
      </c>
      <c r="S602" s="4" t="s">
        <v>2308</v>
      </c>
      <c r="T602" s="4"/>
    </row>
    <row r="603" spans="1:20" ht="30.5" customHeight="1">
      <c r="A603" s="12" t="s">
        <v>3337</v>
      </c>
      <c r="B603" s="4" t="s">
        <v>32</v>
      </c>
      <c r="C603" s="4" t="s">
        <v>12</v>
      </c>
      <c r="D603" s="4" t="s">
        <v>5065</v>
      </c>
      <c r="E603" s="4" t="s">
        <v>136</v>
      </c>
      <c r="F603" s="4" t="s">
        <v>143</v>
      </c>
      <c r="G603" s="4" t="s">
        <v>2685</v>
      </c>
      <c r="H603" s="22">
        <f>17500/('Record info'!K603*100)</f>
        <v>0.109375</v>
      </c>
      <c r="I603" s="4" t="s">
        <v>2308</v>
      </c>
      <c r="J603" s="4" t="s">
        <v>2308</v>
      </c>
      <c r="K603" s="4" t="s">
        <v>2308</v>
      </c>
      <c r="L603" s="4" t="s">
        <v>2308</v>
      </c>
      <c r="M603" s="4" t="s">
        <v>2308</v>
      </c>
      <c r="N603" s="4" t="s">
        <v>2308</v>
      </c>
      <c r="O603" s="4" t="s">
        <v>2308</v>
      </c>
      <c r="P603" s="4" t="s">
        <v>2308</v>
      </c>
      <c r="Q603" s="4" t="s">
        <v>2308</v>
      </c>
      <c r="R603" s="4" t="s">
        <v>2308</v>
      </c>
      <c r="S603" s="4" t="s">
        <v>2308</v>
      </c>
      <c r="T603" s="4"/>
    </row>
    <row r="604" spans="1:20" ht="25.5" customHeight="1">
      <c r="A604" s="12" t="s">
        <v>3339</v>
      </c>
      <c r="B604" s="4" t="s">
        <v>69</v>
      </c>
      <c r="C604" s="4" t="s">
        <v>12</v>
      </c>
      <c r="D604" s="4" t="s">
        <v>5065</v>
      </c>
      <c r="E604" s="4" t="s">
        <v>2308</v>
      </c>
      <c r="F604" s="4" t="s">
        <v>2308</v>
      </c>
      <c r="G604" s="4" t="s">
        <v>2308</v>
      </c>
      <c r="H604" s="22">
        <f>5000/('Record info'!K604*100)</f>
        <v>3.125E-2</v>
      </c>
      <c r="I604" s="4" t="s">
        <v>2308</v>
      </c>
      <c r="J604" s="4" t="s">
        <v>2308</v>
      </c>
      <c r="K604" s="4" t="s">
        <v>2308</v>
      </c>
      <c r="L604" s="4" t="s">
        <v>2308</v>
      </c>
      <c r="M604" s="4" t="s">
        <v>2308</v>
      </c>
      <c r="N604" s="4" t="s">
        <v>2308</v>
      </c>
      <c r="O604" s="4" t="s">
        <v>2308</v>
      </c>
      <c r="P604" s="4" t="s">
        <v>2308</v>
      </c>
      <c r="Q604" s="4" t="s">
        <v>2308</v>
      </c>
      <c r="R604" s="4" t="s">
        <v>2308</v>
      </c>
      <c r="S604" s="4" t="s">
        <v>2308</v>
      </c>
      <c r="T604" s="4"/>
    </row>
    <row r="605" spans="1:20" ht="25.5" customHeight="1">
      <c r="A605" s="12" t="s">
        <v>3340</v>
      </c>
      <c r="B605" s="4" t="s">
        <v>69</v>
      </c>
      <c r="C605" s="4" t="s">
        <v>12</v>
      </c>
      <c r="D605" s="4" t="s">
        <v>5065</v>
      </c>
      <c r="E605" s="4" t="s">
        <v>2308</v>
      </c>
      <c r="F605" s="4" t="s">
        <v>2308</v>
      </c>
      <c r="G605" s="4" t="s">
        <v>2308</v>
      </c>
      <c r="H605" s="22">
        <v>3.125E-2</v>
      </c>
      <c r="I605" s="4" t="s">
        <v>2308</v>
      </c>
      <c r="J605" s="4" t="s">
        <v>2308</v>
      </c>
      <c r="K605" s="4" t="s">
        <v>2308</v>
      </c>
      <c r="L605" s="4" t="s">
        <v>2308</v>
      </c>
      <c r="M605" s="4" t="s">
        <v>2308</v>
      </c>
      <c r="N605" s="4" t="s">
        <v>2308</v>
      </c>
      <c r="O605" s="4" t="s">
        <v>2308</v>
      </c>
      <c r="P605" s="4" t="s">
        <v>2308</v>
      </c>
      <c r="Q605" s="4" t="s">
        <v>2308</v>
      </c>
      <c r="R605" s="4" t="s">
        <v>2308</v>
      </c>
      <c r="S605" s="4" t="s">
        <v>2308</v>
      </c>
      <c r="T605" s="4"/>
    </row>
    <row r="606" spans="1:20" ht="25.5" customHeight="1">
      <c r="A606" s="12" t="s">
        <v>3341</v>
      </c>
      <c r="B606" s="4" t="s">
        <v>69</v>
      </c>
      <c r="C606" s="4" t="s">
        <v>12</v>
      </c>
      <c r="D606" s="4" t="s">
        <v>5065</v>
      </c>
      <c r="E606" s="4" t="s">
        <v>2308</v>
      </c>
      <c r="F606" s="4" t="s">
        <v>2308</v>
      </c>
      <c r="G606" s="4" t="s">
        <v>2308</v>
      </c>
      <c r="H606" s="22">
        <v>3.125E-2</v>
      </c>
      <c r="I606" s="4" t="s">
        <v>2308</v>
      </c>
      <c r="J606" s="4" t="s">
        <v>2308</v>
      </c>
      <c r="K606" s="4" t="s">
        <v>2308</v>
      </c>
      <c r="L606" s="4" t="s">
        <v>2308</v>
      </c>
      <c r="M606" s="4" t="s">
        <v>2308</v>
      </c>
      <c r="N606" s="4" t="s">
        <v>2308</v>
      </c>
      <c r="O606" s="4" t="s">
        <v>2308</v>
      </c>
      <c r="P606" s="4" t="s">
        <v>2308</v>
      </c>
      <c r="Q606" s="4" t="s">
        <v>2308</v>
      </c>
      <c r="R606" s="4" t="s">
        <v>2308</v>
      </c>
      <c r="S606" s="4" t="s">
        <v>2308</v>
      </c>
      <c r="T606" s="4"/>
    </row>
    <row r="607" spans="1:20" ht="50.5" customHeight="1">
      <c r="A607" s="4" t="s">
        <v>3349</v>
      </c>
      <c r="B607" s="4" t="s">
        <v>32</v>
      </c>
      <c r="C607" s="4" t="s">
        <v>12</v>
      </c>
      <c r="D607" s="4" t="s">
        <v>116</v>
      </c>
      <c r="E607" s="5" t="s">
        <v>404</v>
      </c>
      <c r="F607" s="4" t="s">
        <v>143</v>
      </c>
      <c r="G607" s="4" t="s">
        <v>2308</v>
      </c>
      <c r="H607" s="4" t="s">
        <v>2308</v>
      </c>
      <c r="I607" s="4" t="s">
        <v>2308</v>
      </c>
      <c r="J607" s="4" t="s">
        <v>2308</v>
      </c>
      <c r="K607" s="4" t="s">
        <v>542</v>
      </c>
      <c r="L607" s="4" t="s">
        <v>2308</v>
      </c>
      <c r="M607" s="4" t="s">
        <v>2308</v>
      </c>
      <c r="N607" s="4" t="s">
        <v>2308</v>
      </c>
      <c r="O607" s="4" t="s">
        <v>2308</v>
      </c>
      <c r="P607" s="4" t="s">
        <v>2308</v>
      </c>
      <c r="Q607" s="4" t="s">
        <v>2308</v>
      </c>
      <c r="R607" s="4" t="s">
        <v>2308</v>
      </c>
      <c r="S607" s="4" t="s">
        <v>2308</v>
      </c>
      <c r="T607" s="5" t="s">
        <v>3373</v>
      </c>
    </row>
    <row r="608" spans="1:20" ht="39.5" customHeight="1">
      <c r="A608" s="4" t="s">
        <v>3386</v>
      </c>
      <c r="B608" s="4" t="s">
        <v>69</v>
      </c>
      <c r="C608" s="4" t="s">
        <v>12</v>
      </c>
      <c r="D608" s="4" t="s">
        <v>116</v>
      </c>
      <c r="E608" s="5" t="s">
        <v>404</v>
      </c>
      <c r="F608" s="4" t="s">
        <v>2308</v>
      </c>
      <c r="G608" s="4" t="s">
        <v>2308</v>
      </c>
      <c r="H608" s="4" t="s">
        <v>2308</v>
      </c>
      <c r="I608" s="4" t="s">
        <v>2308</v>
      </c>
      <c r="J608" s="22">
        <f>250000/81500</f>
        <v>3.0674846625766872</v>
      </c>
      <c r="K608" s="4" t="s">
        <v>2308</v>
      </c>
      <c r="L608" s="4" t="s">
        <v>2308</v>
      </c>
      <c r="M608" s="4" t="s">
        <v>2308</v>
      </c>
      <c r="N608" s="4" t="s">
        <v>2308</v>
      </c>
      <c r="O608" s="4" t="s">
        <v>2308</v>
      </c>
      <c r="P608" s="22">
        <f>81500/('Record info'!K608)</f>
        <v>77.990430622009569</v>
      </c>
      <c r="Q608" s="22" t="s">
        <v>2308</v>
      </c>
      <c r="R608" s="22">
        <f>23000/('Record info'!K608)</f>
        <v>22.009569377990431</v>
      </c>
      <c r="S608" s="4" t="s">
        <v>2308</v>
      </c>
      <c r="T608" s="20" t="s">
        <v>3388</v>
      </c>
    </row>
    <row r="609" spans="1:20" ht="37" customHeight="1">
      <c r="A609" s="12" t="s">
        <v>3413</v>
      </c>
      <c r="B609" s="4" t="s">
        <v>1218</v>
      </c>
      <c r="C609" s="4" t="s">
        <v>2679</v>
      </c>
      <c r="D609" s="4" t="s">
        <v>143</v>
      </c>
      <c r="E609" s="4" t="s">
        <v>2308</v>
      </c>
      <c r="F609" s="4" t="s">
        <v>2308</v>
      </c>
      <c r="G609" s="4" t="s">
        <v>2308</v>
      </c>
      <c r="H609" s="4" t="s">
        <v>2308</v>
      </c>
      <c r="I609" s="4" t="s">
        <v>2308</v>
      </c>
      <c r="J609" s="4" t="s">
        <v>2308</v>
      </c>
      <c r="K609" s="4" t="s">
        <v>2308</v>
      </c>
      <c r="L609" s="4" t="s">
        <v>2308</v>
      </c>
      <c r="M609" s="4" t="s">
        <v>2308</v>
      </c>
      <c r="N609" s="4" t="s">
        <v>2308</v>
      </c>
      <c r="O609" s="4" t="s">
        <v>2308</v>
      </c>
      <c r="P609" s="4" t="s">
        <v>2308</v>
      </c>
      <c r="Q609" s="4" t="s">
        <v>2308</v>
      </c>
      <c r="R609" s="4" t="s">
        <v>2308</v>
      </c>
      <c r="S609" s="4" t="s">
        <v>2308</v>
      </c>
      <c r="T609" s="4"/>
    </row>
    <row r="610" spans="1:20" ht="54" customHeight="1">
      <c r="A610" s="12" t="s">
        <v>3419</v>
      </c>
      <c r="B610" s="4" t="s">
        <v>32</v>
      </c>
      <c r="C610" s="4" t="s">
        <v>12</v>
      </c>
      <c r="D610" s="4" t="s">
        <v>5065</v>
      </c>
      <c r="E610" s="4" t="s">
        <v>84</v>
      </c>
      <c r="F610" s="4" t="s">
        <v>143</v>
      </c>
      <c r="G610" s="4" t="s">
        <v>877</v>
      </c>
      <c r="H610" s="4" t="s">
        <v>2308</v>
      </c>
      <c r="I610" s="4">
        <v>0.64</v>
      </c>
      <c r="J610" s="4" t="s">
        <v>2308</v>
      </c>
      <c r="K610" s="4" t="s">
        <v>542</v>
      </c>
      <c r="L610" s="4" t="s">
        <v>2308</v>
      </c>
      <c r="M610" s="4" t="s">
        <v>2308</v>
      </c>
      <c r="N610" s="4" t="s">
        <v>2308</v>
      </c>
      <c r="O610" s="4" t="s">
        <v>2308</v>
      </c>
      <c r="P610" s="4" t="s">
        <v>2308</v>
      </c>
      <c r="Q610" s="4" t="s">
        <v>2308</v>
      </c>
      <c r="R610" s="4" t="s">
        <v>2308</v>
      </c>
      <c r="S610" s="4" t="s">
        <v>2308</v>
      </c>
      <c r="T610" s="5" t="s">
        <v>5071</v>
      </c>
    </row>
    <row r="611" spans="1:20" ht="50.5" customHeight="1">
      <c r="A611" s="12" t="s">
        <v>3420</v>
      </c>
      <c r="B611" s="4" t="s">
        <v>32</v>
      </c>
      <c r="C611" s="4" t="s">
        <v>12</v>
      </c>
      <c r="D611" s="4" t="s">
        <v>5065</v>
      </c>
      <c r="E611" s="4" t="s">
        <v>84</v>
      </c>
      <c r="F611" s="4" t="s">
        <v>143</v>
      </c>
      <c r="G611" s="4" t="s">
        <v>877</v>
      </c>
      <c r="H611" s="4" t="s">
        <v>2308</v>
      </c>
      <c r="I611" s="4">
        <v>0.64</v>
      </c>
      <c r="J611" s="4" t="s">
        <v>2308</v>
      </c>
      <c r="K611" s="4" t="s">
        <v>542</v>
      </c>
      <c r="L611" s="4" t="s">
        <v>2308</v>
      </c>
      <c r="M611" s="4" t="s">
        <v>2308</v>
      </c>
      <c r="N611" s="4" t="s">
        <v>2308</v>
      </c>
      <c r="O611" s="4" t="s">
        <v>2308</v>
      </c>
      <c r="P611" s="4" t="s">
        <v>2308</v>
      </c>
      <c r="Q611" s="4" t="s">
        <v>2308</v>
      </c>
      <c r="R611" s="4" t="s">
        <v>2308</v>
      </c>
      <c r="S611" s="4" t="s">
        <v>2308</v>
      </c>
      <c r="T611" s="5" t="s">
        <v>5071</v>
      </c>
    </row>
    <row r="612" spans="1:20" ht="34.5" customHeight="1">
      <c r="A612" s="12" t="s">
        <v>3427</v>
      </c>
      <c r="B612" s="4" t="s">
        <v>32</v>
      </c>
      <c r="C612" s="4" t="s">
        <v>402</v>
      </c>
      <c r="D612" s="4" t="s">
        <v>5065</v>
      </c>
      <c r="E612" s="4" t="s">
        <v>2308</v>
      </c>
      <c r="F612" s="4" t="s">
        <v>2308</v>
      </c>
      <c r="G612" s="4" t="s">
        <v>2308</v>
      </c>
      <c r="H612" s="4" t="s">
        <v>2308</v>
      </c>
      <c r="I612" s="169">
        <f>(0.75*86+2*16+3*4)/(86+16+3)</f>
        <v>1.0333333333333334</v>
      </c>
      <c r="J612" s="4" t="s">
        <v>2308</v>
      </c>
      <c r="K612" s="4" t="s">
        <v>2308</v>
      </c>
      <c r="L612" s="4" t="s">
        <v>2308</v>
      </c>
      <c r="M612" s="4" t="s">
        <v>2308</v>
      </c>
      <c r="N612" s="4" t="s">
        <v>2308</v>
      </c>
      <c r="O612" s="4" t="s">
        <v>2308</v>
      </c>
      <c r="P612" s="4" t="s">
        <v>2308</v>
      </c>
      <c r="Q612" s="4" t="s">
        <v>2308</v>
      </c>
      <c r="R612" s="4" t="s">
        <v>2308</v>
      </c>
      <c r="S612" s="4" t="s">
        <v>2308</v>
      </c>
      <c r="T612" s="5" t="s">
        <v>5072</v>
      </c>
    </row>
    <row r="613" spans="1:20" ht="34.5" customHeight="1">
      <c r="A613" s="12" t="s">
        <v>3428</v>
      </c>
      <c r="B613" s="4" t="s">
        <v>32</v>
      </c>
      <c r="C613" s="4" t="s">
        <v>402</v>
      </c>
      <c r="D613" s="4" t="s">
        <v>5065</v>
      </c>
      <c r="E613" s="4" t="s">
        <v>2308</v>
      </c>
      <c r="F613" s="4" t="s">
        <v>2308</v>
      </c>
      <c r="G613" s="4" t="s">
        <v>2308</v>
      </c>
      <c r="H613" s="4" t="s">
        <v>2308</v>
      </c>
      <c r="I613" s="169">
        <f>(0.75*52+2*37+5*4)/(52+37+5)</f>
        <v>1.4148936170212767</v>
      </c>
      <c r="J613" s="4" t="s">
        <v>2308</v>
      </c>
      <c r="K613" s="4" t="s">
        <v>2308</v>
      </c>
      <c r="L613" s="4" t="s">
        <v>2308</v>
      </c>
      <c r="M613" s="4" t="s">
        <v>2308</v>
      </c>
      <c r="N613" s="4" t="s">
        <v>2308</v>
      </c>
      <c r="O613" s="4" t="s">
        <v>2308</v>
      </c>
      <c r="P613" s="4" t="s">
        <v>2308</v>
      </c>
      <c r="Q613" s="4" t="s">
        <v>2308</v>
      </c>
      <c r="R613" s="4" t="s">
        <v>2308</v>
      </c>
      <c r="S613" s="4" t="s">
        <v>2308</v>
      </c>
      <c r="T613" s="5" t="s">
        <v>5072</v>
      </c>
    </row>
    <row r="614" spans="1:20" ht="34.5" customHeight="1">
      <c r="A614" s="12" t="s">
        <v>3432</v>
      </c>
      <c r="B614" s="4" t="s">
        <v>32</v>
      </c>
      <c r="C614" s="4" t="s">
        <v>402</v>
      </c>
      <c r="D614" s="4" t="s">
        <v>5065</v>
      </c>
      <c r="E614" s="4" t="s">
        <v>2308</v>
      </c>
      <c r="F614" s="4" t="s">
        <v>2308</v>
      </c>
      <c r="G614" s="4" t="s">
        <v>2308</v>
      </c>
      <c r="H614" s="4" t="s">
        <v>2308</v>
      </c>
      <c r="I614" s="169">
        <f>(0.75*51+2*32+19*4)/(51+32+19)</f>
        <v>1.7475490196078431</v>
      </c>
      <c r="J614" s="4" t="s">
        <v>2308</v>
      </c>
      <c r="K614" s="4" t="s">
        <v>2308</v>
      </c>
      <c r="L614" s="4" t="s">
        <v>2308</v>
      </c>
      <c r="M614" s="4" t="s">
        <v>2308</v>
      </c>
      <c r="N614" s="4" t="s">
        <v>2308</v>
      </c>
      <c r="O614" s="4" t="s">
        <v>2308</v>
      </c>
      <c r="P614" s="4" t="s">
        <v>2308</v>
      </c>
      <c r="Q614" s="4" t="s">
        <v>2308</v>
      </c>
      <c r="R614" s="4" t="s">
        <v>2308</v>
      </c>
      <c r="S614" s="4" t="s">
        <v>2308</v>
      </c>
      <c r="T614" s="5" t="s">
        <v>5072</v>
      </c>
    </row>
    <row r="615" spans="1:20" ht="30.5" customHeight="1">
      <c r="A615" s="12" t="s">
        <v>3435</v>
      </c>
      <c r="B615" s="4" t="s">
        <v>69</v>
      </c>
      <c r="C615" s="4" t="s">
        <v>402</v>
      </c>
      <c r="D615" s="4" t="s">
        <v>5065</v>
      </c>
      <c r="E615" s="4" t="s">
        <v>2308</v>
      </c>
      <c r="F615" s="4" t="s">
        <v>2308</v>
      </c>
      <c r="G615" s="4" t="s">
        <v>2308</v>
      </c>
      <c r="H615" s="4" t="s">
        <v>2308</v>
      </c>
      <c r="I615" s="4" t="s">
        <v>2308</v>
      </c>
      <c r="J615" s="4" t="s">
        <v>2308</v>
      </c>
      <c r="K615" s="4" t="s">
        <v>2308</v>
      </c>
      <c r="L615" s="4" t="s">
        <v>2308</v>
      </c>
      <c r="M615" s="4" t="s">
        <v>2308</v>
      </c>
      <c r="N615" s="4" t="s">
        <v>2308</v>
      </c>
      <c r="O615" s="4" t="s">
        <v>2308</v>
      </c>
      <c r="P615" s="4" t="s">
        <v>2308</v>
      </c>
      <c r="Q615" s="4" t="s">
        <v>2308</v>
      </c>
      <c r="R615" s="4" t="s">
        <v>2308</v>
      </c>
      <c r="S615" s="4" t="s">
        <v>2308</v>
      </c>
      <c r="T615" s="4"/>
    </row>
    <row r="616" spans="1:20" ht="29" customHeight="1">
      <c r="A616" s="12" t="s">
        <v>3436</v>
      </c>
      <c r="B616" s="4" t="s">
        <v>32</v>
      </c>
      <c r="C616" s="4" t="s">
        <v>12</v>
      </c>
      <c r="D616" s="4" t="s">
        <v>5065</v>
      </c>
      <c r="E616" s="4" t="s">
        <v>45</v>
      </c>
      <c r="F616" s="4" t="s">
        <v>2308</v>
      </c>
      <c r="G616" s="4" t="s">
        <v>2308</v>
      </c>
      <c r="H616" s="4" t="s">
        <v>2308</v>
      </c>
      <c r="I616" s="4" t="s">
        <v>2308</v>
      </c>
      <c r="J616" s="4" t="s">
        <v>2308</v>
      </c>
      <c r="K616" s="4" t="s">
        <v>2308</v>
      </c>
      <c r="L616" s="4" t="s">
        <v>2308</v>
      </c>
      <c r="M616" s="4" t="s">
        <v>2308</v>
      </c>
      <c r="N616" s="4" t="s">
        <v>2308</v>
      </c>
      <c r="O616" s="4" t="s">
        <v>2308</v>
      </c>
      <c r="P616" s="4" t="s">
        <v>2308</v>
      </c>
      <c r="Q616" s="4" t="s">
        <v>2308</v>
      </c>
      <c r="R616" s="4" t="s">
        <v>2308</v>
      </c>
      <c r="S616" s="4" t="s">
        <v>2308</v>
      </c>
      <c r="T616" s="4"/>
    </row>
    <row r="617" spans="1:20" ht="28" customHeight="1">
      <c r="A617" s="12" t="s">
        <v>3437</v>
      </c>
      <c r="B617" s="4" t="s">
        <v>32</v>
      </c>
      <c r="C617" s="4" t="s">
        <v>12</v>
      </c>
      <c r="D617" s="4" t="s">
        <v>5065</v>
      </c>
      <c r="E617" s="4" t="s">
        <v>45</v>
      </c>
      <c r="F617" s="4" t="s">
        <v>2308</v>
      </c>
      <c r="G617" s="4" t="s">
        <v>2308</v>
      </c>
      <c r="H617" s="22">
        <f>AVERAGE(5.2, 0.5, 5.4, 5.2, 4.6, 2.3)</f>
        <v>3.8666666666666667</v>
      </c>
      <c r="I617" s="4">
        <v>175</v>
      </c>
      <c r="J617" s="4" t="s">
        <v>2308</v>
      </c>
      <c r="K617" s="4" t="s">
        <v>2308</v>
      </c>
      <c r="L617" s="4" t="s">
        <v>2308</v>
      </c>
      <c r="M617" s="4" t="s">
        <v>2308</v>
      </c>
      <c r="N617" s="4" t="s">
        <v>2308</v>
      </c>
      <c r="O617" s="4" t="s">
        <v>2308</v>
      </c>
      <c r="P617" s="4" t="s">
        <v>2308</v>
      </c>
      <c r="Q617" s="4" t="s">
        <v>2308</v>
      </c>
      <c r="R617" s="4" t="s">
        <v>2308</v>
      </c>
      <c r="S617" s="4" t="s">
        <v>2308</v>
      </c>
      <c r="T617" s="4"/>
    </row>
    <row r="618" spans="1:20" ht="38.5" customHeight="1">
      <c r="A618" s="12" t="s">
        <v>3462</v>
      </c>
      <c r="B618" s="4" t="s">
        <v>69</v>
      </c>
      <c r="C618" s="4" t="s">
        <v>12</v>
      </c>
      <c r="D618" s="4" t="s">
        <v>116</v>
      </c>
      <c r="E618" s="4" t="s">
        <v>2308</v>
      </c>
      <c r="F618" s="4" t="s">
        <v>2308</v>
      </c>
      <c r="G618" s="4" t="s">
        <v>2308</v>
      </c>
      <c r="H618" s="4" t="s">
        <v>2308</v>
      </c>
      <c r="I618" s="4" t="s">
        <v>2308</v>
      </c>
      <c r="J618" s="4" t="s">
        <v>2308</v>
      </c>
      <c r="K618" s="4" t="s">
        <v>2308</v>
      </c>
      <c r="L618" s="4" t="s">
        <v>2308</v>
      </c>
      <c r="M618" s="4" t="s">
        <v>2308</v>
      </c>
      <c r="N618" s="4" t="s">
        <v>2308</v>
      </c>
      <c r="O618" s="4" t="s">
        <v>2308</v>
      </c>
      <c r="P618" s="4" t="s">
        <v>2308</v>
      </c>
      <c r="Q618" s="4" t="s">
        <v>2308</v>
      </c>
      <c r="R618" s="4" t="s">
        <v>2308</v>
      </c>
      <c r="S618" s="4" t="s">
        <v>2308</v>
      </c>
      <c r="T618" s="4" t="s">
        <v>3465</v>
      </c>
    </row>
    <row r="619" spans="1:20" ht="36" customHeight="1">
      <c r="A619" s="12" t="s">
        <v>3475</v>
      </c>
      <c r="B619" s="4" t="s">
        <v>69</v>
      </c>
      <c r="C619" s="4" t="s">
        <v>402</v>
      </c>
      <c r="D619" s="4" t="s">
        <v>116</v>
      </c>
      <c r="E619" s="4" t="s">
        <v>2308</v>
      </c>
      <c r="F619" s="4" t="s">
        <v>2308</v>
      </c>
      <c r="G619" s="4" t="s">
        <v>2308</v>
      </c>
      <c r="H619" s="4" t="s">
        <v>2308</v>
      </c>
      <c r="I619" s="4" t="s">
        <v>2308</v>
      </c>
      <c r="J619" s="4" t="s">
        <v>2308</v>
      </c>
      <c r="K619" s="4" t="s">
        <v>2308</v>
      </c>
      <c r="L619" s="4" t="s">
        <v>2308</v>
      </c>
      <c r="M619" s="4" t="s">
        <v>2308</v>
      </c>
      <c r="N619" s="4" t="s">
        <v>2308</v>
      </c>
      <c r="O619" s="4" t="s">
        <v>2308</v>
      </c>
      <c r="P619" s="4" t="s">
        <v>2308</v>
      </c>
      <c r="Q619" s="4" t="s">
        <v>2308</v>
      </c>
      <c r="R619" s="4" t="s">
        <v>2308</v>
      </c>
      <c r="S619" s="4" t="s">
        <v>2308</v>
      </c>
      <c r="T619" s="4" t="s">
        <v>3465</v>
      </c>
    </row>
    <row r="620" spans="1:20" ht="39" customHeight="1">
      <c r="A620" s="12" t="s">
        <v>3494</v>
      </c>
      <c r="B620" s="4" t="s">
        <v>32</v>
      </c>
      <c r="C620" s="4" t="s">
        <v>402</v>
      </c>
      <c r="D620" s="4" t="s">
        <v>116</v>
      </c>
      <c r="E620" s="4" t="s">
        <v>2308</v>
      </c>
      <c r="F620" s="4" t="s">
        <v>2308</v>
      </c>
      <c r="G620" s="4" t="s">
        <v>2308</v>
      </c>
      <c r="H620" s="4" t="s">
        <v>2308</v>
      </c>
      <c r="I620" s="4" t="s">
        <v>2308</v>
      </c>
      <c r="J620" s="4" t="s">
        <v>2308</v>
      </c>
      <c r="K620" s="4" t="s">
        <v>2308</v>
      </c>
      <c r="L620" s="4" t="s">
        <v>2308</v>
      </c>
      <c r="M620" s="4" t="s">
        <v>2308</v>
      </c>
      <c r="N620" s="4" t="s">
        <v>2308</v>
      </c>
      <c r="O620" s="4" t="s">
        <v>2308</v>
      </c>
      <c r="P620" s="4" t="s">
        <v>2308</v>
      </c>
      <c r="Q620" s="4" t="s">
        <v>2308</v>
      </c>
      <c r="R620" s="4" t="s">
        <v>2308</v>
      </c>
      <c r="S620" s="4" t="s">
        <v>2308</v>
      </c>
      <c r="T620" s="4" t="s">
        <v>3465</v>
      </c>
    </row>
    <row r="621" spans="1:20" ht="43.5" customHeight="1">
      <c r="A621" s="12" t="s">
        <v>3509</v>
      </c>
      <c r="B621" s="4" t="s">
        <v>2290</v>
      </c>
      <c r="C621" s="4" t="s">
        <v>12</v>
      </c>
      <c r="D621" s="5" t="s">
        <v>136</v>
      </c>
      <c r="E621" s="5" t="s">
        <v>5065</v>
      </c>
      <c r="F621" s="4" t="s">
        <v>877</v>
      </c>
      <c r="G621" s="4" t="s">
        <v>116</v>
      </c>
      <c r="H621" s="4" t="s">
        <v>2308</v>
      </c>
      <c r="I621" s="4" t="s">
        <v>2308</v>
      </c>
      <c r="J621" s="4" t="s">
        <v>2308</v>
      </c>
      <c r="K621" s="4" t="s">
        <v>542</v>
      </c>
      <c r="L621" s="4" t="s">
        <v>2308</v>
      </c>
      <c r="M621" s="4" t="s">
        <v>2308</v>
      </c>
      <c r="N621" s="4" t="s">
        <v>2308</v>
      </c>
      <c r="O621" s="4" t="s">
        <v>2308</v>
      </c>
      <c r="P621" s="4" t="s">
        <v>2308</v>
      </c>
      <c r="Q621" s="4" t="s">
        <v>2308</v>
      </c>
      <c r="R621" s="4" t="s">
        <v>2308</v>
      </c>
      <c r="S621" s="4" t="s">
        <v>2308</v>
      </c>
      <c r="T621" s="5" t="s">
        <v>3513</v>
      </c>
    </row>
    <row r="622" spans="1:20" ht="33.5" customHeight="1">
      <c r="A622" s="12" t="s">
        <v>3540</v>
      </c>
      <c r="B622" s="4" t="s">
        <v>1218</v>
      </c>
      <c r="C622" s="4" t="s">
        <v>12</v>
      </c>
      <c r="D622" s="5" t="s">
        <v>404</v>
      </c>
      <c r="E622" s="5" t="s">
        <v>403</v>
      </c>
      <c r="F622" s="5" t="s">
        <v>45</v>
      </c>
      <c r="G622" s="4" t="s">
        <v>2308</v>
      </c>
      <c r="H622" s="4" t="s">
        <v>2308</v>
      </c>
      <c r="I622" s="4" t="s">
        <v>2308</v>
      </c>
      <c r="J622" s="4" t="s">
        <v>2308</v>
      </c>
      <c r="K622" s="4" t="s">
        <v>2308</v>
      </c>
      <c r="L622" s="4" t="s">
        <v>2308</v>
      </c>
      <c r="M622" s="4" t="s">
        <v>2308</v>
      </c>
      <c r="N622" s="4" t="s">
        <v>2308</v>
      </c>
      <c r="O622" s="4" t="s">
        <v>2308</v>
      </c>
      <c r="P622" s="4" t="s">
        <v>2308</v>
      </c>
      <c r="Q622" s="4" t="s">
        <v>2308</v>
      </c>
      <c r="R622" s="4" t="s">
        <v>2308</v>
      </c>
      <c r="S622" s="4" t="s">
        <v>2308</v>
      </c>
      <c r="T622" s="4" t="s">
        <v>3550</v>
      </c>
    </row>
    <row r="623" spans="1:20" ht="39.5" customHeight="1">
      <c r="A623" s="12" t="s">
        <v>3579</v>
      </c>
      <c r="B623" s="4" t="s">
        <v>69</v>
      </c>
      <c r="C623" s="4" t="s">
        <v>402</v>
      </c>
      <c r="D623" s="4" t="s">
        <v>5065</v>
      </c>
      <c r="E623" s="4" t="s">
        <v>116</v>
      </c>
      <c r="F623" s="4" t="s">
        <v>2308</v>
      </c>
      <c r="G623" s="4" t="s">
        <v>2308</v>
      </c>
      <c r="H623" s="4" t="s">
        <v>2308</v>
      </c>
      <c r="I623" s="4" t="s">
        <v>2308</v>
      </c>
      <c r="J623" s="4" t="s">
        <v>2308</v>
      </c>
      <c r="K623" s="4" t="s">
        <v>542</v>
      </c>
      <c r="L623" s="4" t="s">
        <v>2308</v>
      </c>
      <c r="M623" s="4" t="s">
        <v>2308</v>
      </c>
      <c r="N623" s="4" t="s">
        <v>2308</v>
      </c>
      <c r="O623" s="4" t="s">
        <v>2308</v>
      </c>
      <c r="P623" s="4" t="s">
        <v>2308</v>
      </c>
      <c r="Q623" s="4" t="s">
        <v>2308</v>
      </c>
      <c r="R623" s="4" t="s">
        <v>2308</v>
      </c>
      <c r="S623" s="4" t="s">
        <v>2308</v>
      </c>
      <c r="T623" s="4" t="s">
        <v>3599</v>
      </c>
    </row>
    <row r="624" spans="1:20" ht="39.5" customHeight="1">
      <c r="A624" s="36" t="s">
        <v>3581</v>
      </c>
      <c r="B624" s="39" t="s">
        <v>2308</v>
      </c>
      <c r="C624" s="39" t="s">
        <v>12</v>
      </c>
      <c r="D624" s="39" t="s">
        <v>5065</v>
      </c>
      <c r="E624" s="39" t="s">
        <v>877</v>
      </c>
      <c r="F624" s="39" t="s">
        <v>2685</v>
      </c>
      <c r="G624" s="39" t="s">
        <v>2308</v>
      </c>
      <c r="H624" s="15">
        <f>(8000+1200+3500+700)/(2000*100)</f>
        <v>6.7000000000000004E-2</v>
      </c>
      <c r="I624" s="39" t="s">
        <v>2308</v>
      </c>
      <c r="J624" s="39" t="s">
        <v>2308</v>
      </c>
      <c r="K624" s="39" t="s">
        <v>542</v>
      </c>
      <c r="L624" s="39" t="s">
        <v>2308</v>
      </c>
      <c r="M624" s="39" t="s">
        <v>2308</v>
      </c>
      <c r="N624" s="39" t="s">
        <v>2308</v>
      </c>
      <c r="O624" s="39" t="s">
        <v>2308</v>
      </c>
      <c r="P624" s="39" t="s">
        <v>2308</v>
      </c>
      <c r="Q624" s="39" t="s">
        <v>2308</v>
      </c>
      <c r="R624" s="39" t="s">
        <v>2308</v>
      </c>
      <c r="S624" s="39" t="s">
        <v>2308</v>
      </c>
      <c r="T624" s="39" t="s">
        <v>3600</v>
      </c>
    </row>
    <row r="625" spans="1:20" ht="35.5" customHeight="1">
      <c r="A625" s="12" t="s">
        <v>3626</v>
      </c>
      <c r="B625" s="4" t="s">
        <v>2290</v>
      </c>
      <c r="C625" s="4" t="s">
        <v>12</v>
      </c>
      <c r="D625" s="4" t="s">
        <v>5065</v>
      </c>
      <c r="E625" s="4" t="s">
        <v>143</v>
      </c>
      <c r="F625" s="4" t="s">
        <v>2308</v>
      </c>
      <c r="G625" s="4" t="s">
        <v>2308</v>
      </c>
      <c r="H625" s="4" t="s">
        <v>2308</v>
      </c>
      <c r="I625" s="4" t="s">
        <v>2308</v>
      </c>
      <c r="J625" s="4" t="s">
        <v>2308</v>
      </c>
      <c r="K625" s="4" t="s">
        <v>2308</v>
      </c>
      <c r="L625" s="4" t="s">
        <v>2308</v>
      </c>
      <c r="M625" s="4" t="s">
        <v>2308</v>
      </c>
      <c r="N625" s="4" t="s">
        <v>2308</v>
      </c>
      <c r="O625" s="4" t="s">
        <v>2308</v>
      </c>
      <c r="P625" s="4" t="s">
        <v>2308</v>
      </c>
      <c r="Q625" s="4" t="s">
        <v>2308</v>
      </c>
      <c r="R625" s="4" t="s">
        <v>2308</v>
      </c>
      <c r="S625" s="4" t="s">
        <v>2308</v>
      </c>
      <c r="T625" s="5" t="s">
        <v>3633</v>
      </c>
    </row>
    <row r="626" spans="1:20" ht="22" customHeight="1">
      <c r="A626" s="12" t="s">
        <v>3635</v>
      </c>
      <c r="B626" s="4" t="s">
        <v>32</v>
      </c>
      <c r="C626" s="4" t="s">
        <v>12</v>
      </c>
      <c r="D626" s="4" t="s">
        <v>5065</v>
      </c>
      <c r="E626" s="4" t="s">
        <v>136</v>
      </c>
      <c r="F626" s="4" t="s">
        <v>45</v>
      </c>
      <c r="G626" s="4" t="s">
        <v>2308</v>
      </c>
      <c r="H626" s="4" t="s">
        <v>2308</v>
      </c>
      <c r="I626" s="22">
        <v>2</v>
      </c>
      <c r="J626" s="4" t="s">
        <v>2308</v>
      </c>
      <c r="K626" s="4" t="s">
        <v>2308</v>
      </c>
      <c r="L626" s="4" t="s">
        <v>2308</v>
      </c>
      <c r="M626" s="4" t="s">
        <v>2308</v>
      </c>
      <c r="N626" s="4" t="s">
        <v>2308</v>
      </c>
      <c r="O626" s="4" t="s">
        <v>2308</v>
      </c>
      <c r="P626" s="22">
        <v>20.92</v>
      </c>
      <c r="Q626" s="4" t="s">
        <v>2308</v>
      </c>
      <c r="R626" s="4" t="s">
        <v>2308</v>
      </c>
      <c r="S626" s="4" t="s">
        <v>2308</v>
      </c>
      <c r="T626" s="4" t="s">
        <v>3647</v>
      </c>
    </row>
    <row r="627" spans="1:20" ht="22" customHeight="1">
      <c r="A627" s="12" t="s">
        <v>3638</v>
      </c>
      <c r="B627" s="4" t="s">
        <v>32</v>
      </c>
      <c r="C627" s="4" t="s">
        <v>12</v>
      </c>
      <c r="D627" s="4" t="s">
        <v>5065</v>
      </c>
      <c r="E627" s="4" t="s">
        <v>136</v>
      </c>
      <c r="F627" s="4" t="s">
        <v>45</v>
      </c>
      <c r="G627" s="4" t="s">
        <v>2308</v>
      </c>
      <c r="H627" s="4" t="s">
        <v>2308</v>
      </c>
      <c r="I627" s="22">
        <v>2.79</v>
      </c>
      <c r="J627" s="4" t="s">
        <v>2308</v>
      </c>
      <c r="K627" s="4" t="s">
        <v>2308</v>
      </c>
      <c r="L627" s="4" t="s">
        <v>2308</v>
      </c>
      <c r="M627" s="4" t="s">
        <v>2308</v>
      </c>
      <c r="N627" s="4" t="s">
        <v>2308</v>
      </c>
      <c r="O627" s="4" t="s">
        <v>2308</v>
      </c>
      <c r="P627" s="22">
        <v>13.1</v>
      </c>
      <c r="Q627" s="4" t="s">
        <v>2308</v>
      </c>
      <c r="R627" s="4" t="s">
        <v>2308</v>
      </c>
      <c r="S627" s="4" t="s">
        <v>2308</v>
      </c>
      <c r="T627" s="4" t="s">
        <v>3647</v>
      </c>
    </row>
    <row r="628" spans="1:20" ht="22" customHeight="1">
      <c r="A628" s="12" t="s">
        <v>3639</v>
      </c>
      <c r="B628" s="4" t="s">
        <v>32</v>
      </c>
      <c r="C628" s="4" t="s">
        <v>12</v>
      </c>
      <c r="D628" s="4" t="s">
        <v>5065</v>
      </c>
      <c r="E628" s="4" t="s">
        <v>136</v>
      </c>
      <c r="F628" s="4" t="s">
        <v>45</v>
      </c>
      <c r="G628" s="4" t="s">
        <v>2308</v>
      </c>
      <c r="H628" s="4" t="s">
        <v>2308</v>
      </c>
      <c r="I628" s="22">
        <v>3.33</v>
      </c>
      <c r="J628" s="4" t="s">
        <v>2308</v>
      </c>
      <c r="K628" s="4" t="s">
        <v>2308</v>
      </c>
      <c r="L628" s="4" t="s">
        <v>2308</v>
      </c>
      <c r="M628" s="4" t="s">
        <v>2308</v>
      </c>
      <c r="N628" s="4" t="s">
        <v>2308</v>
      </c>
      <c r="O628" s="4" t="s">
        <v>2308</v>
      </c>
      <c r="P628" s="22">
        <v>14.33</v>
      </c>
      <c r="Q628" s="4" t="s">
        <v>2308</v>
      </c>
      <c r="R628" s="4" t="s">
        <v>2308</v>
      </c>
      <c r="S628" s="4" t="s">
        <v>2308</v>
      </c>
      <c r="T628" s="4" t="s">
        <v>3647</v>
      </c>
    </row>
    <row r="629" spans="1:20" ht="22" customHeight="1">
      <c r="A629" s="12" t="s">
        <v>3640</v>
      </c>
      <c r="B629" s="4" t="s">
        <v>32</v>
      </c>
      <c r="C629" s="4" t="s">
        <v>12</v>
      </c>
      <c r="D629" s="4" t="s">
        <v>5065</v>
      </c>
      <c r="E629" s="4" t="s">
        <v>136</v>
      </c>
      <c r="F629" s="4" t="s">
        <v>45</v>
      </c>
      <c r="G629" s="4" t="s">
        <v>2308</v>
      </c>
      <c r="H629" s="4" t="s">
        <v>2308</v>
      </c>
      <c r="I629" s="22">
        <v>2.09</v>
      </c>
      <c r="J629" s="4" t="s">
        <v>2308</v>
      </c>
      <c r="K629" s="4" t="s">
        <v>2308</v>
      </c>
      <c r="L629" s="4" t="s">
        <v>2308</v>
      </c>
      <c r="M629" s="4" t="s">
        <v>2308</v>
      </c>
      <c r="N629" s="4" t="s">
        <v>2308</v>
      </c>
      <c r="O629" s="4" t="s">
        <v>2308</v>
      </c>
      <c r="P629" s="22">
        <v>9.17</v>
      </c>
      <c r="Q629" s="4" t="s">
        <v>2308</v>
      </c>
      <c r="R629" s="4" t="s">
        <v>2308</v>
      </c>
      <c r="S629" s="4" t="s">
        <v>2308</v>
      </c>
      <c r="T629" s="4" t="s">
        <v>3647</v>
      </c>
    </row>
    <row r="630" spans="1:20" ht="26" customHeight="1">
      <c r="A630" s="12" t="s">
        <v>3641</v>
      </c>
      <c r="B630" s="4" t="s">
        <v>32</v>
      </c>
      <c r="C630" s="4" t="s">
        <v>12</v>
      </c>
      <c r="D630" s="4" t="s">
        <v>5065</v>
      </c>
      <c r="E630" s="4" t="s">
        <v>136</v>
      </c>
      <c r="F630" s="4" t="s">
        <v>45</v>
      </c>
      <c r="G630" s="4" t="s">
        <v>2308</v>
      </c>
      <c r="H630" s="4" t="s">
        <v>2308</v>
      </c>
      <c r="I630" s="22">
        <v>1.19</v>
      </c>
      <c r="J630" s="4" t="s">
        <v>2308</v>
      </c>
      <c r="K630" s="4" t="s">
        <v>2308</v>
      </c>
      <c r="L630" s="4" t="s">
        <v>2308</v>
      </c>
      <c r="M630" s="4" t="s">
        <v>2308</v>
      </c>
      <c r="N630" s="4" t="s">
        <v>2308</v>
      </c>
      <c r="O630" s="4" t="s">
        <v>2308</v>
      </c>
      <c r="P630" s="22">
        <v>4.24</v>
      </c>
      <c r="Q630" s="4" t="s">
        <v>2308</v>
      </c>
      <c r="R630" s="4" t="s">
        <v>2308</v>
      </c>
      <c r="S630" s="4" t="s">
        <v>2308</v>
      </c>
      <c r="T630" s="4" t="s">
        <v>3647</v>
      </c>
    </row>
    <row r="631" spans="1:20" ht="34.5" customHeight="1">
      <c r="A631" s="12" t="s">
        <v>3663</v>
      </c>
      <c r="B631" s="4" t="s">
        <v>2308</v>
      </c>
      <c r="C631" s="4" t="s">
        <v>12</v>
      </c>
      <c r="D631" s="4" t="s">
        <v>5065</v>
      </c>
      <c r="E631" s="4" t="s">
        <v>45</v>
      </c>
      <c r="F631" s="4" t="s">
        <v>2308</v>
      </c>
      <c r="G631" s="4" t="s">
        <v>2308</v>
      </c>
      <c r="H631" s="4" t="s">
        <v>2308</v>
      </c>
      <c r="I631" s="4" t="s">
        <v>2308</v>
      </c>
      <c r="J631" s="4" t="s">
        <v>2308</v>
      </c>
      <c r="K631" s="4" t="s">
        <v>2308</v>
      </c>
      <c r="L631" s="4" t="s">
        <v>2308</v>
      </c>
      <c r="M631" s="4" t="s">
        <v>2308</v>
      </c>
      <c r="N631" s="4" t="s">
        <v>2308</v>
      </c>
      <c r="O631" s="4" t="s">
        <v>2308</v>
      </c>
      <c r="P631" s="4" t="s">
        <v>2308</v>
      </c>
      <c r="Q631" s="4" t="s">
        <v>2308</v>
      </c>
      <c r="R631" s="4" t="s">
        <v>2308</v>
      </c>
      <c r="S631" s="4" t="s">
        <v>2308</v>
      </c>
      <c r="T631" s="4" t="s">
        <v>3666</v>
      </c>
    </row>
    <row r="632" spans="1:20" ht="34" customHeight="1">
      <c r="A632" s="12" t="s">
        <v>3674</v>
      </c>
      <c r="B632" s="4" t="s">
        <v>2308</v>
      </c>
      <c r="C632" s="4" t="s">
        <v>12</v>
      </c>
      <c r="D632" s="4" t="s">
        <v>136</v>
      </c>
      <c r="E632" s="4" t="s">
        <v>143</v>
      </c>
      <c r="F632" s="4" t="s">
        <v>2308</v>
      </c>
      <c r="G632" s="4" t="s">
        <v>2308</v>
      </c>
      <c r="H632" s="4" t="s">
        <v>2308</v>
      </c>
      <c r="I632" s="4" t="s">
        <v>2308</v>
      </c>
      <c r="J632" s="4" t="s">
        <v>2308</v>
      </c>
      <c r="K632" s="4" t="s">
        <v>2308</v>
      </c>
      <c r="L632" s="4" t="s">
        <v>2308</v>
      </c>
      <c r="M632" s="4" t="s">
        <v>2308</v>
      </c>
      <c r="N632" s="4" t="s">
        <v>2308</v>
      </c>
      <c r="O632" s="4" t="s">
        <v>2308</v>
      </c>
      <c r="P632" s="4" t="s">
        <v>2308</v>
      </c>
      <c r="Q632" s="4" t="s">
        <v>2308</v>
      </c>
      <c r="R632" s="4" t="s">
        <v>2308</v>
      </c>
      <c r="S632" s="4" t="s">
        <v>2308</v>
      </c>
      <c r="T632" s="4"/>
    </row>
    <row r="633" spans="1:20" ht="34" customHeight="1">
      <c r="A633" s="12" t="s">
        <v>3675</v>
      </c>
      <c r="B633" s="4" t="s">
        <v>2308</v>
      </c>
      <c r="C633" s="4" t="s">
        <v>12</v>
      </c>
      <c r="D633" s="4" t="s">
        <v>136</v>
      </c>
      <c r="E633" s="4" t="s">
        <v>143</v>
      </c>
      <c r="F633" s="4" t="s">
        <v>2308</v>
      </c>
      <c r="G633" s="4" t="s">
        <v>2308</v>
      </c>
      <c r="H633" s="4" t="s">
        <v>2308</v>
      </c>
      <c r="I633" s="4" t="s">
        <v>2308</v>
      </c>
      <c r="J633" s="4" t="s">
        <v>2308</v>
      </c>
      <c r="K633" s="4" t="s">
        <v>2308</v>
      </c>
      <c r="L633" s="4" t="s">
        <v>2308</v>
      </c>
      <c r="M633" s="4" t="s">
        <v>2308</v>
      </c>
      <c r="N633" s="4" t="s">
        <v>2308</v>
      </c>
      <c r="O633" s="4" t="s">
        <v>2308</v>
      </c>
      <c r="P633" s="4" t="s">
        <v>2308</v>
      </c>
      <c r="Q633" s="4" t="s">
        <v>2308</v>
      </c>
      <c r="R633" s="4" t="s">
        <v>2308</v>
      </c>
      <c r="S633" s="4" t="s">
        <v>2308</v>
      </c>
      <c r="T633" s="4"/>
    </row>
    <row r="634" spans="1:20" ht="34" customHeight="1">
      <c r="A634" s="12" t="s">
        <v>3678</v>
      </c>
      <c r="B634" s="4" t="s">
        <v>2308</v>
      </c>
      <c r="C634" s="4" t="s">
        <v>12</v>
      </c>
      <c r="D634" s="4" t="s">
        <v>136</v>
      </c>
      <c r="E634" s="4" t="s">
        <v>143</v>
      </c>
      <c r="F634" s="4" t="s">
        <v>2308</v>
      </c>
      <c r="G634" s="4" t="s">
        <v>2308</v>
      </c>
      <c r="H634" s="4" t="s">
        <v>2308</v>
      </c>
      <c r="I634" s="4" t="s">
        <v>2308</v>
      </c>
      <c r="J634" s="4" t="s">
        <v>2308</v>
      </c>
      <c r="K634" s="4" t="s">
        <v>2308</v>
      </c>
      <c r="L634" s="4" t="s">
        <v>2308</v>
      </c>
      <c r="M634" s="4" t="s">
        <v>2308</v>
      </c>
      <c r="N634" s="4" t="s">
        <v>2308</v>
      </c>
      <c r="O634" s="4" t="s">
        <v>2308</v>
      </c>
      <c r="P634" s="4" t="s">
        <v>2308</v>
      </c>
      <c r="Q634" s="4" t="s">
        <v>2308</v>
      </c>
      <c r="R634" s="4" t="s">
        <v>2308</v>
      </c>
      <c r="S634" s="4" t="s">
        <v>2308</v>
      </c>
      <c r="T634" s="4"/>
    </row>
    <row r="635" spans="1:20" ht="34" customHeight="1">
      <c r="A635" s="12" t="s">
        <v>3679</v>
      </c>
      <c r="B635" s="4" t="s">
        <v>2308</v>
      </c>
      <c r="C635" s="4" t="s">
        <v>12</v>
      </c>
      <c r="D635" s="4" t="s">
        <v>116</v>
      </c>
      <c r="E635" s="4" t="s">
        <v>136</v>
      </c>
      <c r="F635" s="4" t="s">
        <v>143</v>
      </c>
      <c r="G635" s="4" t="s">
        <v>2308</v>
      </c>
      <c r="H635" s="4" t="s">
        <v>2308</v>
      </c>
      <c r="I635" s="4" t="s">
        <v>2308</v>
      </c>
      <c r="J635" s="4" t="s">
        <v>2308</v>
      </c>
      <c r="K635" s="4" t="s">
        <v>2308</v>
      </c>
      <c r="L635" s="4" t="s">
        <v>2308</v>
      </c>
      <c r="M635" s="4" t="s">
        <v>2308</v>
      </c>
      <c r="N635" s="4" t="s">
        <v>2308</v>
      </c>
      <c r="O635" s="4" t="s">
        <v>2308</v>
      </c>
      <c r="P635" s="4" t="s">
        <v>2308</v>
      </c>
      <c r="Q635" s="4" t="s">
        <v>2308</v>
      </c>
      <c r="R635" s="4" t="s">
        <v>2308</v>
      </c>
      <c r="S635" s="4" t="s">
        <v>2308</v>
      </c>
      <c r="T635" s="4" t="s">
        <v>3512</v>
      </c>
    </row>
    <row r="636" spans="1:20" ht="33" customHeight="1">
      <c r="A636" s="12" t="s">
        <v>3713</v>
      </c>
      <c r="B636" s="4" t="s">
        <v>1218</v>
      </c>
      <c r="C636" s="4" t="s">
        <v>12</v>
      </c>
      <c r="D636" s="5" t="s">
        <v>403</v>
      </c>
      <c r="E636" s="5" t="s">
        <v>404</v>
      </c>
      <c r="F636" s="4" t="s">
        <v>45</v>
      </c>
      <c r="G636" s="4" t="s">
        <v>116</v>
      </c>
      <c r="H636" s="4" t="s">
        <v>2308</v>
      </c>
      <c r="I636" s="4" t="s">
        <v>2308</v>
      </c>
      <c r="J636" s="4" t="s">
        <v>2308</v>
      </c>
      <c r="K636" s="4" t="s">
        <v>2308</v>
      </c>
      <c r="L636" s="4" t="s">
        <v>2308</v>
      </c>
      <c r="M636" s="4" t="s">
        <v>2308</v>
      </c>
      <c r="N636" s="4" t="s">
        <v>2308</v>
      </c>
      <c r="O636" s="4" t="s">
        <v>2308</v>
      </c>
      <c r="P636" s="4" t="s">
        <v>2308</v>
      </c>
      <c r="Q636" s="4" t="s">
        <v>2308</v>
      </c>
      <c r="R636" s="4" t="s">
        <v>2308</v>
      </c>
      <c r="S636" s="4" t="s">
        <v>2308</v>
      </c>
      <c r="T636" s="4" t="s">
        <v>3722</v>
      </c>
    </row>
    <row r="637" spans="1:20" ht="37" customHeight="1">
      <c r="A637" s="12" t="s">
        <v>3715</v>
      </c>
      <c r="B637" s="4" t="s">
        <v>70</v>
      </c>
      <c r="C637" s="4" t="s">
        <v>2678</v>
      </c>
      <c r="D637" s="4" t="s">
        <v>84</v>
      </c>
      <c r="E637" s="5" t="s">
        <v>403</v>
      </c>
      <c r="F637" s="5" t="s">
        <v>404</v>
      </c>
      <c r="G637" s="4" t="s">
        <v>2308</v>
      </c>
      <c r="H637" s="4" t="s">
        <v>2308</v>
      </c>
      <c r="I637" s="4" t="s">
        <v>2308</v>
      </c>
      <c r="J637" s="4" t="s">
        <v>2308</v>
      </c>
      <c r="K637" s="4" t="s">
        <v>2308</v>
      </c>
      <c r="L637" s="4" t="s">
        <v>2308</v>
      </c>
      <c r="M637" s="4" t="s">
        <v>2308</v>
      </c>
      <c r="N637" s="4" t="s">
        <v>2308</v>
      </c>
      <c r="O637" s="4" t="s">
        <v>2308</v>
      </c>
      <c r="P637" s="22">
        <f>((16+3.6+1.4+0.1)*1000000)/'Record info'!K637</f>
        <v>53.997753079279448</v>
      </c>
      <c r="Q637" s="4" t="s">
        <v>2308</v>
      </c>
      <c r="R637" s="4" t="s">
        <v>2308</v>
      </c>
      <c r="S637" s="4" t="s">
        <v>2308</v>
      </c>
      <c r="T637" s="4"/>
    </row>
    <row r="638" spans="1:20" ht="39" customHeight="1">
      <c r="A638" s="12" t="s">
        <v>3749</v>
      </c>
      <c r="B638" s="4" t="s">
        <v>32</v>
      </c>
      <c r="C638" s="4" t="s">
        <v>12</v>
      </c>
      <c r="D638" s="4" t="s">
        <v>5065</v>
      </c>
      <c r="E638" s="5" t="s">
        <v>404</v>
      </c>
      <c r="F638" s="4" t="s">
        <v>2682</v>
      </c>
      <c r="G638" s="4" t="s">
        <v>2685</v>
      </c>
      <c r="H638" s="4" t="s">
        <v>2308</v>
      </c>
      <c r="I638" s="4">
        <v>0.05</v>
      </c>
      <c r="J638" s="4" t="s">
        <v>2308</v>
      </c>
      <c r="K638" t="s">
        <v>542</v>
      </c>
      <c r="L638" s="4" t="s">
        <v>2308</v>
      </c>
      <c r="M638" s="15">
        <f>434.5/(30854)</f>
        <v>1.4082452842419135E-2</v>
      </c>
      <c r="N638" s="4" t="s">
        <v>2308</v>
      </c>
      <c r="O638" s="4" t="s">
        <v>2308</v>
      </c>
      <c r="P638" s="4" t="s">
        <v>2308</v>
      </c>
      <c r="Q638" s="4" t="s">
        <v>2308</v>
      </c>
      <c r="R638" s="4" t="s">
        <v>2308</v>
      </c>
      <c r="S638" s="4" t="s">
        <v>2308</v>
      </c>
      <c r="T638" s="4"/>
    </row>
    <row r="639" spans="1:20" ht="38.5" customHeight="1">
      <c r="A639" s="12" t="s">
        <v>3750</v>
      </c>
      <c r="B639" s="4" t="s">
        <v>69</v>
      </c>
      <c r="C639" s="4" t="s">
        <v>12</v>
      </c>
      <c r="D639" s="4" t="s">
        <v>5065</v>
      </c>
      <c r="E639" s="5" t="s">
        <v>404</v>
      </c>
      <c r="F639" s="4" t="s">
        <v>143</v>
      </c>
      <c r="G639" s="4" t="s">
        <v>2308</v>
      </c>
      <c r="H639" s="4" t="s">
        <v>2308</v>
      </c>
      <c r="I639" s="4">
        <v>0.05</v>
      </c>
      <c r="J639" s="4" t="s">
        <v>2308</v>
      </c>
      <c r="K639" s="4" t="s">
        <v>2308</v>
      </c>
      <c r="L639" s="4" t="s">
        <v>2308</v>
      </c>
      <c r="M639" s="4" t="s">
        <v>2308</v>
      </c>
      <c r="N639" s="4" t="s">
        <v>2308</v>
      </c>
      <c r="O639" s="4" t="s">
        <v>2308</v>
      </c>
      <c r="P639" s="4" t="s">
        <v>2308</v>
      </c>
      <c r="Q639" s="4" t="s">
        <v>2308</v>
      </c>
      <c r="R639" s="4" t="s">
        <v>2308</v>
      </c>
      <c r="S639" s="4" t="s">
        <v>2308</v>
      </c>
      <c r="T639" s="4"/>
    </row>
    <row r="640" spans="1:20" ht="39.5" customHeight="1">
      <c r="A640" s="12" t="s">
        <v>3765</v>
      </c>
      <c r="B640" s="4" t="s">
        <v>32</v>
      </c>
      <c r="C640" s="4" t="s">
        <v>12</v>
      </c>
      <c r="D640" s="4" t="s">
        <v>116</v>
      </c>
      <c r="E640" s="4" t="s">
        <v>136</v>
      </c>
      <c r="F640" s="4" t="s">
        <v>143</v>
      </c>
      <c r="G640" s="4" t="s">
        <v>2685</v>
      </c>
      <c r="H640" s="4" t="s">
        <v>2308</v>
      </c>
      <c r="I640" s="4" t="s">
        <v>2308</v>
      </c>
      <c r="J640" s="4" t="s">
        <v>2308</v>
      </c>
      <c r="K640" s="4" t="s">
        <v>2308</v>
      </c>
      <c r="L640" s="4" t="s">
        <v>2308</v>
      </c>
      <c r="M640" s="4" t="s">
        <v>2308</v>
      </c>
      <c r="N640" s="4" t="s">
        <v>2308</v>
      </c>
      <c r="O640" s="4" t="s">
        <v>2308</v>
      </c>
      <c r="P640" s="4" t="s">
        <v>2308</v>
      </c>
      <c r="Q640" s="4" t="s">
        <v>2308</v>
      </c>
      <c r="R640" s="4" t="s">
        <v>2308</v>
      </c>
      <c r="S640" s="4" t="s">
        <v>2308</v>
      </c>
      <c r="T640" s="4" t="s">
        <v>3512</v>
      </c>
    </row>
    <row r="641" spans="1:20" ht="41" customHeight="1">
      <c r="A641" s="12" t="s">
        <v>3786</v>
      </c>
      <c r="B641" s="12" t="s">
        <v>69</v>
      </c>
      <c r="C641" s="4" t="s">
        <v>402</v>
      </c>
      <c r="D641" s="4" t="s">
        <v>5065</v>
      </c>
      <c r="E641" s="4" t="s">
        <v>2308</v>
      </c>
      <c r="F641" s="4" t="s">
        <v>2308</v>
      </c>
      <c r="G641" s="4" t="s">
        <v>2308</v>
      </c>
      <c r="H641" s="4" t="s">
        <v>2308</v>
      </c>
      <c r="I641" s="4" t="s">
        <v>2308</v>
      </c>
      <c r="J641" s="4" t="s">
        <v>2308</v>
      </c>
      <c r="K641" s="4" t="s">
        <v>2308</v>
      </c>
      <c r="L641" s="4" t="s">
        <v>2308</v>
      </c>
      <c r="M641" s="4" t="s">
        <v>2308</v>
      </c>
      <c r="N641" s="4" t="s">
        <v>2308</v>
      </c>
      <c r="O641" s="4" t="s">
        <v>2308</v>
      </c>
      <c r="P641" s="4" t="s">
        <v>2308</v>
      </c>
      <c r="Q641" s="4" t="s">
        <v>2308</v>
      </c>
      <c r="R641" s="4" t="s">
        <v>2308</v>
      </c>
      <c r="S641" s="4" t="s">
        <v>2308</v>
      </c>
      <c r="T641" s="4"/>
    </row>
    <row r="642" spans="1:20" ht="43" customHeight="1">
      <c r="A642" s="12" t="s">
        <v>3801</v>
      </c>
      <c r="B642" s="4" t="s">
        <v>2308</v>
      </c>
      <c r="C642" s="4" t="s">
        <v>402</v>
      </c>
      <c r="D642" s="4" t="s">
        <v>5065</v>
      </c>
      <c r="E642" s="4" t="s">
        <v>2308</v>
      </c>
      <c r="F642" s="4" t="s">
        <v>2308</v>
      </c>
      <c r="G642" s="4" t="s">
        <v>2308</v>
      </c>
      <c r="H642" s="4" t="s">
        <v>2308</v>
      </c>
      <c r="I642" s="4" t="s">
        <v>2308</v>
      </c>
      <c r="J642" s="4" t="s">
        <v>2308</v>
      </c>
      <c r="K642" s="4" t="s">
        <v>2308</v>
      </c>
      <c r="L642" s="4" t="s">
        <v>2308</v>
      </c>
      <c r="M642" s="4" t="s">
        <v>2308</v>
      </c>
      <c r="N642" s="4" t="s">
        <v>2308</v>
      </c>
      <c r="O642" s="4" t="s">
        <v>2308</v>
      </c>
      <c r="P642" s="4" t="s">
        <v>2308</v>
      </c>
      <c r="Q642" s="4" t="s">
        <v>2308</v>
      </c>
      <c r="R642" s="4" t="s">
        <v>2308</v>
      </c>
      <c r="S642" s="4" t="s">
        <v>2308</v>
      </c>
      <c r="T642" s="4"/>
    </row>
    <row r="643" spans="1:20" ht="43" customHeight="1">
      <c r="A643" s="12" t="s">
        <v>3807</v>
      </c>
      <c r="B643" s="4" t="s">
        <v>2308</v>
      </c>
      <c r="C643" s="4" t="s">
        <v>402</v>
      </c>
      <c r="D643" s="4" t="s">
        <v>5065</v>
      </c>
      <c r="E643" s="4" t="s">
        <v>136</v>
      </c>
      <c r="F643" s="4" t="s">
        <v>2308</v>
      </c>
      <c r="G643" s="4" t="s">
        <v>2308</v>
      </c>
      <c r="H643" s="4" t="s">
        <v>2308</v>
      </c>
      <c r="I643" s="4" t="s">
        <v>2308</v>
      </c>
      <c r="J643" s="4" t="s">
        <v>2308</v>
      </c>
      <c r="K643" s="4" t="s">
        <v>2308</v>
      </c>
      <c r="L643" s="4" t="s">
        <v>2308</v>
      </c>
      <c r="M643" s="4" t="s">
        <v>2308</v>
      </c>
      <c r="N643" s="4" t="s">
        <v>2308</v>
      </c>
      <c r="O643" s="4" t="s">
        <v>2308</v>
      </c>
      <c r="P643" s="4" t="s">
        <v>2308</v>
      </c>
      <c r="Q643" s="4" t="s">
        <v>2308</v>
      </c>
      <c r="R643" s="4" t="s">
        <v>2308</v>
      </c>
      <c r="S643" s="4" t="s">
        <v>2308</v>
      </c>
      <c r="T643" s="4"/>
    </row>
    <row r="644" spans="1:20" ht="38.5" customHeight="1">
      <c r="A644" s="12" t="s">
        <v>3818</v>
      </c>
      <c r="B644" s="4" t="s">
        <v>69</v>
      </c>
      <c r="C644" s="4" t="s">
        <v>12</v>
      </c>
      <c r="D644" s="4" t="s">
        <v>45</v>
      </c>
      <c r="E644" s="5" t="s">
        <v>404</v>
      </c>
      <c r="F644" s="4" t="s">
        <v>116</v>
      </c>
      <c r="G644" s="4" t="s">
        <v>143</v>
      </c>
      <c r="H644" s="4" t="s">
        <v>2308</v>
      </c>
      <c r="I644" s="4" t="s">
        <v>2308</v>
      </c>
      <c r="J644" s="4" t="s">
        <v>2308</v>
      </c>
      <c r="K644" s="4" t="s">
        <v>2308</v>
      </c>
      <c r="L644" s="4" t="s">
        <v>2308</v>
      </c>
      <c r="M644" s="4" t="s">
        <v>2308</v>
      </c>
      <c r="N644" s="4" t="s">
        <v>2308</v>
      </c>
      <c r="O644" s="4" t="s">
        <v>2308</v>
      </c>
      <c r="P644" s="4" t="s">
        <v>2308</v>
      </c>
      <c r="Q644" s="4" t="s">
        <v>2308</v>
      </c>
      <c r="R644" s="4" t="s">
        <v>2308</v>
      </c>
      <c r="S644" s="4" t="s">
        <v>2308</v>
      </c>
      <c r="T644" s="4" t="s">
        <v>3822</v>
      </c>
    </row>
    <row r="645" spans="1:20" ht="35.5" customHeight="1">
      <c r="A645" s="12" t="s">
        <v>3832</v>
      </c>
      <c r="B645" s="4" t="s">
        <v>2308</v>
      </c>
      <c r="C645" s="4"/>
      <c r="D645" s="4" t="s">
        <v>45</v>
      </c>
      <c r="E645" s="5" t="s">
        <v>136</v>
      </c>
      <c r="F645" s="4" t="s">
        <v>116</v>
      </c>
      <c r="G645" s="4" t="s">
        <v>143</v>
      </c>
      <c r="H645" s="4" t="s">
        <v>2308</v>
      </c>
      <c r="I645" s="4" t="s">
        <v>2308</v>
      </c>
      <c r="J645" s="4" t="s">
        <v>2308</v>
      </c>
      <c r="K645" s="4" t="s">
        <v>542</v>
      </c>
      <c r="L645" s="4" t="s">
        <v>2308</v>
      </c>
      <c r="M645" s="4" t="s">
        <v>2308</v>
      </c>
      <c r="N645" s="4" t="s">
        <v>2308</v>
      </c>
      <c r="O645" s="4" t="s">
        <v>2308</v>
      </c>
      <c r="P645" s="4" t="s">
        <v>2308</v>
      </c>
      <c r="Q645" s="4" t="s">
        <v>2308</v>
      </c>
      <c r="R645" s="4" t="s">
        <v>2308</v>
      </c>
      <c r="S645" s="4" t="s">
        <v>2308</v>
      </c>
      <c r="T645" s="4" t="s">
        <v>3841</v>
      </c>
    </row>
    <row r="646" spans="1:20" ht="38" customHeight="1">
      <c r="A646" s="12" t="s">
        <v>3846</v>
      </c>
      <c r="B646" s="4" t="s">
        <v>2308</v>
      </c>
      <c r="C646" s="4" t="s">
        <v>402</v>
      </c>
      <c r="D646" s="4" t="s">
        <v>136</v>
      </c>
      <c r="E646" s="4" t="s">
        <v>116</v>
      </c>
      <c r="F646" s="4" t="s">
        <v>45</v>
      </c>
      <c r="G646" s="4" t="s">
        <v>2308</v>
      </c>
      <c r="H646" s="4" t="s">
        <v>2308</v>
      </c>
      <c r="I646" s="4" t="s">
        <v>2308</v>
      </c>
      <c r="J646" s="4" t="s">
        <v>2308</v>
      </c>
      <c r="K646" s="4" t="s">
        <v>2308</v>
      </c>
      <c r="L646" s="4" t="s">
        <v>2308</v>
      </c>
      <c r="M646" s="4" t="s">
        <v>2308</v>
      </c>
      <c r="N646" s="4" t="s">
        <v>2308</v>
      </c>
      <c r="O646" s="4" t="s">
        <v>2308</v>
      </c>
      <c r="P646" s="4" t="s">
        <v>2308</v>
      </c>
      <c r="Q646" s="4" t="s">
        <v>2308</v>
      </c>
      <c r="R646" s="4" t="s">
        <v>2308</v>
      </c>
      <c r="S646" s="4" t="s">
        <v>2308</v>
      </c>
      <c r="T646" s="4" t="s">
        <v>3512</v>
      </c>
    </row>
    <row r="647" spans="1:20" ht="37.5" customHeight="1">
      <c r="A647" s="12" t="s">
        <v>3865</v>
      </c>
      <c r="B647" s="4" t="s">
        <v>2308</v>
      </c>
      <c r="C647" s="4" t="s">
        <v>402</v>
      </c>
      <c r="D647" s="4" t="s">
        <v>136</v>
      </c>
      <c r="E647" s="4" t="s">
        <v>116</v>
      </c>
      <c r="F647" s="4" t="s">
        <v>45</v>
      </c>
      <c r="G647" s="4" t="s">
        <v>2308</v>
      </c>
      <c r="H647" s="4" t="s">
        <v>2308</v>
      </c>
      <c r="I647" s="4" t="s">
        <v>2308</v>
      </c>
      <c r="J647" s="4" t="s">
        <v>2308</v>
      </c>
      <c r="K647" s="4" t="s">
        <v>542</v>
      </c>
      <c r="L647" s="4" t="s">
        <v>2308</v>
      </c>
      <c r="M647" s="4" t="s">
        <v>2308</v>
      </c>
      <c r="N647" s="4" t="s">
        <v>2308</v>
      </c>
      <c r="O647" s="4" t="s">
        <v>2308</v>
      </c>
      <c r="P647" s="4" t="s">
        <v>2308</v>
      </c>
      <c r="Q647" s="4" t="s">
        <v>2308</v>
      </c>
      <c r="R647" s="4" t="s">
        <v>2308</v>
      </c>
      <c r="S647" s="4" t="s">
        <v>2308</v>
      </c>
      <c r="T647" s="4" t="s">
        <v>3874</v>
      </c>
    </row>
    <row r="648" spans="1:20" ht="37.5" customHeight="1">
      <c r="A648" s="20" t="s">
        <v>3881</v>
      </c>
      <c r="B648" s="5" t="s">
        <v>32</v>
      </c>
      <c r="C648" s="5" t="s">
        <v>12</v>
      </c>
      <c r="D648" s="5" t="s">
        <v>5065</v>
      </c>
      <c r="E648" s="5" t="s">
        <v>404</v>
      </c>
      <c r="F648" s="5" t="s">
        <v>116</v>
      </c>
      <c r="G648" s="4" t="s">
        <v>2308</v>
      </c>
      <c r="H648" s="4" t="s">
        <v>2308</v>
      </c>
      <c r="I648" s="4">
        <v>1</v>
      </c>
      <c r="J648" s="4" t="s">
        <v>2308</v>
      </c>
      <c r="K648" s="4" t="s">
        <v>542</v>
      </c>
      <c r="L648" s="4" t="s">
        <v>2308</v>
      </c>
      <c r="M648" s="4" t="s">
        <v>2308</v>
      </c>
      <c r="N648" s="4" t="s">
        <v>2308</v>
      </c>
      <c r="O648" s="4" t="s">
        <v>2308</v>
      </c>
      <c r="P648" s="4" t="s">
        <v>2308</v>
      </c>
      <c r="Q648" s="4" t="s">
        <v>2308</v>
      </c>
      <c r="R648" s="4" t="s">
        <v>2308</v>
      </c>
      <c r="S648" s="4" t="s">
        <v>2308</v>
      </c>
      <c r="T648" s="4" t="s">
        <v>3886</v>
      </c>
    </row>
    <row r="649" spans="1:20" ht="35" customHeight="1">
      <c r="A649" s="12" t="s">
        <v>3890</v>
      </c>
      <c r="B649" s="4" t="s">
        <v>2308</v>
      </c>
      <c r="C649" s="4" t="s">
        <v>402</v>
      </c>
      <c r="D649" s="4" t="s">
        <v>5065</v>
      </c>
      <c r="E649" s="4" t="s">
        <v>2308</v>
      </c>
      <c r="F649" s="4" t="s">
        <v>2308</v>
      </c>
      <c r="G649" s="4" t="s">
        <v>2308</v>
      </c>
      <c r="H649" s="4" t="s">
        <v>2308</v>
      </c>
      <c r="I649" s="4" t="s">
        <v>2308</v>
      </c>
      <c r="J649" s="4" t="s">
        <v>2308</v>
      </c>
      <c r="K649" s="4" t="s">
        <v>2308</v>
      </c>
      <c r="L649" s="4" t="s">
        <v>2308</v>
      </c>
      <c r="M649" s="4" t="s">
        <v>2308</v>
      </c>
      <c r="N649" s="4" t="s">
        <v>2308</v>
      </c>
      <c r="O649" s="4" t="s">
        <v>2308</v>
      </c>
      <c r="P649" s="4" t="s">
        <v>2308</v>
      </c>
      <c r="Q649" s="4" t="s">
        <v>2308</v>
      </c>
      <c r="R649" s="4" t="s">
        <v>2308</v>
      </c>
      <c r="S649" s="4" t="s">
        <v>2308</v>
      </c>
      <c r="T649" s="4"/>
    </row>
    <row r="650" spans="1:20" ht="44" customHeight="1">
      <c r="A650" s="12" t="s">
        <v>3899</v>
      </c>
      <c r="B650" s="4" t="s">
        <v>32</v>
      </c>
      <c r="C650" s="4" t="s">
        <v>12</v>
      </c>
      <c r="D650" s="5" t="s">
        <v>3903</v>
      </c>
      <c r="E650" s="5" t="s">
        <v>3904</v>
      </c>
      <c r="F650" s="4" t="s">
        <v>143</v>
      </c>
      <c r="G650" s="4" t="s">
        <v>116</v>
      </c>
      <c r="H650" s="4" t="s">
        <v>2308</v>
      </c>
      <c r="I650" s="4" t="s">
        <v>2308</v>
      </c>
      <c r="J650" s="4" t="s">
        <v>2308</v>
      </c>
      <c r="K650" s="4" t="s">
        <v>545</v>
      </c>
      <c r="L650" s="4" t="s">
        <v>2308</v>
      </c>
      <c r="M650" s="4" t="s">
        <v>2308</v>
      </c>
      <c r="N650" s="4" t="s">
        <v>2308</v>
      </c>
      <c r="O650" s="4" t="s">
        <v>2308</v>
      </c>
      <c r="P650" s="4" t="s">
        <v>2308</v>
      </c>
      <c r="Q650" s="4" t="s">
        <v>2308</v>
      </c>
      <c r="R650" s="4" t="s">
        <v>2308</v>
      </c>
      <c r="S650" s="4" t="s">
        <v>2308</v>
      </c>
      <c r="T650" s="5" t="s">
        <v>3905</v>
      </c>
    </row>
    <row r="651" spans="1:20" ht="44.5" customHeight="1">
      <c r="A651" s="12" t="s">
        <v>3910</v>
      </c>
      <c r="B651" s="4" t="s">
        <v>32</v>
      </c>
      <c r="C651" s="4" t="s">
        <v>12</v>
      </c>
      <c r="D651" s="4" t="s">
        <v>116</v>
      </c>
      <c r="E651" s="4" t="s">
        <v>2682</v>
      </c>
      <c r="F651" s="4" t="s">
        <v>143</v>
      </c>
      <c r="G651" s="4" t="s">
        <v>136</v>
      </c>
      <c r="H651" s="4" t="s">
        <v>2308</v>
      </c>
      <c r="I651" s="4" t="s">
        <v>2308</v>
      </c>
      <c r="J651" s="4" t="s">
        <v>2308</v>
      </c>
      <c r="K651" s="4" t="s">
        <v>545</v>
      </c>
      <c r="L651" s="4" t="s">
        <v>2308</v>
      </c>
      <c r="M651" s="4" t="s">
        <v>2308</v>
      </c>
      <c r="N651" s="4" t="s">
        <v>2308</v>
      </c>
      <c r="O651" s="4" t="s">
        <v>2308</v>
      </c>
      <c r="P651" s="4" t="s">
        <v>2308</v>
      </c>
      <c r="Q651" s="4" t="s">
        <v>2308</v>
      </c>
      <c r="R651" s="4" t="s">
        <v>2308</v>
      </c>
      <c r="S651" s="4" t="s">
        <v>2308</v>
      </c>
      <c r="T651" s="20" t="s">
        <v>3913</v>
      </c>
    </row>
    <row r="652" spans="1:20" ht="43" customHeight="1">
      <c r="A652" s="12" t="s">
        <v>3941</v>
      </c>
      <c r="B652" s="4" t="s">
        <v>2308</v>
      </c>
      <c r="C652" s="4" t="s">
        <v>402</v>
      </c>
      <c r="D652" s="4" t="s">
        <v>136</v>
      </c>
      <c r="E652" s="4" t="s">
        <v>5065</v>
      </c>
      <c r="F652" s="4" t="s">
        <v>45</v>
      </c>
      <c r="G652" s="4" t="s">
        <v>2308</v>
      </c>
      <c r="H652" s="4" t="s">
        <v>2308</v>
      </c>
      <c r="I652" s="4" t="s">
        <v>2308</v>
      </c>
      <c r="J652" s="4" t="s">
        <v>2308</v>
      </c>
      <c r="K652" s="4" t="s">
        <v>542</v>
      </c>
      <c r="L652" s="4" t="s">
        <v>2308</v>
      </c>
      <c r="M652" s="4" t="s">
        <v>2308</v>
      </c>
      <c r="N652" s="4" t="s">
        <v>2308</v>
      </c>
      <c r="O652" s="4" t="s">
        <v>2308</v>
      </c>
      <c r="P652" s="4" t="s">
        <v>2308</v>
      </c>
      <c r="Q652" s="4" t="s">
        <v>2308</v>
      </c>
      <c r="R652" s="4" t="s">
        <v>2308</v>
      </c>
      <c r="S652" s="4" t="s">
        <v>2308</v>
      </c>
      <c r="T652" s="4" t="s">
        <v>3945</v>
      </c>
    </row>
    <row r="653" spans="1:20" ht="45.5" customHeight="1">
      <c r="A653" s="12" t="s">
        <v>3942</v>
      </c>
      <c r="B653" s="4" t="s">
        <v>2308</v>
      </c>
      <c r="C653" s="4" t="s">
        <v>402</v>
      </c>
      <c r="D653" s="4" t="s">
        <v>136</v>
      </c>
      <c r="E653" s="4" t="s">
        <v>45</v>
      </c>
      <c r="F653" s="4" t="s">
        <v>5065</v>
      </c>
      <c r="G653" s="4" t="s">
        <v>2308</v>
      </c>
      <c r="H653" s="4" t="s">
        <v>2308</v>
      </c>
      <c r="I653" s="4" t="s">
        <v>2308</v>
      </c>
      <c r="J653" s="4" t="s">
        <v>2308</v>
      </c>
      <c r="K653" s="4" t="s">
        <v>542</v>
      </c>
      <c r="L653" s="4" t="s">
        <v>2308</v>
      </c>
      <c r="M653" s="4" t="s">
        <v>2308</v>
      </c>
      <c r="N653" s="4" t="s">
        <v>2308</v>
      </c>
      <c r="O653" s="4" t="s">
        <v>2308</v>
      </c>
      <c r="P653" s="4" t="s">
        <v>2308</v>
      </c>
      <c r="Q653" s="4" t="s">
        <v>2308</v>
      </c>
      <c r="R653" s="4" t="s">
        <v>2308</v>
      </c>
      <c r="S653" s="4" t="s">
        <v>2308</v>
      </c>
      <c r="T653" s="4" t="s">
        <v>3945</v>
      </c>
    </row>
    <row r="654" spans="1:20" ht="39.5" customHeight="1">
      <c r="A654" s="12" t="s">
        <v>3950</v>
      </c>
      <c r="B654" s="4" t="s">
        <v>2308</v>
      </c>
      <c r="C654" s="4" t="s">
        <v>402</v>
      </c>
      <c r="D654" s="4" t="s">
        <v>5065</v>
      </c>
      <c r="E654" s="4" t="s">
        <v>136</v>
      </c>
      <c r="F654" s="5" t="s">
        <v>404</v>
      </c>
      <c r="G654" s="4" t="s">
        <v>2308</v>
      </c>
      <c r="H654" s="4" t="s">
        <v>2308</v>
      </c>
      <c r="I654" s="4" t="s">
        <v>2308</v>
      </c>
      <c r="J654" s="4" t="s">
        <v>2308</v>
      </c>
      <c r="K654" s="4" t="s">
        <v>542</v>
      </c>
      <c r="L654" s="4" t="s">
        <v>2308</v>
      </c>
      <c r="M654" s="4" t="s">
        <v>2308</v>
      </c>
      <c r="N654" s="4" t="s">
        <v>2308</v>
      </c>
      <c r="O654" s="4" t="s">
        <v>2308</v>
      </c>
      <c r="P654" s="4" t="s">
        <v>2308</v>
      </c>
      <c r="Q654" s="4" t="s">
        <v>2308</v>
      </c>
      <c r="R654" s="4" t="s">
        <v>2308</v>
      </c>
      <c r="S654" s="4" t="s">
        <v>2308</v>
      </c>
      <c r="T654" s="4" t="s">
        <v>3962</v>
      </c>
    </row>
    <row r="655" spans="1:20" ht="39.5" customHeight="1">
      <c r="A655" s="12" t="s">
        <v>3956</v>
      </c>
      <c r="B655" s="4" t="s">
        <v>2308</v>
      </c>
      <c r="C655" s="4" t="s">
        <v>402</v>
      </c>
      <c r="D655" s="4" t="s">
        <v>5065</v>
      </c>
      <c r="E655" s="4" t="s">
        <v>136</v>
      </c>
      <c r="F655" s="5" t="s">
        <v>404</v>
      </c>
      <c r="G655" s="4" t="s">
        <v>2308</v>
      </c>
      <c r="H655" s="4" t="s">
        <v>2308</v>
      </c>
      <c r="I655" s="4" t="s">
        <v>2308</v>
      </c>
      <c r="J655" s="4" t="s">
        <v>2308</v>
      </c>
      <c r="K655" s="4" t="s">
        <v>542</v>
      </c>
      <c r="L655" s="4" t="s">
        <v>2308</v>
      </c>
      <c r="M655" s="4" t="s">
        <v>2308</v>
      </c>
      <c r="N655" s="4" t="s">
        <v>2308</v>
      </c>
      <c r="O655" s="4" t="s">
        <v>2308</v>
      </c>
      <c r="P655" s="4" t="s">
        <v>2308</v>
      </c>
      <c r="Q655" s="4" t="s">
        <v>2308</v>
      </c>
      <c r="R655" s="4" t="s">
        <v>2308</v>
      </c>
      <c r="S655" s="4" t="s">
        <v>2308</v>
      </c>
      <c r="T655" s="4" t="s">
        <v>3962</v>
      </c>
    </row>
    <row r="656" spans="1:20" ht="39.5" customHeight="1">
      <c r="A656" s="12" t="s">
        <v>3958</v>
      </c>
      <c r="B656" s="4" t="s">
        <v>2308</v>
      </c>
      <c r="C656" s="4" t="s">
        <v>402</v>
      </c>
      <c r="D656" s="4" t="s">
        <v>5065</v>
      </c>
      <c r="E656" s="4" t="s">
        <v>136</v>
      </c>
      <c r="F656" s="5" t="s">
        <v>404</v>
      </c>
      <c r="G656" s="4" t="s">
        <v>2308</v>
      </c>
      <c r="H656" s="4" t="s">
        <v>2308</v>
      </c>
      <c r="I656" s="4" t="s">
        <v>2308</v>
      </c>
      <c r="J656" s="4" t="s">
        <v>2308</v>
      </c>
      <c r="K656" s="4" t="s">
        <v>542</v>
      </c>
      <c r="L656" s="4" t="s">
        <v>2308</v>
      </c>
      <c r="M656" s="4" t="s">
        <v>2308</v>
      </c>
      <c r="N656" s="4" t="s">
        <v>2308</v>
      </c>
      <c r="O656" s="4" t="s">
        <v>2308</v>
      </c>
      <c r="P656" s="4" t="s">
        <v>2308</v>
      </c>
      <c r="Q656" s="4" t="s">
        <v>2308</v>
      </c>
      <c r="R656" s="4" t="s">
        <v>2308</v>
      </c>
      <c r="S656" s="4" t="s">
        <v>2308</v>
      </c>
      <c r="T656" s="4" t="s">
        <v>3962</v>
      </c>
    </row>
    <row r="657" spans="1:20" ht="39.5" customHeight="1">
      <c r="A657" s="12" t="s">
        <v>3957</v>
      </c>
      <c r="B657" s="4" t="s">
        <v>2308</v>
      </c>
      <c r="C657" s="4" t="s">
        <v>402</v>
      </c>
      <c r="D657" s="4" t="s">
        <v>5065</v>
      </c>
      <c r="E657" s="4" t="s">
        <v>136</v>
      </c>
      <c r="F657" s="5" t="s">
        <v>404</v>
      </c>
      <c r="G657" s="4" t="s">
        <v>2308</v>
      </c>
      <c r="H657" s="4" t="s">
        <v>2308</v>
      </c>
      <c r="I657" s="4" t="s">
        <v>2308</v>
      </c>
      <c r="J657" s="4" t="s">
        <v>2308</v>
      </c>
      <c r="K657" s="4" t="s">
        <v>542</v>
      </c>
      <c r="L657" s="4" t="s">
        <v>2308</v>
      </c>
      <c r="M657" s="4" t="s">
        <v>2308</v>
      </c>
      <c r="N657" s="4" t="s">
        <v>2308</v>
      </c>
      <c r="O657" s="4" t="s">
        <v>2308</v>
      </c>
      <c r="P657" s="4" t="s">
        <v>2308</v>
      </c>
      <c r="Q657" s="4" t="s">
        <v>2308</v>
      </c>
      <c r="R657" s="4" t="s">
        <v>2308</v>
      </c>
      <c r="S657" s="4" t="s">
        <v>2308</v>
      </c>
      <c r="T657" s="4" t="s">
        <v>3962</v>
      </c>
    </row>
    <row r="658" spans="1:20" ht="39.5" customHeight="1">
      <c r="A658" s="12" t="s">
        <v>3959</v>
      </c>
      <c r="B658" s="4" t="s">
        <v>2308</v>
      </c>
      <c r="C658" s="4" t="s">
        <v>402</v>
      </c>
      <c r="D658" s="4" t="s">
        <v>5065</v>
      </c>
      <c r="E658" s="4" t="s">
        <v>136</v>
      </c>
      <c r="F658" s="5" t="s">
        <v>404</v>
      </c>
      <c r="G658" s="4" t="s">
        <v>2308</v>
      </c>
      <c r="H658" s="4" t="s">
        <v>2308</v>
      </c>
      <c r="I658" s="4" t="s">
        <v>2308</v>
      </c>
      <c r="J658" s="4" t="s">
        <v>2308</v>
      </c>
      <c r="K658" s="4" t="s">
        <v>542</v>
      </c>
      <c r="L658" s="4" t="s">
        <v>2308</v>
      </c>
      <c r="M658" s="4" t="s">
        <v>2308</v>
      </c>
      <c r="N658" s="4" t="s">
        <v>2308</v>
      </c>
      <c r="O658" s="4" t="s">
        <v>2308</v>
      </c>
      <c r="P658" s="4" t="s">
        <v>2308</v>
      </c>
      <c r="Q658" s="4" t="s">
        <v>2308</v>
      </c>
      <c r="R658" s="4" t="s">
        <v>2308</v>
      </c>
      <c r="S658" s="4" t="s">
        <v>2308</v>
      </c>
      <c r="T658" s="4" t="s">
        <v>3962</v>
      </c>
    </row>
    <row r="659" spans="1:20" ht="39.5" customHeight="1">
      <c r="A659" s="12" t="s">
        <v>3960</v>
      </c>
      <c r="B659" s="4" t="s">
        <v>2308</v>
      </c>
      <c r="C659" s="4" t="s">
        <v>402</v>
      </c>
      <c r="D659" s="4" t="s">
        <v>5065</v>
      </c>
      <c r="E659" s="4" t="s">
        <v>136</v>
      </c>
      <c r="F659" s="5" t="s">
        <v>404</v>
      </c>
      <c r="G659" s="4" t="s">
        <v>2308</v>
      </c>
      <c r="H659" s="4" t="s">
        <v>2308</v>
      </c>
      <c r="I659" s="4" t="s">
        <v>2308</v>
      </c>
      <c r="J659" s="4" t="s">
        <v>2308</v>
      </c>
      <c r="K659" s="4" t="s">
        <v>542</v>
      </c>
      <c r="L659" s="4" t="s">
        <v>2308</v>
      </c>
      <c r="M659" s="4" t="s">
        <v>2308</v>
      </c>
      <c r="N659" s="4" t="s">
        <v>2308</v>
      </c>
      <c r="O659" s="4" t="s">
        <v>2308</v>
      </c>
      <c r="P659" s="4" t="s">
        <v>2308</v>
      </c>
      <c r="Q659" s="4" t="s">
        <v>2308</v>
      </c>
      <c r="R659" s="4" t="s">
        <v>2308</v>
      </c>
      <c r="S659" s="4" t="s">
        <v>2308</v>
      </c>
      <c r="T659" s="4" t="s">
        <v>3962</v>
      </c>
    </row>
    <row r="660" spans="1:20" ht="37.5" customHeight="1">
      <c r="A660" s="12" t="s">
        <v>3970</v>
      </c>
      <c r="B660" s="4" t="s">
        <v>2308</v>
      </c>
      <c r="C660" s="4" t="s">
        <v>12</v>
      </c>
      <c r="D660" s="4" t="s">
        <v>5065</v>
      </c>
      <c r="E660" s="5" t="s">
        <v>404</v>
      </c>
      <c r="F660" s="5" t="s">
        <v>403</v>
      </c>
      <c r="G660" s="4" t="s">
        <v>2308</v>
      </c>
      <c r="H660" s="4" t="s">
        <v>2308</v>
      </c>
      <c r="I660" s="4" t="s">
        <v>2308</v>
      </c>
      <c r="J660" s="4" t="s">
        <v>2308</v>
      </c>
      <c r="K660" s="4" t="s">
        <v>2308</v>
      </c>
      <c r="L660" s="4" t="s">
        <v>2308</v>
      </c>
      <c r="M660" s="4" t="s">
        <v>2308</v>
      </c>
      <c r="N660" s="4" t="s">
        <v>2308</v>
      </c>
      <c r="O660" s="4" t="s">
        <v>2308</v>
      </c>
      <c r="P660" s="4" t="s">
        <v>2308</v>
      </c>
      <c r="Q660" s="4" t="s">
        <v>2308</v>
      </c>
      <c r="R660" s="4" t="s">
        <v>2308</v>
      </c>
      <c r="S660" s="4" t="s">
        <v>2308</v>
      </c>
      <c r="T660" s="4" t="s">
        <v>4004</v>
      </c>
    </row>
    <row r="661" spans="1:20" ht="37.5" customHeight="1">
      <c r="A661" s="12" t="s">
        <v>3971</v>
      </c>
      <c r="B661" s="4" t="s">
        <v>2308</v>
      </c>
      <c r="C661" s="4" t="s">
        <v>12</v>
      </c>
      <c r="D661" s="4" t="s">
        <v>5065</v>
      </c>
      <c r="E661" s="5" t="s">
        <v>404</v>
      </c>
      <c r="F661" s="5" t="s">
        <v>403</v>
      </c>
      <c r="G661" s="4" t="s">
        <v>2308</v>
      </c>
      <c r="H661" s="4" t="s">
        <v>2308</v>
      </c>
      <c r="I661" s="4" t="s">
        <v>2308</v>
      </c>
      <c r="J661" s="4" t="s">
        <v>2308</v>
      </c>
      <c r="K661" s="4" t="s">
        <v>2308</v>
      </c>
      <c r="L661" s="4" t="s">
        <v>2308</v>
      </c>
      <c r="M661" s="4" t="s">
        <v>2308</v>
      </c>
      <c r="N661" s="4" t="s">
        <v>2308</v>
      </c>
      <c r="O661" s="4" t="s">
        <v>2308</v>
      </c>
      <c r="P661" s="4" t="s">
        <v>2308</v>
      </c>
      <c r="Q661" s="4" t="s">
        <v>2308</v>
      </c>
      <c r="R661" s="4" t="s">
        <v>2308</v>
      </c>
      <c r="S661" s="4" t="s">
        <v>2308</v>
      </c>
      <c r="T661" s="4" t="s">
        <v>4004</v>
      </c>
    </row>
    <row r="662" spans="1:20" ht="37.5" customHeight="1">
      <c r="A662" s="12" t="s">
        <v>3972</v>
      </c>
      <c r="B662" s="4" t="s">
        <v>2308</v>
      </c>
      <c r="C662" s="4" t="s">
        <v>12</v>
      </c>
      <c r="D662" s="4" t="s">
        <v>5065</v>
      </c>
      <c r="E662" s="5" t="s">
        <v>404</v>
      </c>
      <c r="F662" s="5" t="s">
        <v>403</v>
      </c>
      <c r="G662" s="4" t="s">
        <v>2308</v>
      </c>
      <c r="H662" s="4" t="s">
        <v>2308</v>
      </c>
      <c r="I662" s="4" t="s">
        <v>2308</v>
      </c>
      <c r="J662" s="4" t="s">
        <v>2308</v>
      </c>
      <c r="K662" s="4" t="s">
        <v>2308</v>
      </c>
      <c r="L662" s="4" t="s">
        <v>2308</v>
      </c>
      <c r="M662" s="4" t="s">
        <v>2308</v>
      </c>
      <c r="N662" s="4" t="s">
        <v>2308</v>
      </c>
      <c r="O662" s="4" t="s">
        <v>2308</v>
      </c>
      <c r="P662" s="4" t="s">
        <v>2308</v>
      </c>
      <c r="Q662" s="4" t="s">
        <v>2308</v>
      </c>
      <c r="R662" s="4" t="s">
        <v>2308</v>
      </c>
      <c r="S662" s="4" t="s">
        <v>2308</v>
      </c>
      <c r="T662" s="4" t="s">
        <v>4004</v>
      </c>
    </row>
    <row r="663" spans="1:20" ht="37.5" customHeight="1">
      <c r="A663" s="12" t="s">
        <v>3973</v>
      </c>
      <c r="B663" s="4" t="s">
        <v>2308</v>
      </c>
      <c r="C663" s="4" t="s">
        <v>12</v>
      </c>
      <c r="D663" s="4" t="s">
        <v>5065</v>
      </c>
      <c r="E663" s="5" t="s">
        <v>3903</v>
      </c>
      <c r="F663" s="4" t="s">
        <v>2308</v>
      </c>
      <c r="G663" s="4" t="s">
        <v>2308</v>
      </c>
      <c r="H663" s="4" t="s">
        <v>2308</v>
      </c>
      <c r="I663" s="4" t="s">
        <v>2308</v>
      </c>
      <c r="J663" s="4" t="s">
        <v>2308</v>
      </c>
      <c r="K663" s="4" t="s">
        <v>2308</v>
      </c>
      <c r="L663" s="4" t="s">
        <v>2308</v>
      </c>
      <c r="M663" s="4" t="s">
        <v>2308</v>
      </c>
      <c r="N663" s="4" t="s">
        <v>2308</v>
      </c>
      <c r="O663" s="4" t="s">
        <v>2308</v>
      </c>
      <c r="P663" s="4" t="s">
        <v>2308</v>
      </c>
      <c r="Q663" s="4" t="s">
        <v>2308</v>
      </c>
      <c r="R663" s="4" t="s">
        <v>2308</v>
      </c>
      <c r="S663" s="4" t="s">
        <v>2308</v>
      </c>
      <c r="T663" s="4"/>
    </row>
    <row r="664" spans="1:20" ht="37.5" customHeight="1">
      <c r="A664" s="12" t="s">
        <v>3974</v>
      </c>
      <c r="B664" s="4" t="s">
        <v>2308</v>
      </c>
      <c r="C664" s="4" t="s">
        <v>12</v>
      </c>
      <c r="D664" s="4" t="s">
        <v>5065</v>
      </c>
      <c r="E664" s="5" t="s">
        <v>3903</v>
      </c>
      <c r="F664" s="4" t="s">
        <v>2308</v>
      </c>
      <c r="G664" s="4" t="s">
        <v>2308</v>
      </c>
      <c r="H664" s="4" t="s">
        <v>2308</v>
      </c>
      <c r="I664" s="4" t="s">
        <v>2308</v>
      </c>
      <c r="J664" s="4" t="s">
        <v>2308</v>
      </c>
      <c r="K664" s="4" t="s">
        <v>2308</v>
      </c>
      <c r="L664" s="4" t="s">
        <v>2308</v>
      </c>
      <c r="M664" s="4" t="s">
        <v>2308</v>
      </c>
      <c r="N664" s="4" t="s">
        <v>2308</v>
      </c>
      <c r="O664" s="4" t="s">
        <v>2308</v>
      </c>
      <c r="P664" s="4" t="s">
        <v>2308</v>
      </c>
      <c r="Q664" s="4" t="s">
        <v>2308</v>
      </c>
      <c r="R664" s="4" t="s">
        <v>2308</v>
      </c>
      <c r="S664" s="4" t="s">
        <v>2308</v>
      </c>
      <c r="T664" s="4"/>
    </row>
    <row r="665" spans="1:20" ht="37.5" customHeight="1">
      <c r="A665" s="12" t="s">
        <v>3975</v>
      </c>
      <c r="B665" s="4" t="s">
        <v>2308</v>
      </c>
      <c r="C665" s="4" t="s">
        <v>12</v>
      </c>
      <c r="D665" s="4" t="s">
        <v>5065</v>
      </c>
      <c r="E665" s="5" t="s">
        <v>3903</v>
      </c>
      <c r="F665" s="4" t="s">
        <v>2308</v>
      </c>
      <c r="G665" s="4" t="s">
        <v>2308</v>
      </c>
      <c r="H665" s="4" t="s">
        <v>2308</v>
      </c>
      <c r="I665" s="4" t="s">
        <v>2308</v>
      </c>
      <c r="J665" s="4" t="s">
        <v>2308</v>
      </c>
      <c r="K665" s="4" t="s">
        <v>2308</v>
      </c>
      <c r="L665" s="4" t="s">
        <v>2308</v>
      </c>
      <c r="M665" s="4" t="s">
        <v>2308</v>
      </c>
      <c r="N665" s="4" t="s">
        <v>2308</v>
      </c>
      <c r="O665" s="4" t="s">
        <v>2308</v>
      </c>
      <c r="P665" s="4" t="s">
        <v>2308</v>
      </c>
      <c r="Q665" s="4" t="s">
        <v>2308</v>
      </c>
      <c r="R665" s="4" t="s">
        <v>2308</v>
      </c>
      <c r="S665" s="4" t="s">
        <v>2308</v>
      </c>
      <c r="T665" s="4"/>
    </row>
    <row r="666" spans="1:20" ht="37.5" customHeight="1">
      <c r="A666" s="12" t="s">
        <v>3976</v>
      </c>
      <c r="B666" s="4" t="s">
        <v>2308</v>
      </c>
      <c r="C666" s="4" t="s">
        <v>12</v>
      </c>
      <c r="D666" s="4" t="s">
        <v>5065</v>
      </c>
      <c r="E666" s="5" t="s">
        <v>3903</v>
      </c>
      <c r="F666" s="5" t="s">
        <v>403</v>
      </c>
      <c r="G666" s="4" t="s">
        <v>2308</v>
      </c>
      <c r="H666" s="4" t="s">
        <v>2308</v>
      </c>
      <c r="I666" s="4" t="s">
        <v>2308</v>
      </c>
      <c r="J666" s="4" t="s">
        <v>2308</v>
      </c>
      <c r="K666" s="4" t="s">
        <v>2308</v>
      </c>
      <c r="L666" s="4" t="s">
        <v>2308</v>
      </c>
      <c r="M666" s="4" t="s">
        <v>2308</v>
      </c>
      <c r="N666" s="4" t="s">
        <v>2308</v>
      </c>
      <c r="O666" s="4" t="s">
        <v>2308</v>
      </c>
      <c r="P666" s="4" t="s">
        <v>2308</v>
      </c>
      <c r="Q666" s="4" t="s">
        <v>2308</v>
      </c>
      <c r="R666" s="4" t="s">
        <v>2308</v>
      </c>
      <c r="S666" s="4" t="s">
        <v>2308</v>
      </c>
      <c r="T666" s="4" t="s">
        <v>4003</v>
      </c>
    </row>
    <row r="667" spans="1:20" ht="37.5" customHeight="1">
      <c r="A667" s="12" t="s">
        <v>3977</v>
      </c>
      <c r="B667" s="4" t="s">
        <v>2308</v>
      </c>
      <c r="C667" s="4" t="s">
        <v>12</v>
      </c>
      <c r="D667" s="4" t="s">
        <v>5065</v>
      </c>
      <c r="E667" s="5" t="s">
        <v>3903</v>
      </c>
      <c r="F667" s="5" t="s">
        <v>403</v>
      </c>
      <c r="G667" s="4" t="s">
        <v>2308</v>
      </c>
      <c r="H667" s="4" t="s">
        <v>2308</v>
      </c>
      <c r="I667" s="4" t="s">
        <v>2308</v>
      </c>
      <c r="J667" s="4" t="s">
        <v>2308</v>
      </c>
      <c r="K667" s="4" t="s">
        <v>2308</v>
      </c>
      <c r="L667" s="4" t="s">
        <v>2308</v>
      </c>
      <c r="M667" s="4" t="s">
        <v>2308</v>
      </c>
      <c r="N667" s="4" t="s">
        <v>2308</v>
      </c>
      <c r="O667" s="4" t="s">
        <v>2308</v>
      </c>
      <c r="P667" s="4" t="s">
        <v>2308</v>
      </c>
      <c r="Q667" s="4" t="s">
        <v>2308</v>
      </c>
      <c r="R667" s="4" t="s">
        <v>2308</v>
      </c>
      <c r="S667" s="4" t="s">
        <v>2308</v>
      </c>
      <c r="T667" s="4" t="s">
        <v>4003</v>
      </c>
    </row>
    <row r="668" spans="1:20" ht="37.5" customHeight="1">
      <c r="A668" s="12" t="s">
        <v>3978</v>
      </c>
      <c r="B668" s="4" t="s">
        <v>2308</v>
      </c>
      <c r="C668" s="4" t="s">
        <v>12</v>
      </c>
      <c r="D668" s="4" t="s">
        <v>5065</v>
      </c>
      <c r="E668" s="5" t="s">
        <v>3903</v>
      </c>
      <c r="F668" s="5" t="s">
        <v>403</v>
      </c>
      <c r="G668" s="4" t="s">
        <v>2308</v>
      </c>
      <c r="H668" s="4" t="s">
        <v>2308</v>
      </c>
      <c r="I668" s="4" t="s">
        <v>2308</v>
      </c>
      <c r="J668" s="4" t="s">
        <v>2308</v>
      </c>
      <c r="K668" s="4" t="s">
        <v>2308</v>
      </c>
      <c r="L668" s="4" t="s">
        <v>2308</v>
      </c>
      <c r="M668" s="4" t="s">
        <v>2308</v>
      </c>
      <c r="N668" s="4" t="s">
        <v>2308</v>
      </c>
      <c r="O668" s="4" t="s">
        <v>2308</v>
      </c>
      <c r="P668" s="4" t="s">
        <v>2308</v>
      </c>
      <c r="Q668" s="4" t="s">
        <v>2308</v>
      </c>
      <c r="R668" s="4" t="s">
        <v>2308</v>
      </c>
      <c r="S668" s="4" t="s">
        <v>2308</v>
      </c>
      <c r="T668" s="4" t="s">
        <v>4003</v>
      </c>
    </row>
    <row r="669" spans="1:20" ht="37.5" customHeight="1">
      <c r="A669" s="12" t="s">
        <v>3979</v>
      </c>
      <c r="B669" s="4" t="s">
        <v>2308</v>
      </c>
      <c r="C669" s="4" t="s">
        <v>12</v>
      </c>
      <c r="D669" s="4" t="s">
        <v>5065</v>
      </c>
      <c r="E669" s="5" t="s">
        <v>3903</v>
      </c>
      <c r="F669" s="4" t="s">
        <v>2308</v>
      </c>
      <c r="G669" s="4" t="s">
        <v>2308</v>
      </c>
      <c r="H669" s="4" t="s">
        <v>2308</v>
      </c>
      <c r="I669" s="4" t="s">
        <v>2308</v>
      </c>
      <c r="J669" s="4" t="s">
        <v>2308</v>
      </c>
      <c r="K669" s="4" t="s">
        <v>2308</v>
      </c>
      <c r="L669" s="4" t="s">
        <v>2308</v>
      </c>
      <c r="M669" s="4" t="s">
        <v>2308</v>
      </c>
      <c r="N669" s="4" t="s">
        <v>2308</v>
      </c>
      <c r="O669" s="4" t="s">
        <v>2308</v>
      </c>
      <c r="P669" s="4" t="s">
        <v>2308</v>
      </c>
      <c r="Q669" s="4" t="s">
        <v>2308</v>
      </c>
      <c r="R669" s="4" t="s">
        <v>2308</v>
      </c>
      <c r="S669" s="4" t="s">
        <v>2308</v>
      </c>
      <c r="T669" s="4"/>
    </row>
    <row r="670" spans="1:20" ht="37.5" customHeight="1">
      <c r="A670" s="12" t="s">
        <v>3980</v>
      </c>
      <c r="B670" s="4" t="s">
        <v>2308</v>
      </c>
      <c r="C670" s="4" t="s">
        <v>12</v>
      </c>
      <c r="D670" s="4" t="s">
        <v>5065</v>
      </c>
      <c r="E670" s="5" t="s">
        <v>3903</v>
      </c>
      <c r="F670" s="4" t="s">
        <v>2308</v>
      </c>
      <c r="G670" s="4" t="s">
        <v>2308</v>
      </c>
      <c r="H670" s="4" t="s">
        <v>2308</v>
      </c>
      <c r="I670" s="4" t="s">
        <v>2308</v>
      </c>
      <c r="J670" s="4" t="s">
        <v>2308</v>
      </c>
      <c r="K670" s="4" t="s">
        <v>2308</v>
      </c>
      <c r="L670" s="4" t="s">
        <v>2308</v>
      </c>
      <c r="M670" s="4" t="s">
        <v>2308</v>
      </c>
      <c r="N670" s="4" t="s">
        <v>2308</v>
      </c>
      <c r="O670" s="4" t="s">
        <v>2308</v>
      </c>
      <c r="P670" s="4" t="s">
        <v>2308</v>
      </c>
      <c r="Q670" s="4" t="s">
        <v>2308</v>
      </c>
      <c r="R670" s="4" t="s">
        <v>2308</v>
      </c>
      <c r="S670" s="4" t="s">
        <v>2308</v>
      </c>
      <c r="T670" s="4"/>
    </row>
    <row r="671" spans="1:20" ht="37.5" customHeight="1">
      <c r="A671" s="12" t="s">
        <v>3981</v>
      </c>
      <c r="B671" s="4" t="s">
        <v>2308</v>
      </c>
      <c r="C671" s="4" t="s">
        <v>12</v>
      </c>
      <c r="D671" s="4" t="s">
        <v>5065</v>
      </c>
      <c r="E671" s="5" t="s">
        <v>3903</v>
      </c>
      <c r="F671" s="4" t="s">
        <v>2308</v>
      </c>
      <c r="G671" s="4" t="s">
        <v>2308</v>
      </c>
      <c r="H671" s="4" t="s">
        <v>2308</v>
      </c>
      <c r="I671" s="4" t="s">
        <v>2308</v>
      </c>
      <c r="J671" s="4" t="s">
        <v>2308</v>
      </c>
      <c r="K671" s="4" t="s">
        <v>542</v>
      </c>
      <c r="L671" s="4" t="s">
        <v>2308</v>
      </c>
      <c r="M671" s="4" t="s">
        <v>2308</v>
      </c>
      <c r="N671" s="4" t="s">
        <v>2308</v>
      </c>
      <c r="O671" s="4" t="s">
        <v>2308</v>
      </c>
      <c r="P671" s="4" t="s">
        <v>2308</v>
      </c>
      <c r="Q671" s="4" t="s">
        <v>2308</v>
      </c>
      <c r="R671" s="4" t="s">
        <v>2308</v>
      </c>
      <c r="S671" s="4" t="s">
        <v>2308</v>
      </c>
      <c r="T671" s="4"/>
    </row>
    <row r="672" spans="1:20" ht="39" customHeight="1">
      <c r="A672" s="12" t="s">
        <v>4015</v>
      </c>
      <c r="B672" s="4" t="s">
        <v>32</v>
      </c>
      <c r="C672" s="4" t="s">
        <v>12</v>
      </c>
      <c r="D672" s="4" t="s">
        <v>45</v>
      </c>
      <c r="E672" s="5" t="s">
        <v>3903</v>
      </c>
      <c r="F672" s="4" t="s">
        <v>116</v>
      </c>
      <c r="G672" s="4" t="s">
        <v>2308</v>
      </c>
      <c r="H672" s="4" t="s">
        <v>2308</v>
      </c>
      <c r="I672" s="4" t="s">
        <v>2308</v>
      </c>
      <c r="J672" s="4" t="s">
        <v>2308</v>
      </c>
      <c r="K672" s="4" t="s">
        <v>545</v>
      </c>
      <c r="L672" s="4" t="s">
        <v>2308</v>
      </c>
      <c r="M672" s="4" t="s">
        <v>2308</v>
      </c>
      <c r="N672" s="4" t="s">
        <v>2308</v>
      </c>
      <c r="O672" s="4" t="s">
        <v>2308</v>
      </c>
      <c r="P672" s="4" t="s">
        <v>2308</v>
      </c>
      <c r="Q672" s="4" t="s">
        <v>2308</v>
      </c>
      <c r="R672" s="4" t="s">
        <v>2308</v>
      </c>
      <c r="S672" s="4" t="s">
        <v>2308</v>
      </c>
      <c r="T672" s="4"/>
    </row>
    <row r="673" spans="1:20" ht="41" customHeight="1">
      <c r="A673" s="12" t="s">
        <v>4016</v>
      </c>
      <c r="B673" s="4" t="s">
        <v>69</v>
      </c>
      <c r="C673" s="4" t="s">
        <v>402</v>
      </c>
      <c r="D673" s="4" t="s">
        <v>5065</v>
      </c>
      <c r="E673" s="4" t="s">
        <v>45</v>
      </c>
      <c r="F673" s="4" t="s">
        <v>116</v>
      </c>
      <c r="G673" s="4" t="s">
        <v>2308</v>
      </c>
      <c r="H673" s="4" t="s">
        <v>2308</v>
      </c>
      <c r="I673" s="4" t="s">
        <v>2308</v>
      </c>
      <c r="J673" s="4" t="s">
        <v>2308</v>
      </c>
      <c r="K673" s="4" t="s">
        <v>542</v>
      </c>
      <c r="L673" s="4" t="s">
        <v>2308</v>
      </c>
      <c r="M673" s="4" t="s">
        <v>2308</v>
      </c>
      <c r="N673" s="4" t="s">
        <v>2308</v>
      </c>
      <c r="O673" s="4" t="s">
        <v>2308</v>
      </c>
      <c r="P673" s="4" t="s">
        <v>2308</v>
      </c>
      <c r="Q673" s="4" t="s">
        <v>2308</v>
      </c>
      <c r="R673" s="4" t="s">
        <v>2308</v>
      </c>
      <c r="S673" s="4" t="s">
        <v>2308</v>
      </c>
      <c r="T673" s="4" t="s">
        <v>4022</v>
      </c>
    </row>
    <row r="674" spans="1:20" ht="37.5" customHeight="1">
      <c r="A674" s="12" t="s">
        <v>4021</v>
      </c>
      <c r="B674" s="4" t="s">
        <v>69</v>
      </c>
      <c r="C674" s="4" t="s">
        <v>402</v>
      </c>
      <c r="D674" s="4" t="s">
        <v>5065</v>
      </c>
      <c r="E674" s="4" t="s">
        <v>45</v>
      </c>
      <c r="F674" s="4" t="s">
        <v>2308</v>
      </c>
      <c r="G674" s="4" t="s">
        <v>2308</v>
      </c>
      <c r="H674" s="4" t="s">
        <v>2308</v>
      </c>
      <c r="I674" s="4" t="s">
        <v>2308</v>
      </c>
      <c r="J674" s="4" t="s">
        <v>2308</v>
      </c>
      <c r="K674" s="4" t="s">
        <v>545</v>
      </c>
      <c r="L674" s="4" t="s">
        <v>2308</v>
      </c>
      <c r="M674" s="4" t="s">
        <v>2308</v>
      </c>
      <c r="N674" s="4" t="s">
        <v>2308</v>
      </c>
      <c r="O674" s="4" t="s">
        <v>2308</v>
      </c>
      <c r="P674" s="4" t="s">
        <v>2308</v>
      </c>
      <c r="Q674" s="4" t="s">
        <v>2308</v>
      </c>
      <c r="R674" s="4" t="s">
        <v>2308</v>
      </c>
      <c r="S674" s="4" t="s">
        <v>2308</v>
      </c>
      <c r="T674" s="4" t="s">
        <v>4023</v>
      </c>
    </row>
    <row r="675" spans="1:20" ht="33.5" customHeight="1">
      <c r="A675" s="12" t="s">
        <v>4038</v>
      </c>
      <c r="B675" s="4" t="s">
        <v>69</v>
      </c>
      <c r="C675" s="4" t="s">
        <v>402</v>
      </c>
      <c r="D675" s="4" t="s">
        <v>5065</v>
      </c>
      <c r="E675" s="5" t="s">
        <v>3903</v>
      </c>
      <c r="F675" s="4" t="s">
        <v>2308</v>
      </c>
      <c r="G675" s="4" t="s">
        <v>2308</v>
      </c>
      <c r="H675" s="4" t="s">
        <v>2308</v>
      </c>
      <c r="I675" s="4" t="s">
        <v>2308</v>
      </c>
      <c r="J675" s="4" t="s">
        <v>2308</v>
      </c>
      <c r="K675" s="4" t="s">
        <v>2308</v>
      </c>
      <c r="L675" s="4" t="s">
        <v>2308</v>
      </c>
      <c r="M675" s="4" t="s">
        <v>2308</v>
      </c>
      <c r="N675" s="4" t="s">
        <v>2308</v>
      </c>
      <c r="O675" s="4" t="s">
        <v>2308</v>
      </c>
      <c r="P675" s="4" t="s">
        <v>2308</v>
      </c>
      <c r="Q675" s="4" t="s">
        <v>2308</v>
      </c>
      <c r="R675" s="4" t="s">
        <v>2308</v>
      </c>
      <c r="S675" s="4" t="s">
        <v>2308</v>
      </c>
      <c r="T675" s="4"/>
    </row>
    <row r="676" spans="1:20" ht="33.5" customHeight="1">
      <c r="A676" s="12" t="s">
        <v>4039</v>
      </c>
      <c r="B676" s="4" t="s">
        <v>69</v>
      </c>
      <c r="C676" s="4" t="s">
        <v>402</v>
      </c>
      <c r="D676" s="4" t="s">
        <v>5065</v>
      </c>
      <c r="E676" s="5" t="s">
        <v>3903</v>
      </c>
      <c r="F676" s="4" t="s">
        <v>2308</v>
      </c>
      <c r="G676" s="4" t="s">
        <v>2308</v>
      </c>
      <c r="H676" s="4" t="s">
        <v>2308</v>
      </c>
      <c r="I676" s="4" t="s">
        <v>2308</v>
      </c>
      <c r="J676" s="4" t="s">
        <v>2308</v>
      </c>
      <c r="K676" s="4" t="s">
        <v>2308</v>
      </c>
      <c r="L676" s="4" t="s">
        <v>2308</v>
      </c>
      <c r="M676" s="4" t="s">
        <v>2308</v>
      </c>
      <c r="N676" s="4" t="s">
        <v>2308</v>
      </c>
      <c r="O676" s="4" t="s">
        <v>2308</v>
      </c>
      <c r="P676" s="4" t="s">
        <v>2308</v>
      </c>
      <c r="Q676" s="4" t="s">
        <v>2308</v>
      </c>
      <c r="R676" s="4" t="s">
        <v>2308</v>
      </c>
      <c r="S676" s="4" t="s">
        <v>2308</v>
      </c>
      <c r="T676" s="4"/>
    </row>
    <row r="677" spans="1:20" ht="33.5" customHeight="1">
      <c r="A677" s="12" t="s">
        <v>4044</v>
      </c>
      <c r="B677" s="4" t="s">
        <v>69</v>
      </c>
      <c r="C677" s="4" t="s">
        <v>402</v>
      </c>
      <c r="D677" s="4" t="s">
        <v>5065</v>
      </c>
      <c r="E677" s="5" t="s">
        <v>3903</v>
      </c>
      <c r="F677" s="4" t="s">
        <v>2308</v>
      </c>
      <c r="G677" s="4" t="s">
        <v>2308</v>
      </c>
      <c r="H677" s="4" t="s">
        <v>2308</v>
      </c>
      <c r="I677" s="4" t="s">
        <v>2308</v>
      </c>
      <c r="J677" s="4" t="s">
        <v>2308</v>
      </c>
      <c r="K677" s="4" t="s">
        <v>2308</v>
      </c>
      <c r="L677" s="4" t="s">
        <v>2308</v>
      </c>
      <c r="M677" s="4" t="s">
        <v>2308</v>
      </c>
      <c r="N677" s="4" t="s">
        <v>2308</v>
      </c>
      <c r="O677" s="4" t="s">
        <v>2308</v>
      </c>
      <c r="P677" s="4" t="s">
        <v>2308</v>
      </c>
      <c r="Q677" s="4" t="s">
        <v>2308</v>
      </c>
      <c r="R677" s="4" t="s">
        <v>2308</v>
      </c>
      <c r="S677" s="4" t="s">
        <v>2308</v>
      </c>
      <c r="T677" s="4"/>
    </row>
    <row r="678" spans="1:20" ht="37" customHeight="1">
      <c r="A678" s="12" t="s">
        <v>4064</v>
      </c>
      <c r="B678" s="4" t="s">
        <v>69</v>
      </c>
      <c r="C678" s="4" t="s">
        <v>402</v>
      </c>
      <c r="D678" s="4" t="s">
        <v>5065</v>
      </c>
      <c r="E678" s="4" t="s">
        <v>45</v>
      </c>
      <c r="F678" s="4" t="s">
        <v>116</v>
      </c>
      <c r="G678" s="5" t="s">
        <v>404</v>
      </c>
      <c r="H678" s="4" t="s">
        <v>2308</v>
      </c>
      <c r="I678" s="4" t="s">
        <v>2308</v>
      </c>
      <c r="J678" s="4" t="s">
        <v>2308</v>
      </c>
      <c r="K678" s="4" t="s">
        <v>542</v>
      </c>
      <c r="L678" s="4" t="s">
        <v>2308</v>
      </c>
      <c r="M678" s="4" t="s">
        <v>2308</v>
      </c>
      <c r="N678" s="4" t="s">
        <v>2308</v>
      </c>
      <c r="O678" s="4" t="s">
        <v>2308</v>
      </c>
      <c r="P678" s="4" t="s">
        <v>2308</v>
      </c>
      <c r="Q678" s="4" t="s">
        <v>2308</v>
      </c>
      <c r="R678" s="4" t="s">
        <v>2308</v>
      </c>
      <c r="S678" s="4" t="s">
        <v>2308</v>
      </c>
      <c r="T678" s="5" t="s">
        <v>4068</v>
      </c>
    </row>
    <row r="679" spans="1:20" ht="35.5" customHeight="1">
      <c r="A679" s="12" t="s">
        <v>4077</v>
      </c>
      <c r="B679" s="4" t="s">
        <v>69</v>
      </c>
      <c r="C679" s="4" t="s">
        <v>402</v>
      </c>
      <c r="D679" s="4" t="s">
        <v>5065</v>
      </c>
      <c r="E679" s="4" t="s">
        <v>2308</v>
      </c>
      <c r="F679" s="4" t="s">
        <v>2308</v>
      </c>
      <c r="G679" s="4" t="s">
        <v>2308</v>
      </c>
      <c r="H679" s="4" t="s">
        <v>2308</v>
      </c>
      <c r="I679" s="4" t="s">
        <v>2308</v>
      </c>
      <c r="J679" s="4" t="s">
        <v>2308</v>
      </c>
      <c r="K679" s="4" t="s">
        <v>2308</v>
      </c>
      <c r="L679" s="4" t="s">
        <v>2308</v>
      </c>
      <c r="M679" s="4" t="s">
        <v>2308</v>
      </c>
      <c r="N679" s="4" t="s">
        <v>2308</v>
      </c>
      <c r="O679" s="4" t="s">
        <v>2308</v>
      </c>
      <c r="P679" s="4" t="s">
        <v>2308</v>
      </c>
      <c r="Q679" s="4" t="s">
        <v>2308</v>
      </c>
      <c r="R679" s="4" t="s">
        <v>2308</v>
      </c>
      <c r="S679" s="4" t="s">
        <v>2308</v>
      </c>
      <c r="T679" s="4"/>
    </row>
    <row r="680" spans="1:20" ht="35.5" customHeight="1">
      <c r="A680" s="12" t="s">
        <v>4078</v>
      </c>
      <c r="B680" s="4" t="s">
        <v>69</v>
      </c>
      <c r="C680" s="4" t="s">
        <v>402</v>
      </c>
      <c r="D680" s="4" t="s">
        <v>5065</v>
      </c>
      <c r="E680" s="4" t="s">
        <v>2308</v>
      </c>
      <c r="F680" s="4" t="s">
        <v>2308</v>
      </c>
      <c r="G680" s="4" t="s">
        <v>2308</v>
      </c>
      <c r="H680" s="4" t="s">
        <v>2308</v>
      </c>
      <c r="I680" s="4" t="s">
        <v>2308</v>
      </c>
      <c r="J680" s="4" t="s">
        <v>2308</v>
      </c>
      <c r="K680" s="4" t="s">
        <v>2308</v>
      </c>
      <c r="L680" s="4" t="s">
        <v>2308</v>
      </c>
      <c r="M680" s="4" t="s">
        <v>2308</v>
      </c>
      <c r="N680" s="4" t="s">
        <v>2308</v>
      </c>
      <c r="O680" s="4" t="s">
        <v>2308</v>
      </c>
      <c r="P680" s="4" t="s">
        <v>2308</v>
      </c>
      <c r="Q680" s="4" t="s">
        <v>2308</v>
      </c>
      <c r="R680" s="4" t="s">
        <v>2308</v>
      </c>
      <c r="S680" s="4" t="s">
        <v>2308</v>
      </c>
      <c r="T680" s="4"/>
    </row>
    <row r="681" spans="1:20" ht="35.5" customHeight="1">
      <c r="A681" s="12" t="s">
        <v>4079</v>
      </c>
      <c r="B681" s="4" t="s">
        <v>69</v>
      </c>
      <c r="C681" s="4" t="s">
        <v>402</v>
      </c>
      <c r="D681" s="4" t="s">
        <v>5065</v>
      </c>
      <c r="E681" s="4" t="s">
        <v>2308</v>
      </c>
      <c r="F681" s="4" t="s">
        <v>2308</v>
      </c>
      <c r="G681" s="4" t="s">
        <v>2308</v>
      </c>
      <c r="H681" s="4" t="s">
        <v>2308</v>
      </c>
      <c r="I681" s="4" t="s">
        <v>2308</v>
      </c>
      <c r="J681" s="4" t="s">
        <v>2308</v>
      </c>
      <c r="K681" s="4" t="s">
        <v>2308</v>
      </c>
      <c r="L681" s="4" t="s">
        <v>2308</v>
      </c>
      <c r="M681" s="4" t="s">
        <v>2308</v>
      </c>
      <c r="N681" s="4" t="s">
        <v>2308</v>
      </c>
      <c r="O681" s="4" t="s">
        <v>2308</v>
      </c>
      <c r="P681" s="4" t="s">
        <v>2308</v>
      </c>
      <c r="Q681" s="4" t="s">
        <v>2308</v>
      </c>
      <c r="R681" s="4" t="s">
        <v>2308</v>
      </c>
      <c r="S681" s="4" t="s">
        <v>2308</v>
      </c>
      <c r="T681" s="4"/>
    </row>
    <row r="682" spans="1:20" ht="35.5" customHeight="1">
      <c r="A682" s="12" t="s">
        <v>4080</v>
      </c>
      <c r="B682" s="4" t="s">
        <v>69</v>
      </c>
      <c r="C682" s="4" t="s">
        <v>402</v>
      </c>
      <c r="D682" s="4" t="s">
        <v>5065</v>
      </c>
      <c r="E682" s="4" t="s">
        <v>2308</v>
      </c>
      <c r="F682" s="4" t="s">
        <v>2308</v>
      </c>
      <c r="G682" s="4" t="s">
        <v>2308</v>
      </c>
      <c r="H682" s="4" t="s">
        <v>2308</v>
      </c>
      <c r="I682" s="4" t="s">
        <v>2308</v>
      </c>
      <c r="J682" s="4" t="s">
        <v>2308</v>
      </c>
      <c r="K682" s="4" t="s">
        <v>2308</v>
      </c>
      <c r="L682" s="4" t="s">
        <v>2308</v>
      </c>
      <c r="M682" s="4" t="s">
        <v>2308</v>
      </c>
      <c r="N682" s="4" t="s">
        <v>2308</v>
      </c>
      <c r="O682" s="4" t="s">
        <v>2308</v>
      </c>
      <c r="P682" s="4" t="s">
        <v>2308</v>
      </c>
      <c r="Q682" s="4" t="s">
        <v>2308</v>
      </c>
      <c r="R682" s="4" t="s">
        <v>2308</v>
      </c>
      <c r="S682" s="4" t="s">
        <v>2308</v>
      </c>
      <c r="T682" s="4"/>
    </row>
    <row r="683" spans="1:20" ht="30.5" customHeight="1">
      <c r="A683" s="12" t="s">
        <v>4097</v>
      </c>
      <c r="B683" s="4" t="s">
        <v>32</v>
      </c>
      <c r="C683" s="4" t="s">
        <v>2679</v>
      </c>
      <c r="D683" s="4" t="s">
        <v>45</v>
      </c>
      <c r="E683" s="4" t="s">
        <v>84</v>
      </c>
      <c r="F683" s="5" t="s">
        <v>3904</v>
      </c>
      <c r="G683" s="4" t="s">
        <v>2686</v>
      </c>
      <c r="H683" s="22">
        <v>1.4</v>
      </c>
      <c r="I683" s="4" t="s">
        <v>2308</v>
      </c>
      <c r="J683" s="4" t="s">
        <v>2308</v>
      </c>
      <c r="K683" s="4" t="s">
        <v>2308</v>
      </c>
      <c r="L683" s="4" t="s">
        <v>2308</v>
      </c>
      <c r="M683" s="4" t="s">
        <v>2308</v>
      </c>
      <c r="N683" s="4" t="s">
        <v>2308</v>
      </c>
      <c r="O683" s="4" t="s">
        <v>2308</v>
      </c>
      <c r="P683" s="4" t="s">
        <v>2308</v>
      </c>
      <c r="Q683" s="4" t="s">
        <v>2308</v>
      </c>
      <c r="R683" s="4" t="s">
        <v>2308</v>
      </c>
      <c r="S683" s="4" t="s">
        <v>2308</v>
      </c>
      <c r="T683" s="4" t="s">
        <v>4132</v>
      </c>
    </row>
    <row r="684" spans="1:20" ht="30.5" customHeight="1">
      <c r="A684" s="12" t="s">
        <v>4108</v>
      </c>
      <c r="B684" s="4" t="s">
        <v>32</v>
      </c>
      <c r="C684" s="4" t="s">
        <v>2679</v>
      </c>
      <c r="D684" s="4" t="s">
        <v>45</v>
      </c>
      <c r="E684" s="4" t="s">
        <v>84</v>
      </c>
      <c r="F684" s="5" t="s">
        <v>3904</v>
      </c>
      <c r="G684" s="4" t="s">
        <v>2686</v>
      </c>
      <c r="H684" s="22">
        <v>1.4</v>
      </c>
      <c r="I684" s="4" t="s">
        <v>2308</v>
      </c>
      <c r="J684" s="4" t="s">
        <v>2308</v>
      </c>
      <c r="K684" s="4" t="s">
        <v>2308</v>
      </c>
      <c r="L684" s="4" t="s">
        <v>2308</v>
      </c>
      <c r="M684" s="4" t="s">
        <v>2308</v>
      </c>
      <c r="N684" s="4" t="s">
        <v>2308</v>
      </c>
      <c r="O684" s="4" t="s">
        <v>2308</v>
      </c>
      <c r="P684" s="4" t="s">
        <v>2308</v>
      </c>
      <c r="Q684" s="4" t="s">
        <v>2308</v>
      </c>
      <c r="R684" s="4" t="s">
        <v>2308</v>
      </c>
      <c r="S684" s="4" t="s">
        <v>2308</v>
      </c>
      <c r="T684" s="4" t="s">
        <v>4132</v>
      </c>
    </row>
    <row r="685" spans="1:20" ht="30.5" customHeight="1">
      <c r="A685" s="12" t="s">
        <v>4109</v>
      </c>
      <c r="B685" s="4" t="s">
        <v>32</v>
      </c>
      <c r="C685" s="4" t="s">
        <v>2679</v>
      </c>
      <c r="D685" s="4" t="s">
        <v>45</v>
      </c>
      <c r="E685" s="4" t="s">
        <v>84</v>
      </c>
      <c r="F685" s="5" t="s">
        <v>3904</v>
      </c>
      <c r="G685" s="4" t="s">
        <v>2686</v>
      </c>
      <c r="H685" s="22">
        <v>1.4</v>
      </c>
      <c r="I685" s="4" t="s">
        <v>2308</v>
      </c>
      <c r="J685" s="4" t="s">
        <v>2308</v>
      </c>
      <c r="K685" s="4" t="s">
        <v>2308</v>
      </c>
      <c r="L685" s="4" t="s">
        <v>2308</v>
      </c>
      <c r="M685" s="4" t="s">
        <v>2308</v>
      </c>
      <c r="N685" s="4" t="s">
        <v>2308</v>
      </c>
      <c r="O685" s="4" t="s">
        <v>2308</v>
      </c>
      <c r="P685" s="4" t="s">
        <v>2308</v>
      </c>
      <c r="Q685" s="4" t="s">
        <v>2308</v>
      </c>
      <c r="R685" s="4" t="s">
        <v>2308</v>
      </c>
      <c r="S685" s="4" t="s">
        <v>2308</v>
      </c>
      <c r="T685" s="4" t="s">
        <v>4132</v>
      </c>
    </row>
    <row r="686" spans="1:20" ht="30.5" customHeight="1">
      <c r="A686" s="12" t="s">
        <v>4110</v>
      </c>
      <c r="B686" s="4" t="s">
        <v>32</v>
      </c>
      <c r="C686" s="4" t="s">
        <v>2679</v>
      </c>
      <c r="D686" s="4" t="s">
        <v>45</v>
      </c>
      <c r="E686" s="4" t="s">
        <v>84</v>
      </c>
      <c r="F686" s="5" t="s">
        <v>3904</v>
      </c>
      <c r="G686" s="4" t="s">
        <v>2686</v>
      </c>
      <c r="H686" s="22">
        <v>1.4</v>
      </c>
      <c r="I686" s="4" t="s">
        <v>2308</v>
      </c>
      <c r="J686" s="4" t="s">
        <v>2308</v>
      </c>
      <c r="K686" s="4" t="s">
        <v>2308</v>
      </c>
      <c r="L686" s="4" t="s">
        <v>2308</v>
      </c>
      <c r="M686" s="4" t="s">
        <v>2308</v>
      </c>
      <c r="N686" s="4" t="s">
        <v>2308</v>
      </c>
      <c r="O686" s="4" t="s">
        <v>2308</v>
      </c>
      <c r="P686" s="4" t="s">
        <v>2308</v>
      </c>
      <c r="Q686" s="4" t="s">
        <v>2308</v>
      </c>
      <c r="R686" s="4" t="s">
        <v>2308</v>
      </c>
      <c r="S686" s="4" t="s">
        <v>2308</v>
      </c>
      <c r="T686" s="4" t="s">
        <v>4132</v>
      </c>
    </row>
    <row r="687" spans="1:20" ht="30.5" customHeight="1">
      <c r="A687" s="12" t="s">
        <v>4111</v>
      </c>
      <c r="B687" s="4" t="s">
        <v>32</v>
      </c>
      <c r="C687" s="4" t="s">
        <v>2679</v>
      </c>
      <c r="D687" s="4" t="s">
        <v>45</v>
      </c>
      <c r="E687" s="4" t="s">
        <v>84</v>
      </c>
      <c r="F687" s="5" t="s">
        <v>3904</v>
      </c>
      <c r="G687" s="4" t="s">
        <v>2686</v>
      </c>
      <c r="H687" s="22">
        <v>1.4</v>
      </c>
      <c r="I687" s="4" t="s">
        <v>2308</v>
      </c>
      <c r="J687" s="4" t="s">
        <v>2308</v>
      </c>
      <c r="K687" s="4" t="s">
        <v>2308</v>
      </c>
      <c r="L687" s="4" t="s">
        <v>2308</v>
      </c>
      <c r="M687" s="4" t="s">
        <v>2308</v>
      </c>
      <c r="N687" s="4" t="s">
        <v>2308</v>
      </c>
      <c r="O687" s="4" t="s">
        <v>2308</v>
      </c>
      <c r="P687" s="4" t="s">
        <v>2308</v>
      </c>
      <c r="Q687" s="4" t="s">
        <v>2308</v>
      </c>
      <c r="R687" s="4" t="s">
        <v>2308</v>
      </c>
      <c r="S687" s="4" t="s">
        <v>2308</v>
      </c>
      <c r="T687" s="4" t="s">
        <v>4132</v>
      </c>
    </row>
    <row r="688" spans="1:20" ht="30.5" customHeight="1">
      <c r="A688" s="12" t="s">
        <v>4112</v>
      </c>
      <c r="B688" s="4" t="s">
        <v>32</v>
      </c>
      <c r="C688" s="4" t="s">
        <v>2679</v>
      </c>
      <c r="D688" s="4" t="s">
        <v>45</v>
      </c>
      <c r="E688" s="4" t="s">
        <v>84</v>
      </c>
      <c r="F688" s="5" t="s">
        <v>3904</v>
      </c>
      <c r="G688" s="4" t="s">
        <v>2686</v>
      </c>
      <c r="H688" s="22">
        <v>1.4</v>
      </c>
      <c r="I688" s="4" t="s">
        <v>2308</v>
      </c>
      <c r="J688" s="4" t="s">
        <v>2308</v>
      </c>
      <c r="K688" s="4" t="s">
        <v>2308</v>
      </c>
      <c r="L688" s="4" t="s">
        <v>2308</v>
      </c>
      <c r="M688" s="4" t="s">
        <v>2308</v>
      </c>
      <c r="N688" s="4" t="s">
        <v>2308</v>
      </c>
      <c r="O688" s="4" t="s">
        <v>2308</v>
      </c>
      <c r="P688" s="4" t="s">
        <v>2308</v>
      </c>
      <c r="Q688" s="4" t="s">
        <v>2308</v>
      </c>
      <c r="R688" s="4" t="s">
        <v>2308</v>
      </c>
      <c r="S688" s="4" t="s">
        <v>2308</v>
      </c>
      <c r="T688" s="4" t="s">
        <v>4132</v>
      </c>
    </row>
    <row r="689" spans="1:20" ht="30.5" customHeight="1">
      <c r="A689" s="12" t="s">
        <v>4113</v>
      </c>
      <c r="B689" s="4" t="s">
        <v>32</v>
      </c>
      <c r="C689" s="4" t="s">
        <v>2679</v>
      </c>
      <c r="D689" s="4" t="s">
        <v>45</v>
      </c>
      <c r="E689" s="4" t="s">
        <v>84</v>
      </c>
      <c r="F689" s="5" t="s">
        <v>3904</v>
      </c>
      <c r="G689" s="4" t="s">
        <v>2686</v>
      </c>
      <c r="H689" s="22">
        <v>1.4</v>
      </c>
      <c r="I689" s="4" t="s">
        <v>2308</v>
      </c>
      <c r="J689" s="4" t="s">
        <v>2308</v>
      </c>
      <c r="K689" s="4" t="s">
        <v>2308</v>
      </c>
      <c r="L689" s="4" t="s">
        <v>2308</v>
      </c>
      <c r="M689" s="4" t="s">
        <v>2308</v>
      </c>
      <c r="N689" s="4" t="s">
        <v>2308</v>
      </c>
      <c r="O689" s="4" t="s">
        <v>2308</v>
      </c>
      <c r="P689" s="4" t="s">
        <v>2308</v>
      </c>
      <c r="Q689" s="4" t="s">
        <v>2308</v>
      </c>
      <c r="R689" s="4" t="s">
        <v>2308</v>
      </c>
      <c r="S689" s="4" t="s">
        <v>2308</v>
      </c>
      <c r="T689" s="4" t="s">
        <v>4132</v>
      </c>
    </row>
    <row r="690" spans="1:20" ht="31" customHeight="1">
      <c r="A690" s="12" t="s">
        <v>4135</v>
      </c>
      <c r="B690" s="4" t="s">
        <v>2308</v>
      </c>
      <c r="C690" s="4" t="s">
        <v>12</v>
      </c>
      <c r="D690" s="4" t="s">
        <v>5065</v>
      </c>
      <c r="E690" s="4" t="s">
        <v>45</v>
      </c>
      <c r="F690" s="4" t="s">
        <v>2308</v>
      </c>
      <c r="G690" s="4" t="s">
        <v>2308</v>
      </c>
      <c r="H690" s="4" t="s">
        <v>2308</v>
      </c>
      <c r="I690" s="4" t="s">
        <v>2308</v>
      </c>
      <c r="J690" s="4" t="s">
        <v>2308</v>
      </c>
      <c r="K690" s="4" t="s">
        <v>2308</v>
      </c>
      <c r="L690" s="4" t="s">
        <v>2308</v>
      </c>
      <c r="M690" s="4" t="s">
        <v>2308</v>
      </c>
      <c r="N690" s="4" t="s">
        <v>2308</v>
      </c>
      <c r="O690" s="4" t="s">
        <v>2308</v>
      </c>
      <c r="P690" s="4" t="s">
        <v>2308</v>
      </c>
      <c r="Q690" s="4" t="s">
        <v>2308</v>
      </c>
      <c r="R690" s="4" t="s">
        <v>2308</v>
      </c>
      <c r="S690" s="4" t="s">
        <v>2308</v>
      </c>
      <c r="T690" s="4" t="s">
        <v>4138</v>
      </c>
    </row>
    <row r="691" spans="1:20" ht="29.5" customHeight="1">
      <c r="A691" s="12" t="s">
        <v>4157</v>
      </c>
      <c r="B691" s="4" t="s">
        <v>2308</v>
      </c>
      <c r="C691" s="4" t="s">
        <v>12</v>
      </c>
      <c r="D691" s="4" t="s">
        <v>5065</v>
      </c>
      <c r="E691" s="4" t="s">
        <v>45</v>
      </c>
      <c r="F691" s="4" t="s">
        <v>2308</v>
      </c>
      <c r="G691" s="4" t="s">
        <v>2308</v>
      </c>
      <c r="H691" s="4" t="s">
        <v>2308</v>
      </c>
      <c r="I691" s="4" t="s">
        <v>2308</v>
      </c>
      <c r="J691" s="4" t="s">
        <v>2308</v>
      </c>
      <c r="K691" s="4" t="s">
        <v>2308</v>
      </c>
      <c r="L691" s="4" t="s">
        <v>2308</v>
      </c>
      <c r="M691" s="4" t="s">
        <v>2308</v>
      </c>
      <c r="N691" s="4" t="s">
        <v>2308</v>
      </c>
      <c r="O691" s="4" t="s">
        <v>2308</v>
      </c>
      <c r="P691" s="4" t="s">
        <v>2308</v>
      </c>
      <c r="Q691" s="4" t="s">
        <v>2308</v>
      </c>
      <c r="R691" s="4" t="s">
        <v>2308</v>
      </c>
      <c r="S691" s="4" t="s">
        <v>2308</v>
      </c>
      <c r="T691" s="4"/>
    </row>
    <row r="692" spans="1:20" ht="29.5" customHeight="1">
      <c r="A692" s="12" t="s">
        <v>4158</v>
      </c>
      <c r="B692" s="4" t="s">
        <v>2308</v>
      </c>
      <c r="C692" s="4" t="s">
        <v>12</v>
      </c>
      <c r="D692" s="4" t="s">
        <v>5065</v>
      </c>
      <c r="E692" s="4" t="s">
        <v>45</v>
      </c>
      <c r="F692" s="4" t="s">
        <v>2308</v>
      </c>
      <c r="G692" s="4" t="s">
        <v>2308</v>
      </c>
      <c r="H692" s="4" t="s">
        <v>2308</v>
      </c>
      <c r="I692" s="4" t="s">
        <v>2308</v>
      </c>
      <c r="J692" s="4" t="s">
        <v>2308</v>
      </c>
      <c r="K692" s="4" t="s">
        <v>2308</v>
      </c>
      <c r="L692" s="4" t="s">
        <v>2308</v>
      </c>
      <c r="M692" s="4" t="s">
        <v>2308</v>
      </c>
      <c r="N692" s="4" t="s">
        <v>2308</v>
      </c>
      <c r="O692" s="4" t="s">
        <v>2308</v>
      </c>
      <c r="P692" s="4" t="s">
        <v>2308</v>
      </c>
      <c r="Q692" s="4" t="s">
        <v>2308</v>
      </c>
      <c r="R692" s="4" t="s">
        <v>2308</v>
      </c>
      <c r="S692" s="4" t="s">
        <v>2308</v>
      </c>
      <c r="T692" s="4" t="s">
        <v>4172</v>
      </c>
    </row>
    <row r="693" spans="1:20" ht="36" customHeight="1">
      <c r="A693" s="12" t="s">
        <v>4178</v>
      </c>
      <c r="B693" s="4" t="s">
        <v>32</v>
      </c>
      <c r="C693" s="4" t="s">
        <v>12</v>
      </c>
      <c r="D693" s="4" t="s">
        <v>45</v>
      </c>
      <c r="E693" s="4" t="s">
        <v>5065</v>
      </c>
      <c r="F693" s="4" t="s">
        <v>2682</v>
      </c>
      <c r="G693" s="4" t="s">
        <v>143</v>
      </c>
      <c r="H693" s="4" t="s">
        <v>2308</v>
      </c>
      <c r="I693" s="4">
        <v>692</v>
      </c>
      <c r="J693" s="4" t="s">
        <v>2308</v>
      </c>
      <c r="K693" s="4" t="s">
        <v>2308</v>
      </c>
      <c r="L693" s="4" t="s">
        <v>2308</v>
      </c>
      <c r="M693" s="4" t="s">
        <v>2308</v>
      </c>
      <c r="N693" s="4" t="s">
        <v>2308</v>
      </c>
      <c r="O693" s="4" t="s">
        <v>2308</v>
      </c>
      <c r="P693" s="4" t="s">
        <v>2308</v>
      </c>
      <c r="Q693" s="4" t="s">
        <v>2308</v>
      </c>
      <c r="R693" s="4" t="s">
        <v>2308</v>
      </c>
      <c r="S693" s="4" t="s">
        <v>2308</v>
      </c>
      <c r="T693" s="4"/>
    </row>
    <row r="694" spans="1:20" ht="35.5" customHeight="1">
      <c r="A694" s="12" t="s">
        <v>4187</v>
      </c>
      <c r="B694" s="4" t="s">
        <v>32</v>
      </c>
      <c r="C694" s="4" t="s">
        <v>12</v>
      </c>
      <c r="D694" s="4" t="s">
        <v>5065</v>
      </c>
      <c r="E694" s="4" t="s">
        <v>45</v>
      </c>
      <c r="F694" s="4" t="s">
        <v>143</v>
      </c>
      <c r="G694" s="4" t="s">
        <v>116</v>
      </c>
      <c r="H694" s="4" t="s">
        <v>2308</v>
      </c>
      <c r="I694" s="4" t="s">
        <v>2308</v>
      </c>
      <c r="J694" s="4" t="s">
        <v>2308</v>
      </c>
      <c r="K694" s="4" t="s">
        <v>542</v>
      </c>
      <c r="L694" s="4" t="s">
        <v>2308</v>
      </c>
      <c r="M694" s="22">
        <f>1312/('Record info'!K696*100)</f>
        <v>1.0183805265772479E-2</v>
      </c>
      <c r="N694" s="4" t="s">
        <v>2308</v>
      </c>
      <c r="O694" s="4" t="s">
        <v>2308</v>
      </c>
      <c r="P694" s="4" t="s">
        <v>2308</v>
      </c>
      <c r="Q694" s="4" t="s">
        <v>2308</v>
      </c>
      <c r="R694" s="4" t="s">
        <v>2308</v>
      </c>
      <c r="S694" s="4" t="s">
        <v>2308</v>
      </c>
      <c r="T694" s="4" t="s">
        <v>4191</v>
      </c>
    </row>
    <row r="695" spans="1:20" ht="42" customHeight="1">
      <c r="A695" s="12" t="s">
        <v>4195</v>
      </c>
      <c r="B695" s="4" t="s">
        <v>2308</v>
      </c>
      <c r="C695" s="4" t="s">
        <v>12</v>
      </c>
      <c r="D695" s="5" t="s">
        <v>3903</v>
      </c>
      <c r="E695" s="5" t="s">
        <v>877</v>
      </c>
      <c r="F695" s="4" t="s">
        <v>143</v>
      </c>
      <c r="G695" s="4" t="s">
        <v>2308</v>
      </c>
      <c r="H695" s="4" t="s">
        <v>2308</v>
      </c>
      <c r="I695" s="4" t="s">
        <v>2308</v>
      </c>
      <c r="J695" s="4" t="s">
        <v>2308</v>
      </c>
      <c r="K695" s="4" t="s">
        <v>542</v>
      </c>
      <c r="L695" s="4" t="s">
        <v>2308</v>
      </c>
      <c r="M695" s="4" t="s">
        <v>2308</v>
      </c>
      <c r="N695" s="4" t="s">
        <v>2308</v>
      </c>
      <c r="O695" s="4" t="s">
        <v>2308</v>
      </c>
      <c r="P695" s="4" t="s">
        <v>2308</v>
      </c>
      <c r="Q695" s="4" t="s">
        <v>2308</v>
      </c>
      <c r="R695" s="4" t="s">
        <v>2308</v>
      </c>
      <c r="S695" s="4" t="s">
        <v>2308</v>
      </c>
      <c r="T695" s="4" t="s">
        <v>4202</v>
      </c>
    </row>
    <row r="696" spans="1:20" ht="33" customHeight="1">
      <c r="A696" s="12" t="s">
        <v>4196</v>
      </c>
      <c r="B696" s="4" t="s">
        <v>2308</v>
      </c>
      <c r="C696" s="4" t="s">
        <v>12</v>
      </c>
      <c r="D696" s="4" t="s">
        <v>5065</v>
      </c>
      <c r="E696" s="4" t="s">
        <v>45</v>
      </c>
      <c r="F696" s="4" t="s">
        <v>143</v>
      </c>
      <c r="G696" s="4" t="s">
        <v>2685</v>
      </c>
      <c r="H696" s="22">
        <f>150000/'Record info'!K698/100</f>
        <v>0.61804697156983934</v>
      </c>
      <c r="I696" s="4" t="s">
        <v>2308</v>
      </c>
      <c r="J696" s="4" t="s">
        <v>2308</v>
      </c>
      <c r="K696" s="4" t="s">
        <v>2308</v>
      </c>
      <c r="L696" s="4" t="s">
        <v>2308</v>
      </c>
      <c r="M696" s="4" t="s">
        <v>2308</v>
      </c>
      <c r="N696" s="4" t="s">
        <v>2308</v>
      </c>
      <c r="O696" s="4" t="s">
        <v>2308</v>
      </c>
      <c r="P696" s="4" t="s">
        <v>2308</v>
      </c>
      <c r="Q696" s="4" t="s">
        <v>2308</v>
      </c>
      <c r="R696" s="4" t="s">
        <v>2308</v>
      </c>
      <c r="S696" s="4" t="s">
        <v>2308</v>
      </c>
      <c r="T696" s="4"/>
    </row>
    <row r="697" spans="1:20" ht="37.5" customHeight="1">
      <c r="A697" s="12" t="s">
        <v>4246</v>
      </c>
      <c r="B697" s="4" t="s">
        <v>2308</v>
      </c>
      <c r="C697" s="4" t="s">
        <v>12</v>
      </c>
      <c r="D697" s="4" t="s">
        <v>45</v>
      </c>
      <c r="E697" s="4" t="s">
        <v>2680</v>
      </c>
      <c r="F697" s="4" t="s">
        <v>2308</v>
      </c>
      <c r="G697" s="4" t="s">
        <v>2308</v>
      </c>
      <c r="H697" s="22">
        <v>0.7</v>
      </c>
      <c r="I697" s="4" t="s">
        <v>2308</v>
      </c>
      <c r="J697" s="4" t="s">
        <v>2308</v>
      </c>
      <c r="K697" s="4" t="s">
        <v>2308</v>
      </c>
      <c r="L697" s="4" t="s">
        <v>2308</v>
      </c>
      <c r="M697" s="4" t="s">
        <v>2308</v>
      </c>
      <c r="N697" s="4" t="s">
        <v>2308</v>
      </c>
      <c r="O697" s="22">
        <v>61.383000000000003</v>
      </c>
      <c r="P697" s="22">
        <f>100*(2017+395+24)/191976</f>
        <v>1.2689086135766972</v>
      </c>
      <c r="Q697" s="4" t="s">
        <v>2308</v>
      </c>
      <c r="R697" s="22">
        <f>100-O697-P697</f>
        <v>37.348091386423299</v>
      </c>
      <c r="S697" s="4" t="s">
        <v>2308</v>
      </c>
      <c r="T697" s="5" t="s">
        <v>4258</v>
      </c>
    </row>
    <row r="698" spans="1:20" ht="33" customHeight="1">
      <c r="A698" s="12" t="s">
        <v>4260</v>
      </c>
      <c r="B698" s="4" t="s">
        <v>2308</v>
      </c>
      <c r="C698" s="4" t="s">
        <v>12</v>
      </c>
      <c r="D698" s="4" t="s">
        <v>45</v>
      </c>
      <c r="E698" s="4" t="s">
        <v>5065</v>
      </c>
      <c r="F698" s="4" t="s">
        <v>143</v>
      </c>
      <c r="G698" s="4" t="s">
        <v>2308</v>
      </c>
      <c r="H698" s="4" t="s">
        <v>2308</v>
      </c>
      <c r="I698" s="4" t="s">
        <v>2308</v>
      </c>
      <c r="J698" s="4" t="s">
        <v>2308</v>
      </c>
      <c r="K698" s="4" t="s">
        <v>2308</v>
      </c>
      <c r="L698" s="4" t="s">
        <v>2308</v>
      </c>
      <c r="M698" s="4" t="s">
        <v>2308</v>
      </c>
      <c r="N698" s="4" t="s">
        <v>2308</v>
      </c>
      <c r="O698" s="4" t="s">
        <v>2308</v>
      </c>
      <c r="P698" s="4" t="s">
        <v>2308</v>
      </c>
      <c r="Q698" s="4" t="s">
        <v>2308</v>
      </c>
      <c r="R698" s="4" t="s">
        <v>2308</v>
      </c>
      <c r="S698" s="4" t="s">
        <v>2308</v>
      </c>
      <c r="T698" s="4" t="s">
        <v>4263</v>
      </c>
    </row>
    <row r="699" spans="1:20" ht="38.5" customHeight="1">
      <c r="A699" s="12" t="s">
        <v>4270</v>
      </c>
      <c r="B699" s="4" t="s">
        <v>1218</v>
      </c>
      <c r="C699" s="4" t="s">
        <v>2679</v>
      </c>
      <c r="D699" s="4" t="s">
        <v>143</v>
      </c>
      <c r="E699" s="4" t="s">
        <v>2685</v>
      </c>
      <c r="F699" s="4" t="s">
        <v>2308</v>
      </c>
      <c r="G699" s="4" t="s">
        <v>2308</v>
      </c>
      <c r="H699" s="4" t="s">
        <v>2308</v>
      </c>
      <c r="I699" s="4" t="s">
        <v>2308</v>
      </c>
      <c r="J699" s="4" t="s">
        <v>2308</v>
      </c>
      <c r="K699" s="4" t="s">
        <v>2308</v>
      </c>
      <c r="L699" s="4" t="s">
        <v>2308</v>
      </c>
      <c r="M699" s="4" t="s">
        <v>2308</v>
      </c>
      <c r="N699" s="4" t="s">
        <v>2308</v>
      </c>
      <c r="O699" s="4" t="s">
        <v>2308</v>
      </c>
      <c r="P699" s="4" t="s">
        <v>2308</v>
      </c>
      <c r="Q699" s="4" t="s">
        <v>2308</v>
      </c>
      <c r="R699" s="4" t="s">
        <v>2308</v>
      </c>
      <c r="S699" s="4" t="s">
        <v>2308</v>
      </c>
      <c r="T699" s="4"/>
    </row>
    <row r="700" spans="1:20" ht="47" customHeight="1">
      <c r="A700" s="12" t="s">
        <v>4271</v>
      </c>
      <c r="B700" s="4" t="s">
        <v>69</v>
      </c>
      <c r="C700" s="4" t="s">
        <v>402</v>
      </c>
      <c r="D700" s="4" t="s">
        <v>136</v>
      </c>
      <c r="E700" s="4" t="s">
        <v>116</v>
      </c>
      <c r="F700" s="4" t="s">
        <v>877</v>
      </c>
      <c r="G700" s="5" t="s">
        <v>3903</v>
      </c>
      <c r="H700" s="4" t="s">
        <v>2308</v>
      </c>
      <c r="I700" s="4" t="s">
        <v>2308</v>
      </c>
      <c r="J700" s="4" t="s">
        <v>2308</v>
      </c>
      <c r="K700" s="4" t="s">
        <v>2308</v>
      </c>
      <c r="L700" s="4" t="s">
        <v>2308</v>
      </c>
      <c r="M700" s="4" t="s">
        <v>2308</v>
      </c>
      <c r="N700" s="4" t="s">
        <v>2308</v>
      </c>
      <c r="O700" s="4" t="s">
        <v>2308</v>
      </c>
      <c r="P700" s="4" t="s">
        <v>2308</v>
      </c>
      <c r="Q700" s="4" t="s">
        <v>2308</v>
      </c>
      <c r="R700" s="4" t="s">
        <v>2308</v>
      </c>
      <c r="S700" s="4" t="s">
        <v>2308</v>
      </c>
      <c r="T700" s="4" t="s">
        <v>4285</v>
      </c>
    </row>
    <row r="701" spans="1:20" ht="41.5" customHeight="1">
      <c r="A701" s="12" t="s">
        <v>4306</v>
      </c>
      <c r="B701" s="4" t="s">
        <v>2290</v>
      </c>
      <c r="C701" s="4" t="s">
        <v>12</v>
      </c>
      <c r="D701" s="5" t="s">
        <v>3903</v>
      </c>
      <c r="E701" s="5" t="s">
        <v>2684</v>
      </c>
      <c r="F701" s="4" t="s">
        <v>116</v>
      </c>
      <c r="G701" s="4" t="s">
        <v>2308</v>
      </c>
      <c r="H701" s="22">
        <f>151.8/100</f>
        <v>1.518</v>
      </c>
      <c r="I701" s="4" t="s">
        <v>2308</v>
      </c>
      <c r="J701" s="4" t="s">
        <v>2308</v>
      </c>
      <c r="K701" s="4" t="s">
        <v>542</v>
      </c>
      <c r="L701" s="4" t="s">
        <v>2308</v>
      </c>
      <c r="M701" s="4" t="s">
        <v>2308</v>
      </c>
      <c r="N701" s="22">
        <f>3595/'Record info'!$K703</f>
        <v>62.154218533886578</v>
      </c>
      <c r="O701" s="22">
        <f>270/'Record info'!$K703</f>
        <v>4.6680497925311197</v>
      </c>
      <c r="P701" s="22">
        <f>959/'Record info'!$K703</f>
        <v>16.580221300138312</v>
      </c>
      <c r="Q701" s="4" t="s">
        <v>2308</v>
      </c>
      <c r="R701" s="22">
        <f>100-P701-O701-N701</f>
        <v>16.597510373443995</v>
      </c>
      <c r="S701" s="4" t="s">
        <v>2308</v>
      </c>
      <c r="T701" s="5" t="s">
        <v>4312</v>
      </c>
    </row>
    <row r="702" spans="1:20" ht="41.5" customHeight="1">
      <c r="A702" s="12" t="s">
        <v>4307</v>
      </c>
      <c r="B702" s="4" t="s">
        <v>2290</v>
      </c>
      <c r="C702" s="4" t="s">
        <v>12</v>
      </c>
      <c r="D702" s="5" t="s">
        <v>3903</v>
      </c>
      <c r="E702" s="5" t="s">
        <v>2684</v>
      </c>
      <c r="F702" s="4" t="s">
        <v>116</v>
      </c>
      <c r="G702" s="4" t="s">
        <v>2308</v>
      </c>
      <c r="H702" s="22">
        <f>83.33/100</f>
        <v>0.83329999999999993</v>
      </c>
      <c r="I702" s="4" t="s">
        <v>2308</v>
      </c>
      <c r="J702" s="4" t="s">
        <v>2308</v>
      </c>
      <c r="K702" s="4" t="s">
        <v>542</v>
      </c>
      <c r="L702" s="4" t="s">
        <v>2308</v>
      </c>
      <c r="M702" s="4" t="s">
        <v>2308</v>
      </c>
      <c r="N702" s="22">
        <f>2577/'Record info'!$K704</f>
        <v>45.393693852386825</v>
      </c>
      <c r="O702" s="22">
        <f>200/'Record info'!$K704</f>
        <v>3.5229874933943983</v>
      </c>
      <c r="P702" s="22">
        <f>2211/'Record info'!$K704</f>
        <v>38.946626739475072</v>
      </c>
      <c r="Q702" s="4" t="s">
        <v>2308</v>
      </c>
      <c r="R702" s="22">
        <f t="shared" ref="R702:R703" si="2">100-P702-O702-N702</f>
        <v>12.136691914743707</v>
      </c>
      <c r="S702" s="4" t="s">
        <v>2308</v>
      </c>
      <c r="T702" s="5" t="s">
        <v>4312</v>
      </c>
    </row>
    <row r="703" spans="1:20" ht="41.5" customHeight="1">
      <c r="A703" s="12" t="s">
        <v>4114</v>
      </c>
      <c r="B703" s="4" t="s">
        <v>2290</v>
      </c>
      <c r="C703" s="4" t="s">
        <v>12</v>
      </c>
      <c r="D703" s="5" t="s">
        <v>3903</v>
      </c>
      <c r="E703" s="5" t="s">
        <v>2684</v>
      </c>
      <c r="F703" s="4" t="s">
        <v>116</v>
      </c>
      <c r="G703" s="4" t="s">
        <v>2308</v>
      </c>
      <c r="H703" s="22">
        <f>31.13/100</f>
        <v>0.31129999999999997</v>
      </c>
      <c r="I703" s="4" t="s">
        <v>2308</v>
      </c>
      <c r="J703" s="4" t="s">
        <v>2308</v>
      </c>
      <c r="K703" s="4" t="s">
        <v>542</v>
      </c>
      <c r="L703" s="4" t="s">
        <v>2308</v>
      </c>
      <c r="M703" s="4" t="s">
        <v>2308</v>
      </c>
      <c r="N703" s="22">
        <f>4827/'Record info'!$K705</f>
        <v>54.235955056179776</v>
      </c>
      <c r="O703" s="22">
        <f>30/'Record info'!$K705</f>
        <v>0.33707865168539325</v>
      </c>
      <c r="P703" s="22">
        <f>3628/'Record info'!$K705</f>
        <v>40.764044943820224</v>
      </c>
      <c r="Q703" s="4" t="s">
        <v>2308</v>
      </c>
      <c r="R703" s="22">
        <f t="shared" si="2"/>
        <v>4.6629213483146046</v>
      </c>
      <c r="S703" s="4" t="s">
        <v>2308</v>
      </c>
      <c r="T703" s="5" t="s">
        <v>4312</v>
      </c>
    </row>
    <row r="704" spans="1:20" ht="41" customHeight="1">
      <c r="A704" s="12" t="s">
        <v>4364</v>
      </c>
      <c r="B704" s="4" t="s">
        <v>2308</v>
      </c>
      <c r="C704" s="4" t="s">
        <v>2308</v>
      </c>
      <c r="D704" s="4" t="s">
        <v>2308</v>
      </c>
      <c r="E704" s="4" t="s">
        <v>2308</v>
      </c>
      <c r="F704" s="4" t="s">
        <v>2308</v>
      </c>
      <c r="G704" s="4" t="s">
        <v>2308</v>
      </c>
      <c r="H704" s="4" t="s">
        <v>2308</v>
      </c>
      <c r="I704" s="4" t="s">
        <v>2308</v>
      </c>
      <c r="J704" s="4" t="s">
        <v>2308</v>
      </c>
      <c r="K704" s="4" t="s">
        <v>2308</v>
      </c>
      <c r="L704" s="4" t="s">
        <v>2308</v>
      </c>
      <c r="M704" s="4" t="s">
        <v>2308</v>
      </c>
      <c r="N704" s="4" t="s">
        <v>2308</v>
      </c>
      <c r="O704" s="4" t="s">
        <v>2308</v>
      </c>
      <c r="P704" s="4" t="s">
        <v>2308</v>
      </c>
      <c r="Q704" s="4" t="s">
        <v>2308</v>
      </c>
      <c r="R704" s="22">
        <v>53</v>
      </c>
      <c r="S704" s="4" t="s">
        <v>2308</v>
      </c>
      <c r="T704" s="4" t="s">
        <v>4381</v>
      </c>
    </row>
    <row r="705" spans="1:20" ht="41" customHeight="1">
      <c r="A705" s="12" t="s">
        <v>4368</v>
      </c>
      <c r="B705" s="4" t="s">
        <v>2308</v>
      </c>
      <c r="C705" s="4" t="s">
        <v>2679</v>
      </c>
      <c r="D705" s="4" t="s">
        <v>45</v>
      </c>
      <c r="E705" s="4" t="s">
        <v>143</v>
      </c>
      <c r="F705" s="4" t="s">
        <v>2308</v>
      </c>
      <c r="G705" s="4" t="s">
        <v>2308</v>
      </c>
      <c r="H705" s="4" t="s">
        <v>2308</v>
      </c>
      <c r="I705" s="4" t="s">
        <v>2308</v>
      </c>
      <c r="J705" s="4" t="s">
        <v>2308</v>
      </c>
      <c r="K705" s="4" t="s">
        <v>2308</v>
      </c>
      <c r="L705" s="4" t="s">
        <v>2308</v>
      </c>
      <c r="M705" s="4" t="s">
        <v>2308</v>
      </c>
      <c r="N705" s="4" t="s">
        <v>2308</v>
      </c>
      <c r="O705" s="4" t="s">
        <v>2308</v>
      </c>
      <c r="P705" s="4" t="s">
        <v>2308</v>
      </c>
      <c r="Q705" s="4" t="s">
        <v>2308</v>
      </c>
      <c r="R705" s="22">
        <v>100</v>
      </c>
      <c r="S705" s="4" t="s">
        <v>2308</v>
      </c>
      <c r="T705" s="4" t="s">
        <v>4380</v>
      </c>
    </row>
    <row r="706" spans="1:20" ht="41" customHeight="1">
      <c r="A706" s="12" t="s">
        <v>4369</v>
      </c>
      <c r="B706" s="4" t="s">
        <v>2308</v>
      </c>
      <c r="C706" s="4" t="s">
        <v>2679</v>
      </c>
      <c r="D706" s="4" t="s">
        <v>45</v>
      </c>
      <c r="E706" s="4" t="s">
        <v>143</v>
      </c>
      <c r="F706" s="4" t="s">
        <v>2308</v>
      </c>
      <c r="G706" s="4" t="s">
        <v>2308</v>
      </c>
      <c r="H706" s="4" t="s">
        <v>2308</v>
      </c>
      <c r="I706" s="4" t="s">
        <v>2308</v>
      </c>
      <c r="J706" s="4" t="s">
        <v>2308</v>
      </c>
      <c r="K706" s="4" t="s">
        <v>2308</v>
      </c>
      <c r="L706" s="4" t="s">
        <v>2308</v>
      </c>
      <c r="M706" s="4" t="s">
        <v>2308</v>
      </c>
      <c r="N706" s="4" t="s">
        <v>2308</v>
      </c>
      <c r="O706" s="4" t="s">
        <v>2308</v>
      </c>
      <c r="P706" s="4" t="s">
        <v>2308</v>
      </c>
      <c r="Q706" s="4" t="s">
        <v>2308</v>
      </c>
      <c r="R706" s="22">
        <v>100</v>
      </c>
      <c r="S706" s="4" t="s">
        <v>2308</v>
      </c>
      <c r="T706" s="4" t="s">
        <v>4380</v>
      </c>
    </row>
    <row r="707" spans="1:20" ht="41" customHeight="1">
      <c r="A707" s="12" t="s">
        <v>4370</v>
      </c>
      <c r="B707" s="4" t="s">
        <v>2308</v>
      </c>
      <c r="C707" s="4" t="s">
        <v>2679</v>
      </c>
      <c r="D707" s="4" t="s">
        <v>45</v>
      </c>
      <c r="E707" s="4" t="s">
        <v>143</v>
      </c>
      <c r="F707" s="4" t="s">
        <v>2308</v>
      </c>
      <c r="G707" s="4" t="s">
        <v>2308</v>
      </c>
      <c r="H707" s="4" t="s">
        <v>2308</v>
      </c>
      <c r="I707" s="4" t="s">
        <v>2308</v>
      </c>
      <c r="J707" s="4" t="s">
        <v>2308</v>
      </c>
      <c r="K707" s="4" t="s">
        <v>2308</v>
      </c>
      <c r="L707" s="4" t="s">
        <v>2308</v>
      </c>
      <c r="M707" s="4" t="s">
        <v>2308</v>
      </c>
      <c r="N707" s="4" t="s">
        <v>2308</v>
      </c>
      <c r="O707" s="4" t="s">
        <v>2308</v>
      </c>
      <c r="P707" s="4" t="s">
        <v>2308</v>
      </c>
      <c r="Q707" s="4" t="s">
        <v>2308</v>
      </c>
      <c r="R707" s="22">
        <v>100</v>
      </c>
      <c r="S707" s="4" t="s">
        <v>2308</v>
      </c>
      <c r="T707" s="4" t="s">
        <v>4380</v>
      </c>
    </row>
    <row r="708" spans="1:20" ht="41" customHeight="1">
      <c r="A708" s="12" t="s">
        <v>4371</v>
      </c>
      <c r="B708" s="4" t="s">
        <v>2308</v>
      </c>
      <c r="C708" s="4" t="s">
        <v>2679</v>
      </c>
      <c r="D708" s="4" t="s">
        <v>45</v>
      </c>
      <c r="E708" s="4" t="s">
        <v>143</v>
      </c>
      <c r="F708" s="4" t="s">
        <v>2308</v>
      </c>
      <c r="G708" s="4" t="s">
        <v>2308</v>
      </c>
      <c r="H708" s="4" t="s">
        <v>2308</v>
      </c>
      <c r="I708" s="4" t="s">
        <v>2308</v>
      </c>
      <c r="J708" s="4" t="s">
        <v>2308</v>
      </c>
      <c r="K708" s="4" t="s">
        <v>2308</v>
      </c>
      <c r="L708" s="4" t="s">
        <v>2308</v>
      </c>
      <c r="M708" s="4" t="s">
        <v>2308</v>
      </c>
      <c r="N708" s="4" t="s">
        <v>2308</v>
      </c>
      <c r="O708" s="4" t="s">
        <v>2308</v>
      </c>
      <c r="P708" s="4" t="s">
        <v>2308</v>
      </c>
      <c r="Q708" s="4" t="s">
        <v>2308</v>
      </c>
      <c r="R708" s="22">
        <v>100</v>
      </c>
      <c r="S708" s="4" t="s">
        <v>2308</v>
      </c>
      <c r="T708" s="4" t="s">
        <v>4380</v>
      </c>
    </row>
    <row r="709" spans="1:20" ht="41" customHeight="1">
      <c r="A709" s="12" t="s">
        <v>4372</v>
      </c>
      <c r="B709" s="4" t="s">
        <v>2308</v>
      </c>
      <c r="C709" s="4" t="s">
        <v>2679</v>
      </c>
      <c r="D709" s="4" t="s">
        <v>45</v>
      </c>
      <c r="E709" s="4" t="s">
        <v>143</v>
      </c>
      <c r="F709" s="4" t="s">
        <v>2308</v>
      </c>
      <c r="G709" s="4" t="s">
        <v>2308</v>
      </c>
      <c r="H709" s="4" t="s">
        <v>2308</v>
      </c>
      <c r="I709" s="4" t="s">
        <v>2308</v>
      </c>
      <c r="J709" s="4" t="s">
        <v>2308</v>
      </c>
      <c r="K709" s="4" t="s">
        <v>2308</v>
      </c>
      <c r="L709" s="4" t="s">
        <v>2308</v>
      </c>
      <c r="M709" s="4" t="s">
        <v>2308</v>
      </c>
      <c r="N709" s="4" t="s">
        <v>2308</v>
      </c>
      <c r="O709" s="4" t="s">
        <v>2308</v>
      </c>
      <c r="P709" s="4" t="s">
        <v>2308</v>
      </c>
      <c r="Q709" s="4" t="s">
        <v>2308</v>
      </c>
      <c r="R709" s="22">
        <v>100</v>
      </c>
      <c r="S709" s="4" t="s">
        <v>2308</v>
      </c>
      <c r="T709" s="4" t="s">
        <v>4380</v>
      </c>
    </row>
    <row r="710" spans="1:20" ht="41" customHeight="1">
      <c r="A710" s="12" t="s">
        <v>4373</v>
      </c>
      <c r="B710" s="4" t="s">
        <v>2308</v>
      </c>
      <c r="C710" s="4" t="s">
        <v>2679</v>
      </c>
      <c r="D710" s="4" t="s">
        <v>45</v>
      </c>
      <c r="E710" s="4" t="s">
        <v>143</v>
      </c>
      <c r="F710" s="4" t="s">
        <v>2308</v>
      </c>
      <c r="G710" s="4" t="s">
        <v>2308</v>
      </c>
      <c r="H710" s="4" t="s">
        <v>2308</v>
      </c>
      <c r="I710" s="4" t="s">
        <v>2308</v>
      </c>
      <c r="J710" s="4" t="s">
        <v>2308</v>
      </c>
      <c r="K710" s="4" t="s">
        <v>2308</v>
      </c>
      <c r="L710" s="4" t="s">
        <v>2308</v>
      </c>
      <c r="M710" s="4" t="s">
        <v>2308</v>
      </c>
      <c r="N710" s="4" t="s">
        <v>2308</v>
      </c>
      <c r="O710" s="4" t="s">
        <v>2308</v>
      </c>
      <c r="P710" s="4" t="s">
        <v>2308</v>
      </c>
      <c r="Q710" s="4" t="s">
        <v>2308</v>
      </c>
      <c r="R710" s="22">
        <v>100</v>
      </c>
      <c r="S710" s="4" t="s">
        <v>2308</v>
      </c>
      <c r="T710" s="4" t="s">
        <v>4380</v>
      </c>
    </row>
    <row r="711" spans="1:20" ht="41" customHeight="1">
      <c r="A711" s="12" t="s">
        <v>4374</v>
      </c>
      <c r="B711" s="4" t="s">
        <v>2308</v>
      </c>
      <c r="C711" s="4" t="s">
        <v>2679</v>
      </c>
      <c r="D711" s="4" t="s">
        <v>45</v>
      </c>
      <c r="E711" s="4" t="s">
        <v>143</v>
      </c>
      <c r="F711" s="4" t="s">
        <v>2308</v>
      </c>
      <c r="G711" s="4" t="s">
        <v>2308</v>
      </c>
      <c r="H711" s="4" t="s">
        <v>2308</v>
      </c>
      <c r="I711" s="4" t="s">
        <v>2308</v>
      </c>
      <c r="J711" s="4" t="s">
        <v>2308</v>
      </c>
      <c r="K711" s="4" t="s">
        <v>2308</v>
      </c>
      <c r="L711" s="4" t="s">
        <v>2308</v>
      </c>
      <c r="M711" s="4" t="s">
        <v>2308</v>
      </c>
      <c r="N711" s="4" t="s">
        <v>2308</v>
      </c>
      <c r="O711" s="4" t="s">
        <v>2308</v>
      </c>
      <c r="P711" s="4" t="s">
        <v>2308</v>
      </c>
      <c r="Q711" s="4" t="s">
        <v>2308</v>
      </c>
      <c r="R711" s="22">
        <v>100</v>
      </c>
      <c r="S711" s="4" t="s">
        <v>2308</v>
      </c>
      <c r="T711" s="4" t="s">
        <v>4380</v>
      </c>
    </row>
    <row r="712" spans="1:20" ht="41" customHeight="1">
      <c r="A712" s="12" t="s">
        <v>4375</v>
      </c>
      <c r="B712" s="4" t="s">
        <v>2308</v>
      </c>
      <c r="C712" s="4" t="s">
        <v>2679</v>
      </c>
      <c r="D712" s="4" t="s">
        <v>45</v>
      </c>
      <c r="E712" s="4" t="s">
        <v>143</v>
      </c>
      <c r="F712" s="4" t="s">
        <v>2308</v>
      </c>
      <c r="G712" s="4" t="s">
        <v>2308</v>
      </c>
      <c r="H712" s="4" t="s">
        <v>2308</v>
      </c>
      <c r="I712" s="4" t="s">
        <v>2308</v>
      </c>
      <c r="J712" s="4" t="s">
        <v>2308</v>
      </c>
      <c r="K712" s="4" t="s">
        <v>2308</v>
      </c>
      <c r="L712" s="4" t="s">
        <v>2308</v>
      </c>
      <c r="M712" s="4" t="s">
        <v>2308</v>
      </c>
      <c r="N712" s="4" t="s">
        <v>2308</v>
      </c>
      <c r="O712" s="4" t="s">
        <v>2308</v>
      </c>
      <c r="P712" s="4" t="s">
        <v>2308</v>
      </c>
      <c r="Q712" s="4" t="s">
        <v>2308</v>
      </c>
      <c r="R712" s="22">
        <v>100</v>
      </c>
      <c r="S712" s="4" t="s">
        <v>2308</v>
      </c>
      <c r="T712" s="4" t="s">
        <v>4380</v>
      </c>
    </row>
    <row r="713" spans="1:20" ht="41" customHeight="1">
      <c r="A713" s="12" t="s">
        <v>4376</v>
      </c>
      <c r="B713" s="4" t="s">
        <v>2308</v>
      </c>
      <c r="C713" s="4" t="s">
        <v>2679</v>
      </c>
      <c r="D713" s="4" t="s">
        <v>45</v>
      </c>
      <c r="E713" s="4" t="s">
        <v>143</v>
      </c>
      <c r="F713" s="4" t="s">
        <v>2308</v>
      </c>
      <c r="G713" s="4" t="s">
        <v>2308</v>
      </c>
      <c r="H713" s="4" t="s">
        <v>2308</v>
      </c>
      <c r="I713" s="4" t="s">
        <v>2308</v>
      </c>
      <c r="J713" s="4" t="s">
        <v>2308</v>
      </c>
      <c r="K713" s="4" t="s">
        <v>2308</v>
      </c>
      <c r="L713" s="4" t="s">
        <v>2308</v>
      </c>
      <c r="M713" s="4" t="s">
        <v>2308</v>
      </c>
      <c r="N713" s="4" t="s">
        <v>2308</v>
      </c>
      <c r="O713" s="4" t="s">
        <v>2308</v>
      </c>
      <c r="P713" s="4" t="s">
        <v>2308</v>
      </c>
      <c r="Q713" s="4" t="s">
        <v>2308</v>
      </c>
      <c r="R713" s="22">
        <v>100</v>
      </c>
      <c r="S713" s="4" t="s">
        <v>2308</v>
      </c>
      <c r="T713" s="4" t="s">
        <v>4380</v>
      </c>
    </row>
    <row r="714" spans="1:20" ht="41" customHeight="1">
      <c r="A714" s="12" t="s">
        <v>4377</v>
      </c>
      <c r="B714" s="4" t="s">
        <v>2308</v>
      </c>
      <c r="C714" s="4" t="s">
        <v>2679</v>
      </c>
      <c r="D714" s="4" t="s">
        <v>45</v>
      </c>
      <c r="E714" s="4" t="s">
        <v>143</v>
      </c>
      <c r="F714" s="4" t="s">
        <v>2308</v>
      </c>
      <c r="G714" s="4" t="s">
        <v>2308</v>
      </c>
      <c r="H714" s="4" t="s">
        <v>2308</v>
      </c>
      <c r="I714" s="4" t="s">
        <v>2308</v>
      </c>
      <c r="J714" s="4" t="s">
        <v>2308</v>
      </c>
      <c r="K714" s="4" t="s">
        <v>2308</v>
      </c>
      <c r="L714" s="4" t="s">
        <v>2308</v>
      </c>
      <c r="M714" s="4" t="s">
        <v>2308</v>
      </c>
      <c r="N714" s="4" t="s">
        <v>2308</v>
      </c>
      <c r="O714" s="4" t="s">
        <v>2308</v>
      </c>
      <c r="P714" s="4" t="s">
        <v>2308</v>
      </c>
      <c r="Q714" s="4" t="s">
        <v>2308</v>
      </c>
      <c r="R714" s="22">
        <v>100</v>
      </c>
      <c r="S714" s="4" t="s">
        <v>2308</v>
      </c>
      <c r="T714" s="4" t="s">
        <v>4380</v>
      </c>
    </row>
    <row r="715" spans="1:20" ht="40.5" customHeight="1">
      <c r="A715" s="12" t="s">
        <v>4411</v>
      </c>
      <c r="B715" s="4" t="s">
        <v>69</v>
      </c>
      <c r="C715" s="4" t="s">
        <v>402</v>
      </c>
      <c r="D715" s="4" t="s">
        <v>136</v>
      </c>
      <c r="E715" s="4" t="s">
        <v>5065</v>
      </c>
      <c r="F715" s="4" t="s">
        <v>45</v>
      </c>
      <c r="G715" s="4" t="s">
        <v>2308</v>
      </c>
      <c r="H715" s="15">
        <f>(7051+20421)/100/'Record info'!K718</f>
        <v>0.10582434514637906</v>
      </c>
      <c r="I715" s="4" t="s">
        <v>2308</v>
      </c>
      <c r="J715" s="4" t="s">
        <v>2308</v>
      </c>
      <c r="K715" s="4" t="s">
        <v>2308</v>
      </c>
      <c r="L715" s="4" t="s">
        <v>2308</v>
      </c>
      <c r="M715" s="4" t="s">
        <v>2308</v>
      </c>
      <c r="N715" s="4" t="s">
        <v>2308</v>
      </c>
      <c r="O715" s="4" t="s">
        <v>2308</v>
      </c>
      <c r="P715" s="4" t="s">
        <v>2308</v>
      </c>
      <c r="Q715" s="4" t="s">
        <v>2308</v>
      </c>
      <c r="R715" s="4" t="s">
        <v>2308</v>
      </c>
      <c r="S715" s="4" t="s">
        <v>2308</v>
      </c>
      <c r="T715" s="4"/>
    </row>
    <row r="716" spans="1:20" ht="35.5" customHeight="1">
      <c r="A716" s="12" t="s">
        <v>4413</v>
      </c>
      <c r="B716" s="4" t="s">
        <v>2290</v>
      </c>
      <c r="C716" s="4" t="s">
        <v>12</v>
      </c>
      <c r="D716" s="4" t="s">
        <v>143</v>
      </c>
      <c r="E716" s="4" t="s">
        <v>2685</v>
      </c>
      <c r="F716" s="4" t="s">
        <v>45</v>
      </c>
      <c r="G716" s="4" t="s">
        <v>2680</v>
      </c>
      <c r="H716" s="4" t="s">
        <v>2308</v>
      </c>
      <c r="I716" s="4" t="s">
        <v>2308</v>
      </c>
      <c r="J716" s="4" t="s">
        <v>2308</v>
      </c>
      <c r="K716" s="4" t="s">
        <v>2308</v>
      </c>
      <c r="L716" s="4" t="s">
        <v>2308</v>
      </c>
      <c r="M716" s="4" t="s">
        <v>2308</v>
      </c>
      <c r="N716" s="4" t="s">
        <v>2308</v>
      </c>
      <c r="O716" s="4" t="s">
        <v>2308</v>
      </c>
      <c r="P716" s="4" t="s">
        <v>2308</v>
      </c>
      <c r="Q716" s="4" t="s">
        <v>2308</v>
      </c>
      <c r="R716" s="4" t="s">
        <v>2308</v>
      </c>
      <c r="S716" s="4" t="s">
        <v>2308</v>
      </c>
      <c r="T716" s="4" t="s">
        <v>4424</v>
      </c>
    </row>
    <row r="717" spans="1:20" ht="35.5" customHeight="1">
      <c r="A717" s="12" t="s">
        <v>4438</v>
      </c>
      <c r="B717" s="5" t="s">
        <v>2308</v>
      </c>
      <c r="C717" s="4" t="s">
        <v>12</v>
      </c>
      <c r="D717" s="4" t="s">
        <v>136</v>
      </c>
      <c r="E717" s="4" t="s">
        <v>45</v>
      </c>
      <c r="F717" s="5" t="s">
        <v>143</v>
      </c>
      <c r="G717" s="5" t="s">
        <v>2308</v>
      </c>
      <c r="H717" s="5" t="s">
        <v>2308</v>
      </c>
      <c r="I717" s="5" t="s">
        <v>2308</v>
      </c>
      <c r="J717" s="5" t="s">
        <v>2308</v>
      </c>
      <c r="K717" s="5" t="s">
        <v>2308</v>
      </c>
      <c r="L717" s="5" t="s">
        <v>2308</v>
      </c>
      <c r="M717" s="5" t="s">
        <v>2308</v>
      </c>
      <c r="N717" s="5" t="s">
        <v>2308</v>
      </c>
      <c r="O717" s="5" t="s">
        <v>2308</v>
      </c>
      <c r="P717" s="5" t="s">
        <v>2308</v>
      </c>
      <c r="Q717" s="5" t="s">
        <v>2308</v>
      </c>
      <c r="R717" s="5" t="s">
        <v>2308</v>
      </c>
      <c r="S717" s="5" t="s">
        <v>2308</v>
      </c>
      <c r="T717" s="4"/>
    </row>
    <row r="718" spans="1:20" ht="37" customHeight="1">
      <c r="A718" s="12" t="s">
        <v>4440</v>
      </c>
      <c r="B718" s="5" t="s">
        <v>2308</v>
      </c>
      <c r="C718" s="4" t="s">
        <v>12</v>
      </c>
      <c r="D718" s="5" t="s">
        <v>404</v>
      </c>
      <c r="E718" s="4" t="s">
        <v>45</v>
      </c>
      <c r="F718" s="5" t="s">
        <v>2308</v>
      </c>
      <c r="G718" s="5" t="s">
        <v>2308</v>
      </c>
      <c r="H718" s="15">
        <f>(3226+1000+1225)/SUM(166.4, 130.9, 1498.7, 250.2, 1696, 662.4, 487.7, 13, 99.5, 42.1, 2137.1, 4072.5, 1167.4, 469.6, 243.3)</f>
        <v>0.41494123378600573</v>
      </c>
      <c r="I718" s="5" t="s">
        <v>2308</v>
      </c>
      <c r="J718" s="5" t="s">
        <v>2308</v>
      </c>
      <c r="K718" s="5" t="s">
        <v>2308</v>
      </c>
      <c r="L718" s="5" t="s">
        <v>2308</v>
      </c>
      <c r="M718" s="5" t="s">
        <v>2308</v>
      </c>
      <c r="N718" s="5" t="s">
        <v>2308</v>
      </c>
      <c r="O718" s="5" t="s">
        <v>2308</v>
      </c>
      <c r="P718" s="22">
        <f>29.5+8.4+3.4</f>
        <v>41.3</v>
      </c>
      <c r="Q718" s="5" t="s">
        <v>2308</v>
      </c>
      <c r="R718" s="22">
        <f>1.2+0.9+10.8+1.8+12.3+4.8+3.5+0.3+15.5</f>
        <v>51.099999999999994</v>
      </c>
      <c r="S718" s="5" t="s">
        <v>2308</v>
      </c>
      <c r="T718" s="4"/>
    </row>
    <row r="719" spans="1:20" ht="33" customHeight="1">
      <c r="A719" s="12" t="s">
        <v>4441</v>
      </c>
      <c r="B719" s="5" t="s">
        <v>2308</v>
      </c>
      <c r="C719" s="4" t="s">
        <v>12</v>
      </c>
      <c r="D719" s="4" t="s">
        <v>5065</v>
      </c>
      <c r="E719" s="5" t="s">
        <v>404</v>
      </c>
      <c r="F719" s="5" t="s">
        <v>45</v>
      </c>
      <c r="G719" s="5" t="s">
        <v>2308</v>
      </c>
      <c r="H719" s="5" t="s">
        <v>2308</v>
      </c>
      <c r="I719" s="5" t="s">
        <v>2308</v>
      </c>
      <c r="J719" s="5" t="s">
        <v>2308</v>
      </c>
      <c r="K719" s="5" t="s">
        <v>2308</v>
      </c>
      <c r="L719" s="5" t="s">
        <v>2308</v>
      </c>
      <c r="M719" s="5" t="s">
        <v>2308</v>
      </c>
      <c r="N719" s="5" t="s">
        <v>2308</v>
      </c>
      <c r="O719" s="5" t="s">
        <v>2308</v>
      </c>
      <c r="P719" s="5" t="s">
        <v>2308</v>
      </c>
      <c r="Q719" s="5" t="s">
        <v>2308</v>
      </c>
      <c r="R719" s="5" t="s">
        <v>2308</v>
      </c>
      <c r="S719" s="5" t="s">
        <v>2308</v>
      </c>
      <c r="T719" s="4"/>
    </row>
    <row r="720" spans="1:20" ht="37" customHeight="1">
      <c r="A720" s="5" t="s">
        <v>4442</v>
      </c>
      <c r="B720" s="5" t="s">
        <v>2308</v>
      </c>
      <c r="C720" s="5" t="s">
        <v>12</v>
      </c>
      <c r="D720" s="5" t="s">
        <v>5065</v>
      </c>
      <c r="E720" s="5" t="s">
        <v>136</v>
      </c>
      <c r="F720" s="5" t="s">
        <v>403</v>
      </c>
      <c r="G720" s="5" t="s">
        <v>2308</v>
      </c>
      <c r="H720" s="5" t="s">
        <v>2308</v>
      </c>
      <c r="I720" s="5" t="s">
        <v>2308</v>
      </c>
      <c r="J720" s="5" t="s">
        <v>2308</v>
      </c>
      <c r="K720" s="5" t="s">
        <v>2308</v>
      </c>
      <c r="L720" s="5" t="s">
        <v>2308</v>
      </c>
      <c r="M720" s="5" t="s">
        <v>2308</v>
      </c>
      <c r="N720" s="5" t="s">
        <v>2308</v>
      </c>
      <c r="O720" s="5" t="s">
        <v>2308</v>
      </c>
      <c r="P720" s="5" t="s">
        <v>2308</v>
      </c>
      <c r="Q720" s="5" t="s">
        <v>2308</v>
      </c>
      <c r="R720" s="5" t="s">
        <v>2308</v>
      </c>
      <c r="S720" s="5" t="s">
        <v>2308</v>
      </c>
      <c r="T720" s="5" t="s">
        <v>4448</v>
      </c>
    </row>
    <row r="721" spans="1:20" ht="37" customHeight="1">
      <c r="A721" s="5" t="s">
        <v>4443</v>
      </c>
      <c r="B721" s="5" t="s">
        <v>2308</v>
      </c>
      <c r="C721" s="5" t="s">
        <v>12</v>
      </c>
      <c r="D721" s="5" t="s">
        <v>5065</v>
      </c>
      <c r="E721" s="5" t="s">
        <v>45</v>
      </c>
      <c r="F721" s="5" t="s">
        <v>877</v>
      </c>
      <c r="G721" s="5" t="s">
        <v>136</v>
      </c>
      <c r="H721" s="5" t="s">
        <v>2308</v>
      </c>
      <c r="I721" s="5" t="s">
        <v>2308</v>
      </c>
      <c r="J721" s="5" t="s">
        <v>2308</v>
      </c>
      <c r="K721" s="4" t="s">
        <v>542</v>
      </c>
      <c r="L721" s="5" t="s">
        <v>2308</v>
      </c>
      <c r="M721" s="5" t="s">
        <v>2308</v>
      </c>
      <c r="N721" s="5" t="s">
        <v>2308</v>
      </c>
      <c r="O721" s="5" t="s">
        <v>2308</v>
      </c>
      <c r="P721" s="22">
        <f>9.13</f>
        <v>9.1300000000000008</v>
      </c>
      <c r="Q721" s="22">
        <v>24.86</v>
      </c>
      <c r="R721" s="22">
        <v>27.25</v>
      </c>
      <c r="S721" s="22">
        <v>1.2</v>
      </c>
      <c r="T721" s="5" t="s">
        <v>4449</v>
      </c>
    </row>
    <row r="722" spans="1:20" ht="37" customHeight="1">
      <c r="A722" s="5" t="s">
        <v>4444</v>
      </c>
      <c r="B722" s="5" t="s">
        <v>2308</v>
      </c>
      <c r="C722" s="5" t="s">
        <v>402</v>
      </c>
      <c r="D722" s="5" t="s">
        <v>5065</v>
      </c>
      <c r="E722" s="5" t="s">
        <v>136</v>
      </c>
      <c r="F722" s="5" t="s">
        <v>2308</v>
      </c>
      <c r="G722" s="5" t="s">
        <v>2308</v>
      </c>
      <c r="H722" s="5" t="s">
        <v>2308</v>
      </c>
      <c r="I722" s="5" t="s">
        <v>2308</v>
      </c>
      <c r="J722" s="5" t="s">
        <v>2308</v>
      </c>
      <c r="K722" s="5" t="s">
        <v>2308</v>
      </c>
      <c r="L722" s="5" t="s">
        <v>2308</v>
      </c>
      <c r="M722" s="5" t="s">
        <v>2308</v>
      </c>
      <c r="N722" s="5" t="s">
        <v>2308</v>
      </c>
      <c r="O722" s="5" t="s">
        <v>2308</v>
      </c>
      <c r="P722" s="22">
        <f>27446/3129.69</f>
        <v>8.7695586463835067</v>
      </c>
      <c r="Q722" s="22">
        <v>35.69</v>
      </c>
      <c r="R722" s="22">
        <f>41.55</f>
        <v>41.55</v>
      </c>
      <c r="S722" s="22">
        <f>1.92</f>
        <v>1.92</v>
      </c>
      <c r="T722" s="5" t="s">
        <v>4450</v>
      </c>
    </row>
    <row r="723" spans="1:20" ht="37.5" customHeight="1">
      <c r="A723" s="4" t="s">
        <v>4469</v>
      </c>
      <c r="B723" s="4" t="s">
        <v>69</v>
      </c>
      <c r="C723" s="4" t="s">
        <v>402</v>
      </c>
      <c r="D723" s="4" t="s">
        <v>5065</v>
      </c>
      <c r="E723" s="4" t="s">
        <v>116</v>
      </c>
      <c r="F723" s="5" t="s">
        <v>2308</v>
      </c>
      <c r="G723" s="5" t="s">
        <v>2308</v>
      </c>
      <c r="H723" s="5" t="s">
        <v>2308</v>
      </c>
      <c r="I723" s="5" t="s">
        <v>2308</v>
      </c>
      <c r="J723" s="5" t="s">
        <v>2308</v>
      </c>
      <c r="K723" s="4" t="s">
        <v>542</v>
      </c>
      <c r="L723" s="5" t="s">
        <v>2308</v>
      </c>
      <c r="M723" s="5" t="s">
        <v>2308</v>
      </c>
      <c r="N723" s="5" t="s">
        <v>2308</v>
      </c>
      <c r="O723" s="5" t="s">
        <v>2308</v>
      </c>
      <c r="P723" s="5" t="s">
        <v>2308</v>
      </c>
      <c r="Q723" s="5" t="s">
        <v>2308</v>
      </c>
      <c r="R723" s="5" t="s">
        <v>2308</v>
      </c>
      <c r="S723" s="5" t="s">
        <v>2308</v>
      </c>
      <c r="T723" s="4" t="s">
        <v>4477</v>
      </c>
    </row>
    <row r="724" spans="1:20" ht="38" customHeight="1">
      <c r="A724" s="4" t="s">
        <v>4472</v>
      </c>
      <c r="B724" s="4" t="s">
        <v>1218</v>
      </c>
      <c r="C724" s="4" t="s">
        <v>2678</v>
      </c>
      <c r="D724" s="4" t="s">
        <v>143</v>
      </c>
      <c r="E724" s="5" t="s">
        <v>2308</v>
      </c>
      <c r="F724" s="5" t="s">
        <v>2308</v>
      </c>
      <c r="G724" s="5" t="s">
        <v>2308</v>
      </c>
      <c r="H724" s="5" t="s">
        <v>2308</v>
      </c>
      <c r="I724" s="5" t="s">
        <v>2308</v>
      </c>
      <c r="J724" s="5" t="s">
        <v>2308</v>
      </c>
      <c r="K724" s="5" t="s">
        <v>2308</v>
      </c>
      <c r="L724" s="5" t="s">
        <v>2308</v>
      </c>
      <c r="M724" s="5" t="s">
        <v>2308</v>
      </c>
      <c r="N724" s="5" t="s">
        <v>2308</v>
      </c>
      <c r="O724" s="5" t="s">
        <v>2308</v>
      </c>
      <c r="P724" s="5" t="s">
        <v>2308</v>
      </c>
      <c r="Q724" s="5" t="s">
        <v>2308</v>
      </c>
      <c r="R724" s="5" t="s">
        <v>2308</v>
      </c>
      <c r="S724" s="5" t="s">
        <v>2308</v>
      </c>
      <c r="T724" s="4" t="s">
        <v>4478</v>
      </c>
    </row>
    <row r="725" spans="1:20" ht="41" customHeight="1">
      <c r="A725" s="4" t="s">
        <v>4487</v>
      </c>
      <c r="B725" s="4" t="s">
        <v>2308</v>
      </c>
      <c r="C725" s="4" t="s">
        <v>12</v>
      </c>
      <c r="D725" s="4" t="s">
        <v>5065</v>
      </c>
      <c r="E725" s="5" t="s">
        <v>45</v>
      </c>
      <c r="F725" s="5" t="s">
        <v>2308</v>
      </c>
      <c r="G725" s="5" t="s">
        <v>2308</v>
      </c>
      <c r="H725" s="5" t="s">
        <v>2308</v>
      </c>
      <c r="I725" s="5" t="s">
        <v>2308</v>
      </c>
      <c r="J725" s="5" t="s">
        <v>2308</v>
      </c>
      <c r="K725" s="5" t="s">
        <v>2308</v>
      </c>
      <c r="L725" s="5" t="s">
        <v>2308</v>
      </c>
      <c r="M725" s="5" t="s">
        <v>2308</v>
      </c>
      <c r="N725" s="5" t="s">
        <v>2308</v>
      </c>
      <c r="O725" s="5" t="s">
        <v>2308</v>
      </c>
      <c r="P725" s="5" t="s">
        <v>2308</v>
      </c>
      <c r="Q725" s="5" t="s">
        <v>2308</v>
      </c>
      <c r="R725" s="5" t="s">
        <v>2308</v>
      </c>
      <c r="S725" s="5" t="s">
        <v>2308</v>
      </c>
      <c r="T725" s="4"/>
    </row>
    <row r="726" spans="1:20" ht="36" customHeight="1">
      <c r="A726" s="12" t="s">
        <v>4499</v>
      </c>
      <c r="B726" s="4" t="s">
        <v>2308</v>
      </c>
      <c r="C726" s="4" t="s">
        <v>402</v>
      </c>
      <c r="D726" s="4" t="s">
        <v>136</v>
      </c>
      <c r="E726" s="5" t="s">
        <v>116</v>
      </c>
      <c r="F726" s="5" t="s">
        <v>2308</v>
      </c>
      <c r="G726" s="5" t="s">
        <v>2308</v>
      </c>
      <c r="H726" s="5" t="s">
        <v>2308</v>
      </c>
      <c r="I726" s="5" t="s">
        <v>2308</v>
      </c>
      <c r="J726" s="5" t="s">
        <v>2308</v>
      </c>
      <c r="K726" s="5" t="s">
        <v>2308</v>
      </c>
      <c r="L726" s="5" t="s">
        <v>2308</v>
      </c>
      <c r="M726" s="5" t="s">
        <v>2308</v>
      </c>
      <c r="N726" s="5" t="s">
        <v>2308</v>
      </c>
      <c r="O726" s="5" t="s">
        <v>2308</v>
      </c>
      <c r="P726" s="5" t="s">
        <v>2308</v>
      </c>
      <c r="Q726" s="5" t="s">
        <v>2308</v>
      </c>
      <c r="R726" s="5" t="s">
        <v>2308</v>
      </c>
      <c r="S726" s="5" t="s">
        <v>2308</v>
      </c>
      <c r="T726" s="4" t="s">
        <v>4519</v>
      </c>
    </row>
    <row r="727" spans="1:20" ht="35" customHeight="1">
      <c r="A727" s="12" t="s">
        <v>4502</v>
      </c>
      <c r="B727" s="4" t="s">
        <v>2308</v>
      </c>
      <c r="C727" s="4" t="s">
        <v>402</v>
      </c>
      <c r="D727" s="4" t="s">
        <v>136</v>
      </c>
      <c r="E727" s="5" t="s">
        <v>2308</v>
      </c>
      <c r="F727" s="5" t="s">
        <v>2308</v>
      </c>
      <c r="G727" s="5" t="s">
        <v>2308</v>
      </c>
      <c r="H727" s="5" t="s">
        <v>2308</v>
      </c>
      <c r="I727" s="5" t="s">
        <v>2308</v>
      </c>
      <c r="J727" s="5" t="s">
        <v>2308</v>
      </c>
      <c r="K727" s="5" t="s">
        <v>2308</v>
      </c>
      <c r="L727" s="5" t="s">
        <v>2308</v>
      </c>
      <c r="M727" s="5" t="s">
        <v>2308</v>
      </c>
      <c r="N727" s="5" t="s">
        <v>2308</v>
      </c>
      <c r="O727" s="5" t="s">
        <v>2308</v>
      </c>
      <c r="P727" s="5" t="s">
        <v>2308</v>
      </c>
      <c r="Q727" s="5" t="s">
        <v>2308</v>
      </c>
      <c r="R727" s="5" t="s">
        <v>2308</v>
      </c>
      <c r="S727" s="5" t="s">
        <v>2308</v>
      </c>
      <c r="T727" s="4"/>
    </row>
    <row r="728" spans="1:20" ht="35.5" customHeight="1">
      <c r="A728" s="12" t="s">
        <v>4504</v>
      </c>
      <c r="B728" s="4" t="s">
        <v>2308</v>
      </c>
      <c r="C728" s="4" t="s">
        <v>402</v>
      </c>
      <c r="D728" s="4" t="s">
        <v>136</v>
      </c>
      <c r="E728" s="5" t="s">
        <v>2308</v>
      </c>
      <c r="F728" s="5" t="s">
        <v>2308</v>
      </c>
      <c r="G728" s="5" t="s">
        <v>2308</v>
      </c>
      <c r="H728" s="5" t="s">
        <v>2308</v>
      </c>
      <c r="I728" s="5" t="s">
        <v>2308</v>
      </c>
      <c r="J728" s="5" t="s">
        <v>2308</v>
      </c>
      <c r="K728" s="5" t="s">
        <v>2308</v>
      </c>
      <c r="L728" s="5" t="s">
        <v>2308</v>
      </c>
      <c r="M728" s="5" t="s">
        <v>2308</v>
      </c>
      <c r="N728" s="5" t="s">
        <v>2308</v>
      </c>
      <c r="O728" s="5" t="s">
        <v>2308</v>
      </c>
      <c r="P728" s="5" t="s">
        <v>2308</v>
      </c>
      <c r="Q728" s="5" t="s">
        <v>2308</v>
      </c>
      <c r="R728" s="5" t="s">
        <v>2308</v>
      </c>
      <c r="S728" s="5" t="s">
        <v>2308</v>
      </c>
      <c r="T728" s="4"/>
    </row>
    <row r="729" spans="1:20" ht="35.5" customHeight="1">
      <c r="A729" s="12" t="s">
        <v>4524</v>
      </c>
      <c r="B729" s="4" t="s">
        <v>2308</v>
      </c>
      <c r="C729" s="4" t="s">
        <v>402</v>
      </c>
      <c r="D729" s="4" t="s">
        <v>5065</v>
      </c>
      <c r="E729" s="5" t="s">
        <v>2308</v>
      </c>
      <c r="F729" s="5" t="s">
        <v>2308</v>
      </c>
      <c r="G729" s="5" t="s">
        <v>2308</v>
      </c>
      <c r="H729" s="5" t="s">
        <v>2308</v>
      </c>
      <c r="I729" s="5" t="s">
        <v>2308</v>
      </c>
      <c r="J729" s="5" t="s">
        <v>2308</v>
      </c>
      <c r="K729" s="5" t="s">
        <v>2308</v>
      </c>
      <c r="L729" s="5" t="s">
        <v>2308</v>
      </c>
      <c r="M729" s="5" t="s">
        <v>2308</v>
      </c>
      <c r="N729" s="5" t="s">
        <v>2308</v>
      </c>
      <c r="O729" s="5" t="s">
        <v>2308</v>
      </c>
      <c r="P729" s="5" t="s">
        <v>2308</v>
      </c>
      <c r="Q729" s="5" t="s">
        <v>2308</v>
      </c>
      <c r="R729" s="5" t="s">
        <v>2308</v>
      </c>
      <c r="S729" s="5" t="s">
        <v>2308</v>
      </c>
      <c r="T729" s="4"/>
    </row>
    <row r="730" spans="1:20" ht="35.5" customHeight="1">
      <c r="A730" s="12" t="s">
        <v>4536</v>
      </c>
      <c r="B730" s="4" t="s">
        <v>69</v>
      </c>
      <c r="C730" s="4" t="s">
        <v>402</v>
      </c>
      <c r="D730" s="4" t="s">
        <v>5065</v>
      </c>
      <c r="E730" s="5" t="s">
        <v>2308</v>
      </c>
      <c r="F730" s="5" t="s">
        <v>2308</v>
      </c>
      <c r="G730" s="5" t="s">
        <v>2308</v>
      </c>
      <c r="H730" s="5" t="s">
        <v>2308</v>
      </c>
      <c r="I730" s="5" t="s">
        <v>2308</v>
      </c>
      <c r="J730" s="5" t="s">
        <v>2308</v>
      </c>
      <c r="K730" s="5" t="s">
        <v>2308</v>
      </c>
      <c r="L730" s="5" t="s">
        <v>2308</v>
      </c>
      <c r="M730" s="5" t="s">
        <v>2308</v>
      </c>
      <c r="N730" s="5" t="s">
        <v>2308</v>
      </c>
      <c r="O730" s="5" t="s">
        <v>2308</v>
      </c>
      <c r="P730" s="5" t="s">
        <v>2308</v>
      </c>
      <c r="Q730" s="5" t="s">
        <v>2308</v>
      </c>
      <c r="R730" s="5" t="s">
        <v>2308</v>
      </c>
      <c r="S730" s="5" t="s">
        <v>2308</v>
      </c>
      <c r="T730" s="4"/>
    </row>
    <row r="731" spans="1:20" ht="31.5" customHeight="1">
      <c r="A731" s="12" t="s">
        <v>4538</v>
      </c>
      <c r="B731" s="4" t="s">
        <v>69</v>
      </c>
      <c r="C731" s="4" t="s">
        <v>402</v>
      </c>
      <c r="D731" s="4" t="s">
        <v>5065</v>
      </c>
      <c r="E731" s="5" t="s">
        <v>2308</v>
      </c>
      <c r="F731" s="5" t="s">
        <v>2308</v>
      </c>
      <c r="G731" s="5" t="s">
        <v>2308</v>
      </c>
      <c r="H731" s="5" t="s">
        <v>2308</v>
      </c>
      <c r="I731" s="5" t="s">
        <v>2308</v>
      </c>
      <c r="J731" s="5" t="s">
        <v>2308</v>
      </c>
      <c r="K731" s="5" t="s">
        <v>2308</v>
      </c>
      <c r="L731" s="5" t="s">
        <v>2308</v>
      </c>
      <c r="M731" s="5" t="s">
        <v>2308</v>
      </c>
      <c r="N731" s="5" t="s">
        <v>2308</v>
      </c>
      <c r="O731" s="5" t="s">
        <v>2308</v>
      </c>
      <c r="P731" s="5" t="s">
        <v>2308</v>
      </c>
      <c r="Q731" s="5" t="s">
        <v>2308</v>
      </c>
      <c r="R731" s="5" t="s">
        <v>2308</v>
      </c>
      <c r="S731" s="5" t="s">
        <v>2308</v>
      </c>
      <c r="T731" s="4"/>
    </row>
    <row r="732" spans="1:20" ht="40.5" customHeight="1">
      <c r="A732" s="12" t="s">
        <v>4539</v>
      </c>
      <c r="B732" s="4" t="s">
        <v>69</v>
      </c>
      <c r="C732" s="4" t="s">
        <v>402</v>
      </c>
      <c r="D732" s="4" t="s">
        <v>5065</v>
      </c>
      <c r="E732" s="4" t="s">
        <v>45</v>
      </c>
      <c r="F732" s="5" t="s">
        <v>2308</v>
      </c>
      <c r="G732" s="5" t="s">
        <v>2308</v>
      </c>
      <c r="H732" s="22">
        <f>SUM(27460, 17788, 54774, 11980, 21788, 31830)/3/(2250*100)</f>
        <v>0.24536296296296295</v>
      </c>
      <c r="I732" s="5" t="s">
        <v>2308</v>
      </c>
      <c r="J732" s="5" t="s">
        <v>2308</v>
      </c>
      <c r="K732" s="5" t="s">
        <v>2308</v>
      </c>
      <c r="L732" s="5" t="s">
        <v>2308</v>
      </c>
      <c r="M732" s="5" t="s">
        <v>2308</v>
      </c>
      <c r="N732" s="5" t="s">
        <v>2308</v>
      </c>
      <c r="O732" s="5" t="s">
        <v>2308</v>
      </c>
      <c r="P732" s="5" t="s">
        <v>2308</v>
      </c>
      <c r="Q732" s="5" t="s">
        <v>2308</v>
      </c>
      <c r="R732" s="5" t="s">
        <v>2308</v>
      </c>
      <c r="S732" s="5" t="s">
        <v>2308</v>
      </c>
      <c r="T732" s="5" t="s">
        <v>4554</v>
      </c>
    </row>
    <row r="733" spans="1:20" ht="47" customHeight="1">
      <c r="A733" s="12" t="s">
        <v>4540</v>
      </c>
      <c r="B733" s="4" t="s">
        <v>2308</v>
      </c>
      <c r="C733" s="4" t="s">
        <v>12</v>
      </c>
      <c r="D733" s="5" t="s">
        <v>3903</v>
      </c>
      <c r="E733" s="4" t="s">
        <v>2685</v>
      </c>
      <c r="F733" s="4" t="s">
        <v>84</v>
      </c>
      <c r="G733" s="5" t="s">
        <v>2308</v>
      </c>
      <c r="H733" s="22">
        <f>SUM(7748, 60603, 16507, 10674)/2/(2250*100)</f>
        <v>0.21229333333333333</v>
      </c>
      <c r="I733" s="5" t="s">
        <v>2308</v>
      </c>
      <c r="J733" s="5" t="s">
        <v>2308</v>
      </c>
      <c r="K733" s="5" t="s">
        <v>2308</v>
      </c>
      <c r="L733" s="5" t="s">
        <v>2308</v>
      </c>
      <c r="M733" s="5" t="s">
        <v>2308</v>
      </c>
      <c r="N733" s="5" t="s">
        <v>2308</v>
      </c>
      <c r="O733" s="5" t="s">
        <v>2308</v>
      </c>
      <c r="P733" s="5" t="s">
        <v>2308</v>
      </c>
      <c r="Q733" s="5" t="s">
        <v>2308</v>
      </c>
      <c r="R733" s="5" t="s">
        <v>2308</v>
      </c>
      <c r="S733" s="5" t="s">
        <v>2308</v>
      </c>
      <c r="T733" s="4" t="s">
        <v>4555</v>
      </c>
    </row>
    <row r="734" spans="1:20" ht="41" customHeight="1">
      <c r="A734" s="12" t="s">
        <v>4553</v>
      </c>
      <c r="B734" s="4" t="s">
        <v>70</v>
      </c>
      <c r="C734" s="4" t="s">
        <v>2678</v>
      </c>
      <c r="D734" s="4" t="s">
        <v>45</v>
      </c>
      <c r="E734" s="4" t="s">
        <v>84</v>
      </c>
      <c r="F734" s="5" t="s">
        <v>2308</v>
      </c>
      <c r="G734" s="5" t="s">
        <v>2308</v>
      </c>
      <c r="H734" s="5" t="s">
        <v>2308</v>
      </c>
      <c r="I734" s="5" t="s">
        <v>2308</v>
      </c>
      <c r="J734" s="5" t="s">
        <v>2308</v>
      </c>
      <c r="K734" s="5" t="s">
        <v>2308</v>
      </c>
      <c r="L734" s="5" t="s">
        <v>2308</v>
      </c>
      <c r="M734" s="5" t="s">
        <v>2308</v>
      </c>
      <c r="N734" s="5" t="s">
        <v>2308</v>
      </c>
      <c r="O734" s="5" t="s">
        <v>2308</v>
      </c>
      <c r="P734" s="5" t="s">
        <v>2308</v>
      </c>
      <c r="Q734" s="5" t="s">
        <v>2308</v>
      </c>
      <c r="R734" s="5" t="s">
        <v>2308</v>
      </c>
      <c r="S734" s="5" t="s">
        <v>2308</v>
      </c>
      <c r="T734" s="4"/>
    </row>
    <row r="735" spans="1:20" ht="35.5" customHeight="1">
      <c r="A735" s="12" t="s">
        <v>4553</v>
      </c>
      <c r="B735" s="4" t="s">
        <v>70</v>
      </c>
      <c r="C735" s="4" t="s">
        <v>2678</v>
      </c>
      <c r="D735" s="4" t="s">
        <v>45</v>
      </c>
      <c r="E735" s="4" t="s">
        <v>84</v>
      </c>
      <c r="F735" s="5" t="s">
        <v>2308</v>
      </c>
      <c r="G735" s="5" t="s">
        <v>2308</v>
      </c>
      <c r="H735" s="22">
        <v>0.12</v>
      </c>
      <c r="I735" s="5" t="s">
        <v>2308</v>
      </c>
      <c r="J735" s="5" t="s">
        <v>2308</v>
      </c>
      <c r="K735" s="5" t="s">
        <v>2308</v>
      </c>
      <c r="L735" s="5" t="s">
        <v>2308</v>
      </c>
      <c r="M735" s="5" t="s">
        <v>2308</v>
      </c>
      <c r="N735" s="5" t="s">
        <v>2308</v>
      </c>
      <c r="O735" s="5" t="s">
        <v>2308</v>
      </c>
      <c r="P735" s="5" t="s">
        <v>2308</v>
      </c>
      <c r="Q735" s="5" t="s">
        <v>2308</v>
      </c>
      <c r="R735" s="5" t="s">
        <v>2308</v>
      </c>
      <c r="S735" s="5" t="s">
        <v>2308</v>
      </c>
      <c r="T735" s="4"/>
    </row>
    <row r="736" spans="1:20" ht="36" customHeight="1">
      <c r="A736" s="12" t="s">
        <v>4569</v>
      </c>
      <c r="B736" s="4" t="s">
        <v>1218</v>
      </c>
      <c r="C736" s="4" t="s">
        <v>402</v>
      </c>
      <c r="D736" s="4" t="s">
        <v>143</v>
      </c>
      <c r="E736" s="5" t="s">
        <v>2308</v>
      </c>
      <c r="F736" s="5" t="s">
        <v>2308</v>
      </c>
      <c r="G736" s="5" t="s">
        <v>2308</v>
      </c>
      <c r="H736" s="5" t="s">
        <v>2308</v>
      </c>
      <c r="I736" s="5" t="s">
        <v>2308</v>
      </c>
      <c r="J736" s="5" t="s">
        <v>2308</v>
      </c>
      <c r="K736" s="5" t="s">
        <v>2308</v>
      </c>
      <c r="L736" s="5" t="s">
        <v>2308</v>
      </c>
      <c r="M736" s="5" t="s">
        <v>2308</v>
      </c>
      <c r="N736" s="5" t="s">
        <v>2308</v>
      </c>
      <c r="O736" s="5" t="s">
        <v>2308</v>
      </c>
      <c r="P736" s="5" t="s">
        <v>2308</v>
      </c>
      <c r="Q736" s="5" t="s">
        <v>2308</v>
      </c>
      <c r="R736" s="5" t="s">
        <v>2308</v>
      </c>
      <c r="S736" s="5" t="s">
        <v>2308</v>
      </c>
      <c r="T736" s="4"/>
    </row>
    <row r="737" spans="1:20" ht="36" customHeight="1">
      <c r="A737" s="12" t="s">
        <v>4570</v>
      </c>
      <c r="B737" s="4" t="s">
        <v>70</v>
      </c>
      <c r="C737" s="4" t="s">
        <v>2678</v>
      </c>
      <c r="D737" s="4" t="s">
        <v>45</v>
      </c>
      <c r="E737" s="4" t="s">
        <v>84</v>
      </c>
      <c r="F737" s="5" t="s">
        <v>2308</v>
      </c>
      <c r="G737" s="5" t="s">
        <v>2308</v>
      </c>
      <c r="H737" s="5" t="s">
        <v>2308</v>
      </c>
      <c r="I737" s="5" t="s">
        <v>2308</v>
      </c>
      <c r="J737" s="5" t="s">
        <v>2308</v>
      </c>
      <c r="K737" s="5" t="s">
        <v>2308</v>
      </c>
      <c r="L737" s="5" t="s">
        <v>2308</v>
      </c>
      <c r="M737" s="5" t="s">
        <v>2308</v>
      </c>
      <c r="N737" s="5" t="s">
        <v>2308</v>
      </c>
      <c r="O737" s="5" t="s">
        <v>2308</v>
      </c>
      <c r="P737" s="5" t="s">
        <v>2308</v>
      </c>
      <c r="Q737" s="5" t="s">
        <v>2308</v>
      </c>
      <c r="R737" s="5" t="s">
        <v>2308</v>
      </c>
      <c r="S737" s="5" t="s">
        <v>2308</v>
      </c>
      <c r="T737" s="4"/>
    </row>
    <row r="738" spans="1:20" ht="36" customHeight="1">
      <c r="A738" s="12" t="s">
        <v>4571</v>
      </c>
      <c r="B738" s="4" t="s">
        <v>69</v>
      </c>
      <c r="C738" s="4" t="s">
        <v>402</v>
      </c>
      <c r="D738" s="4" t="s">
        <v>5065</v>
      </c>
      <c r="E738" s="5" t="s">
        <v>2308</v>
      </c>
      <c r="F738" s="5" t="s">
        <v>2308</v>
      </c>
      <c r="G738" s="5" t="s">
        <v>2308</v>
      </c>
      <c r="H738" s="5" t="s">
        <v>2308</v>
      </c>
      <c r="I738" s="5" t="s">
        <v>2308</v>
      </c>
      <c r="J738" s="5" t="s">
        <v>2308</v>
      </c>
      <c r="K738" s="5" t="s">
        <v>2308</v>
      </c>
      <c r="L738" s="5" t="s">
        <v>2308</v>
      </c>
      <c r="M738" s="5" t="s">
        <v>2308</v>
      </c>
      <c r="N738" s="5" t="s">
        <v>2308</v>
      </c>
      <c r="O738" s="5" t="s">
        <v>2308</v>
      </c>
      <c r="P738" s="5" t="s">
        <v>2308</v>
      </c>
      <c r="Q738" s="5" t="s">
        <v>2308</v>
      </c>
      <c r="R738" s="5" t="s">
        <v>2308</v>
      </c>
      <c r="S738" s="5" t="s">
        <v>2308</v>
      </c>
      <c r="T738" s="4"/>
    </row>
    <row r="739" spans="1:20" ht="36" customHeight="1">
      <c r="A739" s="12" t="s">
        <v>4572</v>
      </c>
      <c r="B739" s="4" t="s">
        <v>69</v>
      </c>
      <c r="C739" s="4" t="s">
        <v>402</v>
      </c>
      <c r="D739" s="4" t="s">
        <v>5065</v>
      </c>
      <c r="E739" s="5" t="s">
        <v>2308</v>
      </c>
      <c r="F739" s="5" t="s">
        <v>2308</v>
      </c>
      <c r="G739" s="5" t="s">
        <v>2308</v>
      </c>
      <c r="H739" s="5" t="s">
        <v>2308</v>
      </c>
      <c r="I739" s="5" t="s">
        <v>2308</v>
      </c>
      <c r="J739" s="5" t="s">
        <v>2308</v>
      </c>
      <c r="K739" s="5" t="s">
        <v>2308</v>
      </c>
      <c r="L739" s="5" t="s">
        <v>2308</v>
      </c>
      <c r="M739" s="5" t="s">
        <v>2308</v>
      </c>
      <c r="N739" s="5" t="s">
        <v>2308</v>
      </c>
      <c r="O739" s="5" t="s">
        <v>2308</v>
      </c>
      <c r="P739" s="5" t="s">
        <v>2308</v>
      </c>
      <c r="Q739" s="5" t="s">
        <v>2308</v>
      </c>
      <c r="R739" s="5" t="s">
        <v>2308</v>
      </c>
      <c r="S739" s="5" t="s">
        <v>2308</v>
      </c>
      <c r="T739" s="4"/>
    </row>
    <row r="740" spans="1:20" ht="36" customHeight="1">
      <c r="A740" s="12" t="s">
        <v>4573</v>
      </c>
      <c r="B740" s="4" t="s">
        <v>2308</v>
      </c>
      <c r="C740" s="4" t="s">
        <v>12</v>
      </c>
      <c r="D740" s="4" t="s">
        <v>2686</v>
      </c>
      <c r="E740" s="5" t="s">
        <v>403</v>
      </c>
      <c r="F740" s="5" t="s">
        <v>2308</v>
      </c>
      <c r="G740" s="5" t="s">
        <v>2308</v>
      </c>
      <c r="H740" s="5" t="s">
        <v>2308</v>
      </c>
      <c r="I740" s="5" t="s">
        <v>2308</v>
      </c>
      <c r="J740" s="5" t="s">
        <v>2308</v>
      </c>
      <c r="K740" s="5" t="s">
        <v>2308</v>
      </c>
      <c r="L740" s="5" t="s">
        <v>2308</v>
      </c>
      <c r="M740" s="5" t="s">
        <v>2308</v>
      </c>
      <c r="N740" s="5" t="s">
        <v>2308</v>
      </c>
      <c r="O740" s="5" t="s">
        <v>2308</v>
      </c>
      <c r="P740" s="5" t="s">
        <v>2308</v>
      </c>
      <c r="Q740" s="5" t="s">
        <v>2308</v>
      </c>
      <c r="R740" s="5" t="s">
        <v>2308</v>
      </c>
      <c r="S740" s="5" t="s">
        <v>2308</v>
      </c>
      <c r="T740" s="4"/>
    </row>
    <row r="741" spans="1:20" ht="37.5" customHeight="1">
      <c r="A741" s="12" t="s">
        <v>4594</v>
      </c>
      <c r="B741" s="4" t="s">
        <v>1218</v>
      </c>
      <c r="C741" s="4" t="s">
        <v>12</v>
      </c>
      <c r="D741" s="4" t="s">
        <v>143</v>
      </c>
      <c r="E741" s="4" t="s">
        <v>5065</v>
      </c>
      <c r="F741" s="4" t="s">
        <v>136</v>
      </c>
      <c r="G741" s="5" t="s">
        <v>116</v>
      </c>
      <c r="H741" s="5" t="s">
        <v>2308</v>
      </c>
      <c r="I741" s="5" t="s">
        <v>2308</v>
      </c>
      <c r="J741" s="5" t="s">
        <v>2308</v>
      </c>
      <c r="K741" s="5" t="s">
        <v>2308</v>
      </c>
      <c r="L741" s="5" t="s">
        <v>2308</v>
      </c>
      <c r="M741" s="5" t="s">
        <v>2308</v>
      </c>
      <c r="N741" s="5" t="s">
        <v>2308</v>
      </c>
      <c r="O741" s="5" t="s">
        <v>2308</v>
      </c>
      <c r="P741" s="5" t="s">
        <v>2308</v>
      </c>
      <c r="Q741" s="5" t="s">
        <v>2308</v>
      </c>
      <c r="R741" s="5" t="s">
        <v>2308</v>
      </c>
      <c r="S741" s="5" t="s">
        <v>2308</v>
      </c>
      <c r="T741" s="4" t="s">
        <v>4621</v>
      </c>
    </row>
    <row r="742" spans="1:20" ht="43" customHeight="1">
      <c r="A742" s="12" t="s">
        <v>4597</v>
      </c>
      <c r="B742" s="4" t="s">
        <v>1218</v>
      </c>
      <c r="C742" s="4" t="s">
        <v>12</v>
      </c>
      <c r="D742" s="4" t="s">
        <v>143</v>
      </c>
      <c r="E742" s="4" t="s">
        <v>5065</v>
      </c>
      <c r="F742" s="4" t="s">
        <v>136</v>
      </c>
      <c r="G742" s="5" t="s">
        <v>116</v>
      </c>
      <c r="H742" s="5" t="s">
        <v>2308</v>
      </c>
      <c r="I742" s="5" t="s">
        <v>2308</v>
      </c>
      <c r="J742" s="5" t="s">
        <v>2308</v>
      </c>
      <c r="K742" s="5" t="s">
        <v>2308</v>
      </c>
      <c r="L742" s="5" t="s">
        <v>2308</v>
      </c>
      <c r="M742" s="5" t="s">
        <v>2308</v>
      </c>
      <c r="N742" s="5" t="s">
        <v>2308</v>
      </c>
      <c r="O742" s="5" t="s">
        <v>2308</v>
      </c>
      <c r="P742" s="5" t="s">
        <v>2308</v>
      </c>
      <c r="Q742" s="5" t="s">
        <v>2308</v>
      </c>
      <c r="R742" s="5" t="s">
        <v>2308</v>
      </c>
      <c r="S742" s="5" t="s">
        <v>2308</v>
      </c>
      <c r="T742" s="4" t="s">
        <v>4621</v>
      </c>
    </row>
    <row r="743" spans="1:20" ht="42.5" customHeight="1">
      <c r="A743" s="12" t="s">
        <v>4622</v>
      </c>
      <c r="B743" s="4" t="s">
        <v>70</v>
      </c>
      <c r="C743" s="4" t="s">
        <v>2679</v>
      </c>
      <c r="D743" s="4" t="s">
        <v>143</v>
      </c>
      <c r="E743" s="4" t="s">
        <v>2685</v>
      </c>
      <c r="F743" s="5" t="s">
        <v>2308</v>
      </c>
      <c r="G743" s="5" t="s">
        <v>2308</v>
      </c>
      <c r="H743" s="5" t="s">
        <v>2308</v>
      </c>
      <c r="I743" s="5" t="s">
        <v>2308</v>
      </c>
      <c r="J743" s="5" t="s">
        <v>2308</v>
      </c>
      <c r="K743" s="5" t="s">
        <v>2308</v>
      </c>
      <c r="L743" s="5" t="s">
        <v>2308</v>
      </c>
      <c r="M743" s="5" t="s">
        <v>2308</v>
      </c>
      <c r="N743" s="5" t="s">
        <v>2308</v>
      </c>
      <c r="O743" s="5" t="s">
        <v>2308</v>
      </c>
      <c r="P743" s="5" t="s">
        <v>2308</v>
      </c>
      <c r="Q743" s="5" t="s">
        <v>2308</v>
      </c>
      <c r="R743" s="5" t="s">
        <v>2308</v>
      </c>
      <c r="S743" s="5" t="s">
        <v>2308</v>
      </c>
      <c r="T743" s="4"/>
    </row>
    <row r="744" spans="1:20" ht="46.5" customHeight="1">
      <c r="A744" s="12" t="s">
        <v>4633</v>
      </c>
      <c r="B744" s="4" t="s">
        <v>2308</v>
      </c>
      <c r="C744" s="4" t="s">
        <v>12</v>
      </c>
      <c r="D744" s="4" t="s">
        <v>5065</v>
      </c>
      <c r="E744" s="4" t="s">
        <v>143</v>
      </c>
      <c r="F744" s="5" t="s">
        <v>2308</v>
      </c>
      <c r="G744" s="5" t="s">
        <v>2308</v>
      </c>
      <c r="H744" s="5" t="s">
        <v>2308</v>
      </c>
      <c r="I744" s="5" t="s">
        <v>2308</v>
      </c>
      <c r="J744" s="5" t="s">
        <v>2308</v>
      </c>
      <c r="K744" s="5" t="s">
        <v>2308</v>
      </c>
      <c r="L744" s="5" t="s">
        <v>2308</v>
      </c>
      <c r="M744" s="5" t="s">
        <v>2308</v>
      </c>
      <c r="N744" s="5" t="s">
        <v>2308</v>
      </c>
      <c r="O744" s="5" t="s">
        <v>2308</v>
      </c>
      <c r="P744" s="5" t="s">
        <v>2308</v>
      </c>
      <c r="Q744" s="5" t="s">
        <v>2308</v>
      </c>
      <c r="R744" s="5" t="s">
        <v>2308</v>
      </c>
      <c r="S744" s="5" t="s">
        <v>2308</v>
      </c>
      <c r="T744" s="4"/>
    </row>
    <row r="745" spans="1:20" ht="52" customHeight="1">
      <c r="A745" s="12" t="s">
        <v>4636</v>
      </c>
      <c r="B745" s="5" t="s">
        <v>1218</v>
      </c>
      <c r="C745" s="4" t="s">
        <v>2679</v>
      </c>
      <c r="D745" s="4" t="s">
        <v>143</v>
      </c>
      <c r="E745" s="5" t="s">
        <v>2308</v>
      </c>
      <c r="F745" s="5" t="s">
        <v>2308</v>
      </c>
      <c r="G745" s="5" t="s">
        <v>2308</v>
      </c>
      <c r="H745" s="5" t="s">
        <v>2308</v>
      </c>
      <c r="I745" s="5" t="s">
        <v>2308</v>
      </c>
      <c r="J745" s="5" t="s">
        <v>2308</v>
      </c>
      <c r="K745" s="5" t="s">
        <v>2308</v>
      </c>
      <c r="L745" s="5" t="s">
        <v>2308</v>
      </c>
      <c r="M745" s="5" t="s">
        <v>2308</v>
      </c>
      <c r="N745" s="5" t="s">
        <v>2308</v>
      </c>
      <c r="O745" s="5" t="s">
        <v>2308</v>
      </c>
      <c r="P745" s="5" t="s">
        <v>2308</v>
      </c>
      <c r="Q745" s="5" t="s">
        <v>2308</v>
      </c>
      <c r="R745" s="5" t="s">
        <v>2308</v>
      </c>
      <c r="S745" s="5" t="s">
        <v>2308</v>
      </c>
      <c r="T745" s="4"/>
    </row>
    <row r="746" spans="1:20" ht="52" customHeight="1">
      <c r="A746" s="12" t="s">
        <v>4637</v>
      </c>
      <c r="B746" s="5" t="s">
        <v>1218</v>
      </c>
      <c r="C746" s="4" t="s">
        <v>2679</v>
      </c>
      <c r="D746" s="4" t="s">
        <v>143</v>
      </c>
      <c r="E746" s="5" t="s">
        <v>2308</v>
      </c>
      <c r="F746" s="5" t="s">
        <v>2308</v>
      </c>
      <c r="G746" s="5" t="s">
        <v>2308</v>
      </c>
      <c r="H746" s="5" t="s">
        <v>2308</v>
      </c>
      <c r="I746" s="5" t="s">
        <v>2308</v>
      </c>
      <c r="J746" s="5" t="s">
        <v>2308</v>
      </c>
      <c r="K746" s="5" t="s">
        <v>2308</v>
      </c>
      <c r="L746" s="5" t="s">
        <v>2308</v>
      </c>
      <c r="M746" s="5" t="s">
        <v>2308</v>
      </c>
      <c r="N746" s="5" t="s">
        <v>2308</v>
      </c>
      <c r="O746" s="5" t="s">
        <v>2308</v>
      </c>
      <c r="P746" s="5" t="s">
        <v>2308</v>
      </c>
      <c r="Q746" s="5" t="s">
        <v>2308</v>
      </c>
      <c r="R746" s="5" t="s">
        <v>2308</v>
      </c>
      <c r="S746" s="5" t="s">
        <v>2308</v>
      </c>
      <c r="T746" s="4"/>
    </row>
    <row r="747" spans="1:20" ht="55.5" customHeight="1">
      <c r="A747" s="12" t="s">
        <v>4648</v>
      </c>
      <c r="B747" s="5" t="s">
        <v>1218</v>
      </c>
      <c r="C747" s="4" t="s">
        <v>2679</v>
      </c>
      <c r="D747" s="4" t="s">
        <v>143</v>
      </c>
      <c r="E747" s="5" t="s">
        <v>2308</v>
      </c>
      <c r="F747" s="5" t="s">
        <v>2308</v>
      </c>
      <c r="G747" s="5" t="s">
        <v>2308</v>
      </c>
      <c r="H747" s="5" t="s">
        <v>2308</v>
      </c>
      <c r="I747" s="5" t="s">
        <v>2308</v>
      </c>
      <c r="J747" s="5" t="s">
        <v>2308</v>
      </c>
      <c r="K747" s="5" t="s">
        <v>2308</v>
      </c>
      <c r="L747" s="5" t="s">
        <v>2308</v>
      </c>
      <c r="M747" s="5" t="s">
        <v>2308</v>
      </c>
      <c r="N747" s="5" t="s">
        <v>2308</v>
      </c>
      <c r="O747" s="5" t="s">
        <v>2308</v>
      </c>
      <c r="P747" s="5" t="s">
        <v>2308</v>
      </c>
      <c r="Q747" s="5" t="s">
        <v>2308</v>
      </c>
      <c r="R747" s="5" t="s">
        <v>2308</v>
      </c>
      <c r="S747" s="5" t="s">
        <v>2308</v>
      </c>
      <c r="T747" s="4"/>
    </row>
    <row r="748" spans="1:20" ht="47" customHeight="1">
      <c r="A748" s="12" t="s">
        <v>4652</v>
      </c>
      <c r="B748" s="5" t="s">
        <v>1218</v>
      </c>
      <c r="C748" s="4" t="s">
        <v>2679</v>
      </c>
      <c r="D748" s="4" t="s">
        <v>143</v>
      </c>
      <c r="E748" s="5" t="s">
        <v>2308</v>
      </c>
      <c r="F748" s="5" t="s">
        <v>2308</v>
      </c>
      <c r="G748" s="5" t="s">
        <v>2308</v>
      </c>
      <c r="H748" s="5" t="s">
        <v>2308</v>
      </c>
      <c r="I748" s="5" t="s">
        <v>2308</v>
      </c>
      <c r="J748" s="5" t="s">
        <v>2308</v>
      </c>
      <c r="K748" s="5" t="s">
        <v>2308</v>
      </c>
      <c r="L748" s="5" t="s">
        <v>2308</v>
      </c>
      <c r="M748" s="5" t="s">
        <v>2308</v>
      </c>
      <c r="N748" s="5" t="s">
        <v>2308</v>
      </c>
      <c r="O748" s="5" t="s">
        <v>2308</v>
      </c>
      <c r="P748" s="5" t="s">
        <v>2308</v>
      </c>
      <c r="Q748" s="5" t="s">
        <v>2308</v>
      </c>
      <c r="R748" s="5" t="s">
        <v>2308</v>
      </c>
      <c r="S748" s="5" t="s">
        <v>2308</v>
      </c>
      <c r="T748" s="4"/>
    </row>
    <row r="749" spans="1:20" ht="50" customHeight="1">
      <c r="A749" s="12" t="s">
        <v>4653</v>
      </c>
      <c r="B749" s="5" t="s">
        <v>1218</v>
      </c>
      <c r="C749" s="4" t="s">
        <v>2679</v>
      </c>
      <c r="D749" s="4" t="s">
        <v>143</v>
      </c>
      <c r="E749" s="5" t="s">
        <v>2308</v>
      </c>
      <c r="F749" s="5" t="s">
        <v>2308</v>
      </c>
      <c r="G749" s="5" t="s">
        <v>2308</v>
      </c>
      <c r="H749" s="5" t="s">
        <v>2308</v>
      </c>
      <c r="I749" s="5" t="s">
        <v>2308</v>
      </c>
      <c r="J749" s="5" t="s">
        <v>2308</v>
      </c>
      <c r="K749" s="5" t="s">
        <v>2308</v>
      </c>
      <c r="L749" s="5" t="s">
        <v>2308</v>
      </c>
      <c r="M749" s="5" t="s">
        <v>2308</v>
      </c>
      <c r="N749" s="5" t="s">
        <v>2308</v>
      </c>
      <c r="O749" s="5" t="s">
        <v>2308</v>
      </c>
      <c r="P749" s="5" t="s">
        <v>2308</v>
      </c>
      <c r="Q749" s="5" t="s">
        <v>2308</v>
      </c>
      <c r="R749" s="5" t="s">
        <v>2308</v>
      </c>
      <c r="S749" s="5" t="s">
        <v>2308</v>
      </c>
      <c r="T749" s="4"/>
    </row>
    <row r="750" spans="1:20" ht="50" customHeight="1">
      <c r="A750" s="12" t="s">
        <v>4654</v>
      </c>
      <c r="B750" s="5" t="s">
        <v>1218</v>
      </c>
      <c r="C750" s="4" t="s">
        <v>2679</v>
      </c>
      <c r="D750" s="4" t="s">
        <v>143</v>
      </c>
      <c r="E750" s="5" t="s">
        <v>2308</v>
      </c>
      <c r="F750" s="5" t="s">
        <v>2308</v>
      </c>
      <c r="G750" s="5" t="s">
        <v>2308</v>
      </c>
      <c r="H750" s="5" t="s">
        <v>2308</v>
      </c>
      <c r="I750" s="5" t="s">
        <v>2308</v>
      </c>
      <c r="J750" s="5" t="s">
        <v>2308</v>
      </c>
      <c r="K750" s="5" t="s">
        <v>2308</v>
      </c>
      <c r="L750" s="5" t="s">
        <v>2308</v>
      </c>
      <c r="M750" s="5" t="s">
        <v>2308</v>
      </c>
      <c r="N750" s="5" t="s">
        <v>2308</v>
      </c>
      <c r="O750" s="5" t="s">
        <v>2308</v>
      </c>
      <c r="P750" s="5" t="s">
        <v>2308</v>
      </c>
      <c r="Q750" s="5" t="s">
        <v>2308</v>
      </c>
      <c r="R750" s="5" t="s">
        <v>2308</v>
      </c>
      <c r="S750" s="5" t="s">
        <v>2308</v>
      </c>
      <c r="T750" s="4"/>
    </row>
    <row r="751" spans="1:20" ht="50" customHeight="1">
      <c r="A751" s="12" t="s">
        <v>4671</v>
      </c>
      <c r="B751" s="4" t="s">
        <v>32</v>
      </c>
      <c r="C751" s="4" t="s">
        <v>12</v>
      </c>
      <c r="D751" s="4" t="s">
        <v>2680</v>
      </c>
      <c r="E751" s="4" t="s">
        <v>5065</v>
      </c>
      <c r="F751" s="5" t="s">
        <v>2308</v>
      </c>
      <c r="G751" s="5" t="s">
        <v>2308</v>
      </c>
      <c r="H751" s="5" t="s">
        <v>2308</v>
      </c>
      <c r="I751" s="5" t="s">
        <v>2308</v>
      </c>
      <c r="J751" s="5" t="s">
        <v>2308</v>
      </c>
      <c r="K751" s="5" t="s">
        <v>2308</v>
      </c>
      <c r="L751" s="5" t="s">
        <v>2308</v>
      </c>
      <c r="M751" s="5" t="s">
        <v>2308</v>
      </c>
      <c r="N751" s="5" t="s">
        <v>2308</v>
      </c>
      <c r="O751" s="5" t="s">
        <v>2308</v>
      </c>
      <c r="P751" s="5" t="s">
        <v>2308</v>
      </c>
      <c r="Q751" s="5" t="s">
        <v>2308</v>
      </c>
      <c r="R751" s="5" t="s">
        <v>2308</v>
      </c>
      <c r="S751" s="5" t="s">
        <v>2308</v>
      </c>
      <c r="T751" s="4"/>
    </row>
    <row r="752" spans="1:20" ht="50" customHeight="1">
      <c r="A752" s="12" t="s">
        <v>4672</v>
      </c>
      <c r="B752" s="4" t="s">
        <v>2308</v>
      </c>
      <c r="C752" s="4" t="s">
        <v>402</v>
      </c>
      <c r="D752" s="4" t="s">
        <v>45</v>
      </c>
      <c r="E752" s="5" t="s">
        <v>2308</v>
      </c>
      <c r="F752" s="5" t="s">
        <v>2308</v>
      </c>
      <c r="G752" s="5" t="s">
        <v>2308</v>
      </c>
      <c r="H752" s="5" t="s">
        <v>2308</v>
      </c>
      <c r="I752" s="5" t="s">
        <v>2308</v>
      </c>
      <c r="J752" s="5" t="s">
        <v>2308</v>
      </c>
      <c r="K752" s="5" t="s">
        <v>2308</v>
      </c>
      <c r="L752" s="5" t="s">
        <v>2308</v>
      </c>
      <c r="M752" s="5" t="s">
        <v>2308</v>
      </c>
      <c r="N752" s="5" t="s">
        <v>2308</v>
      </c>
      <c r="O752" s="5" t="s">
        <v>2308</v>
      </c>
      <c r="P752" s="5" t="s">
        <v>2308</v>
      </c>
      <c r="Q752" s="5" t="s">
        <v>2308</v>
      </c>
      <c r="R752" s="5" t="s">
        <v>2308</v>
      </c>
      <c r="S752" s="5" t="s">
        <v>2308</v>
      </c>
      <c r="T752" s="4"/>
    </row>
    <row r="753" spans="1:20" ht="50" customHeight="1">
      <c r="A753" s="12" t="s">
        <v>4673</v>
      </c>
      <c r="B753" s="4" t="s">
        <v>69</v>
      </c>
      <c r="C753" s="4" t="s">
        <v>402</v>
      </c>
      <c r="D753" s="4" t="s">
        <v>5065</v>
      </c>
      <c r="E753" s="5" t="s">
        <v>116</v>
      </c>
      <c r="F753" s="5" t="s">
        <v>2308</v>
      </c>
      <c r="G753" s="5" t="s">
        <v>2308</v>
      </c>
      <c r="H753" s="5" t="s">
        <v>2308</v>
      </c>
      <c r="I753" s="5" t="s">
        <v>2308</v>
      </c>
      <c r="J753" s="5" t="s">
        <v>2308</v>
      </c>
      <c r="K753" s="4" t="s">
        <v>542</v>
      </c>
      <c r="L753" s="5" t="s">
        <v>2308</v>
      </c>
      <c r="M753" s="5" t="s">
        <v>2308</v>
      </c>
      <c r="N753" s="5" t="s">
        <v>2308</v>
      </c>
      <c r="O753" s="5" t="s">
        <v>2308</v>
      </c>
      <c r="P753" s="5" t="s">
        <v>2308</v>
      </c>
      <c r="Q753" s="5" t="s">
        <v>2308</v>
      </c>
      <c r="R753" s="5" t="s">
        <v>2308</v>
      </c>
      <c r="S753" s="5" t="s">
        <v>2308</v>
      </c>
      <c r="T753" s="5" t="s">
        <v>4679</v>
      </c>
    </row>
    <row r="754" spans="1:20" ht="32.5" customHeight="1">
      <c r="A754" s="12" t="s">
        <v>4694</v>
      </c>
      <c r="B754" s="4" t="s">
        <v>32</v>
      </c>
      <c r="C754" s="4" t="s">
        <v>12</v>
      </c>
      <c r="D754" s="4" t="s">
        <v>2682</v>
      </c>
      <c r="E754" s="4" t="s">
        <v>5065</v>
      </c>
      <c r="F754" s="5" t="s">
        <v>116</v>
      </c>
      <c r="G754" s="5" t="s">
        <v>2308</v>
      </c>
      <c r="H754" s="22">
        <f>AVERAGE(1952, 3433, 1912)/(30*100)</f>
        <v>0.81077777777777782</v>
      </c>
      <c r="I754" s="5" t="s">
        <v>2308</v>
      </c>
      <c r="J754" s="5" t="s">
        <v>2308</v>
      </c>
      <c r="K754" s="4" t="s">
        <v>542</v>
      </c>
      <c r="L754" s="5" t="s">
        <v>2308</v>
      </c>
      <c r="M754" s="5" t="s">
        <v>2308</v>
      </c>
      <c r="N754" s="5" t="s">
        <v>2308</v>
      </c>
      <c r="O754" s="5" t="s">
        <v>2308</v>
      </c>
      <c r="P754" s="5" t="s">
        <v>2308</v>
      </c>
      <c r="Q754" s="5" t="s">
        <v>2308</v>
      </c>
      <c r="R754" s="5" t="s">
        <v>2308</v>
      </c>
      <c r="S754" s="5" t="s">
        <v>2308</v>
      </c>
      <c r="T754" s="4" t="s">
        <v>4702</v>
      </c>
    </row>
    <row r="755" spans="1:20" ht="32.5" customHeight="1">
      <c r="A755" s="12" t="s">
        <v>4695</v>
      </c>
      <c r="B755" s="4" t="s">
        <v>32</v>
      </c>
      <c r="C755" s="4" t="s">
        <v>12</v>
      </c>
      <c r="D755" s="4" t="s">
        <v>2682</v>
      </c>
      <c r="E755" s="4" t="s">
        <v>5065</v>
      </c>
      <c r="F755" s="5" t="s">
        <v>116</v>
      </c>
      <c r="G755" s="5" t="s">
        <v>2308</v>
      </c>
      <c r="H755" s="22">
        <f>AVERAGE(1952, 3433, 1912)/(30*100)</f>
        <v>0.81077777777777782</v>
      </c>
      <c r="I755" s="5" t="s">
        <v>2308</v>
      </c>
      <c r="J755" s="5" t="s">
        <v>2308</v>
      </c>
      <c r="K755" s="4" t="s">
        <v>542</v>
      </c>
      <c r="L755" s="5" t="s">
        <v>2308</v>
      </c>
      <c r="M755" s="5" t="s">
        <v>2308</v>
      </c>
      <c r="N755" s="5" t="s">
        <v>2308</v>
      </c>
      <c r="O755" s="5" t="s">
        <v>2308</v>
      </c>
      <c r="P755" s="5" t="s">
        <v>2308</v>
      </c>
      <c r="Q755" s="5" t="s">
        <v>2308</v>
      </c>
      <c r="R755" s="5" t="s">
        <v>2308</v>
      </c>
      <c r="S755" s="5" t="s">
        <v>2308</v>
      </c>
      <c r="T755" s="4" t="s">
        <v>4702</v>
      </c>
    </row>
    <row r="756" spans="1:20" ht="37" customHeight="1">
      <c r="A756" s="12" t="s">
        <v>4712</v>
      </c>
      <c r="B756" s="4" t="s">
        <v>32</v>
      </c>
      <c r="C756" s="4" t="s">
        <v>12</v>
      </c>
      <c r="D756" s="4" t="s">
        <v>5065</v>
      </c>
      <c r="E756" s="4" t="s">
        <v>45</v>
      </c>
      <c r="F756" s="5" t="s">
        <v>2308</v>
      </c>
      <c r="G756" s="5" t="s">
        <v>2308</v>
      </c>
      <c r="H756" s="5" t="s">
        <v>2308</v>
      </c>
      <c r="I756" s="5" t="s">
        <v>2308</v>
      </c>
      <c r="J756" s="5" t="s">
        <v>2308</v>
      </c>
      <c r="K756" s="5" t="s">
        <v>2308</v>
      </c>
      <c r="L756" s="5" t="s">
        <v>2308</v>
      </c>
      <c r="M756" s="5" t="s">
        <v>2308</v>
      </c>
      <c r="N756" s="5" t="s">
        <v>2308</v>
      </c>
      <c r="O756" s="22">
        <v>55.5</v>
      </c>
      <c r="P756" s="22">
        <v>15.8</v>
      </c>
      <c r="Q756" s="5" t="s">
        <v>2308</v>
      </c>
      <c r="R756" s="22">
        <v>28.8</v>
      </c>
      <c r="S756" s="5" t="s">
        <v>2308</v>
      </c>
      <c r="T756" s="4"/>
    </row>
    <row r="757" spans="1:20" ht="51" customHeight="1">
      <c r="A757" s="12" t="s">
        <v>4722</v>
      </c>
      <c r="B757" s="4" t="s">
        <v>32</v>
      </c>
      <c r="C757" s="4" t="s">
        <v>12</v>
      </c>
      <c r="D757" s="5" t="s">
        <v>5065</v>
      </c>
      <c r="E757" s="4" t="s">
        <v>84</v>
      </c>
      <c r="F757" s="5" t="s">
        <v>3903</v>
      </c>
      <c r="G757" s="5" t="s">
        <v>2685</v>
      </c>
      <c r="H757" s="5" t="s">
        <v>2308</v>
      </c>
      <c r="I757" s="5" t="s">
        <v>2308</v>
      </c>
      <c r="J757" s="5" t="s">
        <v>2308</v>
      </c>
      <c r="K757" s="5" t="s">
        <v>2308</v>
      </c>
      <c r="L757" s="5" t="s">
        <v>2308</v>
      </c>
      <c r="M757" s="5" t="s">
        <v>2308</v>
      </c>
      <c r="N757" s="5" t="s">
        <v>2308</v>
      </c>
      <c r="O757" s="5" t="s">
        <v>2308</v>
      </c>
      <c r="P757" s="5" t="s">
        <v>2308</v>
      </c>
      <c r="Q757" s="5" t="s">
        <v>2308</v>
      </c>
      <c r="R757" s="5" t="s">
        <v>2308</v>
      </c>
      <c r="S757" s="5" t="s">
        <v>2308</v>
      </c>
      <c r="T757" s="4" t="s">
        <v>4732</v>
      </c>
    </row>
    <row r="758" spans="1:20" ht="51" customHeight="1">
      <c r="A758" s="12" t="s">
        <v>4723</v>
      </c>
      <c r="B758" s="4" t="s">
        <v>32</v>
      </c>
      <c r="C758" s="4" t="s">
        <v>12</v>
      </c>
      <c r="D758" s="5" t="s">
        <v>5065</v>
      </c>
      <c r="E758" s="4" t="s">
        <v>84</v>
      </c>
      <c r="F758" s="5" t="s">
        <v>3903</v>
      </c>
      <c r="G758" s="5" t="s">
        <v>2685</v>
      </c>
      <c r="H758" s="5" t="s">
        <v>2308</v>
      </c>
      <c r="I758" s="5" t="s">
        <v>2308</v>
      </c>
      <c r="J758" s="5" t="s">
        <v>2308</v>
      </c>
      <c r="K758" s="5" t="s">
        <v>2308</v>
      </c>
      <c r="L758" s="5" t="s">
        <v>2308</v>
      </c>
      <c r="M758" s="5" t="s">
        <v>2308</v>
      </c>
      <c r="N758" s="5" t="s">
        <v>2308</v>
      </c>
      <c r="O758" s="5" t="s">
        <v>2308</v>
      </c>
      <c r="P758" s="5" t="s">
        <v>2308</v>
      </c>
      <c r="Q758" s="5" t="s">
        <v>2308</v>
      </c>
      <c r="R758" s="5" t="s">
        <v>2308</v>
      </c>
      <c r="S758" s="5" t="s">
        <v>2308</v>
      </c>
      <c r="T758" s="4" t="s">
        <v>4733</v>
      </c>
    </row>
    <row r="759" spans="1:20" ht="51" customHeight="1">
      <c r="A759" s="12" t="s">
        <v>4724</v>
      </c>
      <c r="B759" s="4" t="s">
        <v>32</v>
      </c>
      <c r="C759" s="4" t="s">
        <v>12</v>
      </c>
      <c r="D759" s="4" t="s">
        <v>5065</v>
      </c>
      <c r="E759" s="4" t="s">
        <v>84</v>
      </c>
      <c r="F759" s="5" t="s">
        <v>3903</v>
      </c>
      <c r="G759" s="5" t="s">
        <v>2685</v>
      </c>
      <c r="H759" s="5" t="s">
        <v>2308</v>
      </c>
      <c r="I759" s="5" t="s">
        <v>2308</v>
      </c>
      <c r="J759" s="5" t="s">
        <v>2308</v>
      </c>
      <c r="K759" s="5" t="s">
        <v>2308</v>
      </c>
      <c r="L759" s="5" t="s">
        <v>2308</v>
      </c>
      <c r="M759" s="5" t="s">
        <v>2308</v>
      </c>
      <c r="N759" s="5" t="s">
        <v>2308</v>
      </c>
      <c r="O759" s="5" t="s">
        <v>2308</v>
      </c>
      <c r="P759" s="22">
        <v>23</v>
      </c>
      <c r="Q759" s="5" t="s">
        <v>2308</v>
      </c>
      <c r="R759" s="5" t="s">
        <v>2308</v>
      </c>
      <c r="S759" s="5" t="s">
        <v>2308</v>
      </c>
      <c r="T759" s="4" t="s">
        <v>4734</v>
      </c>
    </row>
    <row r="760" spans="1:20" ht="51" customHeight="1">
      <c r="A760" s="12" t="s">
        <v>4725</v>
      </c>
      <c r="B760" s="4" t="s">
        <v>70</v>
      </c>
      <c r="C760" s="4" t="s">
        <v>12</v>
      </c>
      <c r="D760" s="5" t="s">
        <v>5065</v>
      </c>
      <c r="E760" s="4" t="s">
        <v>84</v>
      </c>
      <c r="F760" s="5" t="s">
        <v>3903</v>
      </c>
      <c r="G760" s="5" t="s">
        <v>2685</v>
      </c>
      <c r="H760" s="5" t="s">
        <v>2308</v>
      </c>
      <c r="I760" s="4">
        <v>350</v>
      </c>
      <c r="J760" s="5" t="s">
        <v>2308</v>
      </c>
      <c r="K760" s="5" t="s">
        <v>2308</v>
      </c>
      <c r="L760" s="5" t="s">
        <v>2308</v>
      </c>
      <c r="M760" s="5" t="s">
        <v>2308</v>
      </c>
      <c r="N760" s="5" t="s">
        <v>2308</v>
      </c>
      <c r="O760" s="5" t="s">
        <v>2308</v>
      </c>
      <c r="P760" s="22">
        <v>9</v>
      </c>
      <c r="Q760" s="5" t="s">
        <v>2308</v>
      </c>
      <c r="R760" s="5" t="s">
        <v>2308</v>
      </c>
      <c r="S760" s="5" t="s">
        <v>2308</v>
      </c>
      <c r="T760" s="4"/>
    </row>
    <row r="761" spans="1:20" ht="36" customHeight="1">
      <c r="A761" s="12" t="s">
        <v>4746</v>
      </c>
      <c r="B761" s="4" t="s">
        <v>2290</v>
      </c>
      <c r="C761" s="4" t="s">
        <v>12</v>
      </c>
      <c r="D761" s="4" t="s">
        <v>143</v>
      </c>
      <c r="E761" s="4" t="s">
        <v>5065</v>
      </c>
      <c r="F761" s="5" t="s">
        <v>404</v>
      </c>
      <c r="G761" s="5" t="s">
        <v>2308</v>
      </c>
      <c r="H761" s="22">
        <f>30000/1000000</f>
        <v>0.03</v>
      </c>
      <c r="I761" s="5" t="s">
        <v>2308</v>
      </c>
      <c r="J761" s="5" t="s">
        <v>2308</v>
      </c>
      <c r="K761" s="5" t="s">
        <v>2308</v>
      </c>
      <c r="L761" s="5" t="s">
        <v>2308</v>
      </c>
      <c r="M761" s="5" t="s">
        <v>2308</v>
      </c>
      <c r="N761" s="5" t="s">
        <v>2308</v>
      </c>
      <c r="O761" s="5" t="s">
        <v>2308</v>
      </c>
      <c r="P761" s="5" t="s">
        <v>2308</v>
      </c>
      <c r="Q761" s="5" t="s">
        <v>2308</v>
      </c>
      <c r="R761" s="5" t="s">
        <v>2308</v>
      </c>
      <c r="S761" s="5" t="s">
        <v>2308</v>
      </c>
      <c r="T761" s="5" t="s">
        <v>4765</v>
      </c>
    </row>
    <row r="762" spans="1:20" ht="36" customHeight="1">
      <c r="A762" s="12" t="s">
        <v>4747</v>
      </c>
      <c r="B762" s="4" t="s">
        <v>2290</v>
      </c>
      <c r="C762" s="4" t="s">
        <v>12</v>
      </c>
      <c r="D762" s="4" t="s">
        <v>143</v>
      </c>
      <c r="E762" s="4" t="s">
        <v>5065</v>
      </c>
      <c r="F762" s="5" t="s">
        <v>404</v>
      </c>
      <c r="G762" s="5" t="s">
        <v>2308</v>
      </c>
      <c r="H762" s="22">
        <f t="shared" ref="H762:H763" si="3">30000/1000000</f>
        <v>0.03</v>
      </c>
      <c r="I762" s="5" t="s">
        <v>2308</v>
      </c>
      <c r="J762" s="5" t="s">
        <v>2308</v>
      </c>
      <c r="K762" s="5" t="s">
        <v>2308</v>
      </c>
      <c r="L762" s="5" t="s">
        <v>2308</v>
      </c>
      <c r="M762" s="5" t="s">
        <v>2308</v>
      </c>
      <c r="N762" s="5" t="s">
        <v>2308</v>
      </c>
      <c r="O762" s="5" t="s">
        <v>2308</v>
      </c>
      <c r="P762" s="5" t="s">
        <v>2308</v>
      </c>
      <c r="Q762" s="5" t="s">
        <v>2308</v>
      </c>
      <c r="R762" s="5" t="s">
        <v>2308</v>
      </c>
      <c r="S762" s="5" t="s">
        <v>2308</v>
      </c>
      <c r="T762" s="5" t="s">
        <v>4765</v>
      </c>
    </row>
    <row r="763" spans="1:20" ht="36" customHeight="1">
      <c r="A763" s="12" t="s">
        <v>4748</v>
      </c>
      <c r="B763" s="4" t="s">
        <v>2290</v>
      </c>
      <c r="C763" s="4" t="s">
        <v>12</v>
      </c>
      <c r="D763" s="4" t="s">
        <v>143</v>
      </c>
      <c r="E763" s="4" t="s">
        <v>5065</v>
      </c>
      <c r="F763" s="5" t="s">
        <v>404</v>
      </c>
      <c r="G763" s="5" t="s">
        <v>2308</v>
      </c>
      <c r="H763" s="22">
        <f t="shared" si="3"/>
        <v>0.03</v>
      </c>
      <c r="I763" s="5" t="s">
        <v>2308</v>
      </c>
      <c r="J763" s="5" t="s">
        <v>2308</v>
      </c>
      <c r="K763" s="5" t="s">
        <v>2308</v>
      </c>
      <c r="L763" s="5" t="s">
        <v>2308</v>
      </c>
      <c r="M763" s="5" t="s">
        <v>2308</v>
      </c>
      <c r="N763" s="5" t="s">
        <v>2308</v>
      </c>
      <c r="O763" s="5" t="s">
        <v>2308</v>
      </c>
      <c r="P763" s="5" t="s">
        <v>2308</v>
      </c>
      <c r="Q763" s="5" t="s">
        <v>2308</v>
      </c>
      <c r="R763" s="5" t="s">
        <v>2308</v>
      </c>
      <c r="S763" s="5" t="s">
        <v>2308</v>
      </c>
      <c r="T763" s="5" t="s">
        <v>4765</v>
      </c>
    </row>
    <row r="764" spans="1:20" ht="46.5" customHeight="1">
      <c r="A764" s="12" t="s">
        <v>4767</v>
      </c>
      <c r="B764" s="4" t="s">
        <v>2290</v>
      </c>
      <c r="C764" s="4" t="s">
        <v>12</v>
      </c>
      <c r="D764" s="5" t="s">
        <v>5065</v>
      </c>
      <c r="E764" s="4" t="s">
        <v>84</v>
      </c>
      <c r="F764" s="5" t="s">
        <v>2308</v>
      </c>
      <c r="G764" s="5" t="s">
        <v>2308</v>
      </c>
      <c r="H764" s="5" t="s">
        <v>2308</v>
      </c>
      <c r="I764" s="5" t="s">
        <v>2308</v>
      </c>
      <c r="J764" s="5" t="s">
        <v>2308</v>
      </c>
      <c r="K764" s="5" t="s">
        <v>2308</v>
      </c>
      <c r="L764" s="5" t="s">
        <v>2308</v>
      </c>
      <c r="M764" s="5" t="s">
        <v>2308</v>
      </c>
      <c r="N764" s="5" t="s">
        <v>2308</v>
      </c>
      <c r="O764" s="5" t="s">
        <v>2308</v>
      </c>
      <c r="P764" s="5" t="s">
        <v>2308</v>
      </c>
      <c r="Q764" s="5" t="s">
        <v>2308</v>
      </c>
      <c r="R764" s="5" t="s">
        <v>2308</v>
      </c>
      <c r="S764" s="15">
        <v>1.26667</v>
      </c>
      <c r="T764" s="4" t="s">
        <v>4774</v>
      </c>
    </row>
    <row r="765" spans="1:20" ht="42" customHeight="1">
      <c r="A765" s="12" t="s">
        <v>4772</v>
      </c>
      <c r="B765" s="4" t="s">
        <v>2290</v>
      </c>
      <c r="C765" s="4" t="s">
        <v>12</v>
      </c>
      <c r="D765" s="5" t="s">
        <v>5065</v>
      </c>
      <c r="E765" s="4" t="s">
        <v>84</v>
      </c>
      <c r="F765" s="5" t="s">
        <v>2308</v>
      </c>
      <c r="G765" s="5" t="s">
        <v>2308</v>
      </c>
      <c r="H765" s="5" t="s">
        <v>2308</v>
      </c>
      <c r="I765" s="5" t="s">
        <v>2308</v>
      </c>
      <c r="J765" s="5" t="s">
        <v>2308</v>
      </c>
      <c r="K765" s="5" t="s">
        <v>2308</v>
      </c>
      <c r="L765" s="5" t="s">
        <v>2308</v>
      </c>
      <c r="M765" s="5" t="s">
        <v>2308</v>
      </c>
      <c r="N765" s="5" t="s">
        <v>2308</v>
      </c>
      <c r="O765" s="5" t="s">
        <v>2308</v>
      </c>
      <c r="P765" s="5" t="s">
        <v>2308</v>
      </c>
      <c r="Q765" s="5" t="s">
        <v>2308</v>
      </c>
      <c r="R765" s="5" t="s">
        <v>2308</v>
      </c>
      <c r="S765" s="5" t="s">
        <v>2308</v>
      </c>
      <c r="T765" s="4"/>
    </row>
    <row r="766" spans="1:20" ht="38.5" customHeight="1">
      <c r="A766" s="12" t="s">
        <v>4785</v>
      </c>
      <c r="B766" s="4" t="s">
        <v>2308</v>
      </c>
      <c r="C766" s="4" t="s">
        <v>12</v>
      </c>
      <c r="D766" s="5" t="s">
        <v>5065</v>
      </c>
      <c r="E766" s="5" t="s">
        <v>2682</v>
      </c>
      <c r="F766" s="5" t="s">
        <v>2308</v>
      </c>
      <c r="G766" s="5" t="s">
        <v>2308</v>
      </c>
      <c r="H766" s="5" t="s">
        <v>2308</v>
      </c>
      <c r="I766" s="5" t="s">
        <v>2308</v>
      </c>
      <c r="J766" s="5" t="s">
        <v>2308</v>
      </c>
      <c r="K766" s="5" t="s">
        <v>2308</v>
      </c>
      <c r="L766" s="5" t="s">
        <v>2308</v>
      </c>
      <c r="M766" s="5" t="s">
        <v>2308</v>
      </c>
      <c r="N766" s="5" t="s">
        <v>2308</v>
      </c>
      <c r="O766" s="5" t="s">
        <v>2308</v>
      </c>
      <c r="P766" s="5" t="s">
        <v>2308</v>
      </c>
      <c r="Q766" s="5" t="s">
        <v>2308</v>
      </c>
      <c r="R766" s="5" t="s">
        <v>2308</v>
      </c>
      <c r="S766" s="5" t="s">
        <v>2308</v>
      </c>
      <c r="T766" s="4"/>
    </row>
    <row r="767" spans="1:20" ht="43" customHeight="1">
      <c r="A767" s="12" t="s">
        <v>4786</v>
      </c>
      <c r="B767" s="4" t="s">
        <v>2308</v>
      </c>
      <c r="C767" s="4" t="s">
        <v>12</v>
      </c>
      <c r="D767" s="5" t="s">
        <v>5065</v>
      </c>
      <c r="E767" s="5" t="s">
        <v>2682</v>
      </c>
      <c r="F767" s="5" t="s">
        <v>2308</v>
      </c>
      <c r="G767" s="5" t="s">
        <v>2308</v>
      </c>
      <c r="H767" s="5" t="s">
        <v>2308</v>
      </c>
      <c r="I767" s="5" t="s">
        <v>2308</v>
      </c>
      <c r="J767" s="5" t="s">
        <v>2308</v>
      </c>
      <c r="K767" s="5" t="s">
        <v>2308</v>
      </c>
      <c r="L767" s="5" t="s">
        <v>2308</v>
      </c>
      <c r="M767" s="5" t="s">
        <v>2308</v>
      </c>
      <c r="N767" s="5" t="s">
        <v>2308</v>
      </c>
      <c r="O767" s="5" t="s">
        <v>2308</v>
      </c>
      <c r="P767" s="5" t="s">
        <v>2308</v>
      </c>
      <c r="Q767" s="5" t="s">
        <v>2308</v>
      </c>
      <c r="R767" s="5" t="s">
        <v>2308</v>
      </c>
      <c r="S767" s="5" t="s">
        <v>2308</v>
      </c>
      <c r="T767" s="4"/>
    </row>
    <row r="768" spans="1:20" ht="43.5" customHeight="1">
      <c r="A768" s="12" t="s">
        <v>4793</v>
      </c>
      <c r="B768" s="4" t="s">
        <v>1218</v>
      </c>
      <c r="C768" s="4" t="s">
        <v>12</v>
      </c>
      <c r="D768" s="4" t="s">
        <v>143</v>
      </c>
      <c r="E768" s="4" t="s">
        <v>116</v>
      </c>
      <c r="F768" s="5" t="s">
        <v>2308</v>
      </c>
      <c r="G768" s="5" t="s">
        <v>2308</v>
      </c>
      <c r="H768" s="5" t="s">
        <v>2308</v>
      </c>
      <c r="I768" s="5" t="s">
        <v>2308</v>
      </c>
      <c r="J768" s="5" t="s">
        <v>2308</v>
      </c>
      <c r="K768" s="4" t="s">
        <v>542</v>
      </c>
      <c r="L768" s="5" t="s">
        <v>2308</v>
      </c>
      <c r="M768" s="5" t="s">
        <v>2308</v>
      </c>
      <c r="N768" s="5" t="s">
        <v>2308</v>
      </c>
      <c r="O768" s="5" t="s">
        <v>2308</v>
      </c>
      <c r="P768" s="5" t="s">
        <v>2308</v>
      </c>
      <c r="Q768" s="5" t="s">
        <v>2308</v>
      </c>
      <c r="R768" s="5" t="s">
        <v>2308</v>
      </c>
      <c r="S768" s="5" t="s">
        <v>2308</v>
      </c>
      <c r="T768" s="5" t="s">
        <v>4821</v>
      </c>
    </row>
    <row r="769" spans="1:20" ht="43.5" customHeight="1">
      <c r="A769" s="12" t="s">
        <v>4798</v>
      </c>
      <c r="B769" s="4" t="s">
        <v>69</v>
      </c>
      <c r="C769" s="4" t="s">
        <v>402</v>
      </c>
      <c r="D769" s="4" t="s">
        <v>5065</v>
      </c>
      <c r="E769" s="4" t="s">
        <v>45</v>
      </c>
      <c r="F769" s="5" t="s">
        <v>136</v>
      </c>
      <c r="G769" s="5" t="s">
        <v>2308</v>
      </c>
      <c r="H769" s="22">
        <v>0.3</v>
      </c>
      <c r="I769" s="5" t="s">
        <v>2308</v>
      </c>
      <c r="J769" s="5" t="s">
        <v>2308</v>
      </c>
      <c r="K769" s="4" t="s">
        <v>545</v>
      </c>
      <c r="L769" s="5" t="s">
        <v>2308</v>
      </c>
      <c r="M769" s="5" t="s">
        <v>2308</v>
      </c>
      <c r="N769" s="5" t="s">
        <v>2308</v>
      </c>
      <c r="O769" s="5" t="s">
        <v>2308</v>
      </c>
      <c r="P769" s="22">
        <f>100*150/(25*100)</f>
        <v>6</v>
      </c>
      <c r="Q769" s="5" t="s">
        <v>2308</v>
      </c>
      <c r="R769" s="5" t="s">
        <v>2308</v>
      </c>
      <c r="S769" s="5" t="s">
        <v>2308</v>
      </c>
      <c r="T769" s="4" t="s">
        <v>4822</v>
      </c>
    </row>
    <row r="770" spans="1:20" ht="43.5" customHeight="1">
      <c r="A770" s="12" t="s">
        <v>4799</v>
      </c>
      <c r="B770" s="4" t="s">
        <v>70</v>
      </c>
      <c r="C770" s="4" t="s">
        <v>2678</v>
      </c>
      <c r="D770" s="4" t="s">
        <v>45</v>
      </c>
      <c r="E770" s="4" t="s">
        <v>2680</v>
      </c>
      <c r="F770" s="5" t="s">
        <v>2308</v>
      </c>
      <c r="G770" s="5" t="s">
        <v>2308</v>
      </c>
      <c r="H770" s="22">
        <v>0.2</v>
      </c>
      <c r="I770" s="5" t="s">
        <v>2308</v>
      </c>
      <c r="J770" s="5" t="s">
        <v>2308</v>
      </c>
      <c r="K770" s="4" t="s">
        <v>545</v>
      </c>
      <c r="L770" s="5" t="s">
        <v>2308</v>
      </c>
      <c r="M770" s="5" t="s">
        <v>2308</v>
      </c>
      <c r="N770" s="5" t="s">
        <v>2308</v>
      </c>
      <c r="O770" s="5" t="s">
        <v>2308</v>
      </c>
      <c r="P770" s="22">
        <f>100*100/(25*100)</f>
        <v>4</v>
      </c>
      <c r="Q770" s="5" t="s">
        <v>2308</v>
      </c>
      <c r="R770" s="5" t="s">
        <v>2308</v>
      </c>
      <c r="S770" s="5" t="s">
        <v>2308</v>
      </c>
      <c r="T770" s="4" t="s">
        <v>4820</v>
      </c>
    </row>
    <row r="771" spans="1:20" ht="41.5" customHeight="1">
      <c r="A771" s="12" t="s">
        <v>4824</v>
      </c>
      <c r="B771" s="4" t="s">
        <v>1218</v>
      </c>
      <c r="C771" s="4" t="s">
        <v>2678</v>
      </c>
      <c r="D771" s="4" t="s">
        <v>143</v>
      </c>
      <c r="E771" s="5" t="s">
        <v>2308</v>
      </c>
      <c r="F771" s="5" t="s">
        <v>2308</v>
      </c>
      <c r="G771" s="5" t="s">
        <v>2308</v>
      </c>
      <c r="H771" s="5" t="s">
        <v>2308</v>
      </c>
      <c r="I771" s="5" t="s">
        <v>2308</v>
      </c>
      <c r="J771" s="5" t="s">
        <v>2308</v>
      </c>
      <c r="K771" s="5" t="s">
        <v>2308</v>
      </c>
      <c r="L771" s="5" t="s">
        <v>2308</v>
      </c>
      <c r="M771" s="5" t="s">
        <v>2308</v>
      </c>
      <c r="N771" s="5" t="s">
        <v>2308</v>
      </c>
      <c r="O771" s="5" t="s">
        <v>2308</v>
      </c>
      <c r="P771" s="5" t="s">
        <v>2308</v>
      </c>
      <c r="Q771" s="5" t="s">
        <v>2308</v>
      </c>
      <c r="R771" s="5" t="s">
        <v>2308</v>
      </c>
      <c r="S771" s="5" t="s">
        <v>2308</v>
      </c>
      <c r="T771" s="4"/>
    </row>
    <row r="772" spans="1:20" ht="37.5" customHeight="1">
      <c r="A772" s="12" t="s">
        <v>4828</v>
      </c>
      <c r="B772" s="4" t="s">
        <v>69</v>
      </c>
      <c r="C772" s="4" t="s">
        <v>402</v>
      </c>
      <c r="D772" s="4" t="s">
        <v>5065</v>
      </c>
      <c r="E772" s="5" t="s">
        <v>2308</v>
      </c>
      <c r="F772" s="5" t="s">
        <v>2308</v>
      </c>
      <c r="G772" s="5" t="s">
        <v>2308</v>
      </c>
      <c r="H772" s="22">
        <f>35.4/100</f>
        <v>0.35399999999999998</v>
      </c>
      <c r="I772" s="5" t="s">
        <v>2308</v>
      </c>
      <c r="J772" s="5" t="s">
        <v>2308</v>
      </c>
      <c r="K772" s="5" t="s">
        <v>2308</v>
      </c>
      <c r="L772" s="5" t="s">
        <v>2308</v>
      </c>
      <c r="M772" s="5" t="s">
        <v>2308</v>
      </c>
      <c r="N772" s="5" t="s">
        <v>2308</v>
      </c>
      <c r="O772" s="5" t="s">
        <v>2308</v>
      </c>
      <c r="P772" s="5" t="s">
        <v>2308</v>
      </c>
      <c r="Q772" s="5" t="s">
        <v>2308</v>
      </c>
      <c r="R772" s="5" t="s">
        <v>2308</v>
      </c>
      <c r="S772" s="5" t="s">
        <v>2308</v>
      </c>
      <c r="T772" s="4" t="s">
        <v>4831</v>
      </c>
    </row>
    <row r="773" spans="1:20" ht="43.5" customHeight="1">
      <c r="A773" s="12" t="s">
        <v>4832</v>
      </c>
      <c r="B773" s="4" t="s">
        <v>69</v>
      </c>
      <c r="C773" s="4" t="s">
        <v>402</v>
      </c>
      <c r="D773" s="4" t="s">
        <v>5065</v>
      </c>
      <c r="E773" s="5" t="s">
        <v>2308</v>
      </c>
      <c r="F773" s="5" t="s">
        <v>2308</v>
      </c>
      <c r="G773" s="5" t="s">
        <v>2308</v>
      </c>
      <c r="H773" s="5" t="s">
        <v>2308</v>
      </c>
      <c r="I773" s="5" t="s">
        <v>2308</v>
      </c>
      <c r="J773" s="5" t="s">
        <v>2308</v>
      </c>
      <c r="K773" s="5" t="s">
        <v>2308</v>
      </c>
      <c r="L773" s="5" t="s">
        <v>2308</v>
      </c>
      <c r="M773" s="5" t="s">
        <v>2308</v>
      </c>
      <c r="N773" s="5" t="s">
        <v>2308</v>
      </c>
      <c r="O773" s="5" t="s">
        <v>2308</v>
      </c>
      <c r="P773" s="5" t="s">
        <v>2308</v>
      </c>
      <c r="Q773" s="5" t="s">
        <v>2308</v>
      </c>
      <c r="R773" s="5" t="s">
        <v>2308</v>
      </c>
      <c r="S773" s="5" t="s">
        <v>2308</v>
      </c>
      <c r="T773" s="4"/>
    </row>
    <row r="774" spans="1:20" ht="41.5" customHeight="1">
      <c r="A774" s="12" t="s">
        <v>4842</v>
      </c>
      <c r="B774" s="4" t="s">
        <v>69</v>
      </c>
      <c r="C774" s="4" t="s">
        <v>402</v>
      </c>
      <c r="D774" s="4" t="s">
        <v>5065</v>
      </c>
      <c r="E774" s="5" t="s">
        <v>2308</v>
      </c>
      <c r="F774" s="5" t="s">
        <v>2308</v>
      </c>
      <c r="G774" s="5" t="s">
        <v>2308</v>
      </c>
      <c r="H774" s="5" t="s">
        <v>2308</v>
      </c>
      <c r="I774" s="5" t="s">
        <v>2308</v>
      </c>
      <c r="J774" s="5" t="s">
        <v>2308</v>
      </c>
      <c r="K774" s="5" t="s">
        <v>2308</v>
      </c>
      <c r="L774" s="5" t="s">
        <v>2308</v>
      </c>
      <c r="M774" s="5" t="s">
        <v>2308</v>
      </c>
      <c r="N774" s="5" t="s">
        <v>2308</v>
      </c>
      <c r="O774" s="5" t="s">
        <v>2308</v>
      </c>
      <c r="P774" s="5" t="s">
        <v>2308</v>
      </c>
      <c r="Q774" s="5" t="s">
        <v>2308</v>
      </c>
      <c r="R774" s="5" t="s">
        <v>2308</v>
      </c>
      <c r="S774" s="5" t="s">
        <v>2308</v>
      </c>
      <c r="T774" s="4"/>
    </row>
    <row r="775" spans="1:20" ht="41.5" customHeight="1">
      <c r="A775" s="12" t="s">
        <v>4844</v>
      </c>
      <c r="B775" s="4" t="s">
        <v>32</v>
      </c>
      <c r="C775" s="4" t="s">
        <v>12</v>
      </c>
      <c r="D775" s="4" t="s">
        <v>5065</v>
      </c>
      <c r="E775" s="4" t="s">
        <v>136</v>
      </c>
      <c r="F775" s="5" t="s">
        <v>403</v>
      </c>
      <c r="G775" s="5" t="s">
        <v>2308</v>
      </c>
      <c r="H775" s="5" t="s">
        <v>2308</v>
      </c>
      <c r="I775" s="5" t="s">
        <v>2308</v>
      </c>
      <c r="J775" s="5" t="s">
        <v>2308</v>
      </c>
      <c r="K775" s="5" t="s">
        <v>2308</v>
      </c>
      <c r="L775" s="5" t="s">
        <v>2308</v>
      </c>
      <c r="M775" s="5" t="s">
        <v>2308</v>
      </c>
      <c r="N775" s="5" t="s">
        <v>2308</v>
      </c>
      <c r="O775" s="5" t="s">
        <v>2308</v>
      </c>
      <c r="P775" s="5" t="s">
        <v>2308</v>
      </c>
      <c r="Q775" s="5" t="s">
        <v>2308</v>
      </c>
      <c r="R775" s="5" t="s">
        <v>2308</v>
      </c>
      <c r="S775" s="5" t="s">
        <v>2308</v>
      </c>
      <c r="T775" s="4"/>
    </row>
    <row r="776" spans="1:20" ht="37" customHeight="1">
      <c r="A776" s="4" t="s">
        <v>4850</v>
      </c>
      <c r="B776" s="4" t="s">
        <v>1218</v>
      </c>
      <c r="C776" s="4" t="s">
        <v>12</v>
      </c>
      <c r="D776" s="4" t="s">
        <v>5065</v>
      </c>
      <c r="E776" s="4" t="s">
        <v>45</v>
      </c>
      <c r="F776" s="4" t="s">
        <v>2680</v>
      </c>
      <c r="G776" s="5" t="s">
        <v>2308</v>
      </c>
      <c r="H776" s="5" t="s">
        <v>2308</v>
      </c>
      <c r="I776" s="5" t="s">
        <v>2308</v>
      </c>
      <c r="J776" s="5" t="s">
        <v>2308</v>
      </c>
      <c r="K776" s="5" t="s">
        <v>2308</v>
      </c>
      <c r="L776" s="5" t="s">
        <v>2308</v>
      </c>
      <c r="M776" s="5" t="s">
        <v>2308</v>
      </c>
      <c r="N776" s="5" t="s">
        <v>2308</v>
      </c>
      <c r="O776" s="5" t="s">
        <v>2308</v>
      </c>
      <c r="P776" s="5" t="s">
        <v>2308</v>
      </c>
      <c r="Q776" s="5" t="s">
        <v>2308</v>
      </c>
      <c r="R776" s="5" t="s">
        <v>2308</v>
      </c>
      <c r="S776" s="5" t="s">
        <v>2308</v>
      </c>
      <c r="T776" s="4"/>
    </row>
    <row r="777" spans="1:20" ht="37" customHeight="1">
      <c r="A777" s="4" t="s">
        <v>4853</v>
      </c>
      <c r="B777" s="4" t="s">
        <v>70</v>
      </c>
      <c r="C777" s="4" t="s">
        <v>12</v>
      </c>
      <c r="D777" s="4" t="s">
        <v>2686</v>
      </c>
      <c r="E777" s="4" t="s">
        <v>5065</v>
      </c>
      <c r="F777" s="4" t="s">
        <v>45</v>
      </c>
      <c r="G777" s="4" t="s">
        <v>2682</v>
      </c>
      <c r="H777" s="5" t="s">
        <v>2308</v>
      </c>
      <c r="I777" s="5" t="s">
        <v>2308</v>
      </c>
      <c r="J777" s="5" t="s">
        <v>2308</v>
      </c>
      <c r="K777" s="4" t="s">
        <v>542</v>
      </c>
      <c r="L777" s="5" t="s">
        <v>2308</v>
      </c>
      <c r="M777" s="5" t="s">
        <v>2308</v>
      </c>
      <c r="N777" s="5" t="s">
        <v>2308</v>
      </c>
      <c r="O777" s="5" t="s">
        <v>2308</v>
      </c>
      <c r="P777" s="5" t="s">
        <v>2308</v>
      </c>
      <c r="Q777" s="5" t="s">
        <v>2308</v>
      </c>
      <c r="R777" s="22">
        <f>100*3876/'Record info'!K779</f>
        <v>44.373211219232971</v>
      </c>
      <c r="S777" s="5" t="s">
        <v>2308</v>
      </c>
      <c r="T777" s="5" t="s">
        <v>4861</v>
      </c>
    </row>
    <row r="778" spans="1:20" ht="34.5" customHeight="1">
      <c r="A778" s="12" t="s">
        <v>4854</v>
      </c>
      <c r="B778" s="4" t="s">
        <v>70</v>
      </c>
      <c r="C778" s="4" t="s">
        <v>12</v>
      </c>
      <c r="D778" s="4" t="s">
        <v>2686</v>
      </c>
      <c r="E778" s="4" t="s">
        <v>45</v>
      </c>
      <c r="F778" s="4" t="s">
        <v>2682</v>
      </c>
      <c r="G778" s="4" t="s">
        <v>5065</v>
      </c>
      <c r="H778" s="5" t="s">
        <v>2308</v>
      </c>
      <c r="I778" s="5" t="s">
        <v>2308</v>
      </c>
      <c r="J778" s="5" t="s">
        <v>2308</v>
      </c>
      <c r="K778" s="4" t="s">
        <v>542</v>
      </c>
      <c r="L778" s="5" t="s">
        <v>2308</v>
      </c>
      <c r="M778" s="5" t="s">
        <v>2308</v>
      </c>
      <c r="N778" s="5" t="s">
        <v>2308</v>
      </c>
      <c r="O778" s="5" t="s">
        <v>2308</v>
      </c>
      <c r="P778" s="5" t="s">
        <v>2308</v>
      </c>
      <c r="Q778" s="5" t="s">
        <v>2308</v>
      </c>
      <c r="R778" s="5" t="s">
        <v>2308</v>
      </c>
      <c r="S778" s="5" t="s">
        <v>2308</v>
      </c>
      <c r="T778" s="5" t="s">
        <v>4862</v>
      </c>
    </row>
    <row r="779" spans="1:20" ht="35.5" customHeight="1">
      <c r="A779" s="12" t="s">
        <v>4855</v>
      </c>
      <c r="B779" s="4" t="s">
        <v>70</v>
      </c>
      <c r="C779" s="4" t="s">
        <v>12</v>
      </c>
      <c r="D779" s="4" t="s">
        <v>5065</v>
      </c>
      <c r="E779" s="4" t="s">
        <v>45</v>
      </c>
      <c r="F779" s="4" t="s">
        <v>2682</v>
      </c>
      <c r="G779" s="5" t="s">
        <v>2308</v>
      </c>
      <c r="H779" s="5" t="s">
        <v>2308</v>
      </c>
      <c r="I779" s="5" t="s">
        <v>2308</v>
      </c>
      <c r="J779" s="5" t="s">
        <v>2308</v>
      </c>
      <c r="K779" s="4" t="s">
        <v>542</v>
      </c>
      <c r="L779" s="5" t="s">
        <v>2308</v>
      </c>
      <c r="M779" s="5" t="s">
        <v>2308</v>
      </c>
      <c r="N779" s="5" t="s">
        <v>2308</v>
      </c>
      <c r="O779" s="5" t="s">
        <v>2308</v>
      </c>
      <c r="P779" s="5" t="s">
        <v>2308</v>
      </c>
      <c r="Q779" s="5" t="s">
        <v>2308</v>
      </c>
      <c r="R779" s="5" t="s">
        <v>2308</v>
      </c>
      <c r="S779" s="5" t="s">
        <v>2308</v>
      </c>
      <c r="T779" s="5" t="s">
        <v>4862</v>
      </c>
    </row>
    <row r="780" spans="1:20" ht="33.5" customHeight="1">
      <c r="A780" s="4" t="s">
        <v>4856</v>
      </c>
      <c r="B780" s="4" t="s">
        <v>70</v>
      </c>
      <c r="C780" s="4" t="s">
        <v>12</v>
      </c>
      <c r="D780" s="4" t="s">
        <v>5065</v>
      </c>
      <c r="E780" s="4" t="s">
        <v>45</v>
      </c>
      <c r="F780" s="5" t="s">
        <v>2308</v>
      </c>
      <c r="G780" s="5" t="s">
        <v>2308</v>
      </c>
      <c r="H780" s="5" t="s">
        <v>2308</v>
      </c>
      <c r="I780" s="5" t="s">
        <v>2308</v>
      </c>
      <c r="J780" s="5" t="s">
        <v>2308</v>
      </c>
      <c r="K780" s="4" t="s">
        <v>542</v>
      </c>
      <c r="L780" s="5" t="s">
        <v>2308</v>
      </c>
      <c r="M780" s="5" t="s">
        <v>2308</v>
      </c>
      <c r="N780" s="5" t="s">
        <v>2308</v>
      </c>
      <c r="O780" s="5" t="s">
        <v>2308</v>
      </c>
      <c r="P780" s="5" t="s">
        <v>2308</v>
      </c>
      <c r="Q780" s="5" t="s">
        <v>2308</v>
      </c>
      <c r="R780" s="5" t="s">
        <v>2308</v>
      </c>
      <c r="S780" s="5" t="s">
        <v>2308</v>
      </c>
      <c r="T780" s="5" t="s">
        <v>4863</v>
      </c>
    </row>
    <row r="781" spans="1:20" ht="38" customHeight="1">
      <c r="A781" s="4" t="s">
        <v>4884</v>
      </c>
      <c r="B781" s="4" t="s">
        <v>2308</v>
      </c>
      <c r="C781" s="4" t="s">
        <v>2679</v>
      </c>
      <c r="D781" s="4" t="s">
        <v>45</v>
      </c>
      <c r="E781" s="4" t="s">
        <v>2682</v>
      </c>
      <c r="F781" s="5" t="s">
        <v>2308</v>
      </c>
      <c r="G781" s="5" t="s">
        <v>2308</v>
      </c>
      <c r="H781" s="5" t="s">
        <v>2308</v>
      </c>
      <c r="I781" s="5" t="s">
        <v>2308</v>
      </c>
      <c r="J781" s="5" t="s">
        <v>2308</v>
      </c>
      <c r="K781" s="5" t="s">
        <v>2308</v>
      </c>
      <c r="L781" s="5" t="s">
        <v>2308</v>
      </c>
      <c r="M781" s="5" t="s">
        <v>2308</v>
      </c>
      <c r="N781" s="5" t="s">
        <v>2308</v>
      </c>
      <c r="O781" s="5" t="s">
        <v>2308</v>
      </c>
      <c r="P781" s="5" t="s">
        <v>2308</v>
      </c>
      <c r="Q781" s="5" t="s">
        <v>2308</v>
      </c>
      <c r="R781" s="5" t="s">
        <v>2308</v>
      </c>
      <c r="S781" s="5" t="s">
        <v>2308</v>
      </c>
      <c r="T781" s="4"/>
    </row>
    <row r="782" spans="1:20" ht="48" customHeight="1">
      <c r="A782" s="12" t="s">
        <v>4908</v>
      </c>
      <c r="B782" s="4" t="s">
        <v>32</v>
      </c>
      <c r="C782" s="4" t="s">
        <v>2679</v>
      </c>
      <c r="D782" s="4" t="s">
        <v>143</v>
      </c>
      <c r="E782" s="4" t="s">
        <v>45</v>
      </c>
      <c r="F782" s="4" t="s">
        <v>84</v>
      </c>
      <c r="G782" s="4" t="s">
        <v>2682</v>
      </c>
      <c r="H782" s="5" t="s">
        <v>2308</v>
      </c>
      <c r="I782" s="5" t="s">
        <v>2308</v>
      </c>
      <c r="J782" s="5" t="s">
        <v>2308</v>
      </c>
      <c r="K782" s="5" t="s">
        <v>2308</v>
      </c>
      <c r="L782" s="5" t="s">
        <v>2308</v>
      </c>
      <c r="M782" s="5" t="s">
        <v>2308</v>
      </c>
      <c r="N782" s="5" t="s">
        <v>2308</v>
      </c>
      <c r="O782" s="5" t="s">
        <v>2308</v>
      </c>
      <c r="P782" s="5" t="s">
        <v>2308</v>
      </c>
      <c r="Q782" s="5" t="s">
        <v>2308</v>
      </c>
      <c r="R782" s="5" t="s">
        <v>2308</v>
      </c>
      <c r="S782" s="5" t="s">
        <v>2308</v>
      </c>
      <c r="T782" s="4"/>
    </row>
    <row r="783" spans="1:20" ht="48" customHeight="1">
      <c r="A783" s="12" t="s">
        <v>4910</v>
      </c>
      <c r="B783" s="4" t="s">
        <v>32</v>
      </c>
      <c r="C783" s="4" t="s">
        <v>2679</v>
      </c>
      <c r="D783" s="4" t="s">
        <v>143</v>
      </c>
      <c r="E783" s="4" t="s">
        <v>45</v>
      </c>
      <c r="F783" s="4" t="s">
        <v>84</v>
      </c>
      <c r="G783" s="4" t="s">
        <v>2682</v>
      </c>
      <c r="H783" s="5" t="s">
        <v>2308</v>
      </c>
      <c r="I783" s="5" t="s">
        <v>2308</v>
      </c>
      <c r="J783" s="5" t="s">
        <v>2308</v>
      </c>
      <c r="K783" s="5" t="s">
        <v>2308</v>
      </c>
      <c r="L783" s="5" t="s">
        <v>2308</v>
      </c>
      <c r="M783" s="5" t="s">
        <v>2308</v>
      </c>
      <c r="N783" s="5" t="s">
        <v>2308</v>
      </c>
      <c r="O783" s="5" t="s">
        <v>2308</v>
      </c>
      <c r="P783" s="5" t="s">
        <v>2308</v>
      </c>
      <c r="Q783" s="5" t="s">
        <v>2308</v>
      </c>
      <c r="R783" s="5" t="s">
        <v>2308</v>
      </c>
      <c r="S783" s="5" t="s">
        <v>2308</v>
      </c>
      <c r="T783" s="4"/>
    </row>
    <row r="784" spans="1:20" ht="48" customHeight="1">
      <c r="A784" s="12" t="s">
        <v>4911</v>
      </c>
      <c r="B784" s="4" t="s">
        <v>32</v>
      </c>
      <c r="C784" s="4" t="s">
        <v>2679</v>
      </c>
      <c r="D784" s="4" t="s">
        <v>143</v>
      </c>
      <c r="E784" s="4" t="s">
        <v>45</v>
      </c>
      <c r="F784" s="4" t="s">
        <v>84</v>
      </c>
      <c r="G784" s="4" t="s">
        <v>2682</v>
      </c>
      <c r="H784" s="5" t="s">
        <v>2308</v>
      </c>
      <c r="I784" s="5" t="s">
        <v>2308</v>
      </c>
      <c r="J784" s="5" t="s">
        <v>2308</v>
      </c>
      <c r="K784" s="5" t="s">
        <v>2308</v>
      </c>
      <c r="L784" s="5" t="s">
        <v>2308</v>
      </c>
      <c r="M784" s="5" t="s">
        <v>2308</v>
      </c>
      <c r="N784" s="5" t="s">
        <v>2308</v>
      </c>
      <c r="O784" s="5" t="s">
        <v>2308</v>
      </c>
      <c r="P784" s="5" t="s">
        <v>2308</v>
      </c>
      <c r="Q784" s="5" t="s">
        <v>2308</v>
      </c>
      <c r="R784" s="5" t="s">
        <v>2308</v>
      </c>
      <c r="S784" s="5" t="s">
        <v>2308</v>
      </c>
      <c r="T784" s="4"/>
    </row>
    <row r="785" spans="1:20" ht="48" customHeight="1">
      <c r="A785" s="12" t="s">
        <v>4912</v>
      </c>
      <c r="B785" s="4" t="s">
        <v>32</v>
      </c>
      <c r="C785" s="4" t="s">
        <v>2679</v>
      </c>
      <c r="D785" s="4" t="s">
        <v>143</v>
      </c>
      <c r="E785" s="4" t="s">
        <v>45</v>
      </c>
      <c r="F785" s="4" t="s">
        <v>84</v>
      </c>
      <c r="G785" s="4" t="s">
        <v>2682</v>
      </c>
      <c r="H785" s="5" t="s">
        <v>2308</v>
      </c>
      <c r="I785" s="5" t="s">
        <v>2308</v>
      </c>
      <c r="J785" s="5" t="s">
        <v>2308</v>
      </c>
      <c r="K785" s="5" t="s">
        <v>2308</v>
      </c>
      <c r="L785" s="5" t="s">
        <v>2308</v>
      </c>
      <c r="M785" s="5" t="s">
        <v>2308</v>
      </c>
      <c r="N785" s="5" t="s">
        <v>2308</v>
      </c>
      <c r="O785" s="5" t="s">
        <v>2308</v>
      </c>
      <c r="P785" s="5" t="s">
        <v>2308</v>
      </c>
      <c r="Q785" s="5" t="s">
        <v>2308</v>
      </c>
      <c r="R785" s="5" t="s">
        <v>2308</v>
      </c>
      <c r="S785" s="5" t="s">
        <v>2308</v>
      </c>
      <c r="T785" s="4"/>
    </row>
    <row r="786" spans="1:20" ht="48" customHeight="1">
      <c r="A786" s="12" t="s">
        <v>4913</v>
      </c>
      <c r="B786" s="4" t="s">
        <v>32</v>
      </c>
      <c r="C786" s="4" t="s">
        <v>2679</v>
      </c>
      <c r="D786" s="4" t="s">
        <v>143</v>
      </c>
      <c r="E786" s="4" t="s">
        <v>45</v>
      </c>
      <c r="F786" s="4" t="s">
        <v>84</v>
      </c>
      <c r="G786" s="4" t="s">
        <v>2682</v>
      </c>
      <c r="H786" s="5" t="s">
        <v>2308</v>
      </c>
      <c r="I786" s="5" t="s">
        <v>2308</v>
      </c>
      <c r="J786" s="5" t="s">
        <v>2308</v>
      </c>
      <c r="K786" s="5" t="s">
        <v>2308</v>
      </c>
      <c r="L786" s="5" t="s">
        <v>2308</v>
      </c>
      <c r="M786" s="5" t="s">
        <v>2308</v>
      </c>
      <c r="N786" s="5" t="s">
        <v>2308</v>
      </c>
      <c r="O786" s="5" t="s">
        <v>2308</v>
      </c>
      <c r="P786" s="5" t="s">
        <v>2308</v>
      </c>
      <c r="Q786" s="5" t="s">
        <v>2308</v>
      </c>
      <c r="R786" s="5" t="s">
        <v>2308</v>
      </c>
      <c r="S786" s="5" t="s">
        <v>2308</v>
      </c>
      <c r="T786" s="4"/>
    </row>
    <row r="787" spans="1:20" ht="48" customHeight="1">
      <c r="A787" s="12" t="s">
        <v>4914</v>
      </c>
      <c r="B787" s="4" t="s">
        <v>32</v>
      </c>
      <c r="C787" s="4" t="s">
        <v>2679</v>
      </c>
      <c r="D787" s="4" t="s">
        <v>143</v>
      </c>
      <c r="E787" s="4" t="s">
        <v>45</v>
      </c>
      <c r="F787" s="4" t="s">
        <v>84</v>
      </c>
      <c r="G787" s="4" t="s">
        <v>2682</v>
      </c>
      <c r="H787" s="5" t="s">
        <v>2308</v>
      </c>
      <c r="I787" s="5" t="s">
        <v>2308</v>
      </c>
      <c r="J787" s="5" t="s">
        <v>2308</v>
      </c>
      <c r="K787" s="5" t="s">
        <v>2308</v>
      </c>
      <c r="L787" s="5" t="s">
        <v>2308</v>
      </c>
      <c r="M787" s="5" t="s">
        <v>2308</v>
      </c>
      <c r="N787" s="5" t="s">
        <v>2308</v>
      </c>
      <c r="O787" s="5" t="s">
        <v>2308</v>
      </c>
      <c r="P787" s="5" t="s">
        <v>2308</v>
      </c>
      <c r="Q787" s="5" t="s">
        <v>2308</v>
      </c>
      <c r="R787" s="5" t="s">
        <v>2308</v>
      </c>
      <c r="S787" s="5" t="s">
        <v>2308</v>
      </c>
      <c r="T787" s="4"/>
    </row>
    <row r="788" spans="1:20" ht="48" customHeight="1">
      <c r="A788" s="12" t="s">
        <v>4915</v>
      </c>
      <c r="B788" s="4" t="s">
        <v>32</v>
      </c>
      <c r="C788" s="4" t="s">
        <v>2679</v>
      </c>
      <c r="D788" s="4" t="s">
        <v>143</v>
      </c>
      <c r="E788" s="4" t="s">
        <v>45</v>
      </c>
      <c r="F788" s="4" t="s">
        <v>84</v>
      </c>
      <c r="G788" s="4" t="s">
        <v>2682</v>
      </c>
      <c r="H788" s="5" t="s">
        <v>2308</v>
      </c>
      <c r="I788" s="5" t="s">
        <v>2308</v>
      </c>
      <c r="J788" s="5" t="s">
        <v>2308</v>
      </c>
      <c r="K788" s="5" t="s">
        <v>2308</v>
      </c>
      <c r="L788" s="5" t="s">
        <v>2308</v>
      </c>
      <c r="M788" s="5" t="s">
        <v>2308</v>
      </c>
      <c r="N788" s="5" t="s">
        <v>2308</v>
      </c>
      <c r="O788" s="5" t="s">
        <v>2308</v>
      </c>
      <c r="P788" s="5" t="s">
        <v>2308</v>
      </c>
      <c r="Q788" s="5" t="s">
        <v>2308</v>
      </c>
      <c r="R788" s="5" t="s">
        <v>2308</v>
      </c>
      <c r="S788" s="5" t="s">
        <v>2308</v>
      </c>
      <c r="T788" s="4"/>
    </row>
    <row r="789" spans="1:20" ht="48" customHeight="1">
      <c r="A789" s="12" t="s">
        <v>4916</v>
      </c>
      <c r="B789" s="4" t="s">
        <v>32</v>
      </c>
      <c r="C789" s="4" t="s">
        <v>2679</v>
      </c>
      <c r="D789" s="4" t="s">
        <v>143</v>
      </c>
      <c r="E789" s="4" t="s">
        <v>45</v>
      </c>
      <c r="F789" s="4" t="s">
        <v>84</v>
      </c>
      <c r="G789" s="4" t="s">
        <v>2682</v>
      </c>
      <c r="H789" s="5" t="s">
        <v>2308</v>
      </c>
      <c r="I789" s="5" t="s">
        <v>2308</v>
      </c>
      <c r="J789" s="5" t="s">
        <v>2308</v>
      </c>
      <c r="K789" s="5" t="s">
        <v>2308</v>
      </c>
      <c r="L789" s="5" t="s">
        <v>2308</v>
      </c>
      <c r="M789" s="5" t="s">
        <v>2308</v>
      </c>
      <c r="N789" s="5" t="s">
        <v>2308</v>
      </c>
      <c r="O789" s="5" t="s">
        <v>2308</v>
      </c>
      <c r="P789" s="5" t="s">
        <v>2308</v>
      </c>
      <c r="Q789" s="5" t="s">
        <v>2308</v>
      </c>
      <c r="R789" s="5" t="s">
        <v>2308</v>
      </c>
      <c r="S789" s="5" t="s">
        <v>2308</v>
      </c>
      <c r="T789" s="4"/>
    </row>
    <row r="790" spans="1:20" ht="48" customHeight="1">
      <c r="A790" s="12" t="s">
        <v>4917</v>
      </c>
      <c r="B790" s="4" t="s">
        <v>32</v>
      </c>
      <c r="C790" s="4" t="s">
        <v>2679</v>
      </c>
      <c r="D790" s="4" t="s">
        <v>143</v>
      </c>
      <c r="E790" s="4" t="s">
        <v>45</v>
      </c>
      <c r="F790" s="4" t="s">
        <v>84</v>
      </c>
      <c r="G790" s="4" t="s">
        <v>2682</v>
      </c>
      <c r="H790" s="5" t="s">
        <v>2308</v>
      </c>
      <c r="I790" s="5" t="s">
        <v>2308</v>
      </c>
      <c r="J790" s="5" t="s">
        <v>2308</v>
      </c>
      <c r="K790" s="5" t="s">
        <v>2308</v>
      </c>
      <c r="L790" s="5" t="s">
        <v>2308</v>
      </c>
      <c r="M790" s="5" t="s">
        <v>2308</v>
      </c>
      <c r="N790" s="5" t="s">
        <v>2308</v>
      </c>
      <c r="O790" s="5" t="s">
        <v>2308</v>
      </c>
      <c r="P790" s="5" t="s">
        <v>2308</v>
      </c>
      <c r="Q790" s="5" t="s">
        <v>2308</v>
      </c>
      <c r="R790" s="5" t="s">
        <v>2308</v>
      </c>
      <c r="S790" s="5" t="s">
        <v>2308</v>
      </c>
      <c r="T790" s="4"/>
    </row>
    <row r="791" spans="1:20" ht="48" customHeight="1">
      <c r="A791" s="12" t="s">
        <v>4918</v>
      </c>
      <c r="B791" s="4" t="s">
        <v>32</v>
      </c>
      <c r="C791" s="4" t="s">
        <v>2679</v>
      </c>
      <c r="D791" s="4" t="s">
        <v>143</v>
      </c>
      <c r="E791" s="4" t="s">
        <v>45</v>
      </c>
      <c r="F791" s="4" t="s">
        <v>84</v>
      </c>
      <c r="G791" s="4" t="s">
        <v>2682</v>
      </c>
      <c r="H791" s="5" t="s">
        <v>2308</v>
      </c>
      <c r="I791" s="5" t="s">
        <v>2308</v>
      </c>
      <c r="J791" s="5" t="s">
        <v>2308</v>
      </c>
      <c r="K791" s="5" t="s">
        <v>2308</v>
      </c>
      <c r="L791" s="5" t="s">
        <v>2308</v>
      </c>
      <c r="M791" s="5" t="s">
        <v>2308</v>
      </c>
      <c r="N791" s="5" t="s">
        <v>2308</v>
      </c>
      <c r="O791" s="5" t="s">
        <v>2308</v>
      </c>
      <c r="P791" s="5" t="s">
        <v>2308</v>
      </c>
      <c r="Q791" s="5" t="s">
        <v>2308</v>
      </c>
      <c r="R791" s="5" t="s">
        <v>2308</v>
      </c>
      <c r="S791" s="5" t="s">
        <v>2308</v>
      </c>
      <c r="T791" s="4"/>
    </row>
    <row r="792" spans="1:20" ht="48" customHeight="1">
      <c r="A792" s="12" t="s">
        <v>4919</v>
      </c>
      <c r="B792" s="4" t="s">
        <v>32</v>
      </c>
      <c r="C792" s="4" t="s">
        <v>2679</v>
      </c>
      <c r="D792" s="4" t="s">
        <v>143</v>
      </c>
      <c r="E792" s="4" t="s">
        <v>45</v>
      </c>
      <c r="F792" s="4" t="s">
        <v>84</v>
      </c>
      <c r="G792" s="4" t="s">
        <v>2682</v>
      </c>
      <c r="H792" s="5" t="s">
        <v>2308</v>
      </c>
      <c r="I792" s="5" t="s">
        <v>2308</v>
      </c>
      <c r="J792" s="5" t="s">
        <v>2308</v>
      </c>
      <c r="K792" s="5" t="s">
        <v>2308</v>
      </c>
      <c r="L792" s="5" t="s">
        <v>2308</v>
      </c>
      <c r="M792" s="5" t="s">
        <v>2308</v>
      </c>
      <c r="N792" s="5" t="s">
        <v>2308</v>
      </c>
      <c r="O792" s="5" t="s">
        <v>2308</v>
      </c>
      <c r="P792" s="5" t="s">
        <v>2308</v>
      </c>
      <c r="Q792" s="5" t="s">
        <v>2308</v>
      </c>
      <c r="R792" s="5" t="s">
        <v>2308</v>
      </c>
      <c r="S792" s="5" t="s">
        <v>2308</v>
      </c>
      <c r="T792" s="4"/>
    </row>
    <row r="793" spans="1:20" ht="48" customHeight="1">
      <c r="A793" s="12" t="s">
        <v>4920</v>
      </c>
      <c r="B793" s="4" t="s">
        <v>32</v>
      </c>
      <c r="C793" s="4" t="s">
        <v>2679</v>
      </c>
      <c r="D793" s="4" t="s">
        <v>143</v>
      </c>
      <c r="E793" s="4" t="s">
        <v>45</v>
      </c>
      <c r="F793" s="4" t="s">
        <v>84</v>
      </c>
      <c r="G793" s="4" t="s">
        <v>2682</v>
      </c>
      <c r="H793" s="5" t="s">
        <v>2308</v>
      </c>
      <c r="I793" s="5" t="s">
        <v>2308</v>
      </c>
      <c r="J793" s="5" t="s">
        <v>2308</v>
      </c>
      <c r="K793" s="5" t="s">
        <v>2308</v>
      </c>
      <c r="L793" s="5" t="s">
        <v>2308</v>
      </c>
      <c r="M793" s="5" t="s">
        <v>2308</v>
      </c>
      <c r="N793" s="5" t="s">
        <v>2308</v>
      </c>
      <c r="O793" s="5" t="s">
        <v>2308</v>
      </c>
      <c r="P793" s="5" t="s">
        <v>2308</v>
      </c>
      <c r="Q793" s="5" t="s">
        <v>2308</v>
      </c>
      <c r="R793" s="5" t="s">
        <v>2308</v>
      </c>
      <c r="S793" s="5" t="s">
        <v>2308</v>
      </c>
      <c r="T793" s="4"/>
    </row>
    <row r="794" spans="1:20" ht="48" customHeight="1">
      <c r="A794" s="12" t="s">
        <v>4921</v>
      </c>
      <c r="B794" s="4" t="s">
        <v>32</v>
      </c>
      <c r="C794" s="4" t="s">
        <v>2679</v>
      </c>
      <c r="D794" s="4" t="s">
        <v>143</v>
      </c>
      <c r="E794" s="4" t="s">
        <v>45</v>
      </c>
      <c r="F794" s="4" t="s">
        <v>84</v>
      </c>
      <c r="G794" s="4" t="s">
        <v>2682</v>
      </c>
      <c r="H794" s="5" t="s">
        <v>2308</v>
      </c>
      <c r="I794" s="5" t="s">
        <v>2308</v>
      </c>
      <c r="J794" s="5" t="s">
        <v>2308</v>
      </c>
      <c r="K794" s="5" t="s">
        <v>2308</v>
      </c>
      <c r="L794" s="5" t="s">
        <v>2308</v>
      </c>
      <c r="M794" s="5" t="s">
        <v>2308</v>
      </c>
      <c r="N794" s="5" t="s">
        <v>2308</v>
      </c>
      <c r="O794" s="5" t="s">
        <v>2308</v>
      </c>
      <c r="P794" s="5" t="s">
        <v>2308</v>
      </c>
      <c r="Q794" s="5" t="s">
        <v>2308</v>
      </c>
      <c r="R794" s="5" t="s">
        <v>2308</v>
      </c>
      <c r="S794" s="5" t="s">
        <v>2308</v>
      </c>
      <c r="T794" s="4"/>
    </row>
    <row r="795" spans="1:20" ht="48" customHeight="1">
      <c r="A795" s="12" t="s">
        <v>4922</v>
      </c>
      <c r="B795" s="4" t="s">
        <v>32</v>
      </c>
      <c r="C795" s="4" t="s">
        <v>2679</v>
      </c>
      <c r="D795" s="4" t="s">
        <v>143</v>
      </c>
      <c r="E795" s="4" t="s">
        <v>45</v>
      </c>
      <c r="F795" s="4" t="s">
        <v>84</v>
      </c>
      <c r="G795" s="4" t="s">
        <v>2682</v>
      </c>
      <c r="H795" s="5" t="s">
        <v>2308</v>
      </c>
      <c r="I795" s="5" t="s">
        <v>2308</v>
      </c>
      <c r="J795" s="5" t="s">
        <v>2308</v>
      </c>
      <c r="K795" s="5" t="s">
        <v>2308</v>
      </c>
      <c r="L795" s="5" t="s">
        <v>2308</v>
      </c>
      <c r="M795" s="5" t="s">
        <v>2308</v>
      </c>
      <c r="N795" s="5" t="s">
        <v>2308</v>
      </c>
      <c r="O795" s="5" t="s">
        <v>2308</v>
      </c>
      <c r="P795" s="5" t="s">
        <v>2308</v>
      </c>
      <c r="Q795" s="5" t="s">
        <v>2308</v>
      </c>
      <c r="R795" s="5" t="s">
        <v>2308</v>
      </c>
      <c r="S795" s="5" t="s">
        <v>2308</v>
      </c>
      <c r="T795" s="4"/>
    </row>
    <row r="796" spans="1:20" ht="48" customHeight="1">
      <c r="A796" s="12" t="s">
        <v>4923</v>
      </c>
      <c r="B796" s="4" t="s">
        <v>32</v>
      </c>
      <c r="C796" s="4" t="s">
        <v>2679</v>
      </c>
      <c r="D796" s="4" t="s">
        <v>143</v>
      </c>
      <c r="E796" s="4" t="s">
        <v>45</v>
      </c>
      <c r="F796" s="4" t="s">
        <v>84</v>
      </c>
      <c r="G796" s="4" t="s">
        <v>2682</v>
      </c>
      <c r="H796" s="5" t="s">
        <v>2308</v>
      </c>
      <c r="I796" s="5" t="s">
        <v>2308</v>
      </c>
      <c r="J796" s="5" t="s">
        <v>2308</v>
      </c>
      <c r="K796" s="5" t="s">
        <v>2308</v>
      </c>
      <c r="L796" s="5" t="s">
        <v>2308</v>
      </c>
      <c r="M796" s="5" t="s">
        <v>2308</v>
      </c>
      <c r="N796" s="5" t="s">
        <v>2308</v>
      </c>
      <c r="O796" s="5" t="s">
        <v>2308</v>
      </c>
      <c r="P796" s="5" t="s">
        <v>2308</v>
      </c>
      <c r="Q796" s="5" t="s">
        <v>2308</v>
      </c>
      <c r="R796" s="5" t="s">
        <v>2308</v>
      </c>
      <c r="S796" s="5" t="s">
        <v>2308</v>
      </c>
      <c r="T796" s="4"/>
    </row>
    <row r="797" spans="1:20" ht="48" customHeight="1">
      <c r="A797" s="12" t="s">
        <v>4924</v>
      </c>
      <c r="B797" s="4" t="s">
        <v>32</v>
      </c>
      <c r="C797" s="4" t="s">
        <v>2679</v>
      </c>
      <c r="D797" s="4" t="s">
        <v>143</v>
      </c>
      <c r="E797" s="4" t="s">
        <v>45</v>
      </c>
      <c r="F797" s="4" t="s">
        <v>84</v>
      </c>
      <c r="G797" s="4" t="s">
        <v>2682</v>
      </c>
      <c r="H797" s="5" t="s">
        <v>2308</v>
      </c>
      <c r="I797" s="5" t="s">
        <v>2308</v>
      </c>
      <c r="J797" s="5" t="s">
        <v>2308</v>
      </c>
      <c r="K797" s="5" t="s">
        <v>2308</v>
      </c>
      <c r="L797" s="5" t="s">
        <v>2308</v>
      </c>
      <c r="M797" s="5" t="s">
        <v>2308</v>
      </c>
      <c r="N797" s="5" t="s">
        <v>2308</v>
      </c>
      <c r="O797" s="5" t="s">
        <v>2308</v>
      </c>
      <c r="P797" s="5" t="s">
        <v>2308</v>
      </c>
      <c r="Q797" s="5" t="s">
        <v>2308</v>
      </c>
      <c r="R797" s="5" t="s">
        <v>2308</v>
      </c>
      <c r="S797" s="5" t="s">
        <v>2308</v>
      </c>
      <c r="T797" s="4"/>
    </row>
    <row r="798" spans="1:20" ht="48" customHeight="1">
      <c r="A798" s="12" t="s">
        <v>4925</v>
      </c>
      <c r="B798" s="4" t="s">
        <v>32</v>
      </c>
      <c r="C798" s="4" t="s">
        <v>2679</v>
      </c>
      <c r="D798" s="4" t="s">
        <v>143</v>
      </c>
      <c r="E798" s="4" t="s">
        <v>45</v>
      </c>
      <c r="F798" s="4" t="s">
        <v>84</v>
      </c>
      <c r="G798" s="4" t="s">
        <v>2682</v>
      </c>
      <c r="H798" s="5" t="s">
        <v>2308</v>
      </c>
      <c r="I798" s="5" t="s">
        <v>2308</v>
      </c>
      <c r="J798" s="5" t="s">
        <v>2308</v>
      </c>
      <c r="K798" s="5" t="s">
        <v>2308</v>
      </c>
      <c r="L798" s="5" t="s">
        <v>2308</v>
      </c>
      <c r="M798" s="5" t="s">
        <v>2308</v>
      </c>
      <c r="N798" s="5" t="s">
        <v>2308</v>
      </c>
      <c r="O798" s="5" t="s">
        <v>2308</v>
      </c>
      <c r="P798" s="5" t="s">
        <v>2308</v>
      </c>
      <c r="Q798" s="5" t="s">
        <v>2308</v>
      </c>
      <c r="R798" s="5" t="s">
        <v>2308</v>
      </c>
      <c r="S798" s="5" t="s">
        <v>2308</v>
      </c>
      <c r="T798" s="4"/>
    </row>
    <row r="799" spans="1:20" ht="48" customHeight="1">
      <c r="A799" s="12" t="s">
        <v>4926</v>
      </c>
      <c r="B799" s="4" t="s">
        <v>32</v>
      </c>
      <c r="C799" s="4" t="s">
        <v>2679</v>
      </c>
      <c r="D799" s="4" t="s">
        <v>143</v>
      </c>
      <c r="E799" s="4" t="s">
        <v>45</v>
      </c>
      <c r="F799" s="4" t="s">
        <v>84</v>
      </c>
      <c r="G799" s="4" t="s">
        <v>2682</v>
      </c>
      <c r="H799" s="5" t="s">
        <v>2308</v>
      </c>
      <c r="I799" s="5" t="s">
        <v>2308</v>
      </c>
      <c r="J799" s="5" t="s">
        <v>2308</v>
      </c>
      <c r="K799" s="5" t="s">
        <v>2308</v>
      </c>
      <c r="L799" s="5" t="s">
        <v>2308</v>
      </c>
      <c r="M799" s="5" t="s">
        <v>2308</v>
      </c>
      <c r="N799" s="5" t="s">
        <v>2308</v>
      </c>
      <c r="O799" s="5" t="s">
        <v>2308</v>
      </c>
      <c r="P799" s="5" t="s">
        <v>2308</v>
      </c>
      <c r="Q799" s="5" t="s">
        <v>2308</v>
      </c>
      <c r="R799" s="5" t="s">
        <v>2308</v>
      </c>
      <c r="S799" s="5" t="s">
        <v>2308</v>
      </c>
      <c r="T799" s="4"/>
    </row>
    <row r="800" spans="1:20" ht="48" customHeight="1">
      <c r="A800" s="12" t="s">
        <v>4927</v>
      </c>
      <c r="B800" s="4" t="s">
        <v>32</v>
      </c>
      <c r="C800" s="4" t="s">
        <v>2679</v>
      </c>
      <c r="D800" s="4" t="s">
        <v>143</v>
      </c>
      <c r="E800" s="4" t="s">
        <v>45</v>
      </c>
      <c r="F800" s="4" t="s">
        <v>84</v>
      </c>
      <c r="G800" s="4" t="s">
        <v>2682</v>
      </c>
      <c r="H800" s="5" t="s">
        <v>2308</v>
      </c>
      <c r="I800" s="5" t="s">
        <v>2308</v>
      </c>
      <c r="J800" s="5" t="s">
        <v>2308</v>
      </c>
      <c r="K800" s="5" t="s">
        <v>2308</v>
      </c>
      <c r="L800" s="5" t="s">
        <v>2308</v>
      </c>
      <c r="M800" s="5" t="s">
        <v>2308</v>
      </c>
      <c r="N800" s="5" t="s">
        <v>2308</v>
      </c>
      <c r="O800" s="5" t="s">
        <v>2308</v>
      </c>
      <c r="P800" s="5" t="s">
        <v>2308</v>
      </c>
      <c r="Q800" s="5" t="s">
        <v>2308</v>
      </c>
      <c r="R800" s="5" t="s">
        <v>2308</v>
      </c>
      <c r="S800" s="5" t="s">
        <v>2308</v>
      </c>
      <c r="T800" s="4"/>
    </row>
    <row r="801" spans="1:20" ht="48" customHeight="1">
      <c r="A801" s="12" t="s">
        <v>4928</v>
      </c>
      <c r="B801" s="4" t="s">
        <v>32</v>
      </c>
      <c r="C801" s="4" t="s">
        <v>2679</v>
      </c>
      <c r="D801" s="4" t="s">
        <v>143</v>
      </c>
      <c r="E801" s="4" t="s">
        <v>45</v>
      </c>
      <c r="F801" s="4" t="s">
        <v>84</v>
      </c>
      <c r="G801" s="4" t="s">
        <v>2682</v>
      </c>
      <c r="H801" s="5" t="s">
        <v>2308</v>
      </c>
      <c r="I801" s="5" t="s">
        <v>2308</v>
      </c>
      <c r="J801" s="5" t="s">
        <v>2308</v>
      </c>
      <c r="K801" s="5" t="s">
        <v>2308</v>
      </c>
      <c r="L801" s="5" t="s">
        <v>2308</v>
      </c>
      <c r="M801" s="5" t="s">
        <v>2308</v>
      </c>
      <c r="N801" s="5" t="s">
        <v>2308</v>
      </c>
      <c r="O801" s="5" t="s">
        <v>2308</v>
      </c>
      <c r="P801" s="5" t="s">
        <v>2308</v>
      </c>
      <c r="Q801" s="5" t="s">
        <v>2308</v>
      </c>
      <c r="R801" s="5" t="s">
        <v>2308</v>
      </c>
      <c r="S801" s="5" t="s">
        <v>2308</v>
      </c>
      <c r="T801" s="4"/>
    </row>
    <row r="802" spans="1:20" ht="48" customHeight="1">
      <c r="A802" s="12" t="s">
        <v>4929</v>
      </c>
      <c r="B802" s="4" t="s">
        <v>32</v>
      </c>
      <c r="C802" s="4" t="s">
        <v>2679</v>
      </c>
      <c r="D802" s="4" t="s">
        <v>143</v>
      </c>
      <c r="E802" s="4" t="s">
        <v>45</v>
      </c>
      <c r="F802" s="4" t="s">
        <v>84</v>
      </c>
      <c r="G802" s="4" t="s">
        <v>2682</v>
      </c>
      <c r="H802" s="5" t="s">
        <v>2308</v>
      </c>
      <c r="I802" s="5" t="s">
        <v>2308</v>
      </c>
      <c r="J802" s="5" t="s">
        <v>2308</v>
      </c>
      <c r="K802" s="5" t="s">
        <v>2308</v>
      </c>
      <c r="L802" s="5" t="s">
        <v>2308</v>
      </c>
      <c r="M802" s="5" t="s">
        <v>2308</v>
      </c>
      <c r="N802" s="5" t="s">
        <v>2308</v>
      </c>
      <c r="O802" s="5" t="s">
        <v>2308</v>
      </c>
      <c r="P802" s="5" t="s">
        <v>2308</v>
      </c>
      <c r="Q802" s="5" t="s">
        <v>2308</v>
      </c>
      <c r="R802" s="5" t="s">
        <v>2308</v>
      </c>
      <c r="S802" s="5" t="s">
        <v>2308</v>
      </c>
      <c r="T802" s="4"/>
    </row>
    <row r="803" spans="1:20" ht="48" customHeight="1">
      <c r="A803" s="12" t="s">
        <v>4930</v>
      </c>
      <c r="B803" s="4" t="s">
        <v>32</v>
      </c>
      <c r="C803" s="4" t="s">
        <v>2679</v>
      </c>
      <c r="D803" s="4" t="s">
        <v>143</v>
      </c>
      <c r="E803" s="4" t="s">
        <v>45</v>
      </c>
      <c r="F803" s="4" t="s">
        <v>84</v>
      </c>
      <c r="G803" s="4" t="s">
        <v>2682</v>
      </c>
      <c r="H803" s="5" t="s">
        <v>2308</v>
      </c>
      <c r="I803" s="5" t="s">
        <v>2308</v>
      </c>
      <c r="J803" s="5" t="s">
        <v>2308</v>
      </c>
      <c r="K803" s="5" t="s">
        <v>2308</v>
      </c>
      <c r="L803" s="5" t="s">
        <v>2308</v>
      </c>
      <c r="M803" s="5" t="s">
        <v>2308</v>
      </c>
      <c r="N803" s="5" t="s">
        <v>2308</v>
      </c>
      <c r="O803" s="5" t="s">
        <v>2308</v>
      </c>
      <c r="P803" s="5" t="s">
        <v>2308</v>
      </c>
      <c r="Q803" s="5" t="s">
        <v>2308</v>
      </c>
      <c r="R803" s="5" t="s">
        <v>2308</v>
      </c>
      <c r="S803" s="5" t="s">
        <v>2308</v>
      </c>
      <c r="T803" s="4"/>
    </row>
    <row r="804" spans="1:20" ht="48" customHeight="1">
      <c r="A804" s="12" t="s">
        <v>4931</v>
      </c>
      <c r="B804" s="4" t="s">
        <v>32</v>
      </c>
      <c r="C804" s="4" t="s">
        <v>2679</v>
      </c>
      <c r="D804" s="4" t="s">
        <v>143</v>
      </c>
      <c r="E804" s="4" t="s">
        <v>45</v>
      </c>
      <c r="F804" s="4" t="s">
        <v>84</v>
      </c>
      <c r="G804" s="4" t="s">
        <v>2682</v>
      </c>
      <c r="H804" s="5" t="s">
        <v>2308</v>
      </c>
      <c r="I804" s="5" t="s">
        <v>2308</v>
      </c>
      <c r="J804" s="5" t="s">
        <v>2308</v>
      </c>
      <c r="K804" s="5" t="s">
        <v>2308</v>
      </c>
      <c r="L804" s="5" t="s">
        <v>2308</v>
      </c>
      <c r="M804" s="5" t="s">
        <v>2308</v>
      </c>
      <c r="N804" s="5" t="s">
        <v>2308</v>
      </c>
      <c r="O804" s="5" t="s">
        <v>2308</v>
      </c>
      <c r="P804" s="5" t="s">
        <v>2308</v>
      </c>
      <c r="Q804" s="5" t="s">
        <v>2308</v>
      </c>
      <c r="R804" s="5" t="s">
        <v>2308</v>
      </c>
      <c r="S804" s="5" t="s">
        <v>2308</v>
      </c>
      <c r="T804" s="4"/>
    </row>
    <row r="805" spans="1:20" ht="48" customHeight="1">
      <c r="A805" s="12" t="s">
        <v>4932</v>
      </c>
      <c r="B805" s="4" t="s">
        <v>32</v>
      </c>
      <c r="C805" s="4" t="s">
        <v>2679</v>
      </c>
      <c r="D805" s="4" t="s">
        <v>143</v>
      </c>
      <c r="E805" s="4" t="s">
        <v>45</v>
      </c>
      <c r="F805" s="4" t="s">
        <v>84</v>
      </c>
      <c r="G805" s="4" t="s">
        <v>2682</v>
      </c>
      <c r="H805" s="5" t="s">
        <v>2308</v>
      </c>
      <c r="I805" s="5" t="s">
        <v>2308</v>
      </c>
      <c r="J805" s="5" t="s">
        <v>2308</v>
      </c>
      <c r="K805" s="5" t="s">
        <v>2308</v>
      </c>
      <c r="L805" s="5" t="s">
        <v>2308</v>
      </c>
      <c r="M805" s="5" t="s">
        <v>2308</v>
      </c>
      <c r="N805" s="5" t="s">
        <v>2308</v>
      </c>
      <c r="O805" s="5" t="s">
        <v>2308</v>
      </c>
      <c r="P805" s="5" t="s">
        <v>2308</v>
      </c>
      <c r="Q805" s="5" t="s">
        <v>2308</v>
      </c>
      <c r="R805" s="5" t="s">
        <v>2308</v>
      </c>
      <c r="S805" s="5" t="s">
        <v>2308</v>
      </c>
      <c r="T805" s="4"/>
    </row>
    <row r="806" spans="1:20" ht="48" customHeight="1">
      <c r="A806" s="12" t="s">
        <v>4933</v>
      </c>
      <c r="B806" s="4" t="s">
        <v>32</v>
      </c>
      <c r="C806" s="4" t="s">
        <v>2679</v>
      </c>
      <c r="D806" s="4" t="s">
        <v>143</v>
      </c>
      <c r="E806" s="4" t="s">
        <v>45</v>
      </c>
      <c r="F806" s="4" t="s">
        <v>84</v>
      </c>
      <c r="G806" s="4" t="s">
        <v>2682</v>
      </c>
      <c r="H806" s="5" t="s">
        <v>2308</v>
      </c>
      <c r="I806" s="5" t="s">
        <v>2308</v>
      </c>
      <c r="J806" s="5" t="s">
        <v>2308</v>
      </c>
      <c r="K806" s="5" t="s">
        <v>2308</v>
      </c>
      <c r="L806" s="5" t="s">
        <v>2308</v>
      </c>
      <c r="M806" s="5" t="s">
        <v>2308</v>
      </c>
      <c r="N806" s="5" t="s">
        <v>2308</v>
      </c>
      <c r="O806" s="5" t="s">
        <v>2308</v>
      </c>
      <c r="P806" s="5" t="s">
        <v>2308</v>
      </c>
      <c r="Q806" s="5" t="s">
        <v>2308</v>
      </c>
      <c r="R806" s="5" t="s">
        <v>2308</v>
      </c>
      <c r="S806" s="5" t="s">
        <v>2308</v>
      </c>
      <c r="T806" s="4"/>
    </row>
    <row r="807" spans="1:20" ht="43" customHeight="1">
      <c r="A807" s="12" t="s">
        <v>4985</v>
      </c>
      <c r="B807" s="4" t="s">
        <v>32</v>
      </c>
      <c r="C807" s="4" t="s">
        <v>12</v>
      </c>
      <c r="D807" s="5" t="s">
        <v>404</v>
      </c>
      <c r="E807" s="4" t="s">
        <v>45</v>
      </c>
      <c r="F807" s="4" t="s">
        <v>116</v>
      </c>
      <c r="G807" s="4" t="s">
        <v>2682</v>
      </c>
      <c r="H807" s="5" t="s">
        <v>2308</v>
      </c>
      <c r="I807" s="5" t="s">
        <v>2308</v>
      </c>
      <c r="J807" s="5" t="s">
        <v>2308</v>
      </c>
      <c r="K807" s="4" t="s">
        <v>542</v>
      </c>
      <c r="L807" s="5" t="s">
        <v>2308</v>
      </c>
      <c r="M807" s="5" t="s">
        <v>2308</v>
      </c>
      <c r="N807" s="5" t="s">
        <v>2308</v>
      </c>
      <c r="O807" s="5" t="s">
        <v>2308</v>
      </c>
      <c r="P807" s="5" t="s">
        <v>2308</v>
      </c>
      <c r="Q807" s="5" t="s">
        <v>2308</v>
      </c>
      <c r="R807" s="5" t="s">
        <v>2308</v>
      </c>
      <c r="S807" s="5" t="s">
        <v>2308</v>
      </c>
      <c r="T807" s="4" t="s">
        <v>4993</v>
      </c>
    </row>
    <row r="808" spans="1:20" ht="43" customHeight="1">
      <c r="A808" s="12" t="s">
        <v>4989</v>
      </c>
      <c r="B808" s="4" t="s">
        <v>32</v>
      </c>
      <c r="C808" s="4" t="s">
        <v>12</v>
      </c>
      <c r="D808" s="5" t="s">
        <v>404</v>
      </c>
      <c r="E808" s="4" t="s">
        <v>45</v>
      </c>
      <c r="F808" s="4" t="s">
        <v>116</v>
      </c>
      <c r="G808" s="4" t="s">
        <v>2682</v>
      </c>
      <c r="H808" s="5" t="s">
        <v>2308</v>
      </c>
      <c r="I808" s="5" t="s">
        <v>2308</v>
      </c>
      <c r="J808" s="5" t="s">
        <v>2308</v>
      </c>
      <c r="K808" s="4" t="s">
        <v>542</v>
      </c>
      <c r="L808" s="5" t="s">
        <v>2308</v>
      </c>
      <c r="M808" s="5" t="s">
        <v>2308</v>
      </c>
      <c r="N808" s="5" t="s">
        <v>2308</v>
      </c>
      <c r="O808" s="5" t="s">
        <v>2308</v>
      </c>
      <c r="P808" s="5" t="s">
        <v>2308</v>
      </c>
      <c r="Q808" s="5" t="s">
        <v>2308</v>
      </c>
      <c r="R808" s="5" t="s">
        <v>2308</v>
      </c>
      <c r="S808" s="5" t="s">
        <v>2308</v>
      </c>
      <c r="T808" s="4" t="s">
        <v>4993</v>
      </c>
    </row>
    <row r="809" spans="1:20" ht="41" customHeight="1">
      <c r="A809" s="12" t="s">
        <v>4999</v>
      </c>
      <c r="B809" s="4" t="s">
        <v>2308</v>
      </c>
      <c r="C809" s="4" t="s">
        <v>12</v>
      </c>
      <c r="D809" s="5" t="s">
        <v>403</v>
      </c>
      <c r="E809" s="5" t="s">
        <v>45</v>
      </c>
      <c r="F809" s="5" t="s">
        <v>2683</v>
      </c>
      <c r="G809" s="5" t="s">
        <v>2308</v>
      </c>
      <c r="H809" s="5" t="s">
        <v>2308</v>
      </c>
      <c r="I809" s="5" t="s">
        <v>2308</v>
      </c>
      <c r="J809" s="5" t="s">
        <v>2308</v>
      </c>
      <c r="K809" s="5" t="s">
        <v>2308</v>
      </c>
      <c r="L809" s="5" t="s">
        <v>2308</v>
      </c>
      <c r="M809" s="5" t="s">
        <v>2308</v>
      </c>
      <c r="N809" s="5" t="s">
        <v>2308</v>
      </c>
      <c r="O809" s="22">
        <f>(162440 + 469442.95/2)/'Record info'!$K$811</f>
        <v>16.928084677617001</v>
      </c>
      <c r="P809" s="22">
        <f>(49625+(527423)+(469443.95/2)) / 'Record info'!$K$811</f>
        <v>34.599808240582838</v>
      </c>
      <c r="Q809" s="5" t="s">
        <v>2308</v>
      </c>
      <c r="R809" s="22">
        <f>(162440+682507) / 'Record info'!K811</f>
        <v>36.013901811847319</v>
      </c>
      <c r="S809" s="5" t="s">
        <v>2308</v>
      </c>
      <c r="T809" s="42" t="s">
        <v>5003</v>
      </c>
    </row>
    <row r="810" spans="1:20" ht="39" customHeight="1">
      <c r="A810" s="12" t="s">
        <v>5020</v>
      </c>
      <c r="B810" s="4" t="s">
        <v>32</v>
      </c>
      <c r="C810" s="4" t="s">
        <v>12</v>
      </c>
      <c r="D810" s="4" t="s">
        <v>5065</v>
      </c>
      <c r="E810" s="5" t="s">
        <v>404</v>
      </c>
      <c r="F810" s="4" t="s">
        <v>877</v>
      </c>
      <c r="G810" s="5" t="s">
        <v>403</v>
      </c>
      <c r="H810" s="5" t="s">
        <v>2308</v>
      </c>
      <c r="I810" s="5" t="s">
        <v>2308</v>
      </c>
      <c r="J810" s="5" t="s">
        <v>2308</v>
      </c>
      <c r="K810" s="4" t="s">
        <v>542</v>
      </c>
      <c r="L810" s="5" t="s">
        <v>2308</v>
      </c>
      <c r="M810" s="5" t="s">
        <v>2308</v>
      </c>
      <c r="N810" s="5" t="s">
        <v>2308</v>
      </c>
      <c r="O810" s="5" t="s">
        <v>2308</v>
      </c>
      <c r="P810" s="5" t="s">
        <v>2308</v>
      </c>
      <c r="Q810" s="5" t="s">
        <v>2308</v>
      </c>
      <c r="R810" s="5" t="s">
        <v>2308</v>
      </c>
      <c r="S810" s="5" t="s">
        <v>2308</v>
      </c>
      <c r="T810" s="4" t="s">
        <v>5022</v>
      </c>
    </row>
    <row r="811" spans="1:20" ht="45.5" customHeight="1">
      <c r="A811" s="12" t="s">
        <v>5024</v>
      </c>
      <c r="B811" s="4" t="s">
        <v>32</v>
      </c>
      <c r="C811" s="4" t="s">
        <v>12</v>
      </c>
      <c r="D811" s="4" t="s">
        <v>5065</v>
      </c>
      <c r="E811" s="4" t="s">
        <v>45</v>
      </c>
      <c r="F811" s="5" t="s">
        <v>404</v>
      </c>
      <c r="G811" s="5" t="s">
        <v>2308</v>
      </c>
      <c r="H811" s="5" t="s">
        <v>2308</v>
      </c>
      <c r="I811" s="5" t="s">
        <v>2308</v>
      </c>
      <c r="J811" s="5" t="s">
        <v>2308</v>
      </c>
      <c r="K811" s="5" t="s">
        <v>2308</v>
      </c>
      <c r="L811" s="5" t="s">
        <v>2308</v>
      </c>
      <c r="M811" s="5" t="s">
        <v>2308</v>
      </c>
      <c r="N811" s="5" t="s">
        <v>2308</v>
      </c>
      <c r="O811" s="5" t="s">
        <v>2308</v>
      </c>
      <c r="P811" s="5" t="s">
        <v>2308</v>
      </c>
      <c r="Q811" s="5" t="s">
        <v>2308</v>
      </c>
      <c r="R811" s="5" t="s">
        <v>2308</v>
      </c>
      <c r="S811" s="5" t="s">
        <v>2308</v>
      </c>
      <c r="T811" s="4"/>
    </row>
    <row r="812" spans="1:20" ht="37" customHeight="1">
      <c r="A812" s="12" t="s">
        <v>5030</v>
      </c>
      <c r="B812" s="4" t="s">
        <v>32</v>
      </c>
      <c r="C812" s="4" t="s">
        <v>12</v>
      </c>
      <c r="D812" s="4" t="s">
        <v>5065</v>
      </c>
      <c r="E812" s="5" t="s">
        <v>404</v>
      </c>
      <c r="F812" s="5" t="s">
        <v>2308</v>
      </c>
      <c r="G812" s="5" t="s">
        <v>2308</v>
      </c>
      <c r="H812" s="5" t="s">
        <v>2308</v>
      </c>
      <c r="I812" s="5" t="s">
        <v>2308</v>
      </c>
      <c r="J812" s="5" t="s">
        <v>2308</v>
      </c>
      <c r="K812" s="4" t="s">
        <v>542</v>
      </c>
      <c r="L812" s="5" t="s">
        <v>2308</v>
      </c>
      <c r="M812" s="5" t="s">
        <v>2308</v>
      </c>
      <c r="N812" s="5" t="s">
        <v>2308</v>
      </c>
      <c r="O812" s="5" t="s">
        <v>2308</v>
      </c>
      <c r="P812" s="5" t="s">
        <v>2308</v>
      </c>
      <c r="Q812" s="5" t="s">
        <v>2308</v>
      </c>
      <c r="R812" s="5" t="s">
        <v>2308</v>
      </c>
      <c r="S812" s="5" t="s">
        <v>2308</v>
      </c>
      <c r="T812" s="4" t="s">
        <v>5031</v>
      </c>
    </row>
    <row r="813" spans="1:20" ht="40.5" customHeight="1">
      <c r="A813" s="12" t="s">
        <v>5032</v>
      </c>
      <c r="B813" s="4" t="s">
        <v>2290</v>
      </c>
      <c r="C813" s="4" t="s">
        <v>402</v>
      </c>
      <c r="D813" s="4" t="s">
        <v>5065</v>
      </c>
      <c r="E813" s="5" t="s">
        <v>877</v>
      </c>
      <c r="F813" s="5" t="s">
        <v>2308</v>
      </c>
      <c r="G813" s="5" t="s">
        <v>2308</v>
      </c>
      <c r="H813" s="5" t="s">
        <v>2308</v>
      </c>
      <c r="I813" s="5" t="s">
        <v>2308</v>
      </c>
      <c r="J813" s="5" t="s">
        <v>2308</v>
      </c>
      <c r="K813" s="4" t="s">
        <v>542</v>
      </c>
      <c r="L813" s="5" t="s">
        <v>2308</v>
      </c>
      <c r="M813" s="5" t="s">
        <v>2308</v>
      </c>
      <c r="N813" s="5" t="s">
        <v>2308</v>
      </c>
      <c r="O813" s="5" t="s">
        <v>2308</v>
      </c>
      <c r="P813" s="5" t="s">
        <v>2308</v>
      </c>
      <c r="Q813" s="5" t="s">
        <v>2308</v>
      </c>
      <c r="R813" s="5" t="s">
        <v>2308</v>
      </c>
      <c r="S813" s="5" t="s">
        <v>2308</v>
      </c>
      <c r="T813" s="4" t="s">
        <v>5035</v>
      </c>
    </row>
    <row r="814" spans="1:20" ht="36.5" customHeight="1">
      <c r="A814" s="12" t="s">
        <v>5036</v>
      </c>
      <c r="B814" s="4" t="s">
        <v>32</v>
      </c>
      <c r="C814" s="4" t="s">
        <v>12</v>
      </c>
      <c r="D814" s="4" t="s">
        <v>5065</v>
      </c>
      <c r="E814" s="4" t="s">
        <v>2685</v>
      </c>
      <c r="F814" s="5" t="s">
        <v>403</v>
      </c>
      <c r="G814" s="5" t="s">
        <v>2308</v>
      </c>
      <c r="H814" s="5" t="s">
        <v>2308</v>
      </c>
      <c r="I814" s="5" t="s">
        <v>2308</v>
      </c>
      <c r="J814" s="5" t="s">
        <v>2308</v>
      </c>
      <c r="K814" s="5" t="s">
        <v>2308</v>
      </c>
      <c r="L814" s="5" t="s">
        <v>2308</v>
      </c>
      <c r="M814" s="5" t="s">
        <v>2308</v>
      </c>
      <c r="N814" s="5" t="s">
        <v>2308</v>
      </c>
      <c r="O814" s="5" t="s">
        <v>2308</v>
      </c>
      <c r="P814" s="5" t="s">
        <v>2308</v>
      </c>
      <c r="Q814" s="5" t="s">
        <v>2308</v>
      </c>
      <c r="R814" s="5" t="s">
        <v>2308</v>
      </c>
      <c r="S814" s="5" t="s">
        <v>2308</v>
      </c>
      <c r="T814" s="4"/>
    </row>
    <row r="815" spans="1:20" ht="44.5" customHeight="1">
      <c r="A815" s="4" t="s">
        <v>5037</v>
      </c>
      <c r="B815" s="12" t="s">
        <v>32</v>
      </c>
      <c r="C815" s="4" t="s">
        <v>12</v>
      </c>
      <c r="D815" s="4" t="s">
        <v>5065</v>
      </c>
      <c r="E815" s="4" t="s">
        <v>116</v>
      </c>
      <c r="F815" s="4" t="s">
        <v>143</v>
      </c>
      <c r="G815" s="5" t="s">
        <v>2308</v>
      </c>
      <c r="H815" s="5" t="s">
        <v>2308</v>
      </c>
      <c r="I815" s="5" t="s">
        <v>2308</v>
      </c>
      <c r="J815" s="5" t="s">
        <v>2308</v>
      </c>
      <c r="K815" s="5" t="s">
        <v>2308</v>
      </c>
      <c r="L815" s="5" t="s">
        <v>2308</v>
      </c>
      <c r="M815" s="5" t="s">
        <v>2308</v>
      </c>
      <c r="N815" s="5" t="s">
        <v>2308</v>
      </c>
      <c r="O815" s="5" t="s">
        <v>2308</v>
      </c>
      <c r="P815" s="5" t="s">
        <v>2308</v>
      </c>
      <c r="Q815" s="5" t="s">
        <v>2308</v>
      </c>
      <c r="R815" s="5" t="s">
        <v>2308</v>
      </c>
      <c r="S815" s="5" t="s">
        <v>2308</v>
      </c>
      <c r="T815" s="4" t="s">
        <v>5038</v>
      </c>
    </row>
    <row r="816" spans="1:20" ht="40.5" customHeight="1">
      <c r="A816" s="12" t="s">
        <v>5054</v>
      </c>
      <c r="B816" s="4" t="s">
        <v>2308</v>
      </c>
      <c r="C816" s="4" t="s">
        <v>12</v>
      </c>
      <c r="D816" s="4" t="s">
        <v>116</v>
      </c>
      <c r="E816" s="4" t="s">
        <v>5065</v>
      </c>
      <c r="F816" s="4" t="s">
        <v>2682</v>
      </c>
      <c r="G816" s="5" t="s">
        <v>2308</v>
      </c>
      <c r="H816" s="5" t="s">
        <v>2308</v>
      </c>
      <c r="I816" s="5" t="s">
        <v>2308</v>
      </c>
      <c r="J816" s="5" t="s">
        <v>2308</v>
      </c>
      <c r="K816" s="5" t="s">
        <v>2308</v>
      </c>
      <c r="L816" s="5" t="s">
        <v>2308</v>
      </c>
      <c r="M816" s="5" t="s">
        <v>2308</v>
      </c>
      <c r="N816" s="5" t="s">
        <v>2308</v>
      </c>
      <c r="O816" s="5" t="s">
        <v>2308</v>
      </c>
      <c r="P816" s="5" t="s">
        <v>2308</v>
      </c>
      <c r="Q816" s="5" t="s">
        <v>2308</v>
      </c>
      <c r="R816" s="5" t="s">
        <v>2308</v>
      </c>
      <c r="S816" s="5" t="s">
        <v>2308</v>
      </c>
      <c r="T816" s="4" t="s">
        <v>5057</v>
      </c>
    </row>
  </sheetData>
  <phoneticPr fontId="6" type="noConversion"/>
  <conditionalFormatting sqref="B287:B290">
    <cfRule type="duplicateValues" dxfId="308" priority="5"/>
  </conditionalFormatting>
  <conditionalFormatting sqref="B292">
    <cfRule type="duplicateValues" dxfId="307" priority="3"/>
  </conditionalFormatting>
  <conditionalFormatting sqref="A347 A286:A291 A293:A294">
    <cfRule type="duplicateValues" dxfId="306" priority="41"/>
  </conditionalFormatting>
  <conditionalFormatting sqref="A349:A351 A357:A365 A368">
    <cfRule type="duplicateValues" dxfId="305" priority="2"/>
  </conditionalFormatting>
  <conditionalFormatting sqref="A366:A367">
    <cfRule type="duplicateValues" dxfId="304" priority="1"/>
  </conditionalFormatting>
  <dataValidations xWindow="760" yWindow="679" count="11">
    <dataValidation allowBlank="1" showInputMessage="1" showErrorMessage="1" prompt="The same as Case study ID in Record Info_x000a_" sqref="A1:A491 A508:A584 A599:A659 A672:A703 A715:A782 A807:A1048576" xr:uid="{958EE0FA-D633-4373-8F3F-23CC800D0ACC}"/>
    <dataValidation allowBlank="1" showInputMessage="1" showErrorMessage="1" prompt="See AFT table, page 1 of database protocol" sqref="L510:S510 L511:Q511 S511:S513 L512:R513 L514:O514 H492:H513 L490:T491 H514:J525 I512:J513 J511 I510:J510 H490:J491 L515:S529 T521:T524 K530:S533 G566 Q535:S537 O534:O550 L534:N534 P534:S534 K535:N535 S543:S550 I536:N536 P536 N537:N550 K537:L537 P538:Q542 E538:E542 E535:E536 Q543:Q550 I537:I545 E551:E553 I551:S551 J538:M550 P546:P550 R546:R550 I552:J553 L552:S553 I554:S554 K555:S556 G546:G557 F546:F554 F556:F557 I556:I561 E557 J557:S557 J558:J563 F561:G561 L558:S561 O562:O570 G562:G563 L562:M563 K564:N564 I564:I570 F565 I530:I534 H526:H570 J526:J534 G568:G570 E571:S572 J565:N570 P564:S570 G573:H578 J573:J581 G579:G582 H579:I581 H582:J582 L573:S582 S583:S614 H583:I583 L583:M583 T584 E584:N584 K585:N598 E599:O600 G585:H598 O583:O598 B554 B564:B567 B573:B578 B585:B598 E604:O606 T601:T603 H601:O603 G607:J607 L607:O607 G609:O609 K612:O614 F608:O608 L610:O611 J610:J614 E612:G612 P584:R614 H610:H613" xr:uid="{E1D806FE-C7FC-4990-A91D-0671FBC38A5E}"/>
    <dataValidation type="decimal" allowBlank="1" showInputMessage="1" showErrorMessage="1" prompt="Float (max 9999)_x000a_" sqref="M397:M489 M537 M638 M1:M394 M694 M817:M1048576" xr:uid="{D2836D06-B347-4762-B8E5-C74BA2231C1E}">
      <formula1>0</formula1>
      <formula2>9999</formula2>
    </dataValidation>
    <dataValidation type="decimal" allowBlank="1" showInputMessage="1" showErrorMessage="1" prompt="Float (max 100)" sqref="P1:S395 R511 P514:S514 O534 K535:P535 P537 S538:S542 R538:R545 P543:P545 N562:N563 P562:S563 P583:R583 N583 P626:P630 P637 O1:O394 N2:N394 N397:S489 R697 O697:P697 N701:P703 R701:R714 R718 P721:S722 P718 O756:P756 R756 P759:P760 S764 P769:P770 R777 O809:P809 R809 N817:S1048576" xr:uid="{4AE504A1-A17A-4A45-9E7B-24380358934C}">
      <formula1>0</formula1>
      <formula2>100</formula2>
    </dataValidation>
    <dataValidation type="decimal" allowBlank="1" showInputMessage="1" showErrorMessage="1" prompt="Float_x000a_" sqref="P396:S396 H617:H618 H624 H683:H689 H1:H489 I395:I396 L395:O396 H696:H697 H701:H703 H715 H718 H732:H733 H735 H754:H755 H761:H763 H769:H770 H772 H817:H1048576 G391" xr:uid="{E7172500-EFC1-4BA2-A1C5-13FEACEF1489}">
      <formula1>0</formula1>
      <formula2>9999</formula2>
    </dataValidation>
    <dataValidation type="decimal" allowBlank="1" showInputMessage="1" showErrorMessage="1" prompt="Float" sqref="L397:L489 J1:J489 I397:I489 J492:J507 I492:I509 I511 I526:I529 I535:J535 J537 I546:I550 I555 J555:J556 I562:I563 J564 I573:I578 J583 I585:J598 I610:I614 I617:I618 I626:I630 I638:I639 I648 I693 I2:I394 L1:L394 I817:J1048576 I760 L817:L1048576" xr:uid="{6282E749-1F3D-45A5-920E-B954C0C0A3E8}">
      <formula1>0</formula1>
      <formula2>9999</formula2>
    </dataValidation>
    <dataValidation type="textLength" allowBlank="1" showInputMessage="1" showErrorMessage="1" sqref="L492:M509 J508:J509 N492:S507" xr:uid="{76E9490B-1180-435E-8D38-251D81E60D8F}">
      <formula1>2</formula1>
      <formula2>3</formula2>
    </dataValidation>
    <dataValidation allowBlank="1" showInputMessage="1" showErrorMessage="1" prompt="Float (max 100)" sqref="N1" xr:uid="{042066D9-8BC2-4827-9561-8287F1C3FF5B}"/>
    <dataValidation allowBlank="1" showInputMessage="1" showErrorMessage="1" prompt="Float" sqref="I1" xr:uid="{04844F22-99B5-420C-92F6-D8422F0041EE}"/>
    <dataValidation allowBlank="1" showInputMessage="1" showErrorMessage="1" prompt="Study ID + letter denoting case study: 1a, 1b, 1c etc." sqref="A492:A507 A585:A598 A660:A671 A704:A714 A783:A806" xr:uid="{D2A7C982-2471-4155-846A-CEEAEF0EB95B}"/>
    <dataValidation type="decimal" allowBlank="1" showInputMessage="1" showErrorMessage="1" sqref="N508:S509" xr:uid="{4FBE7DC1-F108-471C-9AF8-AA98AECC94E8}">
      <formula1>0</formula1>
      <formula2>100</formula2>
    </dataValidation>
  </dataValidations>
  <hyperlinks>
    <hyperlink ref="T809" r:id="rId1" display="Land use cross-checked against Balestieri (2018)" xr:uid="{3F51AD0E-D35F-45A9-BF60-02BF08D4EDAD}"/>
  </hyperlinks>
  <pageMargins left="0.70866141732283472" right="0.70866141732283472" top="0.74803149606299213" bottom="0.74803149606299213" header="0.31496062992125984" footer="0.31496062992125984"/>
  <pageSetup orientation="portrait" r:id="rId2"/>
  <extLst>
    <ext xmlns:x14="http://schemas.microsoft.com/office/spreadsheetml/2009/9/main" uri="{CCE6A557-97BC-4b89-ADB6-D9C93CAAB3DF}">
      <x14:dataValidations xmlns:xm="http://schemas.microsoft.com/office/excel/2006/main" xWindow="760" yWindow="679" count="4">
        <x14:dataValidation type="list" allowBlank="1" showInputMessage="1" showErrorMessage="1" xr:uid="{DBFDBDFC-402D-4452-9CE1-F2863412BC66}">
          <x14:formula1>
            <xm:f>'IGNORE Lookups'!$A$32:$A$33</xm:f>
          </x14:formula1>
          <xm:sqref>K1:K529 K534 K647:K648 K645 K638 K623:K624 K621 K610:K611 K607 K573:K583 K558:K563 K552:K553 K650:K659 K671:K674 K678 K694:K695 K701:K703 K721 K723 K753:K755 K768:K770 K777:K780 K807:K808 K810 K812:K813 K817:K1048576</xm:sqref>
        </x14:dataValidation>
        <x14:dataValidation type="list" allowBlank="1" showInputMessage="1" showErrorMessage="1" prompt="One of: Traditional , Private, Centrally-allocated, Insecure, Mixed. _x000a_" xr:uid="{CFC07E51-516C-4F27-96A0-04B87F715968}">
          <x14:formula1>
            <xm:f>'IGNORE Lookups'!$A$23:$A$28</xm:f>
          </x14:formula1>
          <xm:sqref>B599:B1048576 B555:B563 B568:B572 B579:B584 B402:B553 B395:B396 B398 B1:B392</xm:sqref>
        </x14:dataValidation>
        <x14:dataValidation type="list" allowBlank="1" showInputMessage="1" showErrorMessage="1" xr:uid="{88CFF800-DF56-4555-B0F3-AE555EFB2C06}">
          <x14:formula1>
            <xm:f>'IGNORE Lookups'!$C$23:$C$43</xm:f>
          </x14:formula1>
          <xm:sqref>E537 E543:E550 F555 E554:E556 E558:G560 G564:G565 F562:F564 G567 E1:E534 E561:E570 F566:F570 E573:F583 G583 E585:F598 E601:G603 F607 F609:F611 G610:G611 E607:E611 F613:G613 G614:H615 I615:S615 H616:O616 P616:S617 J617:O617 H618:S620 H621:H623 K622 L621:S624 I621:J624 H625:S625 J626:O630 P631:P636 I631:O637 Q626:S637 K639:K644 E613:E645 F614:F646 D778:F1048576 I640:I647 H626:H645 G616:G645 G646:H646 K646 K649 H647:H682 I649:I692 K660:K670 K675:K677 H690:H695 B399:B401 K679:K693 L638:L695 N638:S694 M639:M693 B393:B394 B397 M695:S695 R696 K696:N697 O696:P696 K698:P699 R698:R699 S696:S699 Q696:Q699 J700:S700 I694:I719 J638:J699 H698:H700 L701:M703 J701:J719 S701:S719 Q701:Q719 R715:R717 R719 H704:H714 L721:O721 H719 H720:S720 H721:J721 F722:O722 K704:P717 K718:O718 F647:G721 K719:P719 H716:H717 L723:S723 F723:J723 F724:S729 H730:S731 I732:S735 H734 F730:G735 F736:S750 K751:K752 L751:S755 F751:J753 Q760:S760 I754:J755 F754:G755 Q756:Q759 S756:S759 F756:N756 J760:O760 F757:F759 I761:S763 R757:R759 P757:P758 H757:O759 H760 H764:R767 H768 P768 L768:O770 Q768:R770 I768:J770 H771 I771:R772 H809:N809 H773:R776 D760:F776 D777:J777 L777:Q777 D646:E759 R810:R816 K781:K806 H778:J808 L778:R808 Q809:Q816 L810:P810 K811:P811 L812:P813 H810:J813 S765:S816 G757:G1048576 H814:P816 D1:D645 F1:F545 G1:G390 G392:G545</xm:sqref>
        </x14:dataValidation>
        <x14:dataValidation type="list" allowBlank="1" showInputMessage="1" showErrorMessage="1" xr:uid="{F2DB2DF3-B881-43DA-9B74-25DF856249B0}">
          <x14:formula1>
            <xm:f>'IGNORE Lookups'!$B$23:$B$27</xm:f>
          </x14:formula1>
          <xm:sqref>C1:C1048576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7E04E-06DD-4B94-B488-9014E2549ECF}">
  <dimension ref="A1:AD1666"/>
  <sheetViews>
    <sheetView tabSelected="1" topLeftCell="T1" zoomScale="55" zoomScaleNormal="55" workbookViewId="0">
      <pane ySplit="1" topLeftCell="A29" activePane="bottomLeft" state="frozen"/>
      <selection pane="bottomLeft" activeCell="AC171" sqref="AC171"/>
    </sheetView>
  </sheetViews>
  <sheetFormatPr defaultRowHeight="14.5"/>
  <cols>
    <col min="1" max="1" width="18.36328125" customWidth="1"/>
    <col min="2" max="2" width="20.54296875" customWidth="1"/>
    <col min="3" max="3" width="20.453125" customWidth="1"/>
    <col min="4" max="4" width="27" customWidth="1"/>
    <col min="5" max="5" width="26.90625" customWidth="1"/>
    <col min="6" max="6" width="25.7265625" style="61" customWidth="1"/>
    <col min="7" max="7" width="25.7265625" customWidth="1"/>
    <col min="8" max="9" width="21" customWidth="1"/>
    <col min="10" max="11" width="23" style="15" customWidth="1"/>
    <col min="12" max="13" width="19.36328125" style="15" customWidth="1"/>
    <col min="14" max="19" width="18.6328125" style="15" customWidth="1"/>
    <col min="20" max="21" width="19.90625" style="15" customWidth="1"/>
    <col min="22" max="23" width="21.81640625" style="15" customWidth="1"/>
    <col min="24" max="24" width="23" style="15" customWidth="1"/>
    <col min="25" max="25" width="21.1796875" style="15" customWidth="1"/>
    <col min="26" max="26" width="22.54296875" customWidth="1"/>
    <col min="27" max="27" width="23.26953125" customWidth="1"/>
    <col min="28" max="28" width="29.26953125" customWidth="1"/>
    <col min="29" max="29" width="46.36328125" customWidth="1"/>
    <col min="30" max="30" width="48" customWidth="1"/>
  </cols>
  <sheetData>
    <row r="1" spans="1:30" ht="72.5" customHeight="1" thickBot="1">
      <c r="A1" s="1" t="s">
        <v>2296</v>
      </c>
      <c r="B1" s="16" t="s">
        <v>1153</v>
      </c>
      <c r="C1" s="2" t="s">
        <v>7</v>
      </c>
      <c r="D1" s="2" t="s">
        <v>8</v>
      </c>
      <c r="E1" s="2" t="s">
        <v>2317</v>
      </c>
      <c r="F1" s="16" t="s">
        <v>2473</v>
      </c>
      <c r="G1" s="16" t="s">
        <v>2483</v>
      </c>
      <c r="H1" s="16" t="s">
        <v>530</v>
      </c>
      <c r="I1" s="2" t="s">
        <v>174</v>
      </c>
      <c r="J1" s="76" t="s">
        <v>2395</v>
      </c>
      <c r="K1" s="76" t="s">
        <v>1272</v>
      </c>
      <c r="L1" s="76" t="s">
        <v>2389</v>
      </c>
      <c r="M1" s="76" t="s">
        <v>1271</v>
      </c>
      <c r="N1" s="76" t="s">
        <v>2388</v>
      </c>
      <c r="O1" s="76" t="s">
        <v>1270</v>
      </c>
      <c r="P1" s="76" t="s">
        <v>2390</v>
      </c>
      <c r="Q1" s="76" t="s">
        <v>2471</v>
      </c>
      <c r="R1" s="76" t="s">
        <v>2472</v>
      </c>
      <c r="S1" s="76" t="s">
        <v>1248</v>
      </c>
      <c r="T1" s="76" t="s">
        <v>2391</v>
      </c>
      <c r="U1" s="76" t="s">
        <v>1249</v>
      </c>
      <c r="V1" s="76" t="s">
        <v>2392</v>
      </c>
      <c r="W1" s="76" t="s">
        <v>1488</v>
      </c>
      <c r="X1" s="76" t="s">
        <v>2393</v>
      </c>
      <c r="Y1" s="76" t="s">
        <v>36</v>
      </c>
      <c r="Z1" s="2" t="s">
        <v>9</v>
      </c>
      <c r="AA1" s="2" t="s">
        <v>10</v>
      </c>
      <c r="AB1" s="18" t="s">
        <v>37</v>
      </c>
      <c r="AC1" s="18" t="s">
        <v>0</v>
      </c>
      <c r="AD1" s="17" t="s">
        <v>117</v>
      </c>
    </row>
    <row r="2" spans="1:30" ht="33" customHeight="1">
      <c r="A2" s="33" t="s">
        <v>15</v>
      </c>
      <c r="B2" t="s">
        <v>40</v>
      </c>
      <c r="C2" s="33" t="s">
        <v>24</v>
      </c>
      <c r="D2" s="33" t="s">
        <v>25</v>
      </c>
      <c r="E2" s="33" t="s">
        <v>45</v>
      </c>
      <c r="F2" s="192" t="s">
        <v>29</v>
      </c>
      <c r="G2" s="33"/>
      <c r="H2" s="33" t="s">
        <v>531</v>
      </c>
      <c r="I2" s="33"/>
      <c r="J2" s="88">
        <v>1.63157895E-2</v>
      </c>
      <c r="K2" s="88" t="s">
        <v>2308</v>
      </c>
      <c r="L2" s="93" t="s">
        <v>2308</v>
      </c>
      <c r="M2" s="93" t="s">
        <v>2308</v>
      </c>
      <c r="N2" s="93" t="s">
        <v>2308</v>
      </c>
      <c r="O2" s="93" t="s">
        <v>2308</v>
      </c>
      <c r="P2" s="93" t="s">
        <v>2308</v>
      </c>
      <c r="Q2" s="22" t="s">
        <v>2308</v>
      </c>
      <c r="R2" s="22" t="s">
        <v>2308</v>
      </c>
      <c r="S2" s="93" t="s">
        <v>2308</v>
      </c>
      <c r="T2" s="93">
        <v>342</v>
      </c>
      <c r="U2" s="93" t="s">
        <v>2308</v>
      </c>
      <c r="V2" s="93">
        <v>31</v>
      </c>
      <c r="W2" s="93" t="s">
        <v>2308</v>
      </c>
      <c r="X2" s="93" t="s">
        <v>2308</v>
      </c>
      <c r="Y2" s="93">
        <v>2</v>
      </c>
      <c r="Z2" s="33" t="s">
        <v>34</v>
      </c>
      <c r="AA2" s="33" t="s">
        <v>35</v>
      </c>
      <c r="AB2" s="33" t="s">
        <v>64</v>
      </c>
      <c r="AC2" s="33"/>
      <c r="AD2" s="33"/>
    </row>
    <row r="3" spans="1:30" ht="55.5" customHeight="1">
      <c r="A3" s="4" t="s">
        <v>15</v>
      </c>
      <c r="B3" s="4" t="s">
        <v>41</v>
      </c>
      <c r="C3" s="4" t="s">
        <v>24</v>
      </c>
      <c r="D3" s="4" t="s">
        <v>26</v>
      </c>
      <c r="E3" s="4" t="s">
        <v>45</v>
      </c>
      <c r="F3" s="5" t="s">
        <v>29</v>
      </c>
      <c r="G3" s="4"/>
      <c r="H3" s="4" t="s">
        <v>531</v>
      </c>
      <c r="I3" s="4"/>
      <c r="J3" s="84">
        <v>6.5839694700000007E-2</v>
      </c>
      <c r="K3" s="84" t="s">
        <v>2308</v>
      </c>
      <c r="L3" s="22" t="s">
        <v>2308</v>
      </c>
      <c r="M3" s="22" t="s">
        <v>2308</v>
      </c>
      <c r="N3" s="22" t="s">
        <v>2308</v>
      </c>
      <c r="O3" s="22" t="s">
        <v>2308</v>
      </c>
      <c r="P3" s="22" t="s">
        <v>2308</v>
      </c>
      <c r="Q3" s="22" t="s">
        <v>2308</v>
      </c>
      <c r="R3" s="22" t="s">
        <v>2308</v>
      </c>
      <c r="S3" s="22" t="s">
        <v>2308</v>
      </c>
      <c r="T3" s="22">
        <v>262</v>
      </c>
      <c r="U3" s="22" t="s">
        <v>2308</v>
      </c>
      <c r="V3" s="22">
        <v>23</v>
      </c>
      <c r="W3" s="22" t="s">
        <v>2308</v>
      </c>
      <c r="X3" s="22" t="s">
        <v>2308</v>
      </c>
      <c r="Y3" s="22">
        <v>2</v>
      </c>
      <c r="Z3" s="4" t="s">
        <v>38</v>
      </c>
      <c r="AA3" s="4" t="s">
        <v>34</v>
      </c>
      <c r="AB3" s="4" t="s">
        <v>64</v>
      </c>
      <c r="AC3" s="5" t="s">
        <v>39</v>
      </c>
      <c r="AD3" s="4"/>
    </row>
    <row r="4" spans="1:30" ht="43.5" customHeight="1">
      <c r="A4" s="23" t="s">
        <v>15</v>
      </c>
      <c r="B4" s="4" t="s">
        <v>42</v>
      </c>
      <c r="C4" s="23" t="s">
        <v>24</v>
      </c>
      <c r="D4" s="23" t="s">
        <v>27</v>
      </c>
      <c r="E4" s="23" t="s">
        <v>136</v>
      </c>
      <c r="F4" s="25" t="s">
        <v>167</v>
      </c>
      <c r="G4" s="25"/>
      <c r="H4" s="4" t="s">
        <v>531</v>
      </c>
      <c r="I4" s="23"/>
      <c r="J4" s="77">
        <v>3.3</v>
      </c>
      <c r="K4" s="84" t="s">
        <v>2308</v>
      </c>
      <c r="L4" s="84">
        <v>0.01</v>
      </c>
      <c r="M4" s="84" t="s">
        <v>2308</v>
      </c>
      <c r="N4" s="84">
        <v>0.2</v>
      </c>
      <c r="O4" s="84" t="s">
        <v>2308</v>
      </c>
      <c r="P4" s="84" t="s">
        <v>2308</v>
      </c>
      <c r="Q4" s="22" t="s">
        <v>2308</v>
      </c>
      <c r="R4" s="22" t="s">
        <v>2308</v>
      </c>
      <c r="S4" s="84" t="s">
        <v>2308</v>
      </c>
      <c r="T4" s="84">
        <v>4</v>
      </c>
      <c r="U4" s="84" t="s">
        <v>2308</v>
      </c>
      <c r="V4" s="77">
        <v>33</v>
      </c>
      <c r="W4" s="77" t="s">
        <v>2308</v>
      </c>
      <c r="X4" s="77" t="s">
        <v>2308</v>
      </c>
      <c r="Y4" s="77">
        <v>3</v>
      </c>
      <c r="Z4" s="23" t="s">
        <v>68</v>
      </c>
      <c r="AA4" s="23" t="s">
        <v>35</v>
      </c>
      <c r="AB4" s="23" t="s">
        <v>64</v>
      </c>
      <c r="AC4" s="23"/>
      <c r="AD4" s="23"/>
    </row>
    <row r="5" spans="1:30" ht="44.5" customHeight="1">
      <c r="A5" s="4" t="s">
        <v>15</v>
      </c>
      <c r="B5" s="4" t="s">
        <v>43</v>
      </c>
      <c r="C5" s="4" t="s">
        <v>2491</v>
      </c>
      <c r="D5" s="9" t="s">
        <v>25</v>
      </c>
      <c r="E5" s="4" t="s">
        <v>45</v>
      </c>
      <c r="F5" s="10" t="s">
        <v>32</v>
      </c>
      <c r="G5" s="4"/>
      <c r="H5" s="4" t="s">
        <v>531</v>
      </c>
      <c r="I5" s="4"/>
      <c r="J5" s="84">
        <v>2.6811593999999999E-3</v>
      </c>
      <c r="K5" s="84" t="s">
        <v>2308</v>
      </c>
      <c r="L5" s="22" t="s">
        <v>2308</v>
      </c>
      <c r="M5" s="22" t="s">
        <v>2308</v>
      </c>
      <c r="N5" s="22" t="s">
        <v>2308</v>
      </c>
      <c r="O5" s="22" t="s">
        <v>2308</v>
      </c>
      <c r="P5" s="22" t="s">
        <v>2308</v>
      </c>
      <c r="Q5" s="22" t="s">
        <v>2308</v>
      </c>
      <c r="R5" s="22" t="s">
        <v>2308</v>
      </c>
      <c r="S5" s="22" t="s">
        <v>2308</v>
      </c>
      <c r="T5" s="22">
        <v>69</v>
      </c>
      <c r="U5" s="22" t="s">
        <v>2308</v>
      </c>
      <c r="V5" s="22">
        <v>3.7</v>
      </c>
      <c r="W5" s="22" t="s">
        <v>2308</v>
      </c>
      <c r="X5" s="22" t="s">
        <v>2308</v>
      </c>
      <c r="Y5" s="77" t="s">
        <v>2308</v>
      </c>
      <c r="Z5" s="4" t="s">
        <v>34</v>
      </c>
      <c r="AA5" s="4" t="s">
        <v>35</v>
      </c>
      <c r="AB5" s="4" t="s">
        <v>64</v>
      </c>
      <c r="AC5" s="4"/>
      <c r="AD5" s="4"/>
    </row>
    <row r="6" spans="1:30" ht="41.5" customHeight="1">
      <c r="A6" s="4" t="s">
        <v>15</v>
      </c>
      <c r="B6" s="4" t="s">
        <v>44</v>
      </c>
      <c r="C6" s="4" t="s">
        <v>24</v>
      </c>
      <c r="D6" s="4" t="s">
        <v>2378</v>
      </c>
      <c r="E6" s="4" t="s">
        <v>2308</v>
      </c>
      <c r="F6" s="10" t="s">
        <v>32</v>
      </c>
      <c r="G6" s="4"/>
      <c r="H6" s="4" t="s">
        <v>531</v>
      </c>
      <c r="I6" s="4"/>
      <c r="J6" s="84">
        <v>1.0526316E-3</v>
      </c>
      <c r="K6" s="84" t="s">
        <v>2308</v>
      </c>
      <c r="L6" s="22" t="s">
        <v>2308</v>
      </c>
      <c r="M6" s="22" t="s">
        <v>2308</v>
      </c>
      <c r="N6" s="22" t="s">
        <v>2308</v>
      </c>
      <c r="O6" s="22" t="s">
        <v>2308</v>
      </c>
      <c r="P6" s="22" t="s">
        <v>2308</v>
      </c>
      <c r="Q6" s="22" t="s">
        <v>2308</v>
      </c>
      <c r="R6" s="22" t="s">
        <v>2308</v>
      </c>
      <c r="S6" s="22" t="s">
        <v>2308</v>
      </c>
      <c r="T6" s="22">
        <v>7</v>
      </c>
      <c r="U6" s="22" t="s">
        <v>2308</v>
      </c>
      <c r="V6" s="22" t="s">
        <v>2308</v>
      </c>
      <c r="W6" s="22" t="s">
        <v>2308</v>
      </c>
      <c r="X6" s="22" t="s">
        <v>2308</v>
      </c>
      <c r="Y6" s="22" t="s">
        <v>2308</v>
      </c>
      <c r="Z6" s="4" t="s">
        <v>34</v>
      </c>
      <c r="AA6" s="4" t="s">
        <v>35</v>
      </c>
      <c r="AB6" s="4" t="s">
        <v>64</v>
      </c>
      <c r="AC6" s="4"/>
      <c r="AD6" s="4"/>
    </row>
    <row r="7" spans="1:30" ht="61" customHeight="1">
      <c r="A7" s="4" t="s">
        <v>15</v>
      </c>
      <c r="B7" s="4" t="s">
        <v>60</v>
      </c>
      <c r="C7" s="4" t="s">
        <v>24</v>
      </c>
      <c r="D7" s="4" t="s">
        <v>61</v>
      </c>
      <c r="E7" s="23" t="s">
        <v>116</v>
      </c>
      <c r="F7" s="10" t="s">
        <v>2695</v>
      </c>
      <c r="G7" s="4"/>
      <c r="H7" s="4" t="s">
        <v>531</v>
      </c>
      <c r="I7" s="4"/>
      <c r="J7" s="22" t="s">
        <v>2308</v>
      </c>
      <c r="K7" s="22" t="s">
        <v>2308</v>
      </c>
      <c r="L7" s="22" t="s">
        <v>2308</v>
      </c>
      <c r="M7" s="22" t="s">
        <v>2308</v>
      </c>
      <c r="N7" s="22" t="s">
        <v>2308</v>
      </c>
      <c r="O7" s="22" t="s">
        <v>2308</v>
      </c>
      <c r="P7" s="22" t="s">
        <v>2308</v>
      </c>
      <c r="Q7" s="22" t="s">
        <v>2308</v>
      </c>
      <c r="R7" s="22" t="s">
        <v>2308</v>
      </c>
      <c r="S7" s="22" t="s">
        <v>2308</v>
      </c>
      <c r="T7" s="22" t="s">
        <v>2308</v>
      </c>
      <c r="U7" s="22" t="s">
        <v>2308</v>
      </c>
      <c r="V7" s="22" t="s">
        <v>2308</v>
      </c>
      <c r="W7" s="22" t="s">
        <v>2308</v>
      </c>
      <c r="X7" s="22" t="s">
        <v>2308</v>
      </c>
      <c r="Y7" s="22" t="s">
        <v>2308</v>
      </c>
      <c r="Z7" s="4" t="s">
        <v>38</v>
      </c>
      <c r="AA7" s="4" t="s">
        <v>35</v>
      </c>
      <c r="AB7" s="4" t="s">
        <v>64</v>
      </c>
      <c r="AC7" s="5" t="s">
        <v>63</v>
      </c>
      <c r="AD7" s="4"/>
    </row>
    <row r="8" spans="1:30" ht="49.5" customHeight="1">
      <c r="A8" s="12" t="s">
        <v>16</v>
      </c>
      <c r="B8" s="4" t="s">
        <v>46</v>
      </c>
      <c r="C8" s="12" t="s">
        <v>24</v>
      </c>
      <c r="D8" s="12" t="s">
        <v>25</v>
      </c>
      <c r="E8" s="4" t="s">
        <v>45</v>
      </c>
      <c r="F8" s="20" t="s">
        <v>29</v>
      </c>
      <c r="G8" s="12"/>
      <c r="H8" s="4" t="s">
        <v>531</v>
      </c>
      <c r="I8" s="12"/>
      <c r="J8" s="22" t="s">
        <v>2308</v>
      </c>
      <c r="K8" s="22" t="s">
        <v>2308</v>
      </c>
      <c r="L8" s="22" t="s">
        <v>2308</v>
      </c>
      <c r="M8" s="22" t="s">
        <v>2308</v>
      </c>
      <c r="N8" s="22" t="s">
        <v>2308</v>
      </c>
      <c r="O8" s="22" t="s">
        <v>2308</v>
      </c>
      <c r="P8" s="22" t="s">
        <v>2308</v>
      </c>
      <c r="Q8" s="22" t="s">
        <v>2308</v>
      </c>
      <c r="R8" s="22" t="s">
        <v>2308</v>
      </c>
      <c r="S8" s="22" t="s">
        <v>2308</v>
      </c>
      <c r="T8" s="22" t="s">
        <v>2308</v>
      </c>
      <c r="U8" s="22" t="s">
        <v>2308</v>
      </c>
      <c r="V8" s="22" t="s">
        <v>2308</v>
      </c>
      <c r="W8" s="22" t="s">
        <v>2308</v>
      </c>
      <c r="X8" s="22" t="s">
        <v>2308</v>
      </c>
      <c r="Y8" s="22" t="s">
        <v>2308</v>
      </c>
      <c r="Z8" s="4" t="s">
        <v>34</v>
      </c>
      <c r="AA8" s="4" t="s">
        <v>35</v>
      </c>
      <c r="AB8" s="4" t="s">
        <v>64</v>
      </c>
      <c r="AC8" s="19" t="s">
        <v>48</v>
      </c>
      <c r="AD8" s="4"/>
    </row>
    <row r="9" spans="1:30" ht="48" customHeight="1">
      <c r="A9" s="12" t="s">
        <v>17</v>
      </c>
      <c r="B9" s="4" t="s">
        <v>47</v>
      </c>
      <c r="C9" s="12" t="s">
        <v>24</v>
      </c>
      <c r="D9" s="12" t="s">
        <v>27</v>
      </c>
      <c r="E9" s="5" t="s">
        <v>404</v>
      </c>
      <c r="F9" s="20" t="s">
        <v>28</v>
      </c>
      <c r="G9" s="12"/>
      <c r="H9" s="4" t="s">
        <v>531</v>
      </c>
      <c r="I9" s="12"/>
      <c r="J9" s="22" t="s">
        <v>2308</v>
      </c>
      <c r="K9" s="22" t="s">
        <v>2308</v>
      </c>
      <c r="L9" s="22" t="s">
        <v>2308</v>
      </c>
      <c r="M9" s="22" t="s">
        <v>2308</v>
      </c>
      <c r="N9" s="22" t="s">
        <v>2308</v>
      </c>
      <c r="O9" s="22" t="s">
        <v>2308</v>
      </c>
      <c r="P9" s="22" t="s">
        <v>2308</v>
      </c>
      <c r="Q9" s="22" t="s">
        <v>2308</v>
      </c>
      <c r="R9" s="22" t="s">
        <v>2308</v>
      </c>
      <c r="S9" s="22" t="s">
        <v>2308</v>
      </c>
      <c r="T9" s="22" t="s">
        <v>2308</v>
      </c>
      <c r="U9" s="22" t="s">
        <v>2308</v>
      </c>
      <c r="V9" s="22" t="s">
        <v>2308</v>
      </c>
      <c r="W9" s="22" t="s">
        <v>2308</v>
      </c>
      <c r="X9" s="22" t="s">
        <v>2308</v>
      </c>
      <c r="Y9" s="22" t="s">
        <v>2308</v>
      </c>
      <c r="Z9" s="4" t="s">
        <v>68</v>
      </c>
      <c r="AA9" s="4" t="s">
        <v>35</v>
      </c>
      <c r="AB9" s="4" t="s">
        <v>64</v>
      </c>
      <c r="AC9" s="5" t="s">
        <v>50</v>
      </c>
      <c r="AD9" s="4"/>
    </row>
    <row r="10" spans="1:30" ht="49.5" customHeight="1">
      <c r="A10" s="12" t="s">
        <v>18</v>
      </c>
      <c r="B10" s="4" t="s">
        <v>51</v>
      </c>
      <c r="C10" s="12" t="s">
        <v>24</v>
      </c>
      <c r="D10" s="12" t="s">
        <v>25</v>
      </c>
      <c r="E10" s="4" t="s">
        <v>45</v>
      </c>
      <c r="F10" s="20" t="s">
        <v>29</v>
      </c>
      <c r="G10" s="12"/>
      <c r="H10" s="4" t="s">
        <v>531</v>
      </c>
      <c r="I10" s="12"/>
      <c r="J10" s="22" t="s">
        <v>2308</v>
      </c>
      <c r="K10" s="22" t="s">
        <v>2308</v>
      </c>
      <c r="L10" s="22" t="s">
        <v>2308</v>
      </c>
      <c r="M10" s="22" t="s">
        <v>2308</v>
      </c>
      <c r="N10" s="22" t="s">
        <v>2308</v>
      </c>
      <c r="O10" s="22" t="s">
        <v>2308</v>
      </c>
      <c r="P10" s="22" t="s">
        <v>2308</v>
      </c>
      <c r="Q10" s="22" t="s">
        <v>2308</v>
      </c>
      <c r="R10" s="22" t="s">
        <v>2308</v>
      </c>
      <c r="S10" s="22" t="s">
        <v>2308</v>
      </c>
      <c r="T10" s="22" t="s">
        <v>2308</v>
      </c>
      <c r="U10" s="22" t="s">
        <v>2308</v>
      </c>
      <c r="V10" s="22" t="s">
        <v>2308</v>
      </c>
      <c r="W10" s="22" t="s">
        <v>2308</v>
      </c>
      <c r="X10" s="22" t="s">
        <v>2308</v>
      </c>
      <c r="Y10" s="22" t="s">
        <v>2308</v>
      </c>
      <c r="Z10" s="4" t="s">
        <v>34</v>
      </c>
      <c r="AA10" s="4" t="s">
        <v>35</v>
      </c>
      <c r="AB10" s="4" t="s">
        <v>64</v>
      </c>
      <c r="AC10" s="5" t="s">
        <v>49</v>
      </c>
      <c r="AD10" s="4"/>
    </row>
    <row r="11" spans="1:30" ht="60.5" customHeight="1">
      <c r="A11" s="4" t="s">
        <v>19</v>
      </c>
      <c r="B11" s="4" t="s">
        <v>53</v>
      </c>
      <c r="C11" s="4" t="s">
        <v>24</v>
      </c>
      <c r="D11" s="4" t="s">
        <v>25</v>
      </c>
      <c r="E11" s="4" t="s">
        <v>45</v>
      </c>
      <c r="F11" s="5" t="s">
        <v>29</v>
      </c>
      <c r="G11" s="4"/>
      <c r="H11" s="4" t="s">
        <v>531</v>
      </c>
      <c r="I11" s="4"/>
      <c r="J11" s="22" t="s">
        <v>2308</v>
      </c>
      <c r="K11" s="22" t="s">
        <v>2308</v>
      </c>
      <c r="L11" s="22" t="s">
        <v>2308</v>
      </c>
      <c r="M11" s="22" t="s">
        <v>2308</v>
      </c>
      <c r="N11" s="22" t="s">
        <v>2308</v>
      </c>
      <c r="O11" s="22" t="s">
        <v>2308</v>
      </c>
      <c r="P11" s="22" t="s">
        <v>2308</v>
      </c>
      <c r="Q11" s="22" t="s">
        <v>2308</v>
      </c>
      <c r="R11" s="22" t="s">
        <v>2308</v>
      </c>
      <c r="S11" s="22" t="s">
        <v>2308</v>
      </c>
      <c r="T11" s="22" t="s">
        <v>2308</v>
      </c>
      <c r="U11" s="22" t="s">
        <v>2308</v>
      </c>
      <c r="V11" s="22" t="s">
        <v>2308</v>
      </c>
      <c r="W11" s="22" t="s">
        <v>2308</v>
      </c>
      <c r="X11" s="22" t="s">
        <v>2308</v>
      </c>
      <c r="Y11" s="22" t="s">
        <v>2308</v>
      </c>
      <c r="Z11" s="4" t="s">
        <v>34</v>
      </c>
      <c r="AA11" s="4" t="s">
        <v>35</v>
      </c>
      <c r="AB11" s="4" t="s">
        <v>64</v>
      </c>
      <c r="AC11" s="5" t="s">
        <v>56</v>
      </c>
      <c r="AD11" s="4"/>
    </row>
    <row r="12" spans="1:30" ht="53.5" customHeight="1">
      <c r="A12" s="4" t="s">
        <v>19</v>
      </c>
      <c r="B12" s="4" t="s">
        <v>54</v>
      </c>
      <c r="C12" s="4" t="s">
        <v>24</v>
      </c>
      <c r="D12" s="5" t="s">
        <v>150</v>
      </c>
      <c r="E12" s="4" t="s">
        <v>143</v>
      </c>
      <c r="F12" s="5" t="s">
        <v>55</v>
      </c>
      <c r="G12" s="4"/>
      <c r="H12" s="4" t="s">
        <v>531</v>
      </c>
      <c r="I12" s="4"/>
      <c r="J12" s="22" t="s">
        <v>2308</v>
      </c>
      <c r="K12" s="22" t="s">
        <v>2308</v>
      </c>
      <c r="L12" s="22" t="s">
        <v>2308</v>
      </c>
      <c r="M12" s="22" t="s">
        <v>2308</v>
      </c>
      <c r="N12" s="22" t="s">
        <v>2308</v>
      </c>
      <c r="O12" s="22" t="s">
        <v>2308</v>
      </c>
      <c r="P12" s="22" t="s">
        <v>2308</v>
      </c>
      <c r="Q12" s="22" t="s">
        <v>2308</v>
      </c>
      <c r="R12" s="22" t="s">
        <v>2308</v>
      </c>
      <c r="S12" s="22" t="s">
        <v>2308</v>
      </c>
      <c r="T12" s="22" t="s">
        <v>2308</v>
      </c>
      <c r="U12" s="22" t="s">
        <v>2308</v>
      </c>
      <c r="V12" s="22" t="s">
        <v>2308</v>
      </c>
      <c r="W12" s="22" t="s">
        <v>2308</v>
      </c>
      <c r="X12" s="22" t="s">
        <v>2308</v>
      </c>
      <c r="Y12" s="22" t="s">
        <v>2308</v>
      </c>
      <c r="Z12" s="4" t="s">
        <v>34</v>
      </c>
      <c r="AA12" s="4" t="s">
        <v>35</v>
      </c>
      <c r="AB12" s="4" t="s">
        <v>64</v>
      </c>
      <c r="AC12" s="20" t="s">
        <v>52</v>
      </c>
      <c r="AD12" s="4"/>
    </row>
    <row r="13" spans="1:30" ht="62.5" customHeight="1">
      <c r="A13" s="21" t="s">
        <v>71</v>
      </c>
      <c r="B13" s="4" t="s">
        <v>73</v>
      </c>
      <c r="C13" s="21" t="s">
        <v>24</v>
      </c>
      <c r="D13" s="21" t="s">
        <v>27</v>
      </c>
      <c r="E13" s="10" t="s">
        <v>136</v>
      </c>
      <c r="F13" s="35" t="s">
        <v>167</v>
      </c>
      <c r="G13" s="35"/>
      <c r="H13" s="4" t="s">
        <v>531</v>
      </c>
      <c r="I13" s="21"/>
      <c r="J13" s="77" t="s">
        <v>2308</v>
      </c>
      <c r="K13" s="77" t="s">
        <v>2308</v>
      </c>
      <c r="L13" s="77" t="s">
        <v>2308</v>
      </c>
      <c r="M13" s="77" t="s">
        <v>2308</v>
      </c>
      <c r="N13" s="77" t="s">
        <v>2308</v>
      </c>
      <c r="O13" s="77" t="s">
        <v>2308</v>
      </c>
      <c r="P13" s="77" t="s">
        <v>2308</v>
      </c>
      <c r="Q13" s="22" t="s">
        <v>2308</v>
      </c>
      <c r="R13" s="22" t="s">
        <v>2308</v>
      </c>
      <c r="S13" s="77" t="s">
        <v>2308</v>
      </c>
      <c r="T13" s="77" t="s">
        <v>2308</v>
      </c>
      <c r="U13" s="77" t="s">
        <v>2308</v>
      </c>
      <c r="V13" s="77" t="s">
        <v>2308</v>
      </c>
      <c r="W13" s="77" t="s">
        <v>2308</v>
      </c>
      <c r="X13" s="77" t="s">
        <v>2308</v>
      </c>
      <c r="Y13" s="77" t="s">
        <v>2308</v>
      </c>
      <c r="Z13" s="9" t="s">
        <v>75</v>
      </c>
      <c r="AA13" s="9" t="s">
        <v>35</v>
      </c>
      <c r="AB13" s="9" t="s">
        <v>76</v>
      </c>
      <c r="AC13" s="10" t="s">
        <v>77</v>
      </c>
      <c r="AD13" s="4"/>
    </row>
    <row r="14" spans="1:30" ht="122.5" customHeight="1">
      <c r="A14" s="12" t="s">
        <v>81</v>
      </c>
      <c r="B14" s="4" t="s">
        <v>82</v>
      </c>
      <c r="C14" s="12" t="s">
        <v>24</v>
      </c>
      <c r="D14" s="12" t="s">
        <v>2692</v>
      </c>
      <c r="E14" s="5" t="s">
        <v>403</v>
      </c>
      <c r="F14" s="20" t="s">
        <v>28</v>
      </c>
      <c r="G14" s="12" t="s">
        <v>2308</v>
      </c>
      <c r="H14" s="4" t="s">
        <v>531</v>
      </c>
      <c r="I14" s="12"/>
      <c r="J14" s="22" t="s">
        <v>2308</v>
      </c>
      <c r="K14" s="22" t="s">
        <v>2308</v>
      </c>
      <c r="L14" s="22" t="s">
        <v>2308</v>
      </c>
      <c r="M14" s="22">
        <v>3</v>
      </c>
      <c r="N14" s="22" t="s">
        <v>2308</v>
      </c>
      <c r="O14" s="22" t="s">
        <v>2308</v>
      </c>
      <c r="P14" s="22" t="s">
        <v>2308</v>
      </c>
      <c r="Q14" s="22" t="s">
        <v>2308</v>
      </c>
      <c r="R14" s="22" t="s">
        <v>2308</v>
      </c>
      <c r="S14" s="22" t="s">
        <v>2308</v>
      </c>
      <c r="T14" s="22" t="s">
        <v>2308</v>
      </c>
      <c r="U14" s="22" t="s">
        <v>2308</v>
      </c>
      <c r="V14" s="94" t="s">
        <v>2308</v>
      </c>
      <c r="W14" s="94" t="s">
        <v>2308</v>
      </c>
      <c r="X14" s="94" t="s">
        <v>2308</v>
      </c>
      <c r="Y14" s="94" t="s">
        <v>2308</v>
      </c>
      <c r="Z14" s="4" t="s">
        <v>75</v>
      </c>
      <c r="AA14" s="4" t="s">
        <v>35</v>
      </c>
      <c r="AB14" s="4" t="s">
        <v>64</v>
      </c>
      <c r="AC14" s="5" t="s">
        <v>118</v>
      </c>
      <c r="AD14" s="5" t="s">
        <v>119</v>
      </c>
    </row>
    <row r="15" spans="1:30" ht="124.5" customHeight="1">
      <c r="A15" s="24" t="s">
        <v>81</v>
      </c>
      <c r="B15" s="4" t="s">
        <v>85</v>
      </c>
      <c r="C15" s="24" t="s">
        <v>24</v>
      </c>
      <c r="D15" s="4" t="s">
        <v>2692</v>
      </c>
      <c r="E15" s="5" t="s">
        <v>404</v>
      </c>
      <c r="F15" s="27" t="s">
        <v>28</v>
      </c>
      <c r="G15" s="12" t="s">
        <v>2308</v>
      </c>
      <c r="H15" s="4" t="s">
        <v>531</v>
      </c>
      <c r="I15" s="24"/>
      <c r="J15" s="84" t="s">
        <v>2308</v>
      </c>
      <c r="K15" s="84" t="s">
        <v>2308</v>
      </c>
      <c r="L15" s="84" t="s">
        <v>2308</v>
      </c>
      <c r="M15" s="84">
        <v>3</v>
      </c>
      <c r="N15" s="84" t="s">
        <v>2308</v>
      </c>
      <c r="O15" s="84" t="s">
        <v>2308</v>
      </c>
      <c r="P15" s="84" t="s">
        <v>2308</v>
      </c>
      <c r="Q15" s="22" t="s">
        <v>2308</v>
      </c>
      <c r="R15" s="22" t="s">
        <v>2308</v>
      </c>
      <c r="S15" s="84" t="s">
        <v>2308</v>
      </c>
      <c r="T15" s="84" t="s">
        <v>2308</v>
      </c>
      <c r="U15" s="94" t="s">
        <v>2308</v>
      </c>
      <c r="V15" s="94" t="s">
        <v>2308</v>
      </c>
      <c r="W15" s="94" t="s">
        <v>2308</v>
      </c>
      <c r="X15" s="94" t="s">
        <v>2308</v>
      </c>
      <c r="Y15" s="94" t="s">
        <v>2308</v>
      </c>
      <c r="Z15" s="4" t="s">
        <v>75</v>
      </c>
      <c r="AA15" s="4" t="s">
        <v>35</v>
      </c>
      <c r="AB15" s="4" t="s">
        <v>64</v>
      </c>
      <c r="AC15" s="5" t="s">
        <v>118</v>
      </c>
      <c r="AD15" s="5" t="s">
        <v>121</v>
      </c>
    </row>
    <row r="16" spans="1:30" ht="122.5" customHeight="1">
      <c r="A16" s="32" t="s">
        <v>227</v>
      </c>
      <c r="B16" s="4" t="s">
        <v>82</v>
      </c>
      <c r="C16" s="12" t="s">
        <v>24</v>
      </c>
      <c r="D16" s="4" t="s">
        <v>2692</v>
      </c>
      <c r="E16" s="5" t="s">
        <v>403</v>
      </c>
      <c r="F16" s="20" t="s">
        <v>28</v>
      </c>
      <c r="G16" s="12" t="s">
        <v>2308</v>
      </c>
      <c r="H16" s="4" t="s">
        <v>531</v>
      </c>
      <c r="I16" s="12"/>
      <c r="J16" s="22" t="s">
        <v>2308</v>
      </c>
      <c r="K16" s="22" t="s">
        <v>2308</v>
      </c>
      <c r="L16" s="22" t="s">
        <v>2308</v>
      </c>
      <c r="M16" s="22">
        <v>3</v>
      </c>
      <c r="N16" s="22" t="s">
        <v>2308</v>
      </c>
      <c r="O16" s="22" t="s">
        <v>2308</v>
      </c>
      <c r="P16" s="22" t="s">
        <v>2308</v>
      </c>
      <c r="Q16" s="22" t="s">
        <v>2308</v>
      </c>
      <c r="R16" s="22" t="s">
        <v>2308</v>
      </c>
      <c r="S16" s="22" t="s">
        <v>2308</v>
      </c>
      <c r="T16" s="22" t="s">
        <v>2308</v>
      </c>
      <c r="U16" s="94" t="s">
        <v>2308</v>
      </c>
      <c r="V16" s="94" t="s">
        <v>2308</v>
      </c>
      <c r="W16" s="94" t="s">
        <v>2308</v>
      </c>
      <c r="X16" s="94" t="s">
        <v>2308</v>
      </c>
      <c r="Y16" s="94" t="s">
        <v>2308</v>
      </c>
      <c r="Z16" s="4" t="s">
        <v>75</v>
      </c>
      <c r="AA16" s="4" t="s">
        <v>35</v>
      </c>
      <c r="AB16" s="4" t="s">
        <v>64</v>
      </c>
      <c r="AC16" s="5" t="s">
        <v>118</v>
      </c>
      <c r="AD16" s="5" t="s">
        <v>2293</v>
      </c>
    </row>
    <row r="17" spans="1:30" ht="114.5" customHeight="1">
      <c r="A17" s="32" t="s">
        <v>228</v>
      </c>
      <c r="B17" s="4" t="s">
        <v>319</v>
      </c>
      <c r="C17" s="12" t="s">
        <v>24</v>
      </c>
      <c r="D17" s="4" t="s">
        <v>2692</v>
      </c>
      <c r="E17" s="5" t="s">
        <v>403</v>
      </c>
      <c r="F17" s="20" t="s">
        <v>28</v>
      </c>
      <c r="G17" s="12" t="s">
        <v>2308</v>
      </c>
      <c r="H17" s="4" t="s">
        <v>531</v>
      </c>
      <c r="I17" s="12"/>
      <c r="J17" s="22" t="s">
        <v>2308</v>
      </c>
      <c r="K17" s="22" t="s">
        <v>2308</v>
      </c>
      <c r="L17" s="22" t="s">
        <v>2308</v>
      </c>
      <c r="M17" s="22">
        <v>3</v>
      </c>
      <c r="N17" s="22" t="s">
        <v>2308</v>
      </c>
      <c r="O17" s="22" t="s">
        <v>2308</v>
      </c>
      <c r="P17" s="22" t="s">
        <v>2308</v>
      </c>
      <c r="Q17" s="22" t="s">
        <v>2308</v>
      </c>
      <c r="R17" s="22" t="s">
        <v>2308</v>
      </c>
      <c r="S17" s="22" t="s">
        <v>2308</v>
      </c>
      <c r="T17" s="22" t="s">
        <v>2308</v>
      </c>
      <c r="U17" s="94" t="s">
        <v>2308</v>
      </c>
      <c r="V17" s="94" t="s">
        <v>2308</v>
      </c>
      <c r="W17" s="94" t="s">
        <v>2308</v>
      </c>
      <c r="X17" s="94" t="s">
        <v>2308</v>
      </c>
      <c r="Y17" s="94" t="s">
        <v>2308</v>
      </c>
      <c r="Z17" s="4" t="s">
        <v>75</v>
      </c>
      <c r="AA17" s="4" t="s">
        <v>35</v>
      </c>
      <c r="AB17" s="4" t="s">
        <v>64</v>
      </c>
      <c r="AC17" s="5" t="s">
        <v>118</v>
      </c>
      <c r="AD17" s="5" t="s">
        <v>2293</v>
      </c>
    </row>
    <row r="18" spans="1:30" ht="111.5" customHeight="1">
      <c r="A18" s="32" t="s">
        <v>229</v>
      </c>
      <c r="B18" s="4" t="s">
        <v>320</v>
      </c>
      <c r="C18" s="12" t="s">
        <v>24</v>
      </c>
      <c r="D18" s="4" t="s">
        <v>2692</v>
      </c>
      <c r="E18" s="5" t="s">
        <v>403</v>
      </c>
      <c r="F18" s="20" t="s">
        <v>28</v>
      </c>
      <c r="G18" s="12" t="s">
        <v>2308</v>
      </c>
      <c r="H18" s="4" t="s">
        <v>531</v>
      </c>
      <c r="I18" s="12"/>
      <c r="J18" s="22" t="s">
        <v>2308</v>
      </c>
      <c r="K18" s="22" t="s">
        <v>2308</v>
      </c>
      <c r="L18" s="22" t="s">
        <v>2308</v>
      </c>
      <c r="M18" s="22">
        <v>3</v>
      </c>
      <c r="N18" s="22" t="s">
        <v>2308</v>
      </c>
      <c r="O18" s="22" t="s">
        <v>2308</v>
      </c>
      <c r="P18" s="22" t="s">
        <v>2308</v>
      </c>
      <c r="Q18" s="22" t="s">
        <v>2308</v>
      </c>
      <c r="R18" s="22" t="s">
        <v>2308</v>
      </c>
      <c r="S18" s="22" t="s">
        <v>2308</v>
      </c>
      <c r="T18" s="22" t="s">
        <v>2308</v>
      </c>
      <c r="U18" s="94" t="s">
        <v>2308</v>
      </c>
      <c r="V18" s="94" t="s">
        <v>2308</v>
      </c>
      <c r="W18" s="94" t="s">
        <v>2308</v>
      </c>
      <c r="X18" s="94" t="s">
        <v>2308</v>
      </c>
      <c r="Y18" s="94" t="s">
        <v>2308</v>
      </c>
      <c r="Z18" s="4" t="s">
        <v>75</v>
      </c>
      <c r="AA18" s="4" t="s">
        <v>35</v>
      </c>
      <c r="AB18" s="4" t="s">
        <v>64</v>
      </c>
      <c r="AC18" s="5" t="s">
        <v>118</v>
      </c>
      <c r="AD18" s="5" t="s">
        <v>2293</v>
      </c>
    </row>
    <row r="19" spans="1:30" ht="115" customHeight="1">
      <c r="A19" s="32" t="s">
        <v>230</v>
      </c>
      <c r="B19" s="4" t="s">
        <v>321</v>
      </c>
      <c r="C19" s="12" t="s">
        <v>24</v>
      </c>
      <c r="D19" s="4" t="s">
        <v>2692</v>
      </c>
      <c r="E19" s="5" t="s">
        <v>403</v>
      </c>
      <c r="F19" s="20" t="s">
        <v>28</v>
      </c>
      <c r="G19" s="12" t="s">
        <v>2308</v>
      </c>
      <c r="H19" s="4" t="s">
        <v>531</v>
      </c>
      <c r="I19" s="12"/>
      <c r="J19" s="22" t="s">
        <v>2308</v>
      </c>
      <c r="K19" s="22" t="s">
        <v>2308</v>
      </c>
      <c r="L19" s="22" t="s">
        <v>2308</v>
      </c>
      <c r="M19" s="22">
        <v>3</v>
      </c>
      <c r="N19" s="22" t="s">
        <v>2308</v>
      </c>
      <c r="O19" s="22" t="s">
        <v>2308</v>
      </c>
      <c r="P19" s="22" t="s">
        <v>2308</v>
      </c>
      <c r="Q19" s="22" t="s">
        <v>2308</v>
      </c>
      <c r="R19" s="22" t="s">
        <v>2308</v>
      </c>
      <c r="S19" s="22" t="s">
        <v>2308</v>
      </c>
      <c r="T19" s="22" t="s">
        <v>2308</v>
      </c>
      <c r="U19" s="94" t="s">
        <v>2308</v>
      </c>
      <c r="V19" s="94" t="s">
        <v>2308</v>
      </c>
      <c r="W19" s="94" t="s">
        <v>2308</v>
      </c>
      <c r="X19" s="94" t="s">
        <v>2308</v>
      </c>
      <c r="Y19" s="94" t="s">
        <v>2308</v>
      </c>
      <c r="Z19" s="4" t="s">
        <v>75</v>
      </c>
      <c r="AA19" s="4" t="s">
        <v>35</v>
      </c>
      <c r="AB19" s="4" t="s">
        <v>64</v>
      </c>
      <c r="AC19" s="5" t="s">
        <v>118</v>
      </c>
      <c r="AD19" s="5" t="s">
        <v>2293</v>
      </c>
    </row>
    <row r="20" spans="1:30" ht="76.5" customHeight="1">
      <c r="A20" s="32" t="s">
        <v>231</v>
      </c>
      <c r="B20" s="4" t="s">
        <v>322</v>
      </c>
      <c r="C20" s="12" t="s">
        <v>24</v>
      </c>
      <c r="D20" s="4" t="s">
        <v>2692</v>
      </c>
      <c r="E20" s="5" t="s">
        <v>403</v>
      </c>
      <c r="F20" s="20" t="s">
        <v>28</v>
      </c>
      <c r="G20" s="12" t="s">
        <v>2308</v>
      </c>
      <c r="H20" s="4" t="s">
        <v>531</v>
      </c>
      <c r="I20" s="12"/>
      <c r="J20" s="22" t="s">
        <v>2308</v>
      </c>
      <c r="K20" s="22" t="s">
        <v>2308</v>
      </c>
      <c r="L20" s="22" t="s">
        <v>2308</v>
      </c>
      <c r="M20" s="22">
        <v>3</v>
      </c>
      <c r="N20" s="22" t="s">
        <v>2308</v>
      </c>
      <c r="O20" s="22" t="s">
        <v>2308</v>
      </c>
      <c r="P20" s="22" t="s">
        <v>2308</v>
      </c>
      <c r="Q20" s="22" t="s">
        <v>2308</v>
      </c>
      <c r="R20" s="22" t="s">
        <v>2308</v>
      </c>
      <c r="S20" s="22" t="s">
        <v>2308</v>
      </c>
      <c r="T20" s="22" t="s">
        <v>2308</v>
      </c>
      <c r="U20" s="94" t="s">
        <v>2308</v>
      </c>
      <c r="V20" s="94" t="s">
        <v>2308</v>
      </c>
      <c r="W20" s="94" t="s">
        <v>2308</v>
      </c>
      <c r="X20" s="94" t="s">
        <v>2308</v>
      </c>
      <c r="Y20" s="94" t="s">
        <v>2308</v>
      </c>
      <c r="Z20" s="4" t="s">
        <v>75</v>
      </c>
      <c r="AA20" s="4" t="s">
        <v>35</v>
      </c>
      <c r="AB20" s="4" t="s">
        <v>64</v>
      </c>
      <c r="AC20" s="5" t="s">
        <v>118</v>
      </c>
      <c r="AD20" s="5" t="s">
        <v>2293</v>
      </c>
    </row>
    <row r="21" spans="1:30" ht="78" customHeight="1">
      <c r="A21" s="32" t="s">
        <v>263</v>
      </c>
      <c r="B21" s="4" t="s">
        <v>323</v>
      </c>
      <c r="C21" s="12" t="s">
        <v>24</v>
      </c>
      <c r="D21" s="4" t="s">
        <v>2692</v>
      </c>
      <c r="E21" s="5" t="s">
        <v>403</v>
      </c>
      <c r="F21" s="20" t="s">
        <v>28</v>
      </c>
      <c r="G21" s="12" t="s">
        <v>2308</v>
      </c>
      <c r="H21" s="4" t="s">
        <v>531</v>
      </c>
      <c r="I21" s="12"/>
      <c r="J21" s="22" t="s">
        <v>2308</v>
      </c>
      <c r="K21" s="22" t="s">
        <v>2308</v>
      </c>
      <c r="L21" s="22" t="s">
        <v>2308</v>
      </c>
      <c r="M21" s="22">
        <v>3</v>
      </c>
      <c r="N21" s="22" t="s">
        <v>2308</v>
      </c>
      <c r="O21" s="22" t="s">
        <v>2308</v>
      </c>
      <c r="P21" s="22" t="s">
        <v>2308</v>
      </c>
      <c r="Q21" s="22" t="s">
        <v>2308</v>
      </c>
      <c r="R21" s="22" t="s">
        <v>2308</v>
      </c>
      <c r="S21" s="22" t="s">
        <v>2308</v>
      </c>
      <c r="T21" s="22" t="s">
        <v>2308</v>
      </c>
      <c r="U21" s="94" t="s">
        <v>2308</v>
      </c>
      <c r="V21" s="94" t="s">
        <v>2308</v>
      </c>
      <c r="W21" s="94" t="s">
        <v>2308</v>
      </c>
      <c r="X21" s="94" t="s">
        <v>2308</v>
      </c>
      <c r="Y21" s="94" t="s">
        <v>2308</v>
      </c>
      <c r="Z21" s="4" t="s">
        <v>75</v>
      </c>
      <c r="AA21" s="4" t="s">
        <v>35</v>
      </c>
      <c r="AB21" s="4" t="s">
        <v>64</v>
      </c>
      <c r="AC21" s="5" t="s">
        <v>118</v>
      </c>
      <c r="AD21" s="5" t="s">
        <v>2293</v>
      </c>
    </row>
    <row r="22" spans="1:30" ht="70.5" customHeight="1">
      <c r="A22" s="32" t="s">
        <v>264</v>
      </c>
      <c r="B22" s="4" t="s">
        <v>324</v>
      </c>
      <c r="C22" s="12" t="s">
        <v>24</v>
      </c>
      <c r="D22" s="4" t="s">
        <v>2692</v>
      </c>
      <c r="E22" s="5" t="s">
        <v>403</v>
      </c>
      <c r="F22" s="20" t="s">
        <v>28</v>
      </c>
      <c r="G22" s="12" t="s">
        <v>2308</v>
      </c>
      <c r="H22" s="4" t="s">
        <v>531</v>
      </c>
      <c r="I22" s="12"/>
      <c r="J22" s="22" t="s">
        <v>2308</v>
      </c>
      <c r="K22" s="22" t="s">
        <v>2308</v>
      </c>
      <c r="L22" s="22" t="s">
        <v>2308</v>
      </c>
      <c r="M22" s="22">
        <v>3</v>
      </c>
      <c r="N22" s="22" t="s">
        <v>2308</v>
      </c>
      <c r="O22" s="22" t="s">
        <v>2308</v>
      </c>
      <c r="P22" s="22" t="s">
        <v>2308</v>
      </c>
      <c r="Q22" s="22" t="s">
        <v>2308</v>
      </c>
      <c r="R22" s="22" t="s">
        <v>2308</v>
      </c>
      <c r="S22" s="22" t="s">
        <v>2308</v>
      </c>
      <c r="T22" s="22" t="s">
        <v>2308</v>
      </c>
      <c r="U22" s="94" t="s">
        <v>2308</v>
      </c>
      <c r="V22" s="94" t="s">
        <v>2308</v>
      </c>
      <c r="W22" s="94" t="s">
        <v>2308</v>
      </c>
      <c r="X22" s="94" t="s">
        <v>2308</v>
      </c>
      <c r="Y22" s="94" t="s">
        <v>2308</v>
      </c>
      <c r="Z22" s="4" t="s">
        <v>75</v>
      </c>
      <c r="AA22" s="4" t="s">
        <v>35</v>
      </c>
      <c r="AB22" s="4" t="s">
        <v>64</v>
      </c>
      <c r="AC22" s="5" t="s">
        <v>118</v>
      </c>
      <c r="AD22" s="5" t="s">
        <v>2293</v>
      </c>
    </row>
    <row r="23" spans="1:30" ht="89" customHeight="1">
      <c r="A23" s="32" t="s">
        <v>265</v>
      </c>
      <c r="B23" s="4" t="s">
        <v>325</v>
      </c>
      <c r="C23" s="12" t="s">
        <v>24</v>
      </c>
      <c r="D23" s="4" t="s">
        <v>2692</v>
      </c>
      <c r="E23" s="5" t="s">
        <v>403</v>
      </c>
      <c r="F23" s="20" t="s">
        <v>28</v>
      </c>
      <c r="G23" s="12" t="s">
        <v>2308</v>
      </c>
      <c r="H23" s="4" t="s">
        <v>531</v>
      </c>
      <c r="I23" s="12"/>
      <c r="J23" s="22" t="s">
        <v>2308</v>
      </c>
      <c r="K23" s="22" t="s">
        <v>2308</v>
      </c>
      <c r="L23" s="22" t="s">
        <v>2308</v>
      </c>
      <c r="M23" s="22">
        <v>3</v>
      </c>
      <c r="N23" s="22" t="s">
        <v>2308</v>
      </c>
      <c r="O23" s="22" t="s">
        <v>2308</v>
      </c>
      <c r="P23" s="22" t="s">
        <v>2308</v>
      </c>
      <c r="Q23" s="22" t="s">
        <v>2308</v>
      </c>
      <c r="R23" s="22" t="s">
        <v>2308</v>
      </c>
      <c r="S23" s="22" t="s">
        <v>2308</v>
      </c>
      <c r="T23" s="22" t="s">
        <v>2308</v>
      </c>
      <c r="U23" s="94" t="s">
        <v>2308</v>
      </c>
      <c r="V23" s="94" t="s">
        <v>2308</v>
      </c>
      <c r="W23" s="94" t="s">
        <v>2308</v>
      </c>
      <c r="X23" s="94" t="s">
        <v>2308</v>
      </c>
      <c r="Y23" s="94" t="s">
        <v>2308</v>
      </c>
      <c r="Z23" s="4" t="s">
        <v>75</v>
      </c>
      <c r="AA23" s="4" t="s">
        <v>35</v>
      </c>
      <c r="AB23" s="4" t="s">
        <v>64</v>
      </c>
      <c r="AC23" s="5" t="s">
        <v>118</v>
      </c>
      <c r="AD23" s="5" t="s">
        <v>2293</v>
      </c>
    </row>
    <row r="24" spans="1:30" ht="88.5" customHeight="1">
      <c r="A24" s="32" t="s">
        <v>266</v>
      </c>
      <c r="B24" s="4" t="s">
        <v>326</v>
      </c>
      <c r="C24" s="12" t="s">
        <v>24</v>
      </c>
      <c r="D24" s="4" t="s">
        <v>2692</v>
      </c>
      <c r="E24" s="5" t="s">
        <v>403</v>
      </c>
      <c r="F24" s="20" t="s">
        <v>28</v>
      </c>
      <c r="G24" s="12" t="s">
        <v>2308</v>
      </c>
      <c r="H24" s="4" t="s">
        <v>531</v>
      </c>
      <c r="I24" s="12"/>
      <c r="J24" s="22" t="s">
        <v>2308</v>
      </c>
      <c r="K24" s="22" t="s">
        <v>2308</v>
      </c>
      <c r="L24" s="22" t="s">
        <v>2308</v>
      </c>
      <c r="M24" s="22">
        <v>3</v>
      </c>
      <c r="N24" s="22" t="s">
        <v>2308</v>
      </c>
      <c r="O24" s="22" t="s">
        <v>2308</v>
      </c>
      <c r="P24" s="22" t="s">
        <v>2308</v>
      </c>
      <c r="Q24" s="22" t="s">
        <v>2308</v>
      </c>
      <c r="R24" s="22" t="s">
        <v>2308</v>
      </c>
      <c r="S24" s="22" t="s">
        <v>2308</v>
      </c>
      <c r="T24" s="22" t="s">
        <v>2308</v>
      </c>
      <c r="U24" s="94" t="s">
        <v>2308</v>
      </c>
      <c r="V24" s="94" t="s">
        <v>2308</v>
      </c>
      <c r="W24" s="94" t="s">
        <v>2308</v>
      </c>
      <c r="X24" s="94" t="s">
        <v>2308</v>
      </c>
      <c r="Y24" s="94" t="s">
        <v>2308</v>
      </c>
      <c r="Z24" s="4" t="s">
        <v>75</v>
      </c>
      <c r="AA24" s="4" t="s">
        <v>35</v>
      </c>
      <c r="AB24" s="4" t="s">
        <v>64</v>
      </c>
      <c r="AC24" s="5" t="s">
        <v>118</v>
      </c>
      <c r="AD24" s="5" t="s">
        <v>2293</v>
      </c>
    </row>
    <row r="25" spans="1:30" ht="87" customHeight="1">
      <c r="A25" s="32" t="s">
        <v>267</v>
      </c>
      <c r="B25" s="4" t="s">
        <v>327</v>
      </c>
      <c r="C25" s="12" t="s">
        <v>24</v>
      </c>
      <c r="D25" s="4" t="s">
        <v>2692</v>
      </c>
      <c r="E25" s="5" t="s">
        <v>403</v>
      </c>
      <c r="F25" s="20" t="s">
        <v>28</v>
      </c>
      <c r="G25" s="12" t="s">
        <v>2308</v>
      </c>
      <c r="H25" s="4" t="s">
        <v>531</v>
      </c>
      <c r="I25" s="12"/>
      <c r="J25" s="22" t="s">
        <v>2308</v>
      </c>
      <c r="K25" s="22" t="s">
        <v>2308</v>
      </c>
      <c r="L25" s="22" t="s">
        <v>2308</v>
      </c>
      <c r="M25" s="22">
        <v>3</v>
      </c>
      <c r="N25" s="22" t="s">
        <v>2308</v>
      </c>
      <c r="O25" s="22" t="s">
        <v>2308</v>
      </c>
      <c r="P25" s="22" t="s">
        <v>2308</v>
      </c>
      <c r="Q25" s="22" t="s">
        <v>2308</v>
      </c>
      <c r="R25" s="22" t="s">
        <v>2308</v>
      </c>
      <c r="S25" s="22" t="s">
        <v>2308</v>
      </c>
      <c r="T25" s="22" t="s">
        <v>2308</v>
      </c>
      <c r="U25" s="94" t="s">
        <v>2308</v>
      </c>
      <c r="V25" s="94" t="s">
        <v>2308</v>
      </c>
      <c r="W25" s="94" t="s">
        <v>2308</v>
      </c>
      <c r="X25" s="94" t="s">
        <v>2308</v>
      </c>
      <c r="Y25" s="94" t="s">
        <v>2308</v>
      </c>
      <c r="Z25" s="4" t="s">
        <v>75</v>
      </c>
      <c r="AA25" s="4" t="s">
        <v>35</v>
      </c>
      <c r="AB25" s="4" t="s">
        <v>64</v>
      </c>
      <c r="AC25" s="5" t="s">
        <v>118</v>
      </c>
      <c r="AD25" s="5" t="s">
        <v>2293</v>
      </c>
    </row>
    <row r="26" spans="1:30" ht="152" customHeight="1">
      <c r="A26" s="32" t="s">
        <v>268</v>
      </c>
      <c r="B26" s="4" t="s">
        <v>328</v>
      </c>
      <c r="C26" s="12" t="s">
        <v>24</v>
      </c>
      <c r="D26" s="4" t="s">
        <v>2692</v>
      </c>
      <c r="E26" s="5" t="s">
        <v>403</v>
      </c>
      <c r="F26" s="20" t="s">
        <v>28</v>
      </c>
      <c r="G26" s="12" t="s">
        <v>2308</v>
      </c>
      <c r="H26" s="4" t="s">
        <v>531</v>
      </c>
      <c r="I26" s="12"/>
      <c r="J26" s="22" t="s">
        <v>2308</v>
      </c>
      <c r="K26" s="22" t="s">
        <v>2308</v>
      </c>
      <c r="L26" s="22" t="s">
        <v>2308</v>
      </c>
      <c r="M26" s="22">
        <v>3</v>
      </c>
      <c r="N26" s="22" t="s">
        <v>2308</v>
      </c>
      <c r="O26" s="22" t="s">
        <v>2308</v>
      </c>
      <c r="P26" s="22" t="s">
        <v>2308</v>
      </c>
      <c r="Q26" s="22" t="s">
        <v>2308</v>
      </c>
      <c r="R26" s="22" t="s">
        <v>2308</v>
      </c>
      <c r="S26" s="22" t="s">
        <v>2308</v>
      </c>
      <c r="T26" s="22" t="s">
        <v>2308</v>
      </c>
      <c r="U26" s="94" t="s">
        <v>2308</v>
      </c>
      <c r="V26" s="94" t="s">
        <v>2308</v>
      </c>
      <c r="W26" s="94" t="s">
        <v>2308</v>
      </c>
      <c r="X26" s="94" t="s">
        <v>2308</v>
      </c>
      <c r="Y26" s="94" t="s">
        <v>2308</v>
      </c>
      <c r="Z26" s="4" t="s">
        <v>75</v>
      </c>
      <c r="AA26" s="4" t="s">
        <v>35</v>
      </c>
      <c r="AB26" s="4" t="s">
        <v>64</v>
      </c>
      <c r="AC26" s="5" t="s">
        <v>118</v>
      </c>
      <c r="AD26" s="5" t="s">
        <v>2293</v>
      </c>
    </row>
    <row r="27" spans="1:30" ht="140" customHeight="1">
      <c r="A27" s="32" t="s">
        <v>269</v>
      </c>
      <c r="B27" s="4" t="s">
        <v>329</v>
      </c>
      <c r="C27" s="12" t="s">
        <v>24</v>
      </c>
      <c r="D27" s="4" t="s">
        <v>2692</v>
      </c>
      <c r="E27" s="5" t="s">
        <v>403</v>
      </c>
      <c r="F27" s="20" t="s">
        <v>28</v>
      </c>
      <c r="G27" s="12" t="s">
        <v>2308</v>
      </c>
      <c r="H27" s="4" t="s">
        <v>531</v>
      </c>
      <c r="I27" s="12"/>
      <c r="J27" s="22" t="s">
        <v>2308</v>
      </c>
      <c r="K27" s="22" t="s">
        <v>2308</v>
      </c>
      <c r="L27" s="22" t="s">
        <v>2308</v>
      </c>
      <c r="M27" s="22">
        <v>3</v>
      </c>
      <c r="N27" s="22" t="s">
        <v>2308</v>
      </c>
      <c r="O27" s="22" t="s">
        <v>2308</v>
      </c>
      <c r="P27" s="22" t="s">
        <v>2308</v>
      </c>
      <c r="Q27" s="22" t="s">
        <v>2308</v>
      </c>
      <c r="R27" s="22" t="s">
        <v>2308</v>
      </c>
      <c r="S27" s="22" t="s">
        <v>2308</v>
      </c>
      <c r="T27" s="22" t="s">
        <v>2308</v>
      </c>
      <c r="U27" s="94" t="s">
        <v>2308</v>
      </c>
      <c r="V27" s="94" t="s">
        <v>2308</v>
      </c>
      <c r="W27" s="94" t="s">
        <v>2308</v>
      </c>
      <c r="X27" s="94" t="s">
        <v>2308</v>
      </c>
      <c r="Y27" s="94" t="s">
        <v>2308</v>
      </c>
      <c r="Z27" s="4" t="s">
        <v>75</v>
      </c>
      <c r="AA27" s="4" t="s">
        <v>35</v>
      </c>
      <c r="AB27" s="4" t="s">
        <v>64</v>
      </c>
      <c r="AC27" s="5" t="s">
        <v>118</v>
      </c>
      <c r="AD27" s="5" t="s">
        <v>2293</v>
      </c>
    </row>
    <row r="28" spans="1:30" ht="43" customHeight="1">
      <c r="A28" s="32" t="s">
        <v>270</v>
      </c>
      <c r="B28" s="4" t="s">
        <v>330</v>
      </c>
      <c r="C28" s="12" t="s">
        <v>24</v>
      </c>
      <c r="D28" s="4" t="s">
        <v>2692</v>
      </c>
      <c r="E28" s="5" t="s">
        <v>403</v>
      </c>
      <c r="F28" s="20" t="s">
        <v>28</v>
      </c>
      <c r="G28" s="12" t="s">
        <v>2308</v>
      </c>
      <c r="H28" s="4" t="s">
        <v>531</v>
      </c>
      <c r="I28" s="12"/>
      <c r="J28" s="22" t="s">
        <v>2308</v>
      </c>
      <c r="K28" s="22" t="s">
        <v>2308</v>
      </c>
      <c r="L28" s="22" t="s">
        <v>2308</v>
      </c>
      <c r="M28" s="22">
        <v>3</v>
      </c>
      <c r="N28" s="22" t="s">
        <v>2308</v>
      </c>
      <c r="O28" s="22" t="s">
        <v>2308</v>
      </c>
      <c r="P28" s="22" t="s">
        <v>2308</v>
      </c>
      <c r="Q28" s="22" t="s">
        <v>2308</v>
      </c>
      <c r="R28" s="22" t="s">
        <v>2308</v>
      </c>
      <c r="S28" s="22" t="s">
        <v>2308</v>
      </c>
      <c r="T28" s="22" t="s">
        <v>2308</v>
      </c>
      <c r="U28" s="94" t="s">
        <v>2308</v>
      </c>
      <c r="V28" s="94" t="s">
        <v>2308</v>
      </c>
      <c r="W28" s="94" t="s">
        <v>2308</v>
      </c>
      <c r="X28" s="94" t="s">
        <v>2308</v>
      </c>
      <c r="Y28" s="94" t="s">
        <v>2308</v>
      </c>
      <c r="Z28" s="4" t="s">
        <v>75</v>
      </c>
      <c r="AA28" s="4" t="s">
        <v>35</v>
      </c>
      <c r="AB28" s="4" t="s">
        <v>64</v>
      </c>
      <c r="AC28" s="5" t="s">
        <v>118</v>
      </c>
      <c r="AD28" s="5" t="s">
        <v>2293</v>
      </c>
    </row>
    <row r="29" spans="1:30" ht="56" customHeight="1">
      <c r="A29" s="32" t="s">
        <v>271</v>
      </c>
      <c r="B29" s="4" t="s">
        <v>331</v>
      </c>
      <c r="C29" s="12" t="s">
        <v>24</v>
      </c>
      <c r="D29" s="4" t="s">
        <v>2692</v>
      </c>
      <c r="E29" s="5" t="s">
        <v>403</v>
      </c>
      <c r="F29" s="20" t="s">
        <v>28</v>
      </c>
      <c r="G29" s="12" t="s">
        <v>2308</v>
      </c>
      <c r="H29" s="4" t="s">
        <v>531</v>
      </c>
      <c r="I29" s="12"/>
      <c r="J29" s="22" t="s">
        <v>2308</v>
      </c>
      <c r="K29" s="22" t="s">
        <v>2308</v>
      </c>
      <c r="L29" s="22" t="s">
        <v>2308</v>
      </c>
      <c r="M29" s="22">
        <v>3</v>
      </c>
      <c r="N29" s="22" t="s">
        <v>2308</v>
      </c>
      <c r="O29" s="22" t="s">
        <v>2308</v>
      </c>
      <c r="P29" s="22" t="s">
        <v>2308</v>
      </c>
      <c r="Q29" s="22" t="s">
        <v>2308</v>
      </c>
      <c r="R29" s="22" t="s">
        <v>2308</v>
      </c>
      <c r="S29" s="22" t="s">
        <v>2308</v>
      </c>
      <c r="T29" s="22" t="s">
        <v>2308</v>
      </c>
      <c r="U29" s="94" t="s">
        <v>2308</v>
      </c>
      <c r="V29" s="94" t="s">
        <v>2308</v>
      </c>
      <c r="W29" s="94" t="s">
        <v>2308</v>
      </c>
      <c r="X29" s="94" t="s">
        <v>2308</v>
      </c>
      <c r="Y29" s="94" t="s">
        <v>2308</v>
      </c>
      <c r="Z29" s="4" t="s">
        <v>75</v>
      </c>
      <c r="AA29" s="4" t="s">
        <v>35</v>
      </c>
      <c r="AB29" s="4" t="s">
        <v>64</v>
      </c>
      <c r="AC29" s="5" t="s">
        <v>118</v>
      </c>
      <c r="AD29" s="5" t="s">
        <v>2293</v>
      </c>
    </row>
    <row r="30" spans="1:30" ht="55" customHeight="1">
      <c r="A30" s="32" t="s">
        <v>272</v>
      </c>
      <c r="B30" s="4" t="s">
        <v>332</v>
      </c>
      <c r="C30" s="12" t="s">
        <v>24</v>
      </c>
      <c r="D30" s="4" t="s">
        <v>2692</v>
      </c>
      <c r="E30" s="5" t="s">
        <v>403</v>
      </c>
      <c r="F30" s="20" t="s">
        <v>28</v>
      </c>
      <c r="G30" s="12" t="s">
        <v>2308</v>
      </c>
      <c r="H30" s="4" t="s">
        <v>531</v>
      </c>
      <c r="I30" s="12"/>
      <c r="J30" s="22" t="s">
        <v>2308</v>
      </c>
      <c r="K30" s="22" t="s">
        <v>2308</v>
      </c>
      <c r="L30" s="22" t="s">
        <v>2308</v>
      </c>
      <c r="M30" s="22">
        <v>3</v>
      </c>
      <c r="N30" s="22" t="s">
        <v>2308</v>
      </c>
      <c r="O30" s="22" t="s">
        <v>2308</v>
      </c>
      <c r="P30" s="22" t="s">
        <v>2308</v>
      </c>
      <c r="Q30" s="22" t="s">
        <v>2308</v>
      </c>
      <c r="R30" s="22" t="s">
        <v>2308</v>
      </c>
      <c r="S30" s="22" t="s">
        <v>2308</v>
      </c>
      <c r="T30" s="22" t="s">
        <v>2308</v>
      </c>
      <c r="U30" s="94" t="s">
        <v>2308</v>
      </c>
      <c r="V30" s="94" t="s">
        <v>2308</v>
      </c>
      <c r="W30" s="94" t="s">
        <v>2308</v>
      </c>
      <c r="X30" s="94" t="s">
        <v>2308</v>
      </c>
      <c r="Y30" s="94" t="s">
        <v>2308</v>
      </c>
      <c r="Z30" s="4" t="s">
        <v>75</v>
      </c>
      <c r="AA30" s="4" t="s">
        <v>35</v>
      </c>
      <c r="AB30" s="4" t="s">
        <v>64</v>
      </c>
      <c r="AC30" s="5" t="s">
        <v>118</v>
      </c>
      <c r="AD30" s="5" t="s">
        <v>2293</v>
      </c>
    </row>
    <row r="31" spans="1:30" ht="63.5" customHeight="1">
      <c r="A31" s="32" t="s">
        <v>273</v>
      </c>
      <c r="B31" s="4" t="s">
        <v>333</v>
      </c>
      <c r="C31" s="12" t="s">
        <v>24</v>
      </c>
      <c r="D31" s="4" t="s">
        <v>2692</v>
      </c>
      <c r="E31" s="5" t="s">
        <v>403</v>
      </c>
      <c r="F31" s="20" t="s">
        <v>28</v>
      </c>
      <c r="G31" s="12" t="s">
        <v>2308</v>
      </c>
      <c r="H31" s="4" t="s">
        <v>531</v>
      </c>
      <c r="I31" s="12"/>
      <c r="J31" s="22" t="s">
        <v>2308</v>
      </c>
      <c r="K31" s="22" t="s">
        <v>2308</v>
      </c>
      <c r="L31" s="22" t="s">
        <v>2308</v>
      </c>
      <c r="M31" s="22">
        <v>3</v>
      </c>
      <c r="N31" s="22" t="s">
        <v>2308</v>
      </c>
      <c r="O31" s="22" t="s">
        <v>2308</v>
      </c>
      <c r="P31" s="22" t="s">
        <v>2308</v>
      </c>
      <c r="Q31" s="22" t="s">
        <v>2308</v>
      </c>
      <c r="R31" s="22" t="s">
        <v>2308</v>
      </c>
      <c r="S31" s="22" t="s">
        <v>2308</v>
      </c>
      <c r="T31" s="22" t="s">
        <v>2308</v>
      </c>
      <c r="U31" s="94" t="s">
        <v>2308</v>
      </c>
      <c r="V31" s="94" t="s">
        <v>2308</v>
      </c>
      <c r="W31" s="94" t="s">
        <v>2308</v>
      </c>
      <c r="X31" s="94" t="s">
        <v>2308</v>
      </c>
      <c r="Y31" s="94" t="s">
        <v>2308</v>
      </c>
      <c r="Z31" s="4" t="s">
        <v>75</v>
      </c>
      <c r="AA31" s="4" t="s">
        <v>35</v>
      </c>
      <c r="AB31" s="4" t="s">
        <v>64</v>
      </c>
      <c r="AC31" s="5" t="s">
        <v>118</v>
      </c>
      <c r="AD31" s="5" t="s">
        <v>2293</v>
      </c>
    </row>
    <row r="32" spans="1:30" ht="58">
      <c r="A32" s="32" t="s">
        <v>274</v>
      </c>
      <c r="B32" s="4" t="s">
        <v>334</v>
      </c>
      <c r="C32" s="12" t="s">
        <v>24</v>
      </c>
      <c r="D32" s="4" t="s">
        <v>2692</v>
      </c>
      <c r="E32" s="5" t="s">
        <v>403</v>
      </c>
      <c r="F32" s="20" t="s">
        <v>28</v>
      </c>
      <c r="G32" s="12" t="s">
        <v>2308</v>
      </c>
      <c r="H32" s="4" t="s">
        <v>531</v>
      </c>
      <c r="I32" s="12"/>
      <c r="J32" s="22" t="s">
        <v>2308</v>
      </c>
      <c r="K32" s="22" t="s">
        <v>2308</v>
      </c>
      <c r="L32" s="22" t="s">
        <v>2308</v>
      </c>
      <c r="M32" s="22">
        <v>3</v>
      </c>
      <c r="N32" s="22" t="s">
        <v>2308</v>
      </c>
      <c r="O32" s="22" t="s">
        <v>2308</v>
      </c>
      <c r="P32" s="22" t="s">
        <v>2308</v>
      </c>
      <c r="Q32" s="22" t="s">
        <v>2308</v>
      </c>
      <c r="R32" s="22" t="s">
        <v>2308</v>
      </c>
      <c r="S32" s="22" t="s">
        <v>2308</v>
      </c>
      <c r="T32" s="22" t="s">
        <v>2308</v>
      </c>
      <c r="U32" s="94" t="s">
        <v>2308</v>
      </c>
      <c r="V32" s="94" t="s">
        <v>2308</v>
      </c>
      <c r="W32" s="94" t="s">
        <v>2308</v>
      </c>
      <c r="X32" s="94" t="s">
        <v>2308</v>
      </c>
      <c r="Y32" s="94" t="s">
        <v>2308</v>
      </c>
      <c r="Z32" s="4" t="s">
        <v>75</v>
      </c>
      <c r="AA32" s="4" t="s">
        <v>35</v>
      </c>
      <c r="AB32" s="4" t="s">
        <v>64</v>
      </c>
      <c r="AC32" s="5" t="s">
        <v>118</v>
      </c>
      <c r="AD32" s="5" t="s">
        <v>2293</v>
      </c>
    </row>
    <row r="33" spans="1:30" ht="58">
      <c r="A33" s="32" t="s">
        <v>275</v>
      </c>
      <c r="B33" s="4" t="s">
        <v>335</v>
      </c>
      <c r="C33" s="12" t="s">
        <v>24</v>
      </c>
      <c r="D33" s="4" t="s">
        <v>2692</v>
      </c>
      <c r="E33" s="5" t="s">
        <v>403</v>
      </c>
      <c r="F33" s="20" t="s">
        <v>28</v>
      </c>
      <c r="G33" s="12" t="s">
        <v>2308</v>
      </c>
      <c r="H33" s="4" t="s">
        <v>531</v>
      </c>
      <c r="I33" s="12"/>
      <c r="J33" s="22" t="s">
        <v>2308</v>
      </c>
      <c r="K33" s="22" t="s">
        <v>2308</v>
      </c>
      <c r="L33" s="22" t="s">
        <v>2308</v>
      </c>
      <c r="M33" s="22">
        <v>3</v>
      </c>
      <c r="N33" s="22" t="s">
        <v>2308</v>
      </c>
      <c r="O33" s="22" t="s">
        <v>2308</v>
      </c>
      <c r="P33" s="22" t="s">
        <v>2308</v>
      </c>
      <c r="Q33" s="22" t="s">
        <v>2308</v>
      </c>
      <c r="R33" s="22" t="s">
        <v>2308</v>
      </c>
      <c r="S33" s="22" t="s">
        <v>2308</v>
      </c>
      <c r="T33" s="22" t="s">
        <v>2308</v>
      </c>
      <c r="U33" s="94" t="s">
        <v>2308</v>
      </c>
      <c r="V33" s="94" t="s">
        <v>2308</v>
      </c>
      <c r="W33" s="94" t="s">
        <v>2308</v>
      </c>
      <c r="X33" s="94" t="s">
        <v>2308</v>
      </c>
      <c r="Y33" s="94" t="s">
        <v>2308</v>
      </c>
      <c r="Z33" s="4" t="s">
        <v>75</v>
      </c>
      <c r="AA33" s="4" t="s">
        <v>35</v>
      </c>
      <c r="AB33" s="4" t="s">
        <v>64</v>
      </c>
      <c r="AC33" s="5" t="s">
        <v>118</v>
      </c>
      <c r="AD33" s="5" t="s">
        <v>2293</v>
      </c>
    </row>
    <row r="34" spans="1:30" ht="58">
      <c r="A34" s="32" t="s">
        <v>276</v>
      </c>
      <c r="B34" s="4" t="s">
        <v>336</v>
      </c>
      <c r="C34" s="12" t="s">
        <v>24</v>
      </c>
      <c r="D34" s="4" t="s">
        <v>2692</v>
      </c>
      <c r="E34" s="5" t="s">
        <v>403</v>
      </c>
      <c r="F34" s="20" t="s">
        <v>28</v>
      </c>
      <c r="G34" s="12" t="s">
        <v>2308</v>
      </c>
      <c r="H34" s="4" t="s">
        <v>531</v>
      </c>
      <c r="I34" s="12"/>
      <c r="J34" s="22" t="s">
        <v>2308</v>
      </c>
      <c r="K34" s="22" t="s">
        <v>2308</v>
      </c>
      <c r="L34" s="22" t="s">
        <v>2308</v>
      </c>
      <c r="M34" s="22">
        <v>3</v>
      </c>
      <c r="N34" s="22" t="s">
        <v>2308</v>
      </c>
      <c r="O34" s="22" t="s">
        <v>2308</v>
      </c>
      <c r="P34" s="22" t="s">
        <v>2308</v>
      </c>
      <c r="Q34" s="22" t="s">
        <v>2308</v>
      </c>
      <c r="R34" s="22" t="s">
        <v>2308</v>
      </c>
      <c r="S34" s="22" t="s">
        <v>2308</v>
      </c>
      <c r="T34" s="22" t="s">
        <v>2308</v>
      </c>
      <c r="U34" s="94" t="s">
        <v>2308</v>
      </c>
      <c r="V34" s="94" t="s">
        <v>2308</v>
      </c>
      <c r="W34" s="94" t="s">
        <v>2308</v>
      </c>
      <c r="X34" s="94" t="s">
        <v>2308</v>
      </c>
      <c r="Y34" s="94" t="s">
        <v>2308</v>
      </c>
      <c r="Z34" s="4" t="s">
        <v>75</v>
      </c>
      <c r="AA34" s="4" t="s">
        <v>35</v>
      </c>
      <c r="AB34" s="4" t="s">
        <v>64</v>
      </c>
      <c r="AC34" s="5" t="s">
        <v>118</v>
      </c>
      <c r="AD34" s="5" t="s">
        <v>2293</v>
      </c>
    </row>
    <row r="35" spans="1:30" ht="58">
      <c r="A35" s="32" t="s">
        <v>277</v>
      </c>
      <c r="B35" s="4" t="s">
        <v>337</v>
      </c>
      <c r="C35" s="12" t="s">
        <v>24</v>
      </c>
      <c r="D35" s="4" t="s">
        <v>2692</v>
      </c>
      <c r="E35" s="5" t="s">
        <v>403</v>
      </c>
      <c r="F35" s="20" t="s">
        <v>28</v>
      </c>
      <c r="G35" s="12" t="s">
        <v>2308</v>
      </c>
      <c r="H35" s="4" t="s">
        <v>531</v>
      </c>
      <c r="I35" s="12"/>
      <c r="J35" s="22" t="s">
        <v>2308</v>
      </c>
      <c r="K35" s="22" t="s">
        <v>2308</v>
      </c>
      <c r="L35" s="22" t="s">
        <v>2308</v>
      </c>
      <c r="M35" s="22">
        <v>3</v>
      </c>
      <c r="N35" s="22" t="s">
        <v>2308</v>
      </c>
      <c r="O35" s="22" t="s">
        <v>2308</v>
      </c>
      <c r="P35" s="22" t="s">
        <v>2308</v>
      </c>
      <c r="Q35" s="22" t="s">
        <v>2308</v>
      </c>
      <c r="R35" s="22" t="s">
        <v>2308</v>
      </c>
      <c r="S35" s="22" t="s">
        <v>2308</v>
      </c>
      <c r="T35" s="22" t="s">
        <v>2308</v>
      </c>
      <c r="U35" s="94" t="s">
        <v>2308</v>
      </c>
      <c r="V35" s="94" t="s">
        <v>2308</v>
      </c>
      <c r="W35" s="94" t="s">
        <v>2308</v>
      </c>
      <c r="X35" s="94" t="s">
        <v>2308</v>
      </c>
      <c r="Y35" s="94" t="s">
        <v>2308</v>
      </c>
      <c r="Z35" s="4" t="s">
        <v>75</v>
      </c>
      <c r="AA35" s="4" t="s">
        <v>35</v>
      </c>
      <c r="AB35" s="4" t="s">
        <v>64</v>
      </c>
      <c r="AC35" s="5" t="s">
        <v>118</v>
      </c>
      <c r="AD35" s="5" t="s">
        <v>2293</v>
      </c>
    </row>
    <row r="36" spans="1:30" ht="58">
      <c r="A36" s="32" t="s">
        <v>278</v>
      </c>
      <c r="B36" s="4" t="s">
        <v>338</v>
      </c>
      <c r="C36" s="12" t="s">
        <v>24</v>
      </c>
      <c r="D36" s="4" t="s">
        <v>2692</v>
      </c>
      <c r="E36" s="5" t="s">
        <v>403</v>
      </c>
      <c r="F36" s="20" t="s">
        <v>28</v>
      </c>
      <c r="G36" s="12" t="s">
        <v>2308</v>
      </c>
      <c r="H36" s="4" t="s">
        <v>531</v>
      </c>
      <c r="I36" s="12"/>
      <c r="J36" s="22" t="s">
        <v>2308</v>
      </c>
      <c r="K36" s="22" t="s">
        <v>2308</v>
      </c>
      <c r="L36" s="22" t="s">
        <v>2308</v>
      </c>
      <c r="M36" s="22">
        <v>3</v>
      </c>
      <c r="N36" s="22" t="s">
        <v>2308</v>
      </c>
      <c r="O36" s="22" t="s">
        <v>2308</v>
      </c>
      <c r="P36" s="22" t="s">
        <v>2308</v>
      </c>
      <c r="Q36" s="22" t="s">
        <v>2308</v>
      </c>
      <c r="R36" s="22" t="s">
        <v>2308</v>
      </c>
      <c r="S36" s="22" t="s">
        <v>2308</v>
      </c>
      <c r="T36" s="22" t="s">
        <v>2308</v>
      </c>
      <c r="U36" s="94" t="s">
        <v>2308</v>
      </c>
      <c r="V36" s="94" t="s">
        <v>2308</v>
      </c>
      <c r="W36" s="94" t="s">
        <v>2308</v>
      </c>
      <c r="X36" s="94" t="s">
        <v>2308</v>
      </c>
      <c r="Y36" s="94" t="s">
        <v>2308</v>
      </c>
      <c r="Z36" s="4" t="s">
        <v>75</v>
      </c>
      <c r="AA36" s="4" t="s">
        <v>35</v>
      </c>
      <c r="AB36" s="4" t="s">
        <v>64</v>
      </c>
      <c r="AC36" s="5" t="s">
        <v>118</v>
      </c>
      <c r="AD36" s="5" t="s">
        <v>2293</v>
      </c>
    </row>
    <row r="37" spans="1:30" ht="58">
      <c r="A37" s="32" t="s">
        <v>279</v>
      </c>
      <c r="B37" s="4" t="s">
        <v>339</v>
      </c>
      <c r="C37" s="12" t="s">
        <v>24</v>
      </c>
      <c r="D37" s="4" t="s">
        <v>2692</v>
      </c>
      <c r="E37" s="5" t="s">
        <v>403</v>
      </c>
      <c r="F37" s="20" t="s">
        <v>28</v>
      </c>
      <c r="G37" s="12" t="s">
        <v>2308</v>
      </c>
      <c r="H37" s="4" t="s">
        <v>531</v>
      </c>
      <c r="I37" s="12"/>
      <c r="J37" s="22" t="s">
        <v>2308</v>
      </c>
      <c r="K37" s="22" t="s">
        <v>2308</v>
      </c>
      <c r="L37" s="22" t="s">
        <v>2308</v>
      </c>
      <c r="M37" s="22">
        <v>3</v>
      </c>
      <c r="N37" s="22" t="s">
        <v>2308</v>
      </c>
      <c r="O37" s="22" t="s">
        <v>2308</v>
      </c>
      <c r="P37" s="22" t="s">
        <v>2308</v>
      </c>
      <c r="Q37" s="22" t="s">
        <v>2308</v>
      </c>
      <c r="R37" s="22" t="s">
        <v>2308</v>
      </c>
      <c r="S37" s="22" t="s">
        <v>2308</v>
      </c>
      <c r="T37" s="22" t="s">
        <v>2308</v>
      </c>
      <c r="U37" s="94" t="s">
        <v>2308</v>
      </c>
      <c r="V37" s="94" t="s">
        <v>2308</v>
      </c>
      <c r="W37" s="94" t="s">
        <v>2308</v>
      </c>
      <c r="X37" s="94" t="s">
        <v>2308</v>
      </c>
      <c r="Y37" s="94" t="s">
        <v>2308</v>
      </c>
      <c r="Z37" s="4" t="s">
        <v>75</v>
      </c>
      <c r="AA37" s="4" t="s">
        <v>35</v>
      </c>
      <c r="AB37" s="4" t="s">
        <v>64</v>
      </c>
      <c r="AC37" s="5" t="s">
        <v>118</v>
      </c>
      <c r="AD37" s="5" t="s">
        <v>2293</v>
      </c>
    </row>
    <row r="38" spans="1:30" ht="125.5" customHeight="1">
      <c r="A38" s="32" t="s">
        <v>280</v>
      </c>
      <c r="B38" s="4" t="s">
        <v>340</v>
      </c>
      <c r="C38" s="12" t="s">
        <v>24</v>
      </c>
      <c r="D38" s="4" t="s">
        <v>2692</v>
      </c>
      <c r="E38" s="5" t="s">
        <v>403</v>
      </c>
      <c r="F38" s="20" t="s">
        <v>28</v>
      </c>
      <c r="G38" s="12" t="s">
        <v>2308</v>
      </c>
      <c r="H38" s="4" t="s">
        <v>531</v>
      </c>
      <c r="I38" s="12"/>
      <c r="J38" s="22" t="s">
        <v>2308</v>
      </c>
      <c r="K38" s="22" t="s">
        <v>2308</v>
      </c>
      <c r="L38" s="22" t="s">
        <v>2308</v>
      </c>
      <c r="M38" s="22">
        <v>3</v>
      </c>
      <c r="N38" s="22" t="s">
        <v>2308</v>
      </c>
      <c r="O38" s="22" t="s">
        <v>2308</v>
      </c>
      <c r="P38" s="22" t="s">
        <v>2308</v>
      </c>
      <c r="Q38" s="22" t="s">
        <v>2308</v>
      </c>
      <c r="R38" s="22" t="s">
        <v>2308</v>
      </c>
      <c r="S38" s="22" t="s">
        <v>2308</v>
      </c>
      <c r="T38" s="22" t="s">
        <v>2308</v>
      </c>
      <c r="U38" s="94" t="s">
        <v>2308</v>
      </c>
      <c r="V38" s="94" t="s">
        <v>2308</v>
      </c>
      <c r="W38" s="94" t="s">
        <v>2308</v>
      </c>
      <c r="X38" s="94" t="s">
        <v>2308</v>
      </c>
      <c r="Y38" s="94" t="s">
        <v>2308</v>
      </c>
      <c r="Z38" s="4" t="s">
        <v>75</v>
      </c>
      <c r="AA38" s="4" t="s">
        <v>35</v>
      </c>
      <c r="AB38" s="4" t="s">
        <v>64</v>
      </c>
      <c r="AC38" s="5" t="s">
        <v>118</v>
      </c>
      <c r="AD38" s="5" t="s">
        <v>2293</v>
      </c>
    </row>
    <row r="39" spans="1:30" ht="127" customHeight="1">
      <c r="A39" s="32" t="s">
        <v>281</v>
      </c>
      <c r="B39" s="4" t="s">
        <v>341</v>
      </c>
      <c r="C39" s="12" t="s">
        <v>24</v>
      </c>
      <c r="D39" s="4" t="s">
        <v>2692</v>
      </c>
      <c r="E39" s="5" t="s">
        <v>403</v>
      </c>
      <c r="F39" s="20" t="s">
        <v>28</v>
      </c>
      <c r="G39" s="12" t="s">
        <v>2308</v>
      </c>
      <c r="H39" s="4" t="s">
        <v>531</v>
      </c>
      <c r="I39" s="12"/>
      <c r="J39" s="22" t="s">
        <v>2308</v>
      </c>
      <c r="K39" s="22" t="s">
        <v>2308</v>
      </c>
      <c r="L39" s="22" t="s">
        <v>2308</v>
      </c>
      <c r="M39" s="22">
        <v>3</v>
      </c>
      <c r="N39" s="22" t="s">
        <v>2308</v>
      </c>
      <c r="O39" s="22" t="s">
        <v>2308</v>
      </c>
      <c r="P39" s="22" t="s">
        <v>2308</v>
      </c>
      <c r="Q39" s="22" t="s">
        <v>2308</v>
      </c>
      <c r="R39" s="22" t="s">
        <v>2308</v>
      </c>
      <c r="S39" s="22" t="s">
        <v>2308</v>
      </c>
      <c r="T39" s="22" t="s">
        <v>2308</v>
      </c>
      <c r="U39" s="94" t="s">
        <v>2308</v>
      </c>
      <c r="V39" s="94" t="s">
        <v>2308</v>
      </c>
      <c r="W39" s="94" t="s">
        <v>2308</v>
      </c>
      <c r="X39" s="94" t="s">
        <v>2308</v>
      </c>
      <c r="Y39" s="94" t="s">
        <v>2308</v>
      </c>
      <c r="Z39" s="4" t="s">
        <v>75</v>
      </c>
      <c r="AA39" s="4" t="s">
        <v>35</v>
      </c>
      <c r="AB39" s="4" t="s">
        <v>64</v>
      </c>
      <c r="AC39" s="5" t="s">
        <v>118</v>
      </c>
      <c r="AD39" s="5" t="s">
        <v>2293</v>
      </c>
    </row>
    <row r="40" spans="1:30" ht="124" customHeight="1">
      <c r="A40" s="32" t="s">
        <v>282</v>
      </c>
      <c r="B40" s="4" t="s">
        <v>342</v>
      </c>
      <c r="C40" s="12" t="s">
        <v>24</v>
      </c>
      <c r="D40" s="4" t="s">
        <v>2692</v>
      </c>
      <c r="E40" s="5" t="s">
        <v>403</v>
      </c>
      <c r="F40" s="20" t="s">
        <v>28</v>
      </c>
      <c r="G40" s="12" t="s">
        <v>2308</v>
      </c>
      <c r="H40" s="4" t="s">
        <v>531</v>
      </c>
      <c r="I40" s="12"/>
      <c r="J40" s="22" t="s">
        <v>2308</v>
      </c>
      <c r="K40" s="22" t="s">
        <v>2308</v>
      </c>
      <c r="L40" s="22" t="s">
        <v>2308</v>
      </c>
      <c r="M40" s="22">
        <v>3</v>
      </c>
      <c r="N40" s="22" t="s">
        <v>2308</v>
      </c>
      <c r="O40" s="22" t="s">
        <v>2308</v>
      </c>
      <c r="P40" s="22" t="s">
        <v>2308</v>
      </c>
      <c r="Q40" s="22" t="s">
        <v>2308</v>
      </c>
      <c r="R40" s="22" t="s">
        <v>2308</v>
      </c>
      <c r="S40" s="22" t="s">
        <v>2308</v>
      </c>
      <c r="T40" s="22" t="s">
        <v>2308</v>
      </c>
      <c r="U40" s="94" t="s">
        <v>2308</v>
      </c>
      <c r="V40" s="94" t="s">
        <v>2308</v>
      </c>
      <c r="W40" s="94" t="s">
        <v>2308</v>
      </c>
      <c r="X40" s="94" t="s">
        <v>2308</v>
      </c>
      <c r="Y40" s="94" t="s">
        <v>2308</v>
      </c>
      <c r="Z40" s="4" t="s">
        <v>75</v>
      </c>
      <c r="AA40" s="4" t="s">
        <v>35</v>
      </c>
      <c r="AB40" s="4" t="s">
        <v>64</v>
      </c>
      <c r="AC40" s="5" t="s">
        <v>118</v>
      </c>
      <c r="AD40" s="5" t="s">
        <v>2293</v>
      </c>
    </row>
    <row r="41" spans="1:30" ht="46" customHeight="1">
      <c r="A41" s="32" t="s">
        <v>283</v>
      </c>
      <c r="B41" s="4" t="s">
        <v>343</v>
      </c>
      <c r="C41" s="12" t="s">
        <v>24</v>
      </c>
      <c r="D41" s="4" t="s">
        <v>2692</v>
      </c>
      <c r="E41" s="5" t="s">
        <v>403</v>
      </c>
      <c r="F41" s="20" t="s">
        <v>28</v>
      </c>
      <c r="G41" s="12" t="s">
        <v>2308</v>
      </c>
      <c r="H41" s="4" t="s">
        <v>531</v>
      </c>
      <c r="I41" s="12"/>
      <c r="J41" s="22" t="s">
        <v>2308</v>
      </c>
      <c r="K41" s="22" t="s">
        <v>2308</v>
      </c>
      <c r="L41" s="22" t="s">
        <v>2308</v>
      </c>
      <c r="M41" s="22">
        <v>3</v>
      </c>
      <c r="N41" s="22" t="s">
        <v>2308</v>
      </c>
      <c r="O41" s="22" t="s">
        <v>2308</v>
      </c>
      <c r="P41" s="22" t="s">
        <v>2308</v>
      </c>
      <c r="Q41" s="22" t="s">
        <v>2308</v>
      </c>
      <c r="R41" s="22" t="s">
        <v>2308</v>
      </c>
      <c r="S41" s="22" t="s">
        <v>2308</v>
      </c>
      <c r="T41" s="22" t="s">
        <v>2308</v>
      </c>
      <c r="U41" s="94" t="s">
        <v>2308</v>
      </c>
      <c r="V41" s="94" t="s">
        <v>2308</v>
      </c>
      <c r="W41" s="94" t="s">
        <v>2308</v>
      </c>
      <c r="X41" s="94" t="s">
        <v>2308</v>
      </c>
      <c r="Y41" s="94" t="s">
        <v>2308</v>
      </c>
      <c r="Z41" s="4" t="s">
        <v>75</v>
      </c>
      <c r="AA41" s="4" t="s">
        <v>35</v>
      </c>
      <c r="AB41" s="4" t="s">
        <v>64</v>
      </c>
      <c r="AC41" s="5" t="s">
        <v>118</v>
      </c>
      <c r="AD41" s="5" t="s">
        <v>2293</v>
      </c>
    </row>
    <row r="42" spans="1:30" ht="49" customHeight="1">
      <c r="A42" s="32" t="s">
        <v>296</v>
      </c>
      <c r="B42" s="4" t="s">
        <v>344</v>
      </c>
      <c r="C42" s="12" t="s">
        <v>24</v>
      </c>
      <c r="D42" s="4" t="s">
        <v>2692</v>
      </c>
      <c r="E42" s="5" t="s">
        <v>403</v>
      </c>
      <c r="F42" s="20" t="s">
        <v>28</v>
      </c>
      <c r="G42" s="12" t="s">
        <v>2308</v>
      </c>
      <c r="H42" s="4" t="s">
        <v>531</v>
      </c>
      <c r="I42" s="12"/>
      <c r="J42" s="22" t="s">
        <v>2308</v>
      </c>
      <c r="K42" s="22" t="s">
        <v>2308</v>
      </c>
      <c r="L42" s="22" t="s">
        <v>2308</v>
      </c>
      <c r="M42" s="22">
        <v>3</v>
      </c>
      <c r="N42" s="22" t="s">
        <v>2308</v>
      </c>
      <c r="O42" s="22" t="s">
        <v>2308</v>
      </c>
      <c r="P42" s="22" t="s">
        <v>2308</v>
      </c>
      <c r="Q42" s="22" t="s">
        <v>2308</v>
      </c>
      <c r="R42" s="22" t="s">
        <v>2308</v>
      </c>
      <c r="S42" s="22" t="s">
        <v>2308</v>
      </c>
      <c r="T42" s="22" t="s">
        <v>2308</v>
      </c>
      <c r="U42" s="94" t="s">
        <v>2308</v>
      </c>
      <c r="V42" s="94" t="s">
        <v>2308</v>
      </c>
      <c r="W42" s="94" t="s">
        <v>2308</v>
      </c>
      <c r="X42" s="94" t="s">
        <v>2308</v>
      </c>
      <c r="Y42" s="94" t="s">
        <v>2308</v>
      </c>
      <c r="Z42" s="4" t="s">
        <v>75</v>
      </c>
      <c r="AA42" s="4" t="s">
        <v>35</v>
      </c>
      <c r="AB42" s="4" t="s">
        <v>64</v>
      </c>
      <c r="AC42" s="5" t="s">
        <v>118</v>
      </c>
      <c r="AD42" s="5" t="s">
        <v>2293</v>
      </c>
    </row>
    <row r="43" spans="1:30" ht="67" customHeight="1">
      <c r="A43" s="32" t="s">
        <v>297</v>
      </c>
      <c r="B43" s="4" t="s">
        <v>345</v>
      </c>
      <c r="C43" s="12" t="s">
        <v>24</v>
      </c>
      <c r="D43" s="4" t="s">
        <v>2692</v>
      </c>
      <c r="E43" s="5" t="s">
        <v>403</v>
      </c>
      <c r="F43" s="20" t="s">
        <v>28</v>
      </c>
      <c r="G43" s="12" t="s">
        <v>2308</v>
      </c>
      <c r="H43" s="4" t="s">
        <v>531</v>
      </c>
      <c r="I43" s="12"/>
      <c r="J43" s="22" t="s">
        <v>2308</v>
      </c>
      <c r="K43" s="22" t="s">
        <v>2308</v>
      </c>
      <c r="L43" s="22" t="s">
        <v>2308</v>
      </c>
      <c r="M43" s="22">
        <v>3</v>
      </c>
      <c r="N43" s="22" t="s">
        <v>2308</v>
      </c>
      <c r="O43" s="22" t="s">
        <v>2308</v>
      </c>
      <c r="P43" s="22" t="s">
        <v>2308</v>
      </c>
      <c r="Q43" s="22" t="s">
        <v>2308</v>
      </c>
      <c r="R43" s="22" t="s">
        <v>2308</v>
      </c>
      <c r="S43" s="22" t="s">
        <v>2308</v>
      </c>
      <c r="T43" s="22" t="s">
        <v>2308</v>
      </c>
      <c r="U43" s="94" t="s">
        <v>2308</v>
      </c>
      <c r="V43" s="94" t="s">
        <v>2308</v>
      </c>
      <c r="W43" s="94" t="s">
        <v>2308</v>
      </c>
      <c r="X43" s="94" t="s">
        <v>2308</v>
      </c>
      <c r="Y43" s="94" t="s">
        <v>2308</v>
      </c>
      <c r="Z43" s="4" t="s">
        <v>75</v>
      </c>
      <c r="AA43" s="4" t="s">
        <v>35</v>
      </c>
      <c r="AB43" s="4" t="s">
        <v>64</v>
      </c>
      <c r="AC43" s="5" t="s">
        <v>118</v>
      </c>
      <c r="AD43" s="5" t="s">
        <v>2293</v>
      </c>
    </row>
    <row r="44" spans="1:30" ht="72" customHeight="1">
      <c r="A44" s="32" t="s">
        <v>298</v>
      </c>
      <c r="B44" s="4" t="s">
        <v>346</v>
      </c>
      <c r="C44" s="12" t="s">
        <v>24</v>
      </c>
      <c r="D44" s="4" t="s">
        <v>2692</v>
      </c>
      <c r="E44" s="5" t="s">
        <v>403</v>
      </c>
      <c r="F44" s="20" t="s">
        <v>28</v>
      </c>
      <c r="G44" s="12" t="s">
        <v>2308</v>
      </c>
      <c r="H44" s="4" t="s">
        <v>531</v>
      </c>
      <c r="I44" s="12"/>
      <c r="J44" s="22" t="s">
        <v>2308</v>
      </c>
      <c r="K44" s="22" t="s">
        <v>2308</v>
      </c>
      <c r="L44" s="22" t="s">
        <v>2308</v>
      </c>
      <c r="M44" s="22">
        <v>3</v>
      </c>
      <c r="N44" s="22" t="s">
        <v>2308</v>
      </c>
      <c r="O44" s="22" t="s">
        <v>2308</v>
      </c>
      <c r="P44" s="22" t="s">
        <v>2308</v>
      </c>
      <c r="Q44" s="22" t="s">
        <v>2308</v>
      </c>
      <c r="R44" s="22" t="s">
        <v>2308</v>
      </c>
      <c r="S44" s="22" t="s">
        <v>2308</v>
      </c>
      <c r="T44" s="22" t="s">
        <v>2308</v>
      </c>
      <c r="U44" s="94" t="s">
        <v>2308</v>
      </c>
      <c r="V44" s="94" t="s">
        <v>2308</v>
      </c>
      <c r="W44" s="94" t="s">
        <v>2308</v>
      </c>
      <c r="X44" s="94" t="s">
        <v>2308</v>
      </c>
      <c r="Y44" s="94" t="s">
        <v>2308</v>
      </c>
      <c r="Z44" s="4" t="s">
        <v>75</v>
      </c>
      <c r="AA44" s="4" t="s">
        <v>35</v>
      </c>
      <c r="AB44" s="4" t="s">
        <v>64</v>
      </c>
      <c r="AC44" s="5" t="s">
        <v>118</v>
      </c>
      <c r="AD44" s="5" t="s">
        <v>2293</v>
      </c>
    </row>
    <row r="45" spans="1:30" ht="72" customHeight="1">
      <c r="A45" s="32" t="s">
        <v>299</v>
      </c>
      <c r="B45" s="4" t="s">
        <v>347</v>
      </c>
      <c r="C45" s="12" t="s">
        <v>24</v>
      </c>
      <c r="D45" s="4" t="s">
        <v>2692</v>
      </c>
      <c r="E45" s="5" t="s">
        <v>403</v>
      </c>
      <c r="F45" s="20" t="s">
        <v>28</v>
      </c>
      <c r="G45" s="12" t="s">
        <v>2308</v>
      </c>
      <c r="H45" s="4" t="s">
        <v>531</v>
      </c>
      <c r="I45" s="12"/>
      <c r="J45" s="22" t="s">
        <v>2308</v>
      </c>
      <c r="K45" s="22" t="s">
        <v>2308</v>
      </c>
      <c r="L45" s="22" t="s">
        <v>2308</v>
      </c>
      <c r="M45" s="22">
        <v>3</v>
      </c>
      <c r="N45" s="22" t="s">
        <v>2308</v>
      </c>
      <c r="O45" s="22" t="s">
        <v>2308</v>
      </c>
      <c r="P45" s="22" t="s">
        <v>2308</v>
      </c>
      <c r="Q45" s="22" t="s">
        <v>2308</v>
      </c>
      <c r="R45" s="22" t="s">
        <v>2308</v>
      </c>
      <c r="S45" s="22" t="s">
        <v>2308</v>
      </c>
      <c r="T45" s="22" t="s">
        <v>2308</v>
      </c>
      <c r="U45" s="94" t="s">
        <v>2308</v>
      </c>
      <c r="V45" s="94" t="s">
        <v>2308</v>
      </c>
      <c r="W45" s="94" t="s">
        <v>2308</v>
      </c>
      <c r="X45" s="94" t="s">
        <v>2308</v>
      </c>
      <c r="Y45" s="94" t="s">
        <v>2308</v>
      </c>
      <c r="Z45" s="4" t="s">
        <v>75</v>
      </c>
      <c r="AA45" s="4" t="s">
        <v>35</v>
      </c>
      <c r="AB45" s="4" t="s">
        <v>64</v>
      </c>
      <c r="AC45" s="5" t="s">
        <v>118</v>
      </c>
      <c r="AD45" s="5" t="s">
        <v>2293</v>
      </c>
    </row>
    <row r="46" spans="1:30" ht="97" customHeight="1">
      <c r="A46" s="24" t="s">
        <v>89</v>
      </c>
      <c r="B46" s="4" t="s">
        <v>91</v>
      </c>
      <c r="C46" s="24" t="s">
        <v>24</v>
      </c>
      <c r="D46" s="4" t="s">
        <v>2692</v>
      </c>
      <c r="E46" s="5" t="s">
        <v>403</v>
      </c>
      <c r="F46" s="27" t="s">
        <v>28</v>
      </c>
      <c r="G46" s="12" t="s">
        <v>2308</v>
      </c>
      <c r="H46" s="4" t="s">
        <v>531</v>
      </c>
      <c r="I46" s="24"/>
      <c r="J46" s="84" t="s">
        <v>2308</v>
      </c>
      <c r="K46" s="84" t="s">
        <v>2308</v>
      </c>
      <c r="L46" s="84" t="s">
        <v>2308</v>
      </c>
      <c r="M46" s="84">
        <v>2</v>
      </c>
      <c r="N46" s="84" t="s">
        <v>2308</v>
      </c>
      <c r="O46" s="84" t="s">
        <v>2308</v>
      </c>
      <c r="P46" s="84" t="s">
        <v>2308</v>
      </c>
      <c r="Q46" s="22" t="s">
        <v>2308</v>
      </c>
      <c r="R46" s="22" t="s">
        <v>2308</v>
      </c>
      <c r="S46" s="84" t="s">
        <v>2308</v>
      </c>
      <c r="T46" s="84" t="s">
        <v>2308</v>
      </c>
      <c r="U46" s="94" t="s">
        <v>2308</v>
      </c>
      <c r="V46" s="94" t="s">
        <v>2308</v>
      </c>
      <c r="W46" s="94" t="s">
        <v>2308</v>
      </c>
      <c r="X46" s="94" t="s">
        <v>2308</v>
      </c>
      <c r="Y46" s="94" t="s">
        <v>2308</v>
      </c>
      <c r="Z46" s="23" t="s">
        <v>75</v>
      </c>
      <c r="AA46" s="23" t="s">
        <v>35</v>
      </c>
      <c r="AB46" s="4" t="s">
        <v>64</v>
      </c>
      <c r="AC46" s="5" t="s">
        <v>118</v>
      </c>
      <c r="AD46" s="5" t="s">
        <v>122</v>
      </c>
    </row>
    <row r="47" spans="1:30" ht="92" customHeight="1">
      <c r="A47" s="24" t="s">
        <v>89</v>
      </c>
      <c r="B47" s="4" t="s">
        <v>92</v>
      </c>
      <c r="C47" s="24" t="s">
        <v>24</v>
      </c>
      <c r="D47" s="4" t="s">
        <v>2692</v>
      </c>
      <c r="E47" s="5" t="s">
        <v>404</v>
      </c>
      <c r="F47" s="27" t="s">
        <v>28</v>
      </c>
      <c r="G47" s="12" t="s">
        <v>2308</v>
      </c>
      <c r="H47" s="4" t="s">
        <v>531</v>
      </c>
      <c r="I47" s="24"/>
      <c r="J47" s="84" t="s">
        <v>2308</v>
      </c>
      <c r="K47" s="84" t="s">
        <v>2308</v>
      </c>
      <c r="L47" s="84" t="s">
        <v>2308</v>
      </c>
      <c r="M47" s="84">
        <v>2</v>
      </c>
      <c r="N47" s="84" t="s">
        <v>2308</v>
      </c>
      <c r="O47" s="84" t="s">
        <v>2308</v>
      </c>
      <c r="P47" s="84" t="s">
        <v>2308</v>
      </c>
      <c r="Q47" s="22" t="s">
        <v>2308</v>
      </c>
      <c r="R47" s="22" t="s">
        <v>2308</v>
      </c>
      <c r="S47" s="84" t="s">
        <v>2308</v>
      </c>
      <c r="T47" s="84" t="s">
        <v>2308</v>
      </c>
      <c r="U47" s="94" t="s">
        <v>2308</v>
      </c>
      <c r="V47" s="94" t="s">
        <v>2308</v>
      </c>
      <c r="W47" s="94" t="s">
        <v>2308</v>
      </c>
      <c r="X47" s="94" t="s">
        <v>2308</v>
      </c>
      <c r="Y47" s="94" t="s">
        <v>2308</v>
      </c>
      <c r="Z47" s="4" t="s">
        <v>75</v>
      </c>
      <c r="AA47" s="4" t="s">
        <v>35</v>
      </c>
      <c r="AB47" s="4" t="s">
        <v>64</v>
      </c>
      <c r="AC47" s="5" t="s">
        <v>118</v>
      </c>
      <c r="AD47" s="5" t="s">
        <v>123</v>
      </c>
    </row>
    <row r="48" spans="1:30" ht="69.5" customHeight="1">
      <c r="A48" s="32" t="s">
        <v>284</v>
      </c>
      <c r="B48" s="4" t="s">
        <v>348</v>
      </c>
      <c r="C48" s="24" t="s">
        <v>24</v>
      </c>
      <c r="D48" s="4" t="s">
        <v>2692</v>
      </c>
      <c r="E48" s="5" t="s">
        <v>403</v>
      </c>
      <c r="F48" s="27" t="s">
        <v>28</v>
      </c>
      <c r="G48" s="12" t="s">
        <v>2308</v>
      </c>
      <c r="H48" s="4" t="s">
        <v>531</v>
      </c>
      <c r="I48" s="24"/>
      <c r="J48" s="84" t="s">
        <v>2308</v>
      </c>
      <c r="K48" s="84" t="s">
        <v>2308</v>
      </c>
      <c r="L48" s="84" t="s">
        <v>2308</v>
      </c>
      <c r="M48" s="84">
        <v>2</v>
      </c>
      <c r="N48" s="84" t="s">
        <v>2308</v>
      </c>
      <c r="O48" s="84" t="s">
        <v>2308</v>
      </c>
      <c r="P48" s="84" t="s">
        <v>2308</v>
      </c>
      <c r="Q48" s="22" t="s">
        <v>2308</v>
      </c>
      <c r="R48" s="22" t="s">
        <v>2308</v>
      </c>
      <c r="S48" s="84" t="s">
        <v>2308</v>
      </c>
      <c r="T48" s="84" t="s">
        <v>2308</v>
      </c>
      <c r="U48" s="94" t="s">
        <v>2308</v>
      </c>
      <c r="V48" s="94" t="s">
        <v>2308</v>
      </c>
      <c r="W48" s="94" t="s">
        <v>2308</v>
      </c>
      <c r="X48" s="94" t="s">
        <v>2308</v>
      </c>
      <c r="Y48" s="94" t="s">
        <v>2308</v>
      </c>
      <c r="Z48" s="4" t="s">
        <v>75</v>
      </c>
      <c r="AA48" s="4" t="s">
        <v>35</v>
      </c>
      <c r="AB48" s="4" t="s">
        <v>64</v>
      </c>
      <c r="AC48" s="5" t="s">
        <v>118</v>
      </c>
      <c r="AD48" s="5" t="s">
        <v>2293</v>
      </c>
    </row>
    <row r="49" spans="1:30" ht="69.5" customHeight="1">
      <c r="A49" s="32" t="s">
        <v>285</v>
      </c>
      <c r="B49" s="4" t="s">
        <v>349</v>
      </c>
      <c r="C49" s="24" t="s">
        <v>24</v>
      </c>
      <c r="D49" s="4" t="s">
        <v>2692</v>
      </c>
      <c r="E49" s="5" t="s">
        <v>403</v>
      </c>
      <c r="F49" s="27" t="s">
        <v>28</v>
      </c>
      <c r="G49" s="12" t="s">
        <v>2308</v>
      </c>
      <c r="H49" s="4" t="s">
        <v>531</v>
      </c>
      <c r="I49" s="24"/>
      <c r="J49" s="84" t="s">
        <v>2308</v>
      </c>
      <c r="K49" s="84" t="s">
        <v>2308</v>
      </c>
      <c r="L49" s="84" t="s">
        <v>2308</v>
      </c>
      <c r="M49" s="84">
        <v>2</v>
      </c>
      <c r="N49" s="84" t="s">
        <v>2308</v>
      </c>
      <c r="O49" s="84" t="s">
        <v>2308</v>
      </c>
      <c r="P49" s="84" t="s">
        <v>2308</v>
      </c>
      <c r="Q49" s="22" t="s">
        <v>2308</v>
      </c>
      <c r="R49" s="22" t="s">
        <v>2308</v>
      </c>
      <c r="S49" s="84" t="s">
        <v>2308</v>
      </c>
      <c r="T49" s="84" t="s">
        <v>2308</v>
      </c>
      <c r="U49" s="94" t="s">
        <v>2308</v>
      </c>
      <c r="V49" s="94" t="s">
        <v>2308</v>
      </c>
      <c r="W49" s="94" t="s">
        <v>2308</v>
      </c>
      <c r="X49" s="94" t="s">
        <v>2308</v>
      </c>
      <c r="Y49" s="94" t="s">
        <v>2308</v>
      </c>
      <c r="Z49" s="4" t="s">
        <v>75</v>
      </c>
      <c r="AA49" s="4" t="s">
        <v>35</v>
      </c>
      <c r="AB49" s="4" t="s">
        <v>64</v>
      </c>
      <c r="AC49" s="5" t="s">
        <v>118</v>
      </c>
      <c r="AD49" s="5" t="s">
        <v>2293</v>
      </c>
    </row>
    <row r="50" spans="1:30" ht="69.5" customHeight="1">
      <c r="A50" s="32" t="s">
        <v>286</v>
      </c>
      <c r="B50" s="4" t="s">
        <v>350</v>
      </c>
      <c r="C50" s="24" t="s">
        <v>24</v>
      </c>
      <c r="D50" s="4" t="s">
        <v>2692</v>
      </c>
      <c r="E50" s="5" t="s">
        <v>403</v>
      </c>
      <c r="F50" s="27" t="s">
        <v>28</v>
      </c>
      <c r="G50" s="12" t="s">
        <v>2308</v>
      </c>
      <c r="H50" s="4" t="s">
        <v>531</v>
      </c>
      <c r="I50" s="24"/>
      <c r="J50" s="84" t="s">
        <v>2308</v>
      </c>
      <c r="K50" s="84" t="s">
        <v>2308</v>
      </c>
      <c r="L50" s="84" t="s">
        <v>2308</v>
      </c>
      <c r="M50" s="84">
        <v>2</v>
      </c>
      <c r="N50" s="84" t="s">
        <v>2308</v>
      </c>
      <c r="O50" s="84" t="s">
        <v>2308</v>
      </c>
      <c r="P50" s="84" t="s">
        <v>2308</v>
      </c>
      <c r="Q50" s="22" t="s">
        <v>2308</v>
      </c>
      <c r="R50" s="22" t="s">
        <v>2308</v>
      </c>
      <c r="S50" s="84" t="s">
        <v>2308</v>
      </c>
      <c r="T50" s="84" t="s">
        <v>2308</v>
      </c>
      <c r="U50" s="94" t="s">
        <v>2308</v>
      </c>
      <c r="V50" s="94" t="s">
        <v>2308</v>
      </c>
      <c r="W50" s="94" t="s">
        <v>2308</v>
      </c>
      <c r="X50" s="94" t="s">
        <v>2308</v>
      </c>
      <c r="Y50" s="94" t="s">
        <v>2308</v>
      </c>
      <c r="Z50" s="4" t="s">
        <v>75</v>
      </c>
      <c r="AA50" s="4" t="s">
        <v>35</v>
      </c>
      <c r="AB50" s="4" t="s">
        <v>64</v>
      </c>
      <c r="AC50" s="5" t="s">
        <v>118</v>
      </c>
      <c r="AD50" s="5" t="s">
        <v>2293</v>
      </c>
    </row>
    <row r="51" spans="1:30" ht="69.5" customHeight="1">
      <c r="A51" s="32" t="s">
        <v>287</v>
      </c>
      <c r="B51" s="4" t="s">
        <v>351</v>
      </c>
      <c r="C51" s="24" t="s">
        <v>24</v>
      </c>
      <c r="D51" s="4" t="s">
        <v>2692</v>
      </c>
      <c r="E51" s="5" t="s">
        <v>403</v>
      </c>
      <c r="F51" s="27" t="s">
        <v>28</v>
      </c>
      <c r="G51" s="12" t="s">
        <v>2308</v>
      </c>
      <c r="H51" s="4" t="s">
        <v>531</v>
      </c>
      <c r="I51" s="24"/>
      <c r="J51" s="84" t="s">
        <v>2308</v>
      </c>
      <c r="K51" s="84" t="s">
        <v>2308</v>
      </c>
      <c r="L51" s="84" t="s">
        <v>2308</v>
      </c>
      <c r="M51" s="84">
        <v>2</v>
      </c>
      <c r="N51" s="84" t="s">
        <v>2308</v>
      </c>
      <c r="O51" s="84" t="s">
        <v>2308</v>
      </c>
      <c r="P51" s="84" t="s">
        <v>2308</v>
      </c>
      <c r="Q51" s="22" t="s">
        <v>2308</v>
      </c>
      <c r="R51" s="22" t="s">
        <v>2308</v>
      </c>
      <c r="S51" s="84" t="s">
        <v>2308</v>
      </c>
      <c r="T51" s="84" t="s">
        <v>2308</v>
      </c>
      <c r="U51" s="94" t="s">
        <v>2308</v>
      </c>
      <c r="V51" s="94" t="s">
        <v>2308</v>
      </c>
      <c r="W51" s="94" t="s">
        <v>2308</v>
      </c>
      <c r="X51" s="94" t="s">
        <v>2308</v>
      </c>
      <c r="Y51" s="94" t="s">
        <v>2308</v>
      </c>
      <c r="Z51" s="4" t="s">
        <v>75</v>
      </c>
      <c r="AA51" s="4" t="s">
        <v>35</v>
      </c>
      <c r="AB51" s="4" t="s">
        <v>64</v>
      </c>
      <c r="AC51" s="5" t="s">
        <v>118</v>
      </c>
      <c r="AD51" s="5" t="s">
        <v>2293</v>
      </c>
    </row>
    <row r="52" spans="1:30" ht="69.5" customHeight="1">
      <c r="A52" s="32" t="s">
        <v>288</v>
      </c>
      <c r="B52" s="4" t="s">
        <v>352</v>
      </c>
      <c r="C52" s="24" t="s">
        <v>24</v>
      </c>
      <c r="D52" s="4" t="s">
        <v>2692</v>
      </c>
      <c r="E52" s="5" t="s">
        <v>403</v>
      </c>
      <c r="F52" s="27" t="s">
        <v>28</v>
      </c>
      <c r="G52" s="12" t="s">
        <v>2308</v>
      </c>
      <c r="H52" s="4" t="s">
        <v>531</v>
      </c>
      <c r="I52" s="24"/>
      <c r="J52" s="84" t="s">
        <v>2308</v>
      </c>
      <c r="K52" s="84" t="s">
        <v>2308</v>
      </c>
      <c r="L52" s="84" t="s">
        <v>2308</v>
      </c>
      <c r="M52" s="84">
        <v>2</v>
      </c>
      <c r="N52" s="84" t="s">
        <v>2308</v>
      </c>
      <c r="O52" s="84" t="s">
        <v>2308</v>
      </c>
      <c r="P52" s="84" t="s">
        <v>2308</v>
      </c>
      <c r="Q52" s="22" t="s">
        <v>2308</v>
      </c>
      <c r="R52" s="22" t="s">
        <v>2308</v>
      </c>
      <c r="S52" s="84" t="s">
        <v>2308</v>
      </c>
      <c r="T52" s="84" t="s">
        <v>2308</v>
      </c>
      <c r="U52" s="94" t="s">
        <v>2308</v>
      </c>
      <c r="V52" s="94" t="s">
        <v>2308</v>
      </c>
      <c r="W52" s="94" t="s">
        <v>2308</v>
      </c>
      <c r="X52" s="94" t="s">
        <v>2308</v>
      </c>
      <c r="Y52" s="94" t="s">
        <v>2308</v>
      </c>
      <c r="Z52" s="4" t="s">
        <v>75</v>
      </c>
      <c r="AA52" s="4" t="s">
        <v>35</v>
      </c>
      <c r="AB52" s="4" t="s">
        <v>64</v>
      </c>
      <c r="AC52" s="5" t="s">
        <v>118</v>
      </c>
      <c r="AD52" s="5" t="s">
        <v>2293</v>
      </c>
    </row>
    <row r="53" spans="1:30" ht="69.5" customHeight="1">
      <c r="A53" s="32" t="s">
        <v>289</v>
      </c>
      <c r="B53" s="4" t="s">
        <v>353</v>
      </c>
      <c r="C53" s="24" t="s">
        <v>24</v>
      </c>
      <c r="D53" s="4" t="s">
        <v>2692</v>
      </c>
      <c r="E53" s="5" t="s">
        <v>403</v>
      </c>
      <c r="F53" s="27" t="s">
        <v>28</v>
      </c>
      <c r="G53" s="12" t="s">
        <v>2308</v>
      </c>
      <c r="H53" s="4" t="s">
        <v>531</v>
      </c>
      <c r="I53" s="24"/>
      <c r="J53" s="84" t="s">
        <v>2308</v>
      </c>
      <c r="K53" s="84" t="s">
        <v>2308</v>
      </c>
      <c r="L53" s="84" t="s">
        <v>2308</v>
      </c>
      <c r="M53" s="84">
        <v>2</v>
      </c>
      <c r="N53" s="84" t="s">
        <v>2308</v>
      </c>
      <c r="O53" s="84" t="s">
        <v>2308</v>
      </c>
      <c r="P53" s="84" t="s">
        <v>2308</v>
      </c>
      <c r="Q53" s="22" t="s">
        <v>2308</v>
      </c>
      <c r="R53" s="22" t="s">
        <v>2308</v>
      </c>
      <c r="S53" s="84" t="s">
        <v>2308</v>
      </c>
      <c r="T53" s="84" t="s">
        <v>2308</v>
      </c>
      <c r="U53" s="94" t="s">
        <v>2308</v>
      </c>
      <c r="V53" s="94" t="s">
        <v>2308</v>
      </c>
      <c r="W53" s="94" t="s">
        <v>2308</v>
      </c>
      <c r="X53" s="94" t="s">
        <v>2308</v>
      </c>
      <c r="Y53" s="94" t="s">
        <v>2308</v>
      </c>
      <c r="Z53" s="4" t="s">
        <v>75</v>
      </c>
      <c r="AA53" s="4" t="s">
        <v>35</v>
      </c>
      <c r="AB53" s="4" t="s">
        <v>64</v>
      </c>
      <c r="AC53" s="5" t="s">
        <v>118</v>
      </c>
      <c r="AD53" s="5" t="s">
        <v>2293</v>
      </c>
    </row>
    <row r="54" spans="1:30" ht="69.5" customHeight="1">
      <c r="A54" s="32" t="s">
        <v>290</v>
      </c>
      <c r="B54" s="4" t="s">
        <v>354</v>
      </c>
      <c r="C54" s="24" t="s">
        <v>24</v>
      </c>
      <c r="D54" s="4" t="s">
        <v>2692</v>
      </c>
      <c r="E54" s="5" t="s">
        <v>403</v>
      </c>
      <c r="F54" s="27" t="s">
        <v>28</v>
      </c>
      <c r="G54" s="12" t="s">
        <v>2308</v>
      </c>
      <c r="H54" s="4" t="s">
        <v>531</v>
      </c>
      <c r="I54" s="24"/>
      <c r="J54" s="84" t="s">
        <v>2308</v>
      </c>
      <c r="K54" s="84" t="s">
        <v>2308</v>
      </c>
      <c r="L54" s="84" t="s">
        <v>2308</v>
      </c>
      <c r="M54" s="84">
        <v>2</v>
      </c>
      <c r="N54" s="84" t="s">
        <v>2308</v>
      </c>
      <c r="O54" s="84" t="s">
        <v>2308</v>
      </c>
      <c r="P54" s="84" t="s">
        <v>2308</v>
      </c>
      <c r="Q54" s="22" t="s">
        <v>2308</v>
      </c>
      <c r="R54" s="22" t="s">
        <v>2308</v>
      </c>
      <c r="S54" s="84" t="s">
        <v>2308</v>
      </c>
      <c r="T54" s="84" t="s">
        <v>2308</v>
      </c>
      <c r="U54" s="94" t="s">
        <v>2308</v>
      </c>
      <c r="V54" s="94" t="s">
        <v>2308</v>
      </c>
      <c r="W54" s="94" t="s">
        <v>2308</v>
      </c>
      <c r="X54" s="94" t="s">
        <v>2308</v>
      </c>
      <c r="Y54" s="94" t="s">
        <v>2308</v>
      </c>
      <c r="Z54" s="4" t="s">
        <v>75</v>
      </c>
      <c r="AA54" s="4" t="s">
        <v>35</v>
      </c>
      <c r="AB54" s="4" t="s">
        <v>64</v>
      </c>
      <c r="AC54" s="5" t="s">
        <v>118</v>
      </c>
      <c r="AD54" s="5" t="s">
        <v>2293</v>
      </c>
    </row>
    <row r="55" spans="1:30" ht="69.5" customHeight="1">
      <c r="A55" s="32" t="s">
        <v>291</v>
      </c>
      <c r="B55" s="4" t="s">
        <v>355</v>
      </c>
      <c r="C55" s="24" t="s">
        <v>24</v>
      </c>
      <c r="D55" s="4" t="s">
        <v>2692</v>
      </c>
      <c r="E55" s="5" t="s">
        <v>403</v>
      </c>
      <c r="F55" s="27" t="s">
        <v>28</v>
      </c>
      <c r="G55" s="12" t="s">
        <v>2308</v>
      </c>
      <c r="H55" s="4" t="s">
        <v>531</v>
      </c>
      <c r="I55" s="24"/>
      <c r="J55" s="84" t="s">
        <v>2308</v>
      </c>
      <c r="K55" s="84" t="s">
        <v>2308</v>
      </c>
      <c r="L55" s="84" t="s">
        <v>2308</v>
      </c>
      <c r="M55" s="84">
        <v>2</v>
      </c>
      <c r="N55" s="84" t="s">
        <v>2308</v>
      </c>
      <c r="O55" s="84" t="s">
        <v>2308</v>
      </c>
      <c r="P55" s="84" t="s">
        <v>2308</v>
      </c>
      <c r="Q55" s="22" t="s">
        <v>2308</v>
      </c>
      <c r="R55" s="22" t="s">
        <v>2308</v>
      </c>
      <c r="S55" s="84" t="s">
        <v>2308</v>
      </c>
      <c r="T55" s="84" t="s">
        <v>2308</v>
      </c>
      <c r="U55" s="94" t="s">
        <v>2308</v>
      </c>
      <c r="V55" s="94" t="s">
        <v>2308</v>
      </c>
      <c r="W55" s="94" t="s">
        <v>2308</v>
      </c>
      <c r="X55" s="94" t="s">
        <v>2308</v>
      </c>
      <c r="Y55" s="94" t="s">
        <v>2308</v>
      </c>
      <c r="Z55" s="4" t="s">
        <v>75</v>
      </c>
      <c r="AA55" s="4" t="s">
        <v>35</v>
      </c>
      <c r="AB55" s="4" t="s">
        <v>64</v>
      </c>
      <c r="AC55" s="5" t="s">
        <v>118</v>
      </c>
      <c r="AD55" s="5" t="s">
        <v>2293</v>
      </c>
    </row>
    <row r="56" spans="1:30" ht="69.5" customHeight="1">
      <c r="A56" s="32" t="s">
        <v>292</v>
      </c>
      <c r="B56" s="4" t="s">
        <v>356</v>
      </c>
      <c r="C56" s="24" t="s">
        <v>24</v>
      </c>
      <c r="D56" s="4" t="s">
        <v>2692</v>
      </c>
      <c r="E56" s="5" t="s">
        <v>403</v>
      </c>
      <c r="F56" s="27" t="s">
        <v>28</v>
      </c>
      <c r="G56" s="12" t="s">
        <v>2308</v>
      </c>
      <c r="H56" s="4" t="s">
        <v>531</v>
      </c>
      <c r="I56" s="24"/>
      <c r="J56" s="84" t="s">
        <v>2308</v>
      </c>
      <c r="K56" s="84" t="s">
        <v>2308</v>
      </c>
      <c r="L56" s="84" t="s">
        <v>2308</v>
      </c>
      <c r="M56" s="84">
        <v>2</v>
      </c>
      <c r="N56" s="84" t="s">
        <v>2308</v>
      </c>
      <c r="O56" s="84" t="s">
        <v>2308</v>
      </c>
      <c r="P56" s="84" t="s">
        <v>2308</v>
      </c>
      <c r="Q56" s="22" t="s">
        <v>2308</v>
      </c>
      <c r="R56" s="22" t="s">
        <v>2308</v>
      </c>
      <c r="S56" s="84" t="s">
        <v>2308</v>
      </c>
      <c r="T56" s="84" t="s">
        <v>2308</v>
      </c>
      <c r="U56" s="94" t="s">
        <v>2308</v>
      </c>
      <c r="V56" s="94" t="s">
        <v>2308</v>
      </c>
      <c r="W56" s="94" t="s">
        <v>2308</v>
      </c>
      <c r="X56" s="94" t="s">
        <v>2308</v>
      </c>
      <c r="Y56" s="94" t="s">
        <v>2308</v>
      </c>
      <c r="Z56" s="4" t="s">
        <v>75</v>
      </c>
      <c r="AA56" s="4" t="s">
        <v>35</v>
      </c>
      <c r="AB56" s="4" t="s">
        <v>64</v>
      </c>
      <c r="AC56" s="5" t="s">
        <v>118</v>
      </c>
      <c r="AD56" s="5" t="s">
        <v>2293</v>
      </c>
    </row>
    <row r="57" spans="1:30" ht="69.5" customHeight="1">
      <c r="A57" s="32" t="s">
        <v>293</v>
      </c>
      <c r="B57" s="4" t="s">
        <v>357</v>
      </c>
      <c r="C57" s="24" t="s">
        <v>24</v>
      </c>
      <c r="D57" s="4" t="s">
        <v>2692</v>
      </c>
      <c r="E57" s="5" t="s">
        <v>403</v>
      </c>
      <c r="F57" s="27" t="s">
        <v>28</v>
      </c>
      <c r="G57" s="12" t="s">
        <v>2308</v>
      </c>
      <c r="H57" s="4" t="s">
        <v>531</v>
      </c>
      <c r="I57" s="24"/>
      <c r="J57" s="84" t="s">
        <v>2308</v>
      </c>
      <c r="K57" s="84" t="s">
        <v>2308</v>
      </c>
      <c r="L57" s="84" t="s">
        <v>2308</v>
      </c>
      <c r="M57" s="84">
        <v>2</v>
      </c>
      <c r="N57" s="84" t="s">
        <v>2308</v>
      </c>
      <c r="O57" s="84" t="s">
        <v>2308</v>
      </c>
      <c r="P57" s="84" t="s">
        <v>2308</v>
      </c>
      <c r="Q57" s="22" t="s">
        <v>2308</v>
      </c>
      <c r="R57" s="22" t="s">
        <v>2308</v>
      </c>
      <c r="S57" s="84" t="s">
        <v>2308</v>
      </c>
      <c r="T57" s="84" t="s">
        <v>2308</v>
      </c>
      <c r="U57" s="94" t="s">
        <v>2308</v>
      </c>
      <c r="V57" s="94" t="s">
        <v>2308</v>
      </c>
      <c r="W57" s="94" t="s">
        <v>2308</v>
      </c>
      <c r="X57" s="94" t="s">
        <v>2308</v>
      </c>
      <c r="Y57" s="94" t="s">
        <v>2308</v>
      </c>
      <c r="Z57" s="4" t="s">
        <v>75</v>
      </c>
      <c r="AA57" s="4" t="s">
        <v>35</v>
      </c>
      <c r="AB57" s="4" t="s">
        <v>64</v>
      </c>
      <c r="AC57" s="5" t="s">
        <v>118</v>
      </c>
      <c r="AD57" s="5" t="s">
        <v>2293</v>
      </c>
    </row>
    <row r="58" spans="1:30" ht="69.5" customHeight="1">
      <c r="A58" s="32" t="s">
        <v>294</v>
      </c>
      <c r="B58" s="4" t="s">
        <v>358</v>
      </c>
      <c r="C58" s="24" t="s">
        <v>24</v>
      </c>
      <c r="D58" s="4" t="s">
        <v>2692</v>
      </c>
      <c r="E58" s="5" t="s">
        <v>403</v>
      </c>
      <c r="F58" s="27" t="s">
        <v>28</v>
      </c>
      <c r="G58" s="12" t="s">
        <v>2308</v>
      </c>
      <c r="H58" s="4" t="s">
        <v>531</v>
      </c>
      <c r="I58" s="24"/>
      <c r="J58" s="84" t="s">
        <v>2308</v>
      </c>
      <c r="K58" s="84" t="s">
        <v>2308</v>
      </c>
      <c r="L58" s="84" t="s">
        <v>2308</v>
      </c>
      <c r="M58" s="84">
        <v>2</v>
      </c>
      <c r="N58" s="84" t="s">
        <v>2308</v>
      </c>
      <c r="O58" s="84" t="s">
        <v>2308</v>
      </c>
      <c r="P58" s="84" t="s">
        <v>2308</v>
      </c>
      <c r="Q58" s="22" t="s">
        <v>2308</v>
      </c>
      <c r="R58" s="22" t="s">
        <v>2308</v>
      </c>
      <c r="S58" s="84" t="s">
        <v>2308</v>
      </c>
      <c r="T58" s="84" t="s">
        <v>2308</v>
      </c>
      <c r="U58" s="94" t="s">
        <v>2308</v>
      </c>
      <c r="V58" s="94" t="s">
        <v>2308</v>
      </c>
      <c r="W58" s="94" t="s">
        <v>2308</v>
      </c>
      <c r="X58" s="94" t="s">
        <v>2308</v>
      </c>
      <c r="Y58" s="94" t="s">
        <v>2308</v>
      </c>
      <c r="Z58" s="4" t="s">
        <v>75</v>
      </c>
      <c r="AA58" s="4" t="s">
        <v>35</v>
      </c>
      <c r="AB58" s="4" t="s">
        <v>64</v>
      </c>
      <c r="AC58" s="5" t="s">
        <v>118</v>
      </c>
      <c r="AD58" s="5" t="s">
        <v>2293</v>
      </c>
    </row>
    <row r="59" spans="1:30" ht="69.5" customHeight="1">
      <c r="A59" s="32" t="s">
        <v>295</v>
      </c>
      <c r="B59" s="4" t="s">
        <v>359</v>
      </c>
      <c r="C59" s="24" t="s">
        <v>24</v>
      </c>
      <c r="D59" s="4" t="s">
        <v>2692</v>
      </c>
      <c r="E59" s="5" t="s">
        <v>403</v>
      </c>
      <c r="F59" s="27" t="s">
        <v>28</v>
      </c>
      <c r="G59" s="12" t="s">
        <v>2308</v>
      </c>
      <c r="H59" s="4" t="s">
        <v>531</v>
      </c>
      <c r="I59" s="24"/>
      <c r="J59" s="84" t="s">
        <v>2308</v>
      </c>
      <c r="K59" s="84" t="s">
        <v>2308</v>
      </c>
      <c r="L59" s="84" t="s">
        <v>2308</v>
      </c>
      <c r="M59" s="84">
        <v>2</v>
      </c>
      <c r="N59" s="84" t="s">
        <v>2308</v>
      </c>
      <c r="O59" s="84" t="s">
        <v>2308</v>
      </c>
      <c r="P59" s="84" t="s">
        <v>2308</v>
      </c>
      <c r="Q59" s="22" t="s">
        <v>2308</v>
      </c>
      <c r="R59" s="22" t="s">
        <v>2308</v>
      </c>
      <c r="S59" s="84" t="s">
        <v>2308</v>
      </c>
      <c r="T59" s="84" t="s">
        <v>2308</v>
      </c>
      <c r="U59" s="94" t="s">
        <v>2308</v>
      </c>
      <c r="V59" s="94" t="s">
        <v>2308</v>
      </c>
      <c r="W59" s="94" t="s">
        <v>2308</v>
      </c>
      <c r="X59" s="94" t="s">
        <v>2308</v>
      </c>
      <c r="Y59" s="94" t="s">
        <v>2308</v>
      </c>
      <c r="Z59" s="4" t="s">
        <v>75</v>
      </c>
      <c r="AA59" s="4" t="s">
        <v>35</v>
      </c>
      <c r="AB59" s="4" t="s">
        <v>64</v>
      </c>
      <c r="AC59" s="5" t="s">
        <v>118</v>
      </c>
      <c r="AD59" s="5" t="s">
        <v>2293</v>
      </c>
    </row>
    <row r="60" spans="1:30" ht="69.5" customHeight="1">
      <c r="A60" s="32" t="s">
        <v>300</v>
      </c>
      <c r="B60" s="4" t="s">
        <v>360</v>
      </c>
      <c r="C60" s="24" t="s">
        <v>24</v>
      </c>
      <c r="D60" s="4" t="s">
        <v>2692</v>
      </c>
      <c r="E60" s="5" t="s">
        <v>403</v>
      </c>
      <c r="F60" s="27" t="s">
        <v>28</v>
      </c>
      <c r="G60" s="12" t="s">
        <v>2308</v>
      </c>
      <c r="H60" s="4" t="s">
        <v>531</v>
      </c>
      <c r="I60" s="24"/>
      <c r="J60" s="84" t="s">
        <v>2308</v>
      </c>
      <c r="K60" s="84" t="s">
        <v>2308</v>
      </c>
      <c r="L60" s="84" t="s">
        <v>2308</v>
      </c>
      <c r="M60" s="84">
        <v>2</v>
      </c>
      <c r="N60" s="84" t="s">
        <v>2308</v>
      </c>
      <c r="O60" s="84" t="s">
        <v>2308</v>
      </c>
      <c r="P60" s="84" t="s">
        <v>2308</v>
      </c>
      <c r="Q60" s="22" t="s">
        <v>2308</v>
      </c>
      <c r="R60" s="22" t="s">
        <v>2308</v>
      </c>
      <c r="S60" s="84" t="s">
        <v>2308</v>
      </c>
      <c r="T60" s="84" t="s">
        <v>2308</v>
      </c>
      <c r="U60" s="94" t="s">
        <v>2308</v>
      </c>
      <c r="V60" s="94" t="s">
        <v>2308</v>
      </c>
      <c r="W60" s="94" t="s">
        <v>2308</v>
      </c>
      <c r="X60" s="94" t="s">
        <v>2308</v>
      </c>
      <c r="Y60" s="94" t="s">
        <v>2308</v>
      </c>
      <c r="Z60" s="4" t="s">
        <v>75</v>
      </c>
      <c r="AA60" s="4" t="s">
        <v>35</v>
      </c>
      <c r="AB60" s="4" t="s">
        <v>64</v>
      </c>
      <c r="AC60" s="5" t="s">
        <v>118</v>
      </c>
      <c r="AD60" s="5" t="s">
        <v>2293</v>
      </c>
    </row>
    <row r="61" spans="1:30" ht="69.5" customHeight="1">
      <c r="A61" s="32" t="s">
        <v>301</v>
      </c>
      <c r="B61" s="4" t="s">
        <v>361</v>
      </c>
      <c r="C61" s="24" t="s">
        <v>24</v>
      </c>
      <c r="D61" s="4" t="s">
        <v>2692</v>
      </c>
      <c r="E61" s="5" t="s">
        <v>403</v>
      </c>
      <c r="F61" s="27" t="s">
        <v>28</v>
      </c>
      <c r="G61" s="12" t="s">
        <v>2308</v>
      </c>
      <c r="H61" s="4" t="s">
        <v>531</v>
      </c>
      <c r="I61" s="24"/>
      <c r="J61" s="84" t="s">
        <v>2308</v>
      </c>
      <c r="K61" s="84" t="s">
        <v>2308</v>
      </c>
      <c r="L61" s="84" t="s">
        <v>2308</v>
      </c>
      <c r="M61" s="84">
        <v>2</v>
      </c>
      <c r="N61" s="84" t="s">
        <v>2308</v>
      </c>
      <c r="O61" s="84" t="s">
        <v>2308</v>
      </c>
      <c r="P61" s="84" t="s">
        <v>2308</v>
      </c>
      <c r="Q61" s="22" t="s">
        <v>2308</v>
      </c>
      <c r="R61" s="22" t="s">
        <v>2308</v>
      </c>
      <c r="S61" s="84" t="s">
        <v>2308</v>
      </c>
      <c r="T61" s="84" t="s">
        <v>2308</v>
      </c>
      <c r="U61" s="94" t="s">
        <v>2308</v>
      </c>
      <c r="V61" s="94" t="s">
        <v>2308</v>
      </c>
      <c r="W61" s="94" t="s">
        <v>2308</v>
      </c>
      <c r="X61" s="94" t="s">
        <v>2308</v>
      </c>
      <c r="Y61" s="94" t="s">
        <v>2308</v>
      </c>
      <c r="Z61" s="4" t="s">
        <v>75</v>
      </c>
      <c r="AA61" s="4" t="s">
        <v>35</v>
      </c>
      <c r="AB61" s="4" t="s">
        <v>64</v>
      </c>
      <c r="AC61" s="5" t="s">
        <v>118</v>
      </c>
      <c r="AD61" s="5" t="s">
        <v>2293</v>
      </c>
    </row>
    <row r="62" spans="1:30" ht="69.5" customHeight="1">
      <c r="A62" s="32" t="s">
        <v>302</v>
      </c>
      <c r="B62" s="4" t="s">
        <v>362</v>
      </c>
      <c r="C62" s="24" t="s">
        <v>24</v>
      </c>
      <c r="D62" s="4" t="s">
        <v>2692</v>
      </c>
      <c r="E62" s="5" t="s">
        <v>403</v>
      </c>
      <c r="F62" s="27" t="s">
        <v>28</v>
      </c>
      <c r="G62" s="12" t="s">
        <v>2308</v>
      </c>
      <c r="H62" s="4" t="s">
        <v>531</v>
      </c>
      <c r="I62" s="24"/>
      <c r="J62" s="84" t="s">
        <v>2308</v>
      </c>
      <c r="K62" s="84" t="s">
        <v>2308</v>
      </c>
      <c r="L62" s="84" t="s">
        <v>2308</v>
      </c>
      <c r="M62" s="84">
        <v>2</v>
      </c>
      <c r="N62" s="84" t="s">
        <v>2308</v>
      </c>
      <c r="O62" s="84" t="s">
        <v>2308</v>
      </c>
      <c r="P62" s="84" t="s">
        <v>2308</v>
      </c>
      <c r="Q62" s="22" t="s">
        <v>2308</v>
      </c>
      <c r="R62" s="22" t="s">
        <v>2308</v>
      </c>
      <c r="S62" s="84" t="s">
        <v>2308</v>
      </c>
      <c r="T62" s="84" t="s">
        <v>2308</v>
      </c>
      <c r="U62" s="94" t="s">
        <v>2308</v>
      </c>
      <c r="V62" s="94" t="s">
        <v>2308</v>
      </c>
      <c r="W62" s="94" t="s">
        <v>2308</v>
      </c>
      <c r="X62" s="94" t="s">
        <v>2308</v>
      </c>
      <c r="Y62" s="94" t="s">
        <v>2308</v>
      </c>
      <c r="Z62" s="4" t="s">
        <v>75</v>
      </c>
      <c r="AA62" s="4" t="s">
        <v>35</v>
      </c>
      <c r="AB62" s="4" t="s">
        <v>64</v>
      </c>
      <c r="AC62" s="5" t="s">
        <v>118</v>
      </c>
      <c r="AD62" s="5" t="s">
        <v>2293</v>
      </c>
    </row>
    <row r="63" spans="1:30" ht="69.5" customHeight="1">
      <c r="A63" s="32" t="s">
        <v>303</v>
      </c>
      <c r="B63" s="4" t="s">
        <v>363</v>
      </c>
      <c r="C63" s="24" t="s">
        <v>24</v>
      </c>
      <c r="D63" s="4" t="s">
        <v>2692</v>
      </c>
      <c r="E63" s="5" t="s">
        <v>403</v>
      </c>
      <c r="F63" s="27" t="s">
        <v>28</v>
      </c>
      <c r="G63" s="12" t="s">
        <v>2308</v>
      </c>
      <c r="H63" s="4" t="s">
        <v>531</v>
      </c>
      <c r="I63" s="24"/>
      <c r="J63" s="84" t="s">
        <v>2308</v>
      </c>
      <c r="K63" s="84" t="s">
        <v>2308</v>
      </c>
      <c r="L63" s="84" t="s">
        <v>2308</v>
      </c>
      <c r="M63" s="84">
        <v>2</v>
      </c>
      <c r="N63" s="84" t="s">
        <v>2308</v>
      </c>
      <c r="O63" s="84" t="s">
        <v>2308</v>
      </c>
      <c r="P63" s="84" t="s">
        <v>2308</v>
      </c>
      <c r="Q63" s="22" t="s">
        <v>2308</v>
      </c>
      <c r="R63" s="22" t="s">
        <v>2308</v>
      </c>
      <c r="S63" s="84" t="s">
        <v>2308</v>
      </c>
      <c r="T63" s="84" t="s">
        <v>2308</v>
      </c>
      <c r="U63" s="94" t="s">
        <v>2308</v>
      </c>
      <c r="V63" s="94" t="s">
        <v>2308</v>
      </c>
      <c r="W63" s="94" t="s">
        <v>2308</v>
      </c>
      <c r="X63" s="94" t="s">
        <v>2308</v>
      </c>
      <c r="Y63" s="94" t="s">
        <v>2308</v>
      </c>
      <c r="Z63" s="4" t="s">
        <v>75</v>
      </c>
      <c r="AA63" s="4" t="s">
        <v>35</v>
      </c>
      <c r="AB63" s="4" t="s">
        <v>64</v>
      </c>
      <c r="AC63" s="5" t="s">
        <v>118</v>
      </c>
      <c r="AD63" s="5" t="s">
        <v>2293</v>
      </c>
    </row>
    <row r="64" spans="1:30" ht="69.5" customHeight="1">
      <c r="A64" s="32" t="s">
        <v>304</v>
      </c>
      <c r="B64" s="4" t="s">
        <v>364</v>
      </c>
      <c r="C64" s="24" t="s">
        <v>24</v>
      </c>
      <c r="D64" s="4" t="s">
        <v>2692</v>
      </c>
      <c r="E64" s="5" t="s">
        <v>403</v>
      </c>
      <c r="F64" s="27" t="s">
        <v>28</v>
      </c>
      <c r="G64" s="12" t="s">
        <v>2308</v>
      </c>
      <c r="H64" s="4" t="s">
        <v>531</v>
      </c>
      <c r="I64" s="24"/>
      <c r="J64" s="84" t="s">
        <v>2308</v>
      </c>
      <c r="K64" s="84" t="s">
        <v>2308</v>
      </c>
      <c r="L64" s="84" t="s">
        <v>2308</v>
      </c>
      <c r="M64" s="84">
        <v>2</v>
      </c>
      <c r="N64" s="84" t="s">
        <v>2308</v>
      </c>
      <c r="O64" s="84" t="s">
        <v>2308</v>
      </c>
      <c r="P64" s="84" t="s">
        <v>2308</v>
      </c>
      <c r="Q64" s="22" t="s">
        <v>2308</v>
      </c>
      <c r="R64" s="22" t="s">
        <v>2308</v>
      </c>
      <c r="S64" s="84" t="s">
        <v>2308</v>
      </c>
      <c r="T64" s="84" t="s">
        <v>2308</v>
      </c>
      <c r="U64" s="94" t="s">
        <v>2308</v>
      </c>
      <c r="V64" s="94" t="s">
        <v>2308</v>
      </c>
      <c r="W64" s="94" t="s">
        <v>2308</v>
      </c>
      <c r="X64" s="94" t="s">
        <v>2308</v>
      </c>
      <c r="Y64" s="94" t="s">
        <v>2308</v>
      </c>
      <c r="Z64" s="4" t="s">
        <v>75</v>
      </c>
      <c r="AA64" s="4" t="s">
        <v>35</v>
      </c>
      <c r="AB64" s="4" t="s">
        <v>64</v>
      </c>
      <c r="AC64" s="5" t="s">
        <v>118</v>
      </c>
      <c r="AD64" s="5" t="s">
        <v>2293</v>
      </c>
    </row>
    <row r="65" spans="1:30" ht="69.5" customHeight="1">
      <c r="A65" s="32" t="s">
        <v>305</v>
      </c>
      <c r="B65" s="4" t="s">
        <v>365</v>
      </c>
      <c r="C65" s="24" t="s">
        <v>24</v>
      </c>
      <c r="D65" s="4" t="s">
        <v>2692</v>
      </c>
      <c r="E65" s="5" t="s">
        <v>403</v>
      </c>
      <c r="F65" s="27" t="s">
        <v>28</v>
      </c>
      <c r="G65" s="12" t="s">
        <v>2308</v>
      </c>
      <c r="H65" s="4" t="s">
        <v>531</v>
      </c>
      <c r="I65" s="24"/>
      <c r="J65" s="84" t="s">
        <v>2308</v>
      </c>
      <c r="K65" s="84" t="s">
        <v>2308</v>
      </c>
      <c r="L65" s="84" t="s">
        <v>2308</v>
      </c>
      <c r="M65" s="84">
        <v>2</v>
      </c>
      <c r="N65" s="84" t="s">
        <v>2308</v>
      </c>
      <c r="O65" s="84" t="s">
        <v>2308</v>
      </c>
      <c r="P65" s="84" t="s">
        <v>2308</v>
      </c>
      <c r="Q65" s="22" t="s">
        <v>2308</v>
      </c>
      <c r="R65" s="22" t="s">
        <v>2308</v>
      </c>
      <c r="S65" s="84" t="s">
        <v>2308</v>
      </c>
      <c r="T65" s="84" t="s">
        <v>2308</v>
      </c>
      <c r="U65" s="94" t="s">
        <v>2308</v>
      </c>
      <c r="V65" s="94" t="s">
        <v>2308</v>
      </c>
      <c r="W65" s="94" t="s">
        <v>2308</v>
      </c>
      <c r="X65" s="94" t="s">
        <v>2308</v>
      </c>
      <c r="Y65" s="94" t="s">
        <v>2308</v>
      </c>
      <c r="Z65" s="4" t="s">
        <v>75</v>
      </c>
      <c r="AA65" s="4" t="s">
        <v>35</v>
      </c>
      <c r="AB65" s="4" t="s">
        <v>64</v>
      </c>
      <c r="AC65" s="5" t="s">
        <v>118</v>
      </c>
      <c r="AD65" s="5" t="s">
        <v>2293</v>
      </c>
    </row>
    <row r="66" spans="1:30" ht="69.5" customHeight="1">
      <c r="A66" s="32" t="s">
        <v>306</v>
      </c>
      <c r="B66" s="4" t="s">
        <v>366</v>
      </c>
      <c r="C66" s="24" t="s">
        <v>24</v>
      </c>
      <c r="D66" s="4" t="s">
        <v>2692</v>
      </c>
      <c r="E66" s="5" t="s">
        <v>403</v>
      </c>
      <c r="F66" s="27" t="s">
        <v>28</v>
      </c>
      <c r="G66" s="12" t="s">
        <v>2308</v>
      </c>
      <c r="H66" s="4" t="s">
        <v>531</v>
      </c>
      <c r="I66" s="24"/>
      <c r="J66" s="84" t="s">
        <v>2308</v>
      </c>
      <c r="K66" s="84" t="s">
        <v>2308</v>
      </c>
      <c r="L66" s="84" t="s">
        <v>2308</v>
      </c>
      <c r="M66" s="84">
        <v>2</v>
      </c>
      <c r="N66" s="84" t="s">
        <v>2308</v>
      </c>
      <c r="O66" s="84" t="s">
        <v>2308</v>
      </c>
      <c r="P66" s="84" t="s">
        <v>2308</v>
      </c>
      <c r="Q66" s="22" t="s">
        <v>2308</v>
      </c>
      <c r="R66" s="22" t="s">
        <v>2308</v>
      </c>
      <c r="S66" s="84" t="s">
        <v>2308</v>
      </c>
      <c r="T66" s="84" t="s">
        <v>2308</v>
      </c>
      <c r="U66" s="94" t="s">
        <v>2308</v>
      </c>
      <c r="V66" s="94" t="s">
        <v>2308</v>
      </c>
      <c r="W66" s="94" t="s">
        <v>2308</v>
      </c>
      <c r="X66" s="94" t="s">
        <v>2308</v>
      </c>
      <c r="Y66" s="94" t="s">
        <v>2308</v>
      </c>
      <c r="Z66" s="4" t="s">
        <v>75</v>
      </c>
      <c r="AA66" s="4" t="s">
        <v>35</v>
      </c>
      <c r="AB66" s="4" t="s">
        <v>64</v>
      </c>
      <c r="AC66" s="5" t="s">
        <v>118</v>
      </c>
      <c r="AD66" s="5" t="s">
        <v>2293</v>
      </c>
    </row>
    <row r="67" spans="1:30" ht="69.5" customHeight="1">
      <c r="A67" s="32" t="s">
        <v>307</v>
      </c>
      <c r="B67" s="4" t="s">
        <v>367</v>
      </c>
      <c r="C67" s="24" t="s">
        <v>24</v>
      </c>
      <c r="D67" s="4" t="s">
        <v>2692</v>
      </c>
      <c r="E67" s="5" t="s">
        <v>403</v>
      </c>
      <c r="F67" s="27" t="s">
        <v>28</v>
      </c>
      <c r="G67" s="12" t="s">
        <v>2308</v>
      </c>
      <c r="H67" s="4" t="s">
        <v>531</v>
      </c>
      <c r="I67" s="24"/>
      <c r="J67" s="84" t="s">
        <v>2308</v>
      </c>
      <c r="K67" s="84" t="s">
        <v>2308</v>
      </c>
      <c r="L67" s="84" t="s">
        <v>2308</v>
      </c>
      <c r="M67" s="84">
        <v>2</v>
      </c>
      <c r="N67" s="84" t="s">
        <v>2308</v>
      </c>
      <c r="O67" s="84" t="s">
        <v>2308</v>
      </c>
      <c r="P67" s="84" t="s">
        <v>2308</v>
      </c>
      <c r="Q67" s="22" t="s">
        <v>2308</v>
      </c>
      <c r="R67" s="22" t="s">
        <v>2308</v>
      </c>
      <c r="S67" s="84" t="s">
        <v>2308</v>
      </c>
      <c r="T67" s="84" t="s">
        <v>2308</v>
      </c>
      <c r="U67" s="94" t="s">
        <v>2308</v>
      </c>
      <c r="V67" s="94" t="s">
        <v>2308</v>
      </c>
      <c r="W67" s="94" t="s">
        <v>2308</v>
      </c>
      <c r="X67" s="94" t="s">
        <v>2308</v>
      </c>
      <c r="Y67" s="94" t="s">
        <v>2308</v>
      </c>
      <c r="Z67" s="4" t="s">
        <v>75</v>
      </c>
      <c r="AA67" s="4" t="s">
        <v>35</v>
      </c>
      <c r="AB67" s="4" t="s">
        <v>64</v>
      </c>
      <c r="AC67" s="5" t="s">
        <v>118</v>
      </c>
      <c r="AD67" s="5" t="s">
        <v>2293</v>
      </c>
    </row>
    <row r="68" spans="1:30" ht="69.5" customHeight="1">
      <c r="A68" s="32" t="s">
        <v>308</v>
      </c>
      <c r="B68" s="4" t="s">
        <v>368</v>
      </c>
      <c r="C68" s="24" t="s">
        <v>24</v>
      </c>
      <c r="D68" s="4" t="s">
        <v>2692</v>
      </c>
      <c r="E68" s="5" t="s">
        <v>403</v>
      </c>
      <c r="F68" s="27" t="s">
        <v>28</v>
      </c>
      <c r="G68" s="12" t="s">
        <v>2308</v>
      </c>
      <c r="H68" s="4" t="s">
        <v>531</v>
      </c>
      <c r="I68" s="24"/>
      <c r="J68" s="84" t="s">
        <v>2308</v>
      </c>
      <c r="K68" s="84" t="s">
        <v>2308</v>
      </c>
      <c r="L68" s="84" t="s">
        <v>2308</v>
      </c>
      <c r="M68" s="84">
        <v>2</v>
      </c>
      <c r="N68" s="84" t="s">
        <v>2308</v>
      </c>
      <c r="O68" s="84" t="s">
        <v>2308</v>
      </c>
      <c r="P68" s="84" t="s">
        <v>2308</v>
      </c>
      <c r="Q68" s="22" t="s">
        <v>2308</v>
      </c>
      <c r="R68" s="22" t="s">
        <v>2308</v>
      </c>
      <c r="S68" s="84" t="s">
        <v>2308</v>
      </c>
      <c r="T68" s="84" t="s">
        <v>2308</v>
      </c>
      <c r="U68" s="94" t="s">
        <v>2308</v>
      </c>
      <c r="V68" s="94" t="s">
        <v>2308</v>
      </c>
      <c r="W68" s="94" t="s">
        <v>2308</v>
      </c>
      <c r="X68" s="94" t="s">
        <v>2308</v>
      </c>
      <c r="Y68" s="94" t="s">
        <v>2308</v>
      </c>
      <c r="Z68" s="4" t="s">
        <v>75</v>
      </c>
      <c r="AA68" s="4" t="s">
        <v>35</v>
      </c>
      <c r="AB68" s="4" t="s">
        <v>64</v>
      </c>
      <c r="AC68" s="5" t="s">
        <v>118</v>
      </c>
      <c r="AD68" s="5" t="s">
        <v>2293</v>
      </c>
    </row>
    <row r="69" spans="1:30" ht="69.5" customHeight="1">
      <c r="A69" s="32" t="s">
        <v>309</v>
      </c>
      <c r="B69" s="4" t="s">
        <v>369</v>
      </c>
      <c r="C69" s="24" t="s">
        <v>24</v>
      </c>
      <c r="D69" s="4" t="s">
        <v>2692</v>
      </c>
      <c r="E69" s="5" t="s">
        <v>403</v>
      </c>
      <c r="F69" s="27" t="s">
        <v>28</v>
      </c>
      <c r="G69" s="12" t="s">
        <v>2308</v>
      </c>
      <c r="H69" s="4" t="s">
        <v>531</v>
      </c>
      <c r="I69" s="24"/>
      <c r="J69" s="84" t="s">
        <v>2308</v>
      </c>
      <c r="K69" s="84" t="s">
        <v>2308</v>
      </c>
      <c r="L69" s="84" t="s">
        <v>2308</v>
      </c>
      <c r="M69" s="84">
        <v>2</v>
      </c>
      <c r="N69" s="84" t="s">
        <v>2308</v>
      </c>
      <c r="O69" s="84" t="s">
        <v>2308</v>
      </c>
      <c r="P69" s="84" t="s">
        <v>2308</v>
      </c>
      <c r="Q69" s="22" t="s">
        <v>2308</v>
      </c>
      <c r="R69" s="22" t="s">
        <v>2308</v>
      </c>
      <c r="S69" s="84" t="s">
        <v>2308</v>
      </c>
      <c r="T69" s="84" t="s">
        <v>2308</v>
      </c>
      <c r="U69" s="94" t="s">
        <v>2308</v>
      </c>
      <c r="V69" s="94" t="s">
        <v>2308</v>
      </c>
      <c r="W69" s="94" t="s">
        <v>2308</v>
      </c>
      <c r="X69" s="94" t="s">
        <v>2308</v>
      </c>
      <c r="Y69" s="94" t="s">
        <v>2308</v>
      </c>
      <c r="Z69" s="4" t="s">
        <v>75</v>
      </c>
      <c r="AA69" s="4" t="s">
        <v>35</v>
      </c>
      <c r="AB69" s="4" t="s">
        <v>64</v>
      </c>
      <c r="AC69" s="5" t="s">
        <v>118</v>
      </c>
      <c r="AD69" s="5" t="s">
        <v>2293</v>
      </c>
    </row>
    <row r="70" spans="1:30" ht="69.5" customHeight="1">
      <c r="A70" s="32" t="s">
        <v>310</v>
      </c>
      <c r="B70" s="4" t="s">
        <v>370</v>
      </c>
      <c r="C70" s="24" t="s">
        <v>24</v>
      </c>
      <c r="D70" s="4" t="s">
        <v>2692</v>
      </c>
      <c r="E70" s="5" t="s">
        <v>403</v>
      </c>
      <c r="F70" s="27" t="s">
        <v>28</v>
      </c>
      <c r="G70" s="12" t="s">
        <v>2308</v>
      </c>
      <c r="H70" s="4" t="s">
        <v>531</v>
      </c>
      <c r="I70" s="24"/>
      <c r="J70" s="84" t="s">
        <v>2308</v>
      </c>
      <c r="K70" s="84" t="s">
        <v>2308</v>
      </c>
      <c r="L70" s="84" t="s">
        <v>2308</v>
      </c>
      <c r="M70" s="84">
        <v>2</v>
      </c>
      <c r="N70" s="84" t="s">
        <v>2308</v>
      </c>
      <c r="O70" s="84" t="s">
        <v>2308</v>
      </c>
      <c r="P70" s="84" t="s">
        <v>2308</v>
      </c>
      <c r="Q70" s="22" t="s">
        <v>2308</v>
      </c>
      <c r="R70" s="22" t="s">
        <v>2308</v>
      </c>
      <c r="S70" s="84" t="s">
        <v>2308</v>
      </c>
      <c r="T70" s="84" t="s">
        <v>2308</v>
      </c>
      <c r="U70" s="94" t="s">
        <v>2308</v>
      </c>
      <c r="V70" s="94" t="s">
        <v>2308</v>
      </c>
      <c r="W70" s="94" t="s">
        <v>2308</v>
      </c>
      <c r="X70" s="94" t="s">
        <v>2308</v>
      </c>
      <c r="Y70" s="94" t="s">
        <v>2308</v>
      </c>
      <c r="Z70" s="4" t="s">
        <v>75</v>
      </c>
      <c r="AA70" s="4" t="s">
        <v>35</v>
      </c>
      <c r="AB70" s="4" t="s">
        <v>64</v>
      </c>
      <c r="AC70" s="5" t="s">
        <v>118</v>
      </c>
      <c r="AD70" s="5" t="s">
        <v>2293</v>
      </c>
    </row>
    <row r="71" spans="1:30" ht="69.5" customHeight="1">
      <c r="A71" s="32" t="s">
        <v>311</v>
      </c>
      <c r="B71" s="4" t="s">
        <v>371</v>
      </c>
      <c r="C71" s="24" t="s">
        <v>24</v>
      </c>
      <c r="D71" s="4" t="s">
        <v>2692</v>
      </c>
      <c r="E71" s="5" t="s">
        <v>403</v>
      </c>
      <c r="F71" s="27" t="s">
        <v>28</v>
      </c>
      <c r="G71" s="12" t="s">
        <v>2308</v>
      </c>
      <c r="H71" s="4" t="s">
        <v>531</v>
      </c>
      <c r="I71" s="24"/>
      <c r="J71" s="84" t="s">
        <v>2308</v>
      </c>
      <c r="K71" s="84" t="s">
        <v>2308</v>
      </c>
      <c r="L71" s="84" t="s">
        <v>2308</v>
      </c>
      <c r="M71" s="84">
        <v>2</v>
      </c>
      <c r="N71" s="84" t="s">
        <v>2308</v>
      </c>
      <c r="O71" s="84" t="s">
        <v>2308</v>
      </c>
      <c r="P71" s="84" t="s">
        <v>2308</v>
      </c>
      <c r="Q71" s="22" t="s">
        <v>2308</v>
      </c>
      <c r="R71" s="22" t="s">
        <v>2308</v>
      </c>
      <c r="S71" s="84" t="s">
        <v>2308</v>
      </c>
      <c r="T71" s="84" t="s">
        <v>2308</v>
      </c>
      <c r="U71" s="94" t="s">
        <v>2308</v>
      </c>
      <c r="V71" s="94" t="s">
        <v>2308</v>
      </c>
      <c r="W71" s="94" t="s">
        <v>2308</v>
      </c>
      <c r="X71" s="94" t="s">
        <v>2308</v>
      </c>
      <c r="Y71" s="94" t="s">
        <v>2308</v>
      </c>
      <c r="Z71" s="4" t="s">
        <v>75</v>
      </c>
      <c r="AA71" s="4" t="s">
        <v>35</v>
      </c>
      <c r="AB71" s="4" t="s">
        <v>64</v>
      </c>
      <c r="AC71" s="5" t="s">
        <v>118</v>
      </c>
      <c r="AD71" s="5" t="s">
        <v>2293</v>
      </c>
    </row>
    <row r="72" spans="1:30" ht="69.5" customHeight="1">
      <c r="A72" s="32" t="s">
        <v>312</v>
      </c>
      <c r="B72" s="4" t="s">
        <v>372</v>
      </c>
      <c r="C72" s="24" t="s">
        <v>24</v>
      </c>
      <c r="D72" s="4" t="s">
        <v>2692</v>
      </c>
      <c r="E72" s="5" t="s">
        <v>403</v>
      </c>
      <c r="F72" s="27" t="s">
        <v>28</v>
      </c>
      <c r="G72" s="12" t="s">
        <v>2308</v>
      </c>
      <c r="H72" s="4" t="s">
        <v>531</v>
      </c>
      <c r="I72" s="24"/>
      <c r="J72" s="84" t="s">
        <v>2308</v>
      </c>
      <c r="K72" s="84" t="s">
        <v>2308</v>
      </c>
      <c r="L72" s="84" t="s">
        <v>2308</v>
      </c>
      <c r="M72" s="84">
        <v>2</v>
      </c>
      <c r="N72" s="84" t="s">
        <v>2308</v>
      </c>
      <c r="O72" s="84" t="s">
        <v>2308</v>
      </c>
      <c r="P72" s="84" t="s">
        <v>2308</v>
      </c>
      <c r="Q72" s="22" t="s">
        <v>2308</v>
      </c>
      <c r="R72" s="22" t="s">
        <v>2308</v>
      </c>
      <c r="S72" s="84" t="s">
        <v>2308</v>
      </c>
      <c r="T72" s="84" t="s">
        <v>2308</v>
      </c>
      <c r="U72" s="94" t="s">
        <v>2308</v>
      </c>
      <c r="V72" s="94" t="s">
        <v>2308</v>
      </c>
      <c r="W72" s="94" t="s">
        <v>2308</v>
      </c>
      <c r="X72" s="94" t="s">
        <v>2308</v>
      </c>
      <c r="Y72" s="94" t="s">
        <v>2308</v>
      </c>
      <c r="Z72" s="4" t="s">
        <v>75</v>
      </c>
      <c r="AA72" s="4" t="s">
        <v>35</v>
      </c>
      <c r="AB72" s="4" t="s">
        <v>64</v>
      </c>
      <c r="AC72" s="5" t="s">
        <v>118</v>
      </c>
      <c r="AD72" s="5" t="s">
        <v>2293</v>
      </c>
    </row>
    <row r="73" spans="1:30" ht="69.5" customHeight="1">
      <c r="A73" s="32" t="s">
        <v>313</v>
      </c>
      <c r="B73" s="4" t="s">
        <v>373</v>
      </c>
      <c r="C73" s="24" t="s">
        <v>24</v>
      </c>
      <c r="D73" s="4" t="s">
        <v>2692</v>
      </c>
      <c r="E73" s="5" t="s">
        <v>403</v>
      </c>
      <c r="F73" s="27" t="s">
        <v>28</v>
      </c>
      <c r="G73" s="12" t="s">
        <v>2308</v>
      </c>
      <c r="H73" s="4" t="s">
        <v>531</v>
      </c>
      <c r="I73" s="24"/>
      <c r="J73" s="84" t="s">
        <v>2308</v>
      </c>
      <c r="K73" s="84" t="s">
        <v>2308</v>
      </c>
      <c r="L73" s="84" t="s">
        <v>2308</v>
      </c>
      <c r="M73" s="84">
        <v>2</v>
      </c>
      <c r="N73" s="84" t="s">
        <v>2308</v>
      </c>
      <c r="O73" s="84" t="s">
        <v>2308</v>
      </c>
      <c r="P73" s="84" t="s">
        <v>2308</v>
      </c>
      <c r="Q73" s="22" t="s">
        <v>2308</v>
      </c>
      <c r="R73" s="22" t="s">
        <v>2308</v>
      </c>
      <c r="S73" s="84" t="s">
        <v>2308</v>
      </c>
      <c r="T73" s="84" t="s">
        <v>2308</v>
      </c>
      <c r="U73" s="94" t="s">
        <v>2308</v>
      </c>
      <c r="V73" s="94" t="s">
        <v>2308</v>
      </c>
      <c r="W73" s="94" t="s">
        <v>2308</v>
      </c>
      <c r="X73" s="94" t="s">
        <v>2308</v>
      </c>
      <c r="Y73" s="94" t="s">
        <v>2308</v>
      </c>
      <c r="Z73" s="4" t="s">
        <v>75</v>
      </c>
      <c r="AA73" s="4" t="s">
        <v>35</v>
      </c>
      <c r="AB73" s="4" t="s">
        <v>64</v>
      </c>
      <c r="AC73" s="5" t="s">
        <v>118</v>
      </c>
      <c r="AD73" s="5" t="s">
        <v>2293</v>
      </c>
    </row>
    <row r="74" spans="1:30" ht="69.5" customHeight="1">
      <c r="A74" s="32" t="s">
        <v>314</v>
      </c>
      <c r="B74" s="4" t="s">
        <v>374</v>
      </c>
      <c r="C74" s="24" t="s">
        <v>24</v>
      </c>
      <c r="D74" s="4" t="s">
        <v>2692</v>
      </c>
      <c r="E74" s="5" t="s">
        <v>403</v>
      </c>
      <c r="F74" s="27" t="s">
        <v>28</v>
      </c>
      <c r="G74" s="12" t="s">
        <v>2308</v>
      </c>
      <c r="H74" s="4" t="s">
        <v>531</v>
      </c>
      <c r="I74" s="24"/>
      <c r="J74" s="84" t="s">
        <v>2308</v>
      </c>
      <c r="K74" s="84" t="s">
        <v>2308</v>
      </c>
      <c r="L74" s="84" t="s">
        <v>2308</v>
      </c>
      <c r="M74" s="84">
        <v>2</v>
      </c>
      <c r="N74" s="84" t="s">
        <v>2308</v>
      </c>
      <c r="O74" s="84" t="s">
        <v>2308</v>
      </c>
      <c r="P74" s="84" t="s">
        <v>2308</v>
      </c>
      <c r="Q74" s="22" t="s">
        <v>2308</v>
      </c>
      <c r="R74" s="22" t="s">
        <v>2308</v>
      </c>
      <c r="S74" s="84" t="s">
        <v>2308</v>
      </c>
      <c r="T74" s="84" t="s">
        <v>2308</v>
      </c>
      <c r="U74" s="94" t="s">
        <v>2308</v>
      </c>
      <c r="V74" s="94" t="s">
        <v>2308</v>
      </c>
      <c r="W74" s="94" t="s">
        <v>2308</v>
      </c>
      <c r="X74" s="94" t="s">
        <v>2308</v>
      </c>
      <c r="Y74" s="94" t="s">
        <v>2308</v>
      </c>
      <c r="Z74" s="4" t="s">
        <v>75</v>
      </c>
      <c r="AA74" s="4" t="s">
        <v>35</v>
      </c>
      <c r="AB74" s="4" t="s">
        <v>64</v>
      </c>
      <c r="AC74" s="5" t="s">
        <v>118</v>
      </c>
      <c r="AD74" s="5" t="s">
        <v>2293</v>
      </c>
    </row>
    <row r="75" spans="1:30" ht="69.5" customHeight="1">
      <c r="A75" s="32" t="s">
        <v>315</v>
      </c>
      <c r="B75" s="4" t="s">
        <v>375</v>
      </c>
      <c r="C75" s="24" t="s">
        <v>24</v>
      </c>
      <c r="D75" s="4" t="s">
        <v>2692</v>
      </c>
      <c r="E75" s="5" t="s">
        <v>403</v>
      </c>
      <c r="F75" s="27" t="s">
        <v>28</v>
      </c>
      <c r="G75" s="12" t="s">
        <v>2308</v>
      </c>
      <c r="H75" s="4" t="s">
        <v>531</v>
      </c>
      <c r="I75" s="24"/>
      <c r="J75" s="84" t="s">
        <v>2308</v>
      </c>
      <c r="K75" s="84" t="s">
        <v>2308</v>
      </c>
      <c r="L75" s="84" t="s">
        <v>2308</v>
      </c>
      <c r="M75" s="84">
        <v>2</v>
      </c>
      <c r="N75" s="84" t="s">
        <v>2308</v>
      </c>
      <c r="O75" s="84" t="s">
        <v>2308</v>
      </c>
      <c r="P75" s="84" t="s">
        <v>2308</v>
      </c>
      <c r="Q75" s="22" t="s">
        <v>2308</v>
      </c>
      <c r="R75" s="22" t="s">
        <v>2308</v>
      </c>
      <c r="S75" s="84" t="s">
        <v>2308</v>
      </c>
      <c r="T75" s="84" t="s">
        <v>2308</v>
      </c>
      <c r="U75" s="94" t="s">
        <v>2308</v>
      </c>
      <c r="V75" s="94" t="s">
        <v>2308</v>
      </c>
      <c r="W75" s="94" t="s">
        <v>2308</v>
      </c>
      <c r="X75" s="94" t="s">
        <v>2308</v>
      </c>
      <c r="Y75" s="94" t="s">
        <v>2308</v>
      </c>
      <c r="Z75" s="4" t="s">
        <v>75</v>
      </c>
      <c r="AA75" s="4" t="s">
        <v>35</v>
      </c>
      <c r="AB75" s="4" t="s">
        <v>64</v>
      </c>
      <c r="AC75" s="5" t="s">
        <v>118</v>
      </c>
      <c r="AD75" s="5" t="s">
        <v>2293</v>
      </c>
    </row>
    <row r="76" spans="1:30" ht="69.5" customHeight="1">
      <c r="A76" s="32" t="s">
        <v>316</v>
      </c>
      <c r="B76" s="4" t="s">
        <v>376</v>
      </c>
      <c r="C76" s="24" t="s">
        <v>24</v>
      </c>
      <c r="D76" s="4" t="s">
        <v>2692</v>
      </c>
      <c r="E76" s="5" t="s">
        <v>403</v>
      </c>
      <c r="F76" s="27" t="s">
        <v>28</v>
      </c>
      <c r="G76" s="12" t="s">
        <v>2308</v>
      </c>
      <c r="H76" s="4" t="s">
        <v>531</v>
      </c>
      <c r="I76" s="24"/>
      <c r="J76" s="84" t="s">
        <v>2308</v>
      </c>
      <c r="K76" s="84" t="s">
        <v>2308</v>
      </c>
      <c r="L76" s="84" t="s">
        <v>2308</v>
      </c>
      <c r="M76" s="84">
        <v>2</v>
      </c>
      <c r="N76" s="84" t="s">
        <v>2308</v>
      </c>
      <c r="O76" s="84" t="s">
        <v>2308</v>
      </c>
      <c r="P76" s="84" t="s">
        <v>2308</v>
      </c>
      <c r="Q76" s="22" t="s">
        <v>2308</v>
      </c>
      <c r="R76" s="22" t="s">
        <v>2308</v>
      </c>
      <c r="S76" s="84" t="s">
        <v>2308</v>
      </c>
      <c r="T76" s="84" t="s">
        <v>2308</v>
      </c>
      <c r="U76" s="94" t="s">
        <v>2308</v>
      </c>
      <c r="V76" s="94" t="s">
        <v>2308</v>
      </c>
      <c r="W76" s="94" t="s">
        <v>2308</v>
      </c>
      <c r="X76" s="94" t="s">
        <v>2308</v>
      </c>
      <c r="Y76" s="94" t="s">
        <v>2308</v>
      </c>
      <c r="Z76" s="4" t="s">
        <v>75</v>
      </c>
      <c r="AA76" s="4" t="s">
        <v>35</v>
      </c>
      <c r="AB76" s="4" t="s">
        <v>64</v>
      </c>
      <c r="AC76" s="5" t="s">
        <v>118</v>
      </c>
      <c r="AD76" s="5" t="s">
        <v>2293</v>
      </c>
    </row>
    <row r="77" spans="1:30" ht="69.5" customHeight="1">
      <c r="A77" s="32" t="s">
        <v>317</v>
      </c>
      <c r="B77" s="4" t="s">
        <v>377</v>
      </c>
      <c r="C77" s="24" t="s">
        <v>24</v>
      </c>
      <c r="D77" s="4" t="s">
        <v>2692</v>
      </c>
      <c r="E77" s="5" t="s">
        <v>403</v>
      </c>
      <c r="F77" s="27" t="s">
        <v>28</v>
      </c>
      <c r="G77" s="12" t="s">
        <v>2308</v>
      </c>
      <c r="H77" s="4" t="s">
        <v>531</v>
      </c>
      <c r="I77" s="24"/>
      <c r="J77" s="84" t="s">
        <v>2308</v>
      </c>
      <c r="K77" s="84" t="s">
        <v>2308</v>
      </c>
      <c r="L77" s="84" t="s">
        <v>2308</v>
      </c>
      <c r="M77" s="84">
        <v>2</v>
      </c>
      <c r="N77" s="84" t="s">
        <v>2308</v>
      </c>
      <c r="O77" s="84" t="s">
        <v>2308</v>
      </c>
      <c r="P77" s="84" t="s">
        <v>2308</v>
      </c>
      <c r="Q77" s="22" t="s">
        <v>2308</v>
      </c>
      <c r="R77" s="22" t="s">
        <v>2308</v>
      </c>
      <c r="S77" s="84" t="s">
        <v>2308</v>
      </c>
      <c r="T77" s="84" t="s">
        <v>2308</v>
      </c>
      <c r="U77" s="94" t="s">
        <v>2308</v>
      </c>
      <c r="V77" s="94" t="s">
        <v>2308</v>
      </c>
      <c r="W77" s="94" t="s">
        <v>2308</v>
      </c>
      <c r="X77" s="94" t="s">
        <v>2308</v>
      </c>
      <c r="Y77" s="94" t="s">
        <v>2308</v>
      </c>
      <c r="Z77" s="4" t="s">
        <v>75</v>
      </c>
      <c r="AA77" s="4" t="s">
        <v>35</v>
      </c>
      <c r="AB77" s="4" t="s">
        <v>64</v>
      </c>
      <c r="AC77" s="5" t="s">
        <v>118</v>
      </c>
      <c r="AD77" s="5" t="s">
        <v>2293</v>
      </c>
    </row>
    <row r="78" spans="1:30" ht="69.5" customHeight="1">
      <c r="A78" s="32" t="s">
        <v>318</v>
      </c>
      <c r="B78" s="4" t="s">
        <v>378</v>
      </c>
      <c r="C78" s="24" t="s">
        <v>24</v>
      </c>
      <c r="D78" s="4" t="s">
        <v>2692</v>
      </c>
      <c r="E78" s="5" t="s">
        <v>403</v>
      </c>
      <c r="F78" s="27" t="s">
        <v>28</v>
      </c>
      <c r="G78" s="12" t="s">
        <v>2308</v>
      </c>
      <c r="H78" s="4" t="s">
        <v>531</v>
      </c>
      <c r="I78" s="24"/>
      <c r="J78" s="84" t="s">
        <v>2308</v>
      </c>
      <c r="K78" s="84" t="s">
        <v>2308</v>
      </c>
      <c r="L78" s="84" t="s">
        <v>2308</v>
      </c>
      <c r="M78" s="84">
        <v>2</v>
      </c>
      <c r="N78" s="84" t="s">
        <v>2308</v>
      </c>
      <c r="O78" s="84" t="s">
        <v>2308</v>
      </c>
      <c r="P78" s="84" t="s">
        <v>2308</v>
      </c>
      <c r="Q78" s="22" t="s">
        <v>2308</v>
      </c>
      <c r="R78" s="22" t="s">
        <v>2308</v>
      </c>
      <c r="S78" s="84" t="s">
        <v>2308</v>
      </c>
      <c r="T78" s="84" t="s">
        <v>2308</v>
      </c>
      <c r="U78" s="94" t="s">
        <v>2308</v>
      </c>
      <c r="V78" s="94" t="s">
        <v>2308</v>
      </c>
      <c r="W78" s="94" t="s">
        <v>2308</v>
      </c>
      <c r="X78" s="94" t="s">
        <v>2308</v>
      </c>
      <c r="Y78" s="94" t="s">
        <v>2308</v>
      </c>
      <c r="Z78" s="4" t="s">
        <v>75</v>
      </c>
      <c r="AA78" s="4" t="s">
        <v>35</v>
      </c>
      <c r="AB78" s="4" t="s">
        <v>64</v>
      </c>
      <c r="AC78" s="5" t="s">
        <v>118</v>
      </c>
      <c r="AD78" s="5" t="s">
        <v>2293</v>
      </c>
    </row>
    <row r="79" spans="1:30" ht="106" customHeight="1">
      <c r="A79" s="12" t="s">
        <v>94</v>
      </c>
      <c r="B79" s="4" t="s">
        <v>95</v>
      </c>
      <c r="C79" s="12" t="s">
        <v>24</v>
      </c>
      <c r="D79" s="4" t="s">
        <v>2692</v>
      </c>
      <c r="E79" s="5" t="s">
        <v>403</v>
      </c>
      <c r="F79" s="20" t="s">
        <v>28</v>
      </c>
      <c r="G79" s="12" t="s">
        <v>2308</v>
      </c>
      <c r="H79" s="4" t="s">
        <v>531</v>
      </c>
      <c r="I79" s="12"/>
      <c r="J79" s="22" t="s">
        <v>2308</v>
      </c>
      <c r="K79" s="22" t="s">
        <v>2308</v>
      </c>
      <c r="L79" s="22" t="s">
        <v>2308</v>
      </c>
      <c r="M79" s="22" t="s">
        <v>2308</v>
      </c>
      <c r="N79" s="22" t="s">
        <v>2308</v>
      </c>
      <c r="O79" s="22" t="s">
        <v>2308</v>
      </c>
      <c r="P79" s="22" t="s">
        <v>2308</v>
      </c>
      <c r="Q79" s="22" t="s">
        <v>2308</v>
      </c>
      <c r="R79" s="22" t="s">
        <v>2308</v>
      </c>
      <c r="S79" s="22" t="s">
        <v>2308</v>
      </c>
      <c r="T79" s="95" t="s">
        <v>2308</v>
      </c>
      <c r="U79" s="94" t="s">
        <v>2308</v>
      </c>
      <c r="V79" s="22" t="s">
        <v>2308</v>
      </c>
      <c r="W79" s="22" t="s">
        <v>2308</v>
      </c>
      <c r="X79" s="22" t="s">
        <v>2308</v>
      </c>
      <c r="Y79" s="94" t="s">
        <v>2308</v>
      </c>
      <c r="Z79" s="4" t="s">
        <v>75</v>
      </c>
      <c r="AA79" s="4" t="s">
        <v>35</v>
      </c>
      <c r="AB79" s="4" t="s">
        <v>64</v>
      </c>
      <c r="AC79" s="5" t="s">
        <v>1283</v>
      </c>
      <c r="AD79" s="5" t="s">
        <v>1291</v>
      </c>
    </row>
    <row r="80" spans="1:30" ht="100" customHeight="1">
      <c r="A80" s="12" t="s">
        <v>94</v>
      </c>
      <c r="B80" s="4" t="s">
        <v>96</v>
      </c>
      <c r="C80" s="12" t="s">
        <v>24</v>
      </c>
      <c r="D80" s="4" t="s">
        <v>2692</v>
      </c>
      <c r="E80" s="5" t="s">
        <v>403</v>
      </c>
      <c r="F80" s="20" t="s">
        <v>28</v>
      </c>
      <c r="G80" s="12" t="s">
        <v>2308</v>
      </c>
      <c r="H80" s="4" t="s">
        <v>531</v>
      </c>
      <c r="I80" s="12"/>
      <c r="J80" s="22" t="s">
        <v>2308</v>
      </c>
      <c r="K80" s="22" t="s">
        <v>2308</v>
      </c>
      <c r="L80" s="22" t="s">
        <v>2308</v>
      </c>
      <c r="M80" s="22" t="s">
        <v>2308</v>
      </c>
      <c r="N80" s="22" t="s">
        <v>2308</v>
      </c>
      <c r="O80" s="22" t="s">
        <v>2308</v>
      </c>
      <c r="P80" s="22" t="s">
        <v>2308</v>
      </c>
      <c r="Q80" s="22" t="s">
        <v>2308</v>
      </c>
      <c r="R80" s="22" t="s">
        <v>2308</v>
      </c>
      <c r="S80" s="22" t="s">
        <v>2308</v>
      </c>
      <c r="T80" s="95" t="s">
        <v>2308</v>
      </c>
      <c r="U80" s="94" t="s">
        <v>2308</v>
      </c>
      <c r="V80" s="22" t="s">
        <v>2308</v>
      </c>
      <c r="W80" s="22" t="s">
        <v>2308</v>
      </c>
      <c r="X80" s="22" t="s">
        <v>2308</v>
      </c>
      <c r="Y80" s="94" t="s">
        <v>2308</v>
      </c>
      <c r="Z80" s="4" t="s">
        <v>38</v>
      </c>
      <c r="AA80" s="4" t="s">
        <v>86</v>
      </c>
      <c r="AB80" s="4" t="s">
        <v>64</v>
      </c>
      <c r="AC80" s="5" t="s">
        <v>1284</v>
      </c>
      <c r="AD80" s="5" t="s">
        <v>1292</v>
      </c>
    </row>
    <row r="81" spans="1:30" ht="110" customHeight="1">
      <c r="A81" s="12" t="s">
        <v>94</v>
      </c>
      <c r="B81" s="4" t="s">
        <v>1281</v>
      </c>
      <c r="C81" s="12" t="s">
        <v>24</v>
      </c>
      <c r="D81" s="4" t="s">
        <v>2692</v>
      </c>
      <c r="E81" s="5" t="s">
        <v>404</v>
      </c>
      <c r="F81" s="20" t="s">
        <v>28</v>
      </c>
      <c r="G81" s="12" t="s">
        <v>2308</v>
      </c>
      <c r="H81" s="4" t="s">
        <v>531</v>
      </c>
      <c r="I81" s="12"/>
      <c r="J81" s="22" t="s">
        <v>2308</v>
      </c>
      <c r="K81" s="22" t="s">
        <v>2308</v>
      </c>
      <c r="L81" s="22" t="s">
        <v>2308</v>
      </c>
      <c r="M81" s="22" t="s">
        <v>2308</v>
      </c>
      <c r="N81" s="22" t="s">
        <v>2308</v>
      </c>
      <c r="O81" s="22" t="s">
        <v>2308</v>
      </c>
      <c r="P81" s="22" t="s">
        <v>2308</v>
      </c>
      <c r="Q81" s="22" t="s">
        <v>2308</v>
      </c>
      <c r="R81" s="22" t="s">
        <v>2308</v>
      </c>
      <c r="S81" s="22" t="s">
        <v>2308</v>
      </c>
      <c r="T81" s="95" t="s">
        <v>2308</v>
      </c>
      <c r="U81" s="94" t="s">
        <v>2308</v>
      </c>
      <c r="V81" s="22" t="s">
        <v>2308</v>
      </c>
      <c r="W81" s="22" t="s">
        <v>2308</v>
      </c>
      <c r="X81" s="22" t="s">
        <v>2308</v>
      </c>
      <c r="Y81" s="94" t="s">
        <v>2308</v>
      </c>
      <c r="Z81" s="4" t="s">
        <v>75</v>
      </c>
      <c r="AA81" s="4" t="s">
        <v>35</v>
      </c>
      <c r="AB81" s="4" t="s">
        <v>64</v>
      </c>
      <c r="AC81" s="5" t="s">
        <v>1283</v>
      </c>
      <c r="AD81" s="5" t="s">
        <v>1293</v>
      </c>
    </row>
    <row r="82" spans="1:30" ht="100" customHeight="1">
      <c r="A82" s="12" t="s">
        <v>94</v>
      </c>
      <c r="B82" s="4" t="s">
        <v>1282</v>
      </c>
      <c r="C82" s="12" t="s">
        <v>24</v>
      </c>
      <c r="D82" s="4" t="s">
        <v>2692</v>
      </c>
      <c r="E82" s="5" t="s">
        <v>404</v>
      </c>
      <c r="F82" s="20" t="s">
        <v>28</v>
      </c>
      <c r="G82" s="12" t="s">
        <v>2308</v>
      </c>
      <c r="H82" s="4" t="s">
        <v>531</v>
      </c>
      <c r="I82" s="12"/>
      <c r="J82" s="22" t="s">
        <v>2308</v>
      </c>
      <c r="K82" s="22" t="s">
        <v>2308</v>
      </c>
      <c r="L82" s="22" t="s">
        <v>2308</v>
      </c>
      <c r="M82" s="22" t="s">
        <v>2308</v>
      </c>
      <c r="N82" s="22" t="s">
        <v>2308</v>
      </c>
      <c r="O82" s="22" t="s">
        <v>2308</v>
      </c>
      <c r="P82" s="22" t="s">
        <v>2308</v>
      </c>
      <c r="Q82" s="22" t="s">
        <v>2308</v>
      </c>
      <c r="R82" s="22" t="s">
        <v>2308</v>
      </c>
      <c r="S82" s="22" t="s">
        <v>2308</v>
      </c>
      <c r="T82" s="95" t="s">
        <v>2308</v>
      </c>
      <c r="U82" s="94" t="s">
        <v>2308</v>
      </c>
      <c r="V82" s="22" t="s">
        <v>2308</v>
      </c>
      <c r="W82" s="22" t="s">
        <v>2308</v>
      </c>
      <c r="X82" s="22" t="s">
        <v>2308</v>
      </c>
      <c r="Y82" s="94" t="s">
        <v>2308</v>
      </c>
      <c r="Z82" s="4" t="s">
        <v>38</v>
      </c>
      <c r="AA82" s="4" t="s">
        <v>86</v>
      </c>
      <c r="AB82" s="4" t="s">
        <v>64</v>
      </c>
      <c r="AC82" s="5" t="s">
        <v>1284</v>
      </c>
      <c r="AD82" s="5" t="s">
        <v>1292</v>
      </c>
    </row>
    <row r="83" spans="1:30" ht="100" customHeight="1">
      <c r="A83" s="12" t="s">
        <v>1275</v>
      </c>
      <c r="B83" s="4" t="s">
        <v>1279</v>
      </c>
      <c r="C83" s="12" t="s">
        <v>24</v>
      </c>
      <c r="D83" s="4" t="s">
        <v>2692</v>
      </c>
      <c r="E83" s="5" t="s">
        <v>403</v>
      </c>
      <c r="F83" s="20" t="s">
        <v>28</v>
      </c>
      <c r="G83" s="12" t="s">
        <v>2308</v>
      </c>
      <c r="H83" s="4" t="s">
        <v>531</v>
      </c>
      <c r="I83" s="12"/>
      <c r="J83" s="22" t="s">
        <v>2308</v>
      </c>
      <c r="K83" s="22" t="s">
        <v>2308</v>
      </c>
      <c r="L83" s="22" t="s">
        <v>2308</v>
      </c>
      <c r="M83" s="22" t="s">
        <v>2308</v>
      </c>
      <c r="N83" s="22" t="s">
        <v>2308</v>
      </c>
      <c r="O83" s="22" t="s">
        <v>2308</v>
      </c>
      <c r="P83" s="22" t="s">
        <v>2308</v>
      </c>
      <c r="Q83" s="22" t="s">
        <v>2308</v>
      </c>
      <c r="R83" s="22" t="s">
        <v>2308</v>
      </c>
      <c r="S83" s="22" t="s">
        <v>2308</v>
      </c>
      <c r="T83" s="95" t="s">
        <v>2308</v>
      </c>
      <c r="U83" s="94" t="s">
        <v>2308</v>
      </c>
      <c r="V83" s="22" t="s">
        <v>2308</v>
      </c>
      <c r="W83" s="22" t="s">
        <v>2308</v>
      </c>
      <c r="X83" s="22" t="s">
        <v>2308</v>
      </c>
      <c r="Y83" s="94" t="s">
        <v>2308</v>
      </c>
      <c r="Z83" s="4" t="s">
        <v>75</v>
      </c>
      <c r="AA83" s="4" t="s">
        <v>35</v>
      </c>
      <c r="AB83" s="4" t="s">
        <v>64</v>
      </c>
      <c r="AC83" s="5" t="s">
        <v>1283</v>
      </c>
      <c r="AD83" s="5" t="s">
        <v>1291</v>
      </c>
    </row>
    <row r="84" spans="1:30" ht="100" customHeight="1">
      <c r="A84" s="12" t="s">
        <v>1275</v>
      </c>
      <c r="B84" s="4" t="s">
        <v>1280</v>
      </c>
      <c r="C84" s="12" t="s">
        <v>24</v>
      </c>
      <c r="D84" s="4" t="s">
        <v>2692</v>
      </c>
      <c r="E84" s="5" t="s">
        <v>403</v>
      </c>
      <c r="F84" s="20" t="s">
        <v>28</v>
      </c>
      <c r="G84" s="12" t="s">
        <v>2308</v>
      </c>
      <c r="H84" s="4" t="s">
        <v>531</v>
      </c>
      <c r="I84" s="12"/>
      <c r="J84" s="22" t="s">
        <v>2308</v>
      </c>
      <c r="K84" s="22" t="s">
        <v>2308</v>
      </c>
      <c r="L84" s="22" t="s">
        <v>2308</v>
      </c>
      <c r="M84" s="22" t="s">
        <v>2308</v>
      </c>
      <c r="N84" s="22" t="s">
        <v>2308</v>
      </c>
      <c r="O84" s="22" t="s">
        <v>2308</v>
      </c>
      <c r="P84" s="22" t="s">
        <v>2308</v>
      </c>
      <c r="Q84" s="22" t="s">
        <v>2308</v>
      </c>
      <c r="R84" s="22" t="s">
        <v>2308</v>
      </c>
      <c r="S84" s="22" t="s">
        <v>2308</v>
      </c>
      <c r="T84" s="95" t="s">
        <v>2308</v>
      </c>
      <c r="U84" s="94" t="s">
        <v>2308</v>
      </c>
      <c r="V84" s="22" t="s">
        <v>2308</v>
      </c>
      <c r="W84" s="22" t="s">
        <v>2308</v>
      </c>
      <c r="X84" s="22" t="s">
        <v>2308</v>
      </c>
      <c r="Y84" s="94" t="s">
        <v>2308</v>
      </c>
      <c r="Z84" s="4" t="s">
        <v>38</v>
      </c>
      <c r="AA84" s="4" t="s">
        <v>86</v>
      </c>
      <c r="AB84" s="4" t="s">
        <v>64</v>
      </c>
      <c r="AC84" s="5" t="s">
        <v>1284</v>
      </c>
      <c r="AD84" s="5" t="s">
        <v>1292</v>
      </c>
    </row>
    <row r="85" spans="1:30" ht="100" customHeight="1">
      <c r="A85" s="12" t="s">
        <v>1275</v>
      </c>
      <c r="B85" s="4" t="s">
        <v>1285</v>
      </c>
      <c r="C85" s="12" t="s">
        <v>24</v>
      </c>
      <c r="D85" s="4" t="s">
        <v>2692</v>
      </c>
      <c r="E85" s="5" t="s">
        <v>404</v>
      </c>
      <c r="F85" s="20" t="s">
        <v>28</v>
      </c>
      <c r="G85" s="12" t="s">
        <v>2308</v>
      </c>
      <c r="H85" s="4" t="s">
        <v>531</v>
      </c>
      <c r="I85" s="12"/>
      <c r="J85" s="22" t="s">
        <v>2308</v>
      </c>
      <c r="K85" s="22" t="s">
        <v>2308</v>
      </c>
      <c r="L85" s="22" t="s">
        <v>2308</v>
      </c>
      <c r="M85" s="22" t="s">
        <v>2308</v>
      </c>
      <c r="N85" s="22" t="s">
        <v>2308</v>
      </c>
      <c r="O85" s="22" t="s">
        <v>2308</v>
      </c>
      <c r="P85" s="22" t="s">
        <v>2308</v>
      </c>
      <c r="Q85" s="22" t="s">
        <v>2308</v>
      </c>
      <c r="R85" s="22" t="s">
        <v>2308</v>
      </c>
      <c r="S85" s="22" t="s">
        <v>2308</v>
      </c>
      <c r="T85" s="95" t="s">
        <v>2308</v>
      </c>
      <c r="U85" s="94" t="s">
        <v>2308</v>
      </c>
      <c r="V85" s="22" t="s">
        <v>2308</v>
      </c>
      <c r="W85" s="22" t="s">
        <v>2308</v>
      </c>
      <c r="X85" s="22" t="s">
        <v>2308</v>
      </c>
      <c r="Y85" s="94" t="s">
        <v>2308</v>
      </c>
      <c r="Z85" s="4" t="s">
        <v>75</v>
      </c>
      <c r="AA85" s="4" t="s">
        <v>35</v>
      </c>
      <c r="AB85" s="4" t="s">
        <v>64</v>
      </c>
      <c r="AC85" s="5" t="s">
        <v>1283</v>
      </c>
      <c r="AD85" s="5" t="s">
        <v>1293</v>
      </c>
    </row>
    <row r="86" spans="1:30" ht="100" customHeight="1">
      <c r="A86" s="12" t="s">
        <v>1275</v>
      </c>
      <c r="B86" s="4" t="s">
        <v>1286</v>
      </c>
      <c r="C86" s="12" t="s">
        <v>24</v>
      </c>
      <c r="D86" s="4" t="s">
        <v>2692</v>
      </c>
      <c r="E86" s="5" t="s">
        <v>404</v>
      </c>
      <c r="F86" s="20" t="s">
        <v>28</v>
      </c>
      <c r="G86" s="12" t="s">
        <v>2308</v>
      </c>
      <c r="H86" s="4" t="s">
        <v>531</v>
      </c>
      <c r="I86" s="12"/>
      <c r="J86" s="22" t="s">
        <v>2308</v>
      </c>
      <c r="K86" s="22" t="s">
        <v>2308</v>
      </c>
      <c r="L86" s="22" t="s">
        <v>2308</v>
      </c>
      <c r="M86" s="22" t="s">
        <v>2308</v>
      </c>
      <c r="N86" s="22" t="s">
        <v>2308</v>
      </c>
      <c r="O86" s="22" t="s">
        <v>2308</v>
      </c>
      <c r="P86" s="22" t="s">
        <v>2308</v>
      </c>
      <c r="Q86" s="22" t="s">
        <v>2308</v>
      </c>
      <c r="R86" s="22" t="s">
        <v>2308</v>
      </c>
      <c r="S86" s="22" t="s">
        <v>2308</v>
      </c>
      <c r="T86" s="95" t="s">
        <v>2308</v>
      </c>
      <c r="U86" s="94" t="s">
        <v>2308</v>
      </c>
      <c r="V86" s="22" t="s">
        <v>2308</v>
      </c>
      <c r="W86" s="22" t="s">
        <v>2308</v>
      </c>
      <c r="X86" s="22" t="s">
        <v>2308</v>
      </c>
      <c r="Y86" s="94" t="s">
        <v>2308</v>
      </c>
      <c r="Z86" s="4" t="s">
        <v>38</v>
      </c>
      <c r="AA86" s="4" t="s">
        <v>86</v>
      </c>
      <c r="AB86" s="4" t="s">
        <v>64</v>
      </c>
      <c r="AC86" s="5" t="s">
        <v>1284</v>
      </c>
      <c r="AD86" s="5" t="s">
        <v>1292</v>
      </c>
    </row>
    <row r="87" spans="1:30" ht="100" customHeight="1">
      <c r="A87" s="12" t="s">
        <v>1276</v>
      </c>
      <c r="B87" s="4" t="s">
        <v>1287</v>
      </c>
      <c r="C87" s="12" t="s">
        <v>24</v>
      </c>
      <c r="D87" s="4" t="s">
        <v>2692</v>
      </c>
      <c r="E87" s="5" t="s">
        <v>403</v>
      </c>
      <c r="F87" s="20" t="s">
        <v>28</v>
      </c>
      <c r="G87" s="12" t="s">
        <v>2308</v>
      </c>
      <c r="H87" s="4" t="s">
        <v>531</v>
      </c>
      <c r="I87" s="12"/>
      <c r="J87" s="22" t="s">
        <v>2308</v>
      </c>
      <c r="K87" s="22" t="s">
        <v>2308</v>
      </c>
      <c r="L87" s="22" t="s">
        <v>2308</v>
      </c>
      <c r="M87" s="22" t="s">
        <v>2308</v>
      </c>
      <c r="N87" s="22" t="s">
        <v>2308</v>
      </c>
      <c r="O87" s="22" t="s">
        <v>2308</v>
      </c>
      <c r="P87" s="22" t="s">
        <v>2308</v>
      </c>
      <c r="Q87" s="22" t="s">
        <v>2308</v>
      </c>
      <c r="R87" s="22" t="s">
        <v>2308</v>
      </c>
      <c r="S87" s="22" t="s">
        <v>2308</v>
      </c>
      <c r="T87" s="95" t="s">
        <v>2308</v>
      </c>
      <c r="U87" s="94" t="s">
        <v>2308</v>
      </c>
      <c r="V87" s="22" t="s">
        <v>2308</v>
      </c>
      <c r="W87" s="22" t="s">
        <v>2308</v>
      </c>
      <c r="X87" s="22" t="s">
        <v>2308</v>
      </c>
      <c r="Y87" s="94" t="s">
        <v>2308</v>
      </c>
      <c r="Z87" s="4" t="s">
        <v>75</v>
      </c>
      <c r="AA87" s="4" t="s">
        <v>35</v>
      </c>
      <c r="AB87" s="4" t="s">
        <v>64</v>
      </c>
      <c r="AC87" s="5" t="s">
        <v>1283</v>
      </c>
      <c r="AD87" s="5" t="s">
        <v>1291</v>
      </c>
    </row>
    <row r="88" spans="1:30" ht="100" customHeight="1">
      <c r="A88" s="12" t="s">
        <v>1276</v>
      </c>
      <c r="B88" s="4" t="s">
        <v>1288</v>
      </c>
      <c r="C88" s="12" t="s">
        <v>24</v>
      </c>
      <c r="D88" s="4" t="s">
        <v>2692</v>
      </c>
      <c r="E88" s="5" t="s">
        <v>403</v>
      </c>
      <c r="F88" s="20" t="s">
        <v>28</v>
      </c>
      <c r="G88" s="12" t="s">
        <v>2308</v>
      </c>
      <c r="H88" s="4" t="s">
        <v>531</v>
      </c>
      <c r="I88" s="12"/>
      <c r="J88" s="22" t="s">
        <v>2308</v>
      </c>
      <c r="K88" s="22" t="s">
        <v>2308</v>
      </c>
      <c r="L88" s="22" t="s">
        <v>2308</v>
      </c>
      <c r="M88" s="22" t="s">
        <v>2308</v>
      </c>
      <c r="N88" s="22" t="s">
        <v>2308</v>
      </c>
      <c r="O88" s="22" t="s">
        <v>2308</v>
      </c>
      <c r="P88" s="22" t="s">
        <v>2308</v>
      </c>
      <c r="Q88" s="22" t="s">
        <v>2308</v>
      </c>
      <c r="R88" s="22" t="s">
        <v>2308</v>
      </c>
      <c r="S88" s="22" t="s">
        <v>2308</v>
      </c>
      <c r="T88" s="95" t="s">
        <v>2308</v>
      </c>
      <c r="U88" s="94" t="s">
        <v>2308</v>
      </c>
      <c r="V88" s="22" t="s">
        <v>2308</v>
      </c>
      <c r="W88" s="22" t="s">
        <v>2308</v>
      </c>
      <c r="X88" s="22" t="s">
        <v>2308</v>
      </c>
      <c r="Y88" s="94" t="s">
        <v>2308</v>
      </c>
      <c r="Z88" s="4" t="s">
        <v>38</v>
      </c>
      <c r="AA88" s="4" t="s">
        <v>86</v>
      </c>
      <c r="AB88" s="4" t="s">
        <v>64</v>
      </c>
      <c r="AC88" s="5" t="s">
        <v>1284</v>
      </c>
      <c r="AD88" s="5" t="s">
        <v>1292</v>
      </c>
    </row>
    <row r="89" spans="1:30" ht="100" customHeight="1">
      <c r="A89" s="12" t="s">
        <v>1276</v>
      </c>
      <c r="B89" s="4" t="s">
        <v>1289</v>
      </c>
      <c r="C89" s="12" t="s">
        <v>24</v>
      </c>
      <c r="D89" s="4" t="s">
        <v>2692</v>
      </c>
      <c r="E89" s="5" t="s">
        <v>404</v>
      </c>
      <c r="F89" s="20" t="s">
        <v>28</v>
      </c>
      <c r="G89" s="12" t="s">
        <v>2308</v>
      </c>
      <c r="H89" s="4" t="s">
        <v>531</v>
      </c>
      <c r="I89" s="12"/>
      <c r="J89" s="22" t="s">
        <v>2308</v>
      </c>
      <c r="K89" s="22" t="s">
        <v>2308</v>
      </c>
      <c r="L89" s="22" t="s">
        <v>2308</v>
      </c>
      <c r="M89" s="22" t="s">
        <v>2308</v>
      </c>
      <c r="N89" s="22" t="s">
        <v>2308</v>
      </c>
      <c r="O89" s="22" t="s">
        <v>2308</v>
      </c>
      <c r="P89" s="22" t="s">
        <v>2308</v>
      </c>
      <c r="Q89" s="22" t="s">
        <v>2308</v>
      </c>
      <c r="R89" s="22" t="s">
        <v>2308</v>
      </c>
      <c r="S89" s="22" t="s">
        <v>2308</v>
      </c>
      <c r="T89" s="95" t="s">
        <v>2308</v>
      </c>
      <c r="U89" s="94" t="s">
        <v>2308</v>
      </c>
      <c r="V89" s="22" t="s">
        <v>2308</v>
      </c>
      <c r="W89" s="22" t="s">
        <v>2308</v>
      </c>
      <c r="X89" s="22" t="s">
        <v>2308</v>
      </c>
      <c r="Y89" s="94" t="s">
        <v>2308</v>
      </c>
      <c r="Z89" s="4" t="s">
        <v>75</v>
      </c>
      <c r="AA89" s="4" t="s">
        <v>35</v>
      </c>
      <c r="AB89" s="4" t="s">
        <v>64</v>
      </c>
      <c r="AC89" s="5" t="s">
        <v>1283</v>
      </c>
      <c r="AD89" s="5" t="s">
        <v>1293</v>
      </c>
    </row>
    <row r="90" spans="1:30" ht="100" customHeight="1">
      <c r="A90" s="12" t="s">
        <v>1276</v>
      </c>
      <c r="B90" s="4" t="s">
        <v>1290</v>
      </c>
      <c r="C90" s="12" t="s">
        <v>24</v>
      </c>
      <c r="D90" s="4" t="s">
        <v>2692</v>
      </c>
      <c r="E90" s="5" t="s">
        <v>404</v>
      </c>
      <c r="F90" s="20" t="s">
        <v>28</v>
      </c>
      <c r="G90" s="12" t="s">
        <v>2308</v>
      </c>
      <c r="H90" s="4" t="s">
        <v>531</v>
      </c>
      <c r="I90" s="12"/>
      <c r="J90" s="22" t="s">
        <v>2308</v>
      </c>
      <c r="K90" s="22" t="s">
        <v>2308</v>
      </c>
      <c r="L90" s="22" t="s">
        <v>2308</v>
      </c>
      <c r="M90" s="22" t="s">
        <v>2308</v>
      </c>
      <c r="N90" s="22" t="s">
        <v>2308</v>
      </c>
      <c r="O90" s="22" t="s">
        <v>2308</v>
      </c>
      <c r="P90" s="22" t="s">
        <v>2308</v>
      </c>
      <c r="Q90" s="22" t="s">
        <v>2308</v>
      </c>
      <c r="R90" s="22" t="s">
        <v>2308</v>
      </c>
      <c r="S90" s="22" t="s">
        <v>2308</v>
      </c>
      <c r="T90" s="95" t="s">
        <v>2308</v>
      </c>
      <c r="U90" s="94" t="s">
        <v>2308</v>
      </c>
      <c r="V90" s="22" t="s">
        <v>2308</v>
      </c>
      <c r="W90" s="22" t="s">
        <v>2308</v>
      </c>
      <c r="X90" s="22" t="s">
        <v>2308</v>
      </c>
      <c r="Y90" s="94" t="s">
        <v>2308</v>
      </c>
      <c r="Z90" s="4" t="s">
        <v>38</v>
      </c>
      <c r="AA90" s="4" t="s">
        <v>86</v>
      </c>
      <c r="AB90" s="4" t="s">
        <v>64</v>
      </c>
      <c r="AC90" s="5" t="s">
        <v>1284</v>
      </c>
      <c r="AD90" s="5" t="s">
        <v>1292</v>
      </c>
    </row>
    <row r="91" spans="1:30" ht="100" customHeight="1">
      <c r="A91" s="12" t="s">
        <v>98</v>
      </c>
      <c r="B91" s="12" t="s">
        <v>100</v>
      </c>
      <c r="C91" s="12" t="s">
        <v>24</v>
      </c>
      <c r="D91" s="12" t="s">
        <v>2692</v>
      </c>
      <c r="E91" s="20" t="s">
        <v>403</v>
      </c>
      <c r="F91" s="20" t="s">
        <v>28</v>
      </c>
      <c r="G91" s="12" t="s">
        <v>2308</v>
      </c>
      <c r="H91" s="12" t="s">
        <v>531</v>
      </c>
      <c r="I91" s="12"/>
      <c r="J91" s="80" t="s">
        <v>2308</v>
      </c>
      <c r="K91" s="80" t="s">
        <v>2308</v>
      </c>
      <c r="L91" s="80" t="s">
        <v>2308</v>
      </c>
      <c r="M91" s="80" t="s">
        <v>2308</v>
      </c>
      <c r="N91" s="80" t="s">
        <v>2308</v>
      </c>
      <c r="O91" s="80" t="s">
        <v>2308</v>
      </c>
      <c r="P91" s="80" t="s">
        <v>2308</v>
      </c>
      <c r="Q91" s="80" t="s">
        <v>2308</v>
      </c>
      <c r="R91" s="80" t="s">
        <v>2308</v>
      </c>
      <c r="S91" s="80" t="s">
        <v>2308</v>
      </c>
      <c r="T91" s="80" t="s">
        <v>2308</v>
      </c>
      <c r="U91" s="80" t="s">
        <v>2308</v>
      </c>
      <c r="V91" s="80" t="s">
        <v>2308</v>
      </c>
      <c r="W91" s="80" t="s">
        <v>2308</v>
      </c>
      <c r="X91" s="80" t="s">
        <v>2308</v>
      </c>
      <c r="Y91" s="190" t="s">
        <v>2308</v>
      </c>
      <c r="Z91" s="12" t="s">
        <v>75</v>
      </c>
      <c r="AA91" s="12" t="s">
        <v>35</v>
      </c>
      <c r="AB91" s="12" t="s">
        <v>64</v>
      </c>
      <c r="AC91" s="20" t="s">
        <v>1338</v>
      </c>
      <c r="AD91" s="20" t="s">
        <v>5085</v>
      </c>
    </row>
    <row r="92" spans="1:30" ht="95.5" customHeight="1">
      <c r="A92" s="12" t="s">
        <v>98</v>
      </c>
      <c r="B92" s="12" t="s">
        <v>101</v>
      </c>
      <c r="C92" s="12" t="s">
        <v>24</v>
      </c>
      <c r="D92" s="12" t="s">
        <v>2692</v>
      </c>
      <c r="E92" s="20" t="s">
        <v>403</v>
      </c>
      <c r="F92" s="20" t="s">
        <v>28</v>
      </c>
      <c r="G92" s="12" t="s">
        <v>2308</v>
      </c>
      <c r="H92" s="12" t="s">
        <v>531</v>
      </c>
      <c r="I92" s="12"/>
      <c r="J92" s="80" t="s">
        <v>2308</v>
      </c>
      <c r="K92" s="80" t="s">
        <v>2308</v>
      </c>
      <c r="L92" s="80" t="s">
        <v>2308</v>
      </c>
      <c r="M92" s="80" t="s">
        <v>2308</v>
      </c>
      <c r="N92" s="80" t="s">
        <v>2308</v>
      </c>
      <c r="O92" s="80" t="s">
        <v>2308</v>
      </c>
      <c r="P92" s="80" t="s">
        <v>2308</v>
      </c>
      <c r="Q92" s="80" t="s">
        <v>2308</v>
      </c>
      <c r="R92" s="80" t="s">
        <v>2308</v>
      </c>
      <c r="S92" s="80" t="s">
        <v>2308</v>
      </c>
      <c r="T92" s="80" t="s">
        <v>2308</v>
      </c>
      <c r="U92" s="80" t="s">
        <v>2308</v>
      </c>
      <c r="V92" s="80" t="s">
        <v>2308</v>
      </c>
      <c r="W92" s="80" t="s">
        <v>2308</v>
      </c>
      <c r="X92" s="80" t="s">
        <v>2308</v>
      </c>
      <c r="Y92" s="190" t="s">
        <v>2308</v>
      </c>
      <c r="Z92" s="12" t="s">
        <v>38</v>
      </c>
      <c r="AA92" s="12" t="s">
        <v>86</v>
      </c>
      <c r="AB92" s="12" t="s">
        <v>64</v>
      </c>
      <c r="AC92" s="20" t="s">
        <v>1337</v>
      </c>
      <c r="AD92" s="20" t="s">
        <v>5086</v>
      </c>
    </row>
    <row r="93" spans="1:30" ht="109" customHeight="1">
      <c r="A93" s="12" t="s">
        <v>1294</v>
      </c>
      <c r="B93" s="12" t="s">
        <v>1317</v>
      </c>
      <c r="C93" s="12" t="s">
        <v>24</v>
      </c>
      <c r="D93" s="12" t="s">
        <v>2692</v>
      </c>
      <c r="E93" s="20" t="s">
        <v>403</v>
      </c>
      <c r="F93" s="20" t="s">
        <v>28</v>
      </c>
      <c r="G93" s="12" t="s">
        <v>2308</v>
      </c>
      <c r="H93" s="12" t="s">
        <v>531</v>
      </c>
      <c r="I93" s="12"/>
      <c r="J93" s="80" t="s">
        <v>2308</v>
      </c>
      <c r="K93" s="80" t="s">
        <v>2308</v>
      </c>
      <c r="L93" s="80" t="s">
        <v>2308</v>
      </c>
      <c r="M93" s="80" t="s">
        <v>2308</v>
      </c>
      <c r="N93" s="80" t="s">
        <v>2308</v>
      </c>
      <c r="O93" s="80" t="s">
        <v>2308</v>
      </c>
      <c r="P93" s="80" t="s">
        <v>2308</v>
      </c>
      <c r="Q93" s="80" t="s">
        <v>2308</v>
      </c>
      <c r="R93" s="80" t="s">
        <v>2308</v>
      </c>
      <c r="S93" s="80" t="s">
        <v>2308</v>
      </c>
      <c r="T93" s="80" t="s">
        <v>2308</v>
      </c>
      <c r="U93" s="80" t="s">
        <v>2308</v>
      </c>
      <c r="V93" s="80" t="s">
        <v>2308</v>
      </c>
      <c r="W93" s="80" t="s">
        <v>2308</v>
      </c>
      <c r="X93" s="80" t="s">
        <v>2308</v>
      </c>
      <c r="Y93" s="190" t="s">
        <v>2308</v>
      </c>
      <c r="Z93" s="12" t="s">
        <v>75</v>
      </c>
      <c r="AA93" s="12" t="s">
        <v>35</v>
      </c>
      <c r="AB93" s="12" t="s">
        <v>64</v>
      </c>
      <c r="AC93" s="20" t="s">
        <v>1338</v>
      </c>
      <c r="AD93" s="20" t="s">
        <v>5085</v>
      </c>
    </row>
    <row r="94" spans="1:30" ht="88" customHeight="1">
      <c r="A94" s="12" t="s">
        <v>1294</v>
      </c>
      <c r="B94" s="12" t="s">
        <v>1318</v>
      </c>
      <c r="C94" s="12" t="s">
        <v>24</v>
      </c>
      <c r="D94" s="12" t="s">
        <v>2692</v>
      </c>
      <c r="E94" s="20" t="s">
        <v>403</v>
      </c>
      <c r="F94" s="20" t="s">
        <v>28</v>
      </c>
      <c r="G94" s="12" t="s">
        <v>2308</v>
      </c>
      <c r="H94" s="12" t="s">
        <v>531</v>
      </c>
      <c r="I94" s="12"/>
      <c r="J94" s="80" t="s">
        <v>2308</v>
      </c>
      <c r="K94" s="80" t="s">
        <v>2308</v>
      </c>
      <c r="L94" s="80" t="s">
        <v>2308</v>
      </c>
      <c r="M94" s="80" t="s">
        <v>2308</v>
      </c>
      <c r="N94" s="80" t="s">
        <v>2308</v>
      </c>
      <c r="O94" s="80" t="s">
        <v>2308</v>
      </c>
      <c r="P94" s="80" t="s">
        <v>2308</v>
      </c>
      <c r="Q94" s="80" t="s">
        <v>2308</v>
      </c>
      <c r="R94" s="80" t="s">
        <v>2308</v>
      </c>
      <c r="S94" s="80" t="s">
        <v>2308</v>
      </c>
      <c r="T94" s="80" t="s">
        <v>2308</v>
      </c>
      <c r="U94" s="80" t="s">
        <v>2308</v>
      </c>
      <c r="V94" s="80" t="s">
        <v>2308</v>
      </c>
      <c r="W94" s="80" t="s">
        <v>2308</v>
      </c>
      <c r="X94" s="80" t="s">
        <v>2308</v>
      </c>
      <c r="Y94" s="190" t="s">
        <v>2308</v>
      </c>
      <c r="Z94" s="12" t="s">
        <v>38</v>
      </c>
      <c r="AA94" s="12" t="s">
        <v>86</v>
      </c>
      <c r="AB94" s="12" t="s">
        <v>64</v>
      </c>
      <c r="AC94" s="20" t="s">
        <v>1337</v>
      </c>
      <c r="AD94" s="20" t="s">
        <v>5086</v>
      </c>
    </row>
    <row r="95" spans="1:30" ht="88" customHeight="1">
      <c r="A95" s="12" t="s">
        <v>1295</v>
      </c>
      <c r="B95" s="12" t="s">
        <v>1319</v>
      </c>
      <c r="C95" s="12" t="s">
        <v>24</v>
      </c>
      <c r="D95" s="12" t="s">
        <v>2692</v>
      </c>
      <c r="E95" s="20" t="s">
        <v>403</v>
      </c>
      <c r="F95" s="20" t="s">
        <v>28</v>
      </c>
      <c r="G95" s="12" t="s">
        <v>2308</v>
      </c>
      <c r="H95" s="12" t="s">
        <v>531</v>
      </c>
      <c r="I95" s="12"/>
      <c r="J95" s="80" t="s">
        <v>2308</v>
      </c>
      <c r="K95" s="80" t="s">
        <v>2308</v>
      </c>
      <c r="L95" s="80" t="s">
        <v>2308</v>
      </c>
      <c r="M95" s="80" t="s">
        <v>2308</v>
      </c>
      <c r="N95" s="80" t="s">
        <v>2308</v>
      </c>
      <c r="O95" s="80" t="s">
        <v>2308</v>
      </c>
      <c r="P95" s="80" t="s">
        <v>2308</v>
      </c>
      <c r="Q95" s="80" t="s">
        <v>2308</v>
      </c>
      <c r="R95" s="80" t="s">
        <v>2308</v>
      </c>
      <c r="S95" s="80" t="s">
        <v>2308</v>
      </c>
      <c r="T95" s="80" t="s">
        <v>2308</v>
      </c>
      <c r="U95" s="80" t="s">
        <v>2308</v>
      </c>
      <c r="V95" s="80" t="s">
        <v>2308</v>
      </c>
      <c r="W95" s="80" t="s">
        <v>2308</v>
      </c>
      <c r="X95" s="80" t="s">
        <v>2308</v>
      </c>
      <c r="Y95" s="190" t="s">
        <v>2308</v>
      </c>
      <c r="Z95" s="12" t="s">
        <v>75</v>
      </c>
      <c r="AA95" s="12" t="s">
        <v>35</v>
      </c>
      <c r="AB95" s="12" t="s">
        <v>64</v>
      </c>
      <c r="AC95" s="20" t="s">
        <v>1338</v>
      </c>
      <c r="AD95" s="20" t="s">
        <v>5085</v>
      </c>
    </row>
    <row r="96" spans="1:30" ht="88" customHeight="1">
      <c r="A96" s="12" t="s">
        <v>1295</v>
      </c>
      <c r="B96" s="12" t="s">
        <v>1320</v>
      </c>
      <c r="C96" s="12" t="s">
        <v>24</v>
      </c>
      <c r="D96" s="12" t="s">
        <v>2692</v>
      </c>
      <c r="E96" s="20" t="s">
        <v>403</v>
      </c>
      <c r="F96" s="20" t="s">
        <v>28</v>
      </c>
      <c r="G96" s="12" t="s">
        <v>2308</v>
      </c>
      <c r="H96" s="12" t="s">
        <v>531</v>
      </c>
      <c r="I96" s="12"/>
      <c r="J96" s="80" t="s">
        <v>2308</v>
      </c>
      <c r="K96" s="80" t="s">
        <v>2308</v>
      </c>
      <c r="L96" s="80" t="s">
        <v>2308</v>
      </c>
      <c r="M96" s="80" t="s">
        <v>2308</v>
      </c>
      <c r="N96" s="80" t="s">
        <v>2308</v>
      </c>
      <c r="O96" s="80" t="s">
        <v>2308</v>
      </c>
      <c r="P96" s="80" t="s">
        <v>2308</v>
      </c>
      <c r="Q96" s="80" t="s">
        <v>2308</v>
      </c>
      <c r="R96" s="80" t="s">
        <v>2308</v>
      </c>
      <c r="S96" s="80" t="s">
        <v>2308</v>
      </c>
      <c r="T96" s="80" t="s">
        <v>2308</v>
      </c>
      <c r="U96" s="80" t="s">
        <v>2308</v>
      </c>
      <c r="V96" s="80" t="s">
        <v>2308</v>
      </c>
      <c r="W96" s="80" t="s">
        <v>2308</v>
      </c>
      <c r="X96" s="80" t="s">
        <v>2308</v>
      </c>
      <c r="Y96" s="190" t="s">
        <v>2308</v>
      </c>
      <c r="Z96" s="12" t="s">
        <v>38</v>
      </c>
      <c r="AA96" s="12" t="s">
        <v>86</v>
      </c>
      <c r="AB96" s="12" t="s">
        <v>64</v>
      </c>
      <c r="AC96" s="20" t="s">
        <v>1337</v>
      </c>
      <c r="AD96" s="20" t="s">
        <v>5086</v>
      </c>
    </row>
    <row r="97" spans="1:30" ht="88" customHeight="1">
      <c r="A97" s="12" t="s">
        <v>1296</v>
      </c>
      <c r="B97" s="12" t="s">
        <v>1321</v>
      </c>
      <c r="C97" s="12" t="s">
        <v>24</v>
      </c>
      <c r="D97" s="12" t="s">
        <v>2692</v>
      </c>
      <c r="E97" s="20" t="s">
        <v>403</v>
      </c>
      <c r="F97" s="20" t="s">
        <v>28</v>
      </c>
      <c r="G97" s="12" t="s">
        <v>2308</v>
      </c>
      <c r="H97" s="12" t="s">
        <v>531</v>
      </c>
      <c r="I97" s="12"/>
      <c r="J97" s="80" t="s">
        <v>2308</v>
      </c>
      <c r="K97" s="80" t="s">
        <v>2308</v>
      </c>
      <c r="L97" s="80" t="s">
        <v>2308</v>
      </c>
      <c r="M97" s="80" t="s">
        <v>2308</v>
      </c>
      <c r="N97" s="80" t="s">
        <v>2308</v>
      </c>
      <c r="O97" s="80" t="s">
        <v>2308</v>
      </c>
      <c r="P97" s="80" t="s">
        <v>2308</v>
      </c>
      <c r="Q97" s="80" t="s">
        <v>2308</v>
      </c>
      <c r="R97" s="80" t="s">
        <v>2308</v>
      </c>
      <c r="S97" s="80" t="s">
        <v>2308</v>
      </c>
      <c r="T97" s="80" t="s">
        <v>2308</v>
      </c>
      <c r="U97" s="80" t="s">
        <v>2308</v>
      </c>
      <c r="V97" s="80" t="s">
        <v>2308</v>
      </c>
      <c r="W97" s="80" t="s">
        <v>2308</v>
      </c>
      <c r="X97" s="80" t="s">
        <v>2308</v>
      </c>
      <c r="Y97" s="190" t="s">
        <v>2308</v>
      </c>
      <c r="Z97" s="12" t="s">
        <v>75</v>
      </c>
      <c r="AA97" s="12" t="s">
        <v>35</v>
      </c>
      <c r="AB97" s="12" t="s">
        <v>64</v>
      </c>
      <c r="AC97" s="20" t="s">
        <v>1338</v>
      </c>
      <c r="AD97" s="20" t="s">
        <v>5085</v>
      </c>
    </row>
    <row r="98" spans="1:30" ht="88" customHeight="1">
      <c r="A98" s="12" t="s">
        <v>1296</v>
      </c>
      <c r="B98" s="12" t="s">
        <v>1322</v>
      </c>
      <c r="C98" s="12" t="s">
        <v>24</v>
      </c>
      <c r="D98" s="12" t="s">
        <v>2692</v>
      </c>
      <c r="E98" s="20" t="s">
        <v>403</v>
      </c>
      <c r="F98" s="20" t="s">
        <v>28</v>
      </c>
      <c r="G98" s="12" t="s">
        <v>2308</v>
      </c>
      <c r="H98" s="12" t="s">
        <v>531</v>
      </c>
      <c r="I98" s="12"/>
      <c r="J98" s="80" t="s">
        <v>2308</v>
      </c>
      <c r="K98" s="80" t="s">
        <v>2308</v>
      </c>
      <c r="L98" s="80" t="s">
        <v>2308</v>
      </c>
      <c r="M98" s="80" t="s">
        <v>2308</v>
      </c>
      <c r="N98" s="80" t="s">
        <v>2308</v>
      </c>
      <c r="O98" s="80" t="s">
        <v>2308</v>
      </c>
      <c r="P98" s="80" t="s">
        <v>2308</v>
      </c>
      <c r="Q98" s="80" t="s">
        <v>2308</v>
      </c>
      <c r="R98" s="80" t="s">
        <v>2308</v>
      </c>
      <c r="S98" s="80" t="s">
        <v>2308</v>
      </c>
      <c r="T98" s="80" t="s">
        <v>2308</v>
      </c>
      <c r="U98" s="80" t="s">
        <v>2308</v>
      </c>
      <c r="V98" s="80" t="s">
        <v>2308</v>
      </c>
      <c r="W98" s="80" t="s">
        <v>2308</v>
      </c>
      <c r="X98" s="80" t="s">
        <v>2308</v>
      </c>
      <c r="Y98" s="190" t="s">
        <v>2308</v>
      </c>
      <c r="Z98" s="12" t="s">
        <v>38</v>
      </c>
      <c r="AA98" s="12" t="s">
        <v>86</v>
      </c>
      <c r="AB98" s="12" t="s">
        <v>64</v>
      </c>
      <c r="AC98" s="20" t="s">
        <v>1337</v>
      </c>
      <c r="AD98" s="20" t="s">
        <v>5086</v>
      </c>
    </row>
    <row r="99" spans="1:30" ht="88" customHeight="1">
      <c r="A99" s="12" t="s">
        <v>1297</v>
      </c>
      <c r="B99" s="12" t="s">
        <v>1323</v>
      </c>
      <c r="C99" s="12" t="s">
        <v>24</v>
      </c>
      <c r="D99" s="12" t="s">
        <v>2692</v>
      </c>
      <c r="E99" s="20" t="s">
        <v>403</v>
      </c>
      <c r="F99" s="20" t="s">
        <v>28</v>
      </c>
      <c r="G99" s="12" t="s">
        <v>2308</v>
      </c>
      <c r="H99" s="12" t="s">
        <v>531</v>
      </c>
      <c r="I99" s="12"/>
      <c r="J99" s="80" t="s">
        <v>2308</v>
      </c>
      <c r="K99" s="80" t="s">
        <v>2308</v>
      </c>
      <c r="L99" s="80" t="s">
        <v>2308</v>
      </c>
      <c r="M99" s="80" t="s">
        <v>2308</v>
      </c>
      <c r="N99" s="80" t="s">
        <v>2308</v>
      </c>
      <c r="O99" s="80" t="s">
        <v>2308</v>
      </c>
      <c r="P99" s="80" t="s">
        <v>2308</v>
      </c>
      <c r="Q99" s="80" t="s">
        <v>2308</v>
      </c>
      <c r="R99" s="80" t="s">
        <v>2308</v>
      </c>
      <c r="S99" s="80" t="s">
        <v>2308</v>
      </c>
      <c r="T99" s="80" t="s">
        <v>2308</v>
      </c>
      <c r="U99" s="80" t="s">
        <v>2308</v>
      </c>
      <c r="V99" s="80" t="s">
        <v>2308</v>
      </c>
      <c r="W99" s="80" t="s">
        <v>2308</v>
      </c>
      <c r="X99" s="80" t="s">
        <v>2308</v>
      </c>
      <c r="Y99" s="190" t="s">
        <v>2308</v>
      </c>
      <c r="Z99" s="12" t="s">
        <v>75</v>
      </c>
      <c r="AA99" s="12" t="s">
        <v>35</v>
      </c>
      <c r="AB99" s="12" t="s">
        <v>64</v>
      </c>
      <c r="AC99" s="20" t="s">
        <v>1338</v>
      </c>
      <c r="AD99" s="20" t="s">
        <v>5085</v>
      </c>
    </row>
    <row r="100" spans="1:30" ht="88" customHeight="1">
      <c r="A100" s="12" t="s">
        <v>1297</v>
      </c>
      <c r="B100" s="12" t="s">
        <v>1324</v>
      </c>
      <c r="C100" s="12" t="s">
        <v>24</v>
      </c>
      <c r="D100" s="12" t="s">
        <v>2692</v>
      </c>
      <c r="E100" s="20" t="s">
        <v>403</v>
      </c>
      <c r="F100" s="20" t="s">
        <v>28</v>
      </c>
      <c r="G100" s="12" t="s">
        <v>2308</v>
      </c>
      <c r="H100" s="12" t="s">
        <v>531</v>
      </c>
      <c r="I100" s="12"/>
      <c r="J100" s="80" t="s">
        <v>2308</v>
      </c>
      <c r="K100" s="80" t="s">
        <v>2308</v>
      </c>
      <c r="L100" s="80" t="s">
        <v>2308</v>
      </c>
      <c r="M100" s="80" t="s">
        <v>2308</v>
      </c>
      <c r="N100" s="80" t="s">
        <v>2308</v>
      </c>
      <c r="O100" s="80" t="s">
        <v>2308</v>
      </c>
      <c r="P100" s="80" t="s">
        <v>2308</v>
      </c>
      <c r="Q100" s="80" t="s">
        <v>2308</v>
      </c>
      <c r="R100" s="80" t="s">
        <v>2308</v>
      </c>
      <c r="S100" s="80" t="s">
        <v>2308</v>
      </c>
      <c r="T100" s="80" t="s">
        <v>2308</v>
      </c>
      <c r="U100" s="80" t="s">
        <v>2308</v>
      </c>
      <c r="V100" s="80" t="s">
        <v>2308</v>
      </c>
      <c r="W100" s="80" t="s">
        <v>2308</v>
      </c>
      <c r="X100" s="80" t="s">
        <v>2308</v>
      </c>
      <c r="Y100" s="190" t="s">
        <v>2308</v>
      </c>
      <c r="Z100" s="12" t="s">
        <v>38</v>
      </c>
      <c r="AA100" s="12" t="s">
        <v>86</v>
      </c>
      <c r="AB100" s="12" t="s">
        <v>64</v>
      </c>
      <c r="AC100" s="20" t="s">
        <v>1337</v>
      </c>
      <c r="AD100" s="20" t="s">
        <v>5086</v>
      </c>
    </row>
    <row r="101" spans="1:30" ht="88" customHeight="1">
      <c r="A101" s="12" t="s">
        <v>1298</v>
      </c>
      <c r="B101" s="12" t="s">
        <v>1325</v>
      </c>
      <c r="C101" s="12" t="s">
        <v>24</v>
      </c>
      <c r="D101" s="12" t="s">
        <v>2692</v>
      </c>
      <c r="E101" s="20" t="s">
        <v>403</v>
      </c>
      <c r="F101" s="20" t="s">
        <v>28</v>
      </c>
      <c r="G101" s="12" t="s">
        <v>2308</v>
      </c>
      <c r="H101" s="12" t="s">
        <v>531</v>
      </c>
      <c r="I101" s="12"/>
      <c r="J101" s="80" t="s">
        <v>2308</v>
      </c>
      <c r="K101" s="80" t="s">
        <v>2308</v>
      </c>
      <c r="L101" s="80" t="s">
        <v>2308</v>
      </c>
      <c r="M101" s="80" t="s">
        <v>2308</v>
      </c>
      <c r="N101" s="80" t="s">
        <v>2308</v>
      </c>
      <c r="O101" s="80" t="s">
        <v>2308</v>
      </c>
      <c r="P101" s="80" t="s">
        <v>2308</v>
      </c>
      <c r="Q101" s="80" t="s">
        <v>2308</v>
      </c>
      <c r="R101" s="80" t="s">
        <v>2308</v>
      </c>
      <c r="S101" s="80" t="s">
        <v>2308</v>
      </c>
      <c r="T101" s="80" t="s">
        <v>2308</v>
      </c>
      <c r="U101" s="80" t="s">
        <v>2308</v>
      </c>
      <c r="V101" s="80" t="s">
        <v>2308</v>
      </c>
      <c r="W101" s="80" t="s">
        <v>2308</v>
      </c>
      <c r="X101" s="80" t="s">
        <v>2308</v>
      </c>
      <c r="Y101" s="190" t="s">
        <v>2308</v>
      </c>
      <c r="Z101" s="12" t="s">
        <v>75</v>
      </c>
      <c r="AA101" s="12" t="s">
        <v>35</v>
      </c>
      <c r="AB101" s="12" t="s">
        <v>64</v>
      </c>
      <c r="AC101" s="20" t="s">
        <v>1338</v>
      </c>
      <c r="AD101" s="20" t="s">
        <v>5085</v>
      </c>
    </row>
    <row r="102" spans="1:30" ht="88" customHeight="1">
      <c r="A102" s="12" t="s">
        <v>1298</v>
      </c>
      <c r="B102" s="12" t="s">
        <v>1326</v>
      </c>
      <c r="C102" s="12" t="s">
        <v>24</v>
      </c>
      <c r="D102" s="12" t="s">
        <v>2692</v>
      </c>
      <c r="E102" s="20" t="s">
        <v>403</v>
      </c>
      <c r="F102" s="20" t="s">
        <v>28</v>
      </c>
      <c r="G102" s="12" t="s">
        <v>2308</v>
      </c>
      <c r="H102" s="12" t="s">
        <v>531</v>
      </c>
      <c r="I102" s="12"/>
      <c r="J102" s="80" t="s">
        <v>2308</v>
      </c>
      <c r="K102" s="80" t="s">
        <v>2308</v>
      </c>
      <c r="L102" s="80" t="s">
        <v>2308</v>
      </c>
      <c r="M102" s="80" t="s">
        <v>2308</v>
      </c>
      <c r="N102" s="80" t="s">
        <v>2308</v>
      </c>
      <c r="O102" s="80" t="s">
        <v>2308</v>
      </c>
      <c r="P102" s="80" t="s">
        <v>2308</v>
      </c>
      <c r="Q102" s="80" t="s">
        <v>2308</v>
      </c>
      <c r="R102" s="80" t="s">
        <v>2308</v>
      </c>
      <c r="S102" s="80" t="s">
        <v>2308</v>
      </c>
      <c r="T102" s="80" t="s">
        <v>2308</v>
      </c>
      <c r="U102" s="80" t="s">
        <v>2308</v>
      </c>
      <c r="V102" s="80" t="s">
        <v>2308</v>
      </c>
      <c r="W102" s="80" t="s">
        <v>2308</v>
      </c>
      <c r="X102" s="80" t="s">
        <v>2308</v>
      </c>
      <c r="Y102" s="190" t="s">
        <v>2308</v>
      </c>
      <c r="Z102" s="12" t="s">
        <v>38</v>
      </c>
      <c r="AA102" s="12" t="s">
        <v>86</v>
      </c>
      <c r="AB102" s="12" t="s">
        <v>64</v>
      </c>
      <c r="AC102" s="20" t="s">
        <v>1337</v>
      </c>
      <c r="AD102" s="20" t="s">
        <v>5086</v>
      </c>
    </row>
    <row r="103" spans="1:30" ht="88" customHeight="1">
      <c r="A103" s="12" t="s">
        <v>1299</v>
      </c>
      <c r="B103" s="12" t="s">
        <v>1327</v>
      </c>
      <c r="C103" s="12" t="s">
        <v>24</v>
      </c>
      <c r="D103" s="12" t="s">
        <v>2692</v>
      </c>
      <c r="E103" s="20" t="s">
        <v>403</v>
      </c>
      <c r="F103" s="20" t="s">
        <v>28</v>
      </c>
      <c r="G103" s="12" t="s">
        <v>2308</v>
      </c>
      <c r="H103" s="12" t="s">
        <v>531</v>
      </c>
      <c r="I103" s="12"/>
      <c r="J103" s="80" t="s">
        <v>2308</v>
      </c>
      <c r="K103" s="80" t="s">
        <v>2308</v>
      </c>
      <c r="L103" s="80" t="s">
        <v>2308</v>
      </c>
      <c r="M103" s="80" t="s">
        <v>2308</v>
      </c>
      <c r="N103" s="80" t="s">
        <v>2308</v>
      </c>
      <c r="O103" s="80" t="s">
        <v>2308</v>
      </c>
      <c r="P103" s="80" t="s">
        <v>2308</v>
      </c>
      <c r="Q103" s="80" t="s">
        <v>2308</v>
      </c>
      <c r="R103" s="80" t="s">
        <v>2308</v>
      </c>
      <c r="S103" s="80" t="s">
        <v>2308</v>
      </c>
      <c r="T103" s="80" t="s">
        <v>2308</v>
      </c>
      <c r="U103" s="80" t="s">
        <v>2308</v>
      </c>
      <c r="V103" s="80" t="s">
        <v>2308</v>
      </c>
      <c r="W103" s="80" t="s">
        <v>2308</v>
      </c>
      <c r="X103" s="80" t="s">
        <v>2308</v>
      </c>
      <c r="Y103" s="190" t="s">
        <v>2308</v>
      </c>
      <c r="Z103" s="12" t="s">
        <v>75</v>
      </c>
      <c r="AA103" s="12" t="s">
        <v>35</v>
      </c>
      <c r="AB103" s="12" t="s">
        <v>64</v>
      </c>
      <c r="AC103" s="20" t="s">
        <v>1338</v>
      </c>
      <c r="AD103" s="20" t="s">
        <v>5085</v>
      </c>
    </row>
    <row r="104" spans="1:30" ht="88" customHeight="1">
      <c r="A104" s="12" t="s">
        <v>1299</v>
      </c>
      <c r="B104" s="12" t="s">
        <v>1328</v>
      </c>
      <c r="C104" s="12" t="s">
        <v>24</v>
      </c>
      <c r="D104" s="12" t="s">
        <v>2692</v>
      </c>
      <c r="E104" s="20" t="s">
        <v>403</v>
      </c>
      <c r="F104" s="20" t="s">
        <v>28</v>
      </c>
      <c r="G104" s="12" t="s">
        <v>2308</v>
      </c>
      <c r="H104" s="12" t="s">
        <v>531</v>
      </c>
      <c r="I104" s="12"/>
      <c r="J104" s="80" t="s">
        <v>2308</v>
      </c>
      <c r="K104" s="80" t="s">
        <v>2308</v>
      </c>
      <c r="L104" s="80" t="s">
        <v>2308</v>
      </c>
      <c r="M104" s="80" t="s">
        <v>2308</v>
      </c>
      <c r="N104" s="80" t="s">
        <v>2308</v>
      </c>
      <c r="O104" s="80" t="s">
        <v>2308</v>
      </c>
      <c r="P104" s="80" t="s">
        <v>2308</v>
      </c>
      <c r="Q104" s="80" t="s">
        <v>2308</v>
      </c>
      <c r="R104" s="80" t="s">
        <v>2308</v>
      </c>
      <c r="S104" s="80" t="s">
        <v>2308</v>
      </c>
      <c r="T104" s="80" t="s">
        <v>2308</v>
      </c>
      <c r="U104" s="80" t="s">
        <v>2308</v>
      </c>
      <c r="V104" s="80" t="s">
        <v>2308</v>
      </c>
      <c r="W104" s="80" t="s">
        <v>2308</v>
      </c>
      <c r="X104" s="80" t="s">
        <v>2308</v>
      </c>
      <c r="Y104" s="190" t="s">
        <v>2308</v>
      </c>
      <c r="Z104" s="12" t="s">
        <v>38</v>
      </c>
      <c r="AA104" s="12" t="s">
        <v>86</v>
      </c>
      <c r="AB104" s="12" t="s">
        <v>64</v>
      </c>
      <c r="AC104" s="20" t="s">
        <v>1337</v>
      </c>
      <c r="AD104" s="20" t="s">
        <v>5086</v>
      </c>
    </row>
    <row r="105" spans="1:30" ht="88" customHeight="1">
      <c r="A105" s="12" t="s">
        <v>1300</v>
      </c>
      <c r="B105" s="12" t="s">
        <v>1329</v>
      </c>
      <c r="C105" s="12" t="s">
        <v>24</v>
      </c>
      <c r="D105" s="12" t="s">
        <v>2692</v>
      </c>
      <c r="E105" s="20" t="s">
        <v>403</v>
      </c>
      <c r="F105" s="20" t="s">
        <v>28</v>
      </c>
      <c r="G105" s="12" t="s">
        <v>2308</v>
      </c>
      <c r="H105" s="12" t="s">
        <v>531</v>
      </c>
      <c r="I105" s="12"/>
      <c r="J105" s="80" t="s">
        <v>2308</v>
      </c>
      <c r="K105" s="80" t="s">
        <v>2308</v>
      </c>
      <c r="L105" s="80" t="s">
        <v>2308</v>
      </c>
      <c r="M105" s="80" t="s">
        <v>2308</v>
      </c>
      <c r="N105" s="80" t="s">
        <v>2308</v>
      </c>
      <c r="O105" s="80" t="s">
        <v>2308</v>
      </c>
      <c r="P105" s="80" t="s">
        <v>2308</v>
      </c>
      <c r="Q105" s="80" t="s">
        <v>2308</v>
      </c>
      <c r="R105" s="80" t="s">
        <v>2308</v>
      </c>
      <c r="S105" s="80" t="s">
        <v>2308</v>
      </c>
      <c r="T105" s="80" t="s">
        <v>2308</v>
      </c>
      <c r="U105" s="80" t="s">
        <v>2308</v>
      </c>
      <c r="V105" s="80" t="s">
        <v>2308</v>
      </c>
      <c r="W105" s="80" t="s">
        <v>2308</v>
      </c>
      <c r="X105" s="80" t="s">
        <v>2308</v>
      </c>
      <c r="Y105" s="190" t="s">
        <v>2308</v>
      </c>
      <c r="Z105" s="12" t="s">
        <v>75</v>
      </c>
      <c r="AA105" s="12" t="s">
        <v>35</v>
      </c>
      <c r="AB105" s="12" t="s">
        <v>64</v>
      </c>
      <c r="AC105" s="20" t="s">
        <v>1338</v>
      </c>
      <c r="AD105" s="20" t="s">
        <v>5085</v>
      </c>
    </row>
    <row r="106" spans="1:30" ht="88" customHeight="1">
      <c r="A106" s="12" t="s">
        <v>1300</v>
      </c>
      <c r="B106" s="12" t="s">
        <v>1330</v>
      </c>
      <c r="C106" s="12" t="s">
        <v>24</v>
      </c>
      <c r="D106" s="12" t="s">
        <v>2692</v>
      </c>
      <c r="E106" s="20" t="s">
        <v>403</v>
      </c>
      <c r="F106" s="20" t="s">
        <v>28</v>
      </c>
      <c r="G106" s="12" t="s">
        <v>2308</v>
      </c>
      <c r="H106" s="12" t="s">
        <v>531</v>
      </c>
      <c r="I106" s="12"/>
      <c r="J106" s="80" t="s">
        <v>2308</v>
      </c>
      <c r="K106" s="80" t="s">
        <v>2308</v>
      </c>
      <c r="L106" s="80" t="s">
        <v>2308</v>
      </c>
      <c r="M106" s="80" t="s">
        <v>2308</v>
      </c>
      <c r="N106" s="80" t="s">
        <v>2308</v>
      </c>
      <c r="O106" s="80" t="s">
        <v>2308</v>
      </c>
      <c r="P106" s="80" t="s">
        <v>2308</v>
      </c>
      <c r="Q106" s="80" t="s">
        <v>2308</v>
      </c>
      <c r="R106" s="80" t="s">
        <v>2308</v>
      </c>
      <c r="S106" s="80" t="s">
        <v>2308</v>
      </c>
      <c r="T106" s="80" t="s">
        <v>2308</v>
      </c>
      <c r="U106" s="80" t="s">
        <v>2308</v>
      </c>
      <c r="V106" s="80" t="s">
        <v>2308</v>
      </c>
      <c r="W106" s="80" t="s">
        <v>2308</v>
      </c>
      <c r="X106" s="80" t="s">
        <v>2308</v>
      </c>
      <c r="Y106" s="190" t="s">
        <v>2308</v>
      </c>
      <c r="Z106" s="12" t="s">
        <v>38</v>
      </c>
      <c r="AA106" s="12" t="s">
        <v>86</v>
      </c>
      <c r="AB106" s="12" t="s">
        <v>64</v>
      </c>
      <c r="AC106" s="20" t="s">
        <v>1337</v>
      </c>
      <c r="AD106" s="20" t="s">
        <v>5086</v>
      </c>
    </row>
    <row r="107" spans="1:30" ht="88" customHeight="1">
      <c r="A107" s="12" t="s">
        <v>1301</v>
      </c>
      <c r="B107" s="12" t="s">
        <v>1331</v>
      </c>
      <c r="C107" s="12" t="s">
        <v>24</v>
      </c>
      <c r="D107" s="12" t="s">
        <v>2692</v>
      </c>
      <c r="E107" s="20" t="s">
        <v>403</v>
      </c>
      <c r="F107" s="20" t="s">
        <v>28</v>
      </c>
      <c r="G107" s="12" t="s">
        <v>2308</v>
      </c>
      <c r="H107" s="12" t="s">
        <v>531</v>
      </c>
      <c r="I107" s="12"/>
      <c r="J107" s="80" t="s">
        <v>2308</v>
      </c>
      <c r="K107" s="80" t="s">
        <v>2308</v>
      </c>
      <c r="L107" s="80" t="s">
        <v>2308</v>
      </c>
      <c r="M107" s="80" t="s">
        <v>2308</v>
      </c>
      <c r="N107" s="80" t="s">
        <v>2308</v>
      </c>
      <c r="O107" s="80" t="s">
        <v>2308</v>
      </c>
      <c r="P107" s="80" t="s">
        <v>2308</v>
      </c>
      <c r="Q107" s="80" t="s">
        <v>2308</v>
      </c>
      <c r="R107" s="80" t="s">
        <v>2308</v>
      </c>
      <c r="S107" s="80" t="s">
        <v>2308</v>
      </c>
      <c r="T107" s="80" t="s">
        <v>2308</v>
      </c>
      <c r="U107" s="80" t="s">
        <v>2308</v>
      </c>
      <c r="V107" s="80" t="s">
        <v>2308</v>
      </c>
      <c r="W107" s="80" t="s">
        <v>2308</v>
      </c>
      <c r="X107" s="80" t="s">
        <v>2308</v>
      </c>
      <c r="Y107" s="190" t="s">
        <v>2308</v>
      </c>
      <c r="Z107" s="12" t="s">
        <v>75</v>
      </c>
      <c r="AA107" s="12" t="s">
        <v>35</v>
      </c>
      <c r="AB107" s="12" t="s">
        <v>64</v>
      </c>
      <c r="AC107" s="20" t="s">
        <v>1338</v>
      </c>
      <c r="AD107" s="20" t="s">
        <v>5085</v>
      </c>
    </row>
    <row r="108" spans="1:30" ht="88" customHeight="1">
      <c r="A108" s="12" t="s">
        <v>1301</v>
      </c>
      <c r="B108" s="12" t="s">
        <v>1332</v>
      </c>
      <c r="C108" s="12" t="s">
        <v>24</v>
      </c>
      <c r="D108" s="12" t="s">
        <v>2692</v>
      </c>
      <c r="E108" s="20" t="s">
        <v>403</v>
      </c>
      <c r="F108" s="20" t="s">
        <v>28</v>
      </c>
      <c r="G108" s="12" t="s">
        <v>2308</v>
      </c>
      <c r="H108" s="12" t="s">
        <v>531</v>
      </c>
      <c r="I108" s="12"/>
      <c r="J108" s="80" t="s">
        <v>2308</v>
      </c>
      <c r="K108" s="80" t="s">
        <v>2308</v>
      </c>
      <c r="L108" s="80" t="s">
        <v>2308</v>
      </c>
      <c r="M108" s="80" t="s">
        <v>2308</v>
      </c>
      <c r="N108" s="80" t="s">
        <v>2308</v>
      </c>
      <c r="O108" s="80" t="s">
        <v>2308</v>
      </c>
      <c r="P108" s="80" t="s">
        <v>2308</v>
      </c>
      <c r="Q108" s="80" t="s">
        <v>2308</v>
      </c>
      <c r="R108" s="80" t="s">
        <v>2308</v>
      </c>
      <c r="S108" s="80" t="s">
        <v>2308</v>
      </c>
      <c r="T108" s="80" t="s">
        <v>2308</v>
      </c>
      <c r="U108" s="80" t="s">
        <v>2308</v>
      </c>
      <c r="V108" s="80" t="s">
        <v>2308</v>
      </c>
      <c r="W108" s="80" t="s">
        <v>2308</v>
      </c>
      <c r="X108" s="80" t="s">
        <v>2308</v>
      </c>
      <c r="Y108" s="190" t="s">
        <v>2308</v>
      </c>
      <c r="Z108" s="12" t="s">
        <v>38</v>
      </c>
      <c r="AA108" s="12" t="s">
        <v>86</v>
      </c>
      <c r="AB108" s="12" t="s">
        <v>64</v>
      </c>
      <c r="AC108" s="20" t="s">
        <v>1337</v>
      </c>
      <c r="AD108" s="20" t="s">
        <v>5086</v>
      </c>
    </row>
    <row r="109" spans="1:30" ht="88" customHeight="1">
      <c r="A109" s="12" t="s">
        <v>1302</v>
      </c>
      <c r="B109" s="12" t="s">
        <v>1333</v>
      </c>
      <c r="C109" s="12" t="s">
        <v>24</v>
      </c>
      <c r="D109" s="12" t="s">
        <v>2692</v>
      </c>
      <c r="E109" s="20" t="s">
        <v>403</v>
      </c>
      <c r="F109" s="20" t="s">
        <v>28</v>
      </c>
      <c r="G109" s="12" t="s">
        <v>2308</v>
      </c>
      <c r="H109" s="12" t="s">
        <v>531</v>
      </c>
      <c r="I109" s="12"/>
      <c r="J109" s="80" t="s">
        <v>2308</v>
      </c>
      <c r="K109" s="80" t="s">
        <v>2308</v>
      </c>
      <c r="L109" s="80" t="s">
        <v>2308</v>
      </c>
      <c r="M109" s="80" t="s">
        <v>2308</v>
      </c>
      <c r="N109" s="80" t="s">
        <v>2308</v>
      </c>
      <c r="O109" s="80" t="s">
        <v>2308</v>
      </c>
      <c r="P109" s="80" t="s">
        <v>2308</v>
      </c>
      <c r="Q109" s="80" t="s">
        <v>2308</v>
      </c>
      <c r="R109" s="80" t="s">
        <v>2308</v>
      </c>
      <c r="S109" s="80" t="s">
        <v>2308</v>
      </c>
      <c r="T109" s="80" t="s">
        <v>2308</v>
      </c>
      <c r="U109" s="80" t="s">
        <v>2308</v>
      </c>
      <c r="V109" s="80" t="s">
        <v>2308</v>
      </c>
      <c r="W109" s="80" t="s">
        <v>2308</v>
      </c>
      <c r="X109" s="80" t="s">
        <v>2308</v>
      </c>
      <c r="Y109" s="190" t="s">
        <v>2308</v>
      </c>
      <c r="Z109" s="12" t="s">
        <v>75</v>
      </c>
      <c r="AA109" s="12" t="s">
        <v>35</v>
      </c>
      <c r="AB109" s="12" t="s">
        <v>64</v>
      </c>
      <c r="AC109" s="20" t="s">
        <v>1338</v>
      </c>
      <c r="AD109" s="20" t="s">
        <v>5085</v>
      </c>
    </row>
    <row r="110" spans="1:30" ht="88" customHeight="1">
      <c r="A110" s="12" t="s">
        <v>1302</v>
      </c>
      <c r="B110" s="12" t="s">
        <v>1334</v>
      </c>
      <c r="C110" s="12" t="s">
        <v>24</v>
      </c>
      <c r="D110" s="12" t="s">
        <v>2692</v>
      </c>
      <c r="E110" s="20" t="s">
        <v>403</v>
      </c>
      <c r="F110" s="20" t="s">
        <v>28</v>
      </c>
      <c r="G110" s="12" t="s">
        <v>2308</v>
      </c>
      <c r="H110" s="12" t="s">
        <v>531</v>
      </c>
      <c r="I110" s="12"/>
      <c r="J110" s="80" t="s">
        <v>2308</v>
      </c>
      <c r="K110" s="80" t="s">
        <v>2308</v>
      </c>
      <c r="L110" s="80" t="s">
        <v>2308</v>
      </c>
      <c r="M110" s="80" t="s">
        <v>2308</v>
      </c>
      <c r="N110" s="80" t="s">
        <v>2308</v>
      </c>
      <c r="O110" s="80" t="s">
        <v>2308</v>
      </c>
      <c r="P110" s="80" t="s">
        <v>2308</v>
      </c>
      <c r="Q110" s="80" t="s">
        <v>2308</v>
      </c>
      <c r="R110" s="80" t="s">
        <v>2308</v>
      </c>
      <c r="S110" s="80" t="s">
        <v>2308</v>
      </c>
      <c r="T110" s="80" t="s">
        <v>2308</v>
      </c>
      <c r="U110" s="80" t="s">
        <v>2308</v>
      </c>
      <c r="V110" s="80" t="s">
        <v>2308</v>
      </c>
      <c r="W110" s="80" t="s">
        <v>2308</v>
      </c>
      <c r="X110" s="80" t="s">
        <v>2308</v>
      </c>
      <c r="Y110" s="190" t="s">
        <v>2308</v>
      </c>
      <c r="Z110" s="12" t="s">
        <v>38</v>
      </c>
      <c r="AA110" s="12" t="s">
        <v>86</v>
      </c>
      <c r="AB110" s="12" t="s">
        <v>64</v>
      </c>
      <c r="AC110" s="20" t="s">
        <v>1337</v>
      </c>
      <c r="AD110" s="20" t="s">
        <v>5086</v>
      </c>
    </row>
    <row r="111" spans="1:30" ht="88" customHeight="1">
      <c r="A111" s="12" t="s">
        <v>1303</v>
      </c>
      <c r="B111" s="12" t="s">
        <v>1335</v>
      </c>
      <c r="C111" s="12" t="s">
        <v>24</v>
      </c>
      <c r="D111" s="12" t="s">
        <v>2692</v>
      </c>
      <c r="E111" s="20" t="s">
        <v>403</v>
      </c>
      <c r="F111" s="20" t="s">
        <v>28</v>
      </c>
      <c r="G111" s="12" t="s">
        <v>2308</v>
      </c>
      <c r="H111" s="12" t="s">
        <v>531</v>
      </c>
      <c r="I111" s="12"/>
      <c r="J111" s="80" t="s">
        <v>2308</v>
      </c>
      <c r="K111" s="80" t="s">
        <v>2308</v>
      </c>
      <c r="L111" s="80" t="s">
        <v>2308</v>
      </c>
      <c r="M111" s="80" t="s">
        <v>2308</v>
      </c>
      <c r="N111" s="80" t="s">
        <v>2308</v>
      </c>
      <c r="O111" s="80" t="s">
        <v>2308</v>
      </c>
      <c r="P111" s="80" t="s">
        <v>2308</v>
      </c>
      <c r="Q111" s="80" t="s">
        <v>2308</v>
      </c>
      <c r="R111" s="80" t="s">
        <v>2308</v>
      </c>
      <c r="S111" s="80" t="s">
        <v>2308</v>
      </c>
      <c r="T111" s="80" t="s">
        <v>2308</v>
      </c>
      <c r="U111" s="80" t="s">
        <v>2308</v>
      </c>
      <c r="V111" s="80" t="s">
        <v>2308</v>
      </c>
      <c r="W111" s="80" t="s">
        <v>2308</v>
      </c>
      <c r="X111" s="80" t="s">
        <v>2308</v>
      </c>
      <c r="Y111" s="190" t="s">
        <v>2308</v>
      </c>
      <c r="Z111" s="12" t="s">
        <v>75</v>
      </c>
      <c r="AA111" s="12" t="s">
        <v>35</v>
      </c>
      <c r="AB111" s="12" t="s">
        <v>64</v>
      </c>
      <c r="AC111" s="20" t="s">
        <v>1338</v>
      </c>
      <c r="AD111" s="20" t="s">
        <v>5085</v>
      </c>
    </row>
    <row r="112" spans="1:30" ht="88" customHeight="1">
      <c r="A112" s="12" t="s">
        <v>1303</v>
      </c>
      <c r="B112" s="12" t="s">
        <v>1336</v>
      </c>
      <c r="C112" s="12" t="s">
        <v>24</v>
      </c>
      <c r="D112" s="12" t="s">
        <v>2692</v>
      </c>
      <c r="E112" s="20" t="s">
        <v>403</v>
      </c>
      <c r="F112" s="20" t="s">
        <v>28</v>
      </c>
      <c r="G112" s="12" t="s">
        <v>2308</v>
      </c>
      <c r="H112" s="12" t="s">
        <v>531</v>
      </c>
      <c r="I112" s="12"/>
      <c r="J112" s="80" t="s">
        <v>2308</v>
      </c>
      <c r="K112" s="80" t="s">
        <v>2308</v>
      </c>
      <c r="L112" s="80" t="s">
        <v>2308</v>
      </c>
      <c r="M112" s="80" t="s">
        <v>2308</v>
      </c>
      <c r="N112" s="80" t="s">
        <v>2308</v>
      </c>
      <c r="O112" s="80" t="s">
        <v>2308</v>
      </c>
      <c r="P112" s="80" t="s">
        <v>2308</v>
      </c>
      <c r="Q112" s="80" t="s">
        <v>2308</v>
      </c>
      <c r="R112" s="80" t="s">
        <v>2308</v>
      </c>
      <c r="S112" s="80" t="s">
        <v>2308</v>
      </c>
      <c r="T112" s="80" t="s">
        <v>2308</v>
      </c>
      <c r="U112" s="80" t="s">
        <v>2308</v>
      </c>
      <c r="V112" s="80" t="s">
        <v>2308</v>
      </c>
      <c r="W112" s="80" t="s">
        <v>2308</v>
      </c>
      <c r="X112" s="80" t="s">
        <v>2308</v>
      </c>
      <c r="Y112" s="190" t="s">
        <v>2308</v>
      </c>
      <c r="Z112" s="12" t="s">
        <v>38</v>
      </c>
      <c r="AA112" s="12" t="s">
        <v>86</v>
      </c>
      <c r="AB112" s="12" t="s">
        <v>64</v>
      </c>
      <c r="AC112" s="20" t="s">
        <v>1337</v>
      </c>
      <c r="AD112" s="20" t="s">
        <v>5086</v>
      </c>
    </row>
    <row r="113" spans="1:30" ht="50" customHeight="1">
      <c r="A113" s="12" t="s">
        <v>103</v>
      </c>
      <c r="B113" s="4" t="s">
        <v>104</v>
      </c>
      <c r="C113" s="12" t="s">
        <v>24</v>
      </c>
      <c r="D113" s="4" t="s">
        <v>2692</v>
      </c>
      <c r="E113" s="5" t="s">
        <v>403</v>
      </c>
      <c r="F113" s="20" t="s">
        <v>28</v>
      </c>
      <c r="G113" s="12" t="s">
        <v>2308</v>
      </c>
      <c r="H113" s="4" t="s">
        <v>531</v>
      </c>
      <c r="I113" s="12"/>
      <c r="J113" s="22" t="s">
        <v>2308</v>
      </c>
      <c r="K113" s="22" t="s">
        <v>2308</v>
      </c>
      <c r="L113" s="22" t="s">
        <v>2308</v>
      </c>
      <c r="M113" s="22" t="s">
        <v>2308</v>
      </c>
      <c r="N113" s="22" t="s">
        <v>2308</v>
      </c>
      <c r="O113" s="22" t="s">
        <v>2308</v>
      </c>
      <c r="P113" s="22" t="s">
        <v>2308</v>
      </c>
      <c r="Q113" s="22" t="s">
        <v>2308</v>
      </c>
      <c r="R113" s="22" t="s">
        <v>2308</v>
      </c>
      <c r="S113" s="22" t="s">
        <v>2308</v>
      </c>
      <c r="T113" s="22" t="s">
        <v>2308</v>
      </c>
      <c r="U113" s="22" t="s">
        <v>2308</v>
      </c>
      <c r="V113" s="83" t="s">
        <v>2308</v>
      </c>
      <c r="W113" s="83" t="s">
        <v>2308</v>
      </c>
      <c r="X113" s="83" t="s">
        <v>2308</v>
      </c>
      <c r="Y113" s="22" t="s">
        <v>2308</v>
      </c>
      <c r="Z113" s="4" t="s">
        <v>75</v>
      </c>
      <c r="AA113" s="4" t="s">
        <v>35</v>
      </c>
      <c r="AB113" s="4" t="s">
        <v>64</v>
      </c>
      <c r="AC113" s="5" t="s">
        <v>105</v>
      </c>
      <c r="AD113" s="4" t="s">
        <v>5087</v>
      </c>
    </row>
    <row r="114" spans="1:30" ht="140" customHeight="1">
      <c r="A114" s="12" t="s">
        <v>107</v>
      </c>
      <c r="B114" s="4" t="s">
        <v>110</v>
      </c>
      <c r="C114" s="12" t="s">
        <v>24</v>
      </c>
      <c r="D114" s="4" t="s">
        <v>2692</v>
      </c>
      <c r="E114" s="5" t="s">
        <v>403</v>
      </c>
      <c r="F114" s="20" t="s">
        <v>28</v>
      </c>
      <c r="G114" s="12" t="s">
        <v>2308</v>
      </c>
      <c r="H114" s="4" t="s">
        <v>531</v>
      </c>
      <c r="I114" s="12"/>
      <c r="J114" s="22" t="s">
        <v>2308</v>
      </c>
      <c r="K114" s="22" t="s">
        <v>2308</v>
      </c>
      <c r="L114" s="22" t="s">
        <v>2308</v>
      </c>
      <c r="M114" s="22" t="s">
        <v>2308</v>
      </c>
      <c r="N114" s="22" t="s">
        <v>2308</v>
      </c>
      <c r="O114" s="22" t="s">
        <v>2308</v>
      </c>
      <c r="P114" s="22" t="s">
        <v>2308</v>
      </c>
      <c r="Q114" s="22" t="s">
        <v>2308</v>
      </c>
      <c r="R114" s="22" t="s">
        <v>2308</v>
      </c>
      <c r="S114" s="22" t="s">
        <v>2308</v>
      </c>
      <c r="T114" s="22" t="s">
        <v>2308</v>
      </c>
      <c r="U114" s="22" t="s">
        <v>2308</v>
      </c>
      <c r="V114" s="22" t="s">
        <v>2308</v>
      </c>
      <c r="W114" s="22" t="s">
        <v>2308</v>
      </c>
      <c r="X114" s="22" t="s">
        <v>2308</v>
      </c>
      <c r="Y114" s="22">
        <f>5/2.95</f>
        <v>1.6949152542372881</v>
      </c>
      <c r="Z114" s="4" t="s">
        <v>75</v>
      </c>
      <c r="AA114" s="4" t="s">
        <v>35</v>
      </c>
      <c r="AB114" s="4" t="s">
        <v>64</v>
      </c>
      <c r="AC114" s="5" t="s">
        <v>5090</v>
      </c>
      <c r="AD114" s="5" t="s">
        <v>1382</v>
      </c>
    </row>
    <row r="115" spans="1:30" ht="100.5" customHeight="1">
      <c r="A115" s="12" t="s">
        <v>107</v>
      </c>
      <c r="B115" s="4" t="s">
        <v>111</v>
      </c>
      <c r="C115" s="12" t="s">
        <v>24</v>
      </c>
      <c r="D115" s="4" t="s">
        <v>2692</v>
      </c>
      <c r="E115" s="5" t="s">
        <v>404</v>
      </c>
      <c r="F115" s="20" t="s">
        <v>28</v>
      </c>
      <c r="G115" s="12" t="s">
        <v>2308</v>
      </c>
      <c r="H115" s="4" t="s">
        <v>531</v>
      </c>
      <c r="I115" s="12"/>
      <c r="J115" s="22" t="s">
        <v>2308</v>
      </c>
      <c r="K115" s="22" t="s">
        <v>2308</v>
      </c>
      <c r="L115" s="22" t="s">
        <v>2308</v>
      </c>
      <c r="M115" s="22" t="s">
        <v>2308</v>
      </c>
      <c r="N115" s="22" t="s">
        <v>2308</v>
      </c>
      <c r="O115" s="22" t="s">
        <v>2308</v>
      </c>
      <c r="P115" s="22" t="s">
        <v>2308</v>
      </c>
      <c r="Q115" s="22" t="s">
        <v>2308</v>
      </c>
      <c r="R115" s="22" t="s">
        <v>2308</v>
      </c>
      <c r="S115" s="22" t="s">
        <v>2308</v>
      </c>
      <c r="T115" s="22" t="s">
        <v>2308</v>
      </c>
      <c r="U115" s="22" t="s">
        <v>2308</v>
      </c>
      <c r="V115" s="22" t="s">
        <v>2308</v>
      </c>
      <c r="W115" s="22" t="s">
        <v>2308</v>
      </c>
      <c r="X115" s="22" t="s">
        <v>2308</v>
      </c>
      <c r="Y115" s="22">
        <f>5/2.95</f>
        <v>1.6949152542372881</v>
      </c>
      <c r="Z115" s="4" t="s">
        <v>75</v>
      </c>
      <c r="AA115" s="4" t="s">
        <v>35</v>
      </c>
      <c r="AB115" s="4" t="s">
        <v>64</v>
      </c>
      <c r="AC115" s="5" t="s">
        <v>5090</v>
      </c>
      <c r="AD115" s="5" t="s">
        <v>1381</v>
      </c>
    </row>
    <row r="116" spans="1:30" ht="150.5" customHeight="1">
      <c r="A116" s="12" t="s">
        <v>1340</v>
      </c>
      <c r="B116" s="4" t="s">
        <v>1350</v>
      </c>
      <c r="C116" s="12" t="s">
        <v>24</v>
      </c>
      <c r="D116" s="4" t="s">
        <v>2692</v>
      </c>
      <c r="E116" s="5" t="s">
        <v>403</v>
      </c>
      <c r="F116" s="20" t="s">
        <v>28</v>
      </c>
      <c r="G116" s="12" t="s">
        <v>2308</v>
      </c>
      <c r="H116" s="4" t="s">
        <v>531</v>
      </c>
      <c r="I116" s="12"/>
      <c r="J116" s="22" t="s">
        <v>2308</v>
      </c>
      <c r="K116" s="22" t="s">
        <v>2308</v>
      </c>
      <c r="L116" s="22" t="s">
        <v>2308</v>
      </c>
      <c r="M116" s="22" t="s">
        <v>2308</v>
      </c>
      <c r="N116" s="22" t="s">
        <v>2308</v>
      </c>
      <c r="O116" s="22" t="s">
        <v>2308</v>
      </c>
      <c r="P116" s="22" t="s">
        <v>2308</v>
      </c>
      <c r="Q116" s="22" t="s">
        <v>2308</v>
      </c>
      <c r="R116" s="22" t="s">
        <v>2308</v>
      </c>
      <c r="S116" s="22" t="s">
        <v>2308</v>
      </c>
      <c r="T116" s="22" t="s">
        <v>2308</v>
      </c>
      <c r="U116" s="22" t="s">
        <v>2308</v>
      </c>
      <c r="V116" s="22" t="s">
        <v>2308</v>
      </c>
      <c r="W116" s="22" t="s">
        <v>2308</v>
      </c>
      <c r="X116" s="22" t="s">
        <v>2308</v>
      </c>
      <c r="Y116" s="22">
        <f>5/3.29</f>
        <v>1.519756838905775</v>
      </c>
      <c r="Z116" s="4" t="s">
        <v>75</v>
      </c>
      <c r="AA116" s="4" t="s">
        <v>35</v>
      </c>
      <c r="AB116" s="4" t="s">
        <v>64</v>
      </c>
      <c r="AC116" s="5" t="s">
        <v>5090</v>
      </c>
      <c r="AD116" s="5" t="s">
        <v>1382</v>
      </c>
    </row>
    <row r="117" spans="1:30" ht="109.5" customHeight="1">
      <c r="A117" s="12" t="s">
        <v>1340</v>
      </c>
      <c r="B117" s="4" t="s">
        <v>1351</v>
      </c>
      <c r="C117" s="12" t="s">
        <v>24</v>
      </c>
      <c r="D117" s="4" t="s">
        <v>2692</v>
      </c>
      <c r="E117" s="5" t="s">
        <v>404</v>
      </c>
      <c r="F117" s="20" t="s">
        <v>28</v>
      </c>
      <c r="G117" s="12" t="s">
        <v>2308</v>
      </c>
      <c r="H117" s="12" t="s">
        <v>531</v>
      </c>
      <c r="I117" s="12"/>
      <c r="J117" s="22" t="s">
        <v>2308</v>
      </c>
      <c r="K117" s="22" t="s">
        <v>2308</v>
      </c>
      <c r="L117" s="22" t="s">
        <v>2308</v>
      </c>
      <c r="M117" s="22" t="s">
        <v>2308</v>
      </c>
      <c r="N117" s="22" t="s">
        <v>2308</v>
      </c>
      <c r="O117" s="22" t="s">
        <v>2308</v>
      </c>
      <c r="P117" s="22" t="s">
        <v>2308</v>
      </c>
      <c r="Q117" s="22" t="s">
        <v>2308</v>
      </c>
      <c r="R117" s="22" t="s">
        <v>2308</v>
      </c>
      <c r="S117" s="22" t="s">
        <v>2308</v>
      </c>
      <c r="T117" s="22" t="s">
        <v>2308</v>
      </c>
      <c r="U117" s="22" t="s">
        <v>2308</v>
      </c>
      <c r="V117" s="22" t="s">
        <v>2308</v>
      </c>
      <c r="W117" s="22" t="s">
        <v>2308</v>
      </c>
      <c r="X117" s="22" t="s">
        <v>2308</v>
      </c>
      <c r="Y117" s="22">
        <f>5/3.29</f>
        <v>1.519756838905775</v>
      </c>
      <c r="Z117" s="4" t="s">
        <v>75</v>
      </c>
      <c r="AA117" s="4" t="s">
        <v>35</v>
      </c>
      <c r="AB117" s="4" t="s">
        <v>64</v>
      </c>
      <c r="AC117" s="5" t="s">
        <v>5090</v>
      </c>
      <c r="AD117" s="5" t="s">
        <v>1381</v>
      </c>
    </row>
    <row r="118" spans="1:30" ht="146.5" customHeight="1">
      <c r="A118" s="12" t="s">
        <v>1341</v>
      </c>
      <c r="B118" s="4" t="s">
        <v>1363</v>
      </c>
      <c r="C118" s="12" t="s">
        <v>24</v>
      </c>
      <c r="D118" s="4" t="s">
        <v>2692</v>
      </c>
      <c r="E118" s="5" t="s">
        <v>403</v>
      </c>
      <c r="F118" s="20" t="s">
        <v>28</v>
      </c>
      <c r="G118" s="12" t="s">
        <v>2308</v>
      </c>
      <c r="H118" s="4" t="s">
        <v>531</v>
      </c>
      <c r="I118" s="12"/>
      <c r="J118" s="22" t="s">
        <v>2308</v>
      </c>
      <c r="K118" s="22" t="s">
        <v>2308</v>
      </c>
      <c r="L118" s="22" t="s">
        <v>2308</v>
      </c>
      <c r="M118" s="22" t="s">
        <v>2308</v>
      </c>
      <c r="N118" s="22" t="s">
        <v>2308</v>
      </c>
      <c r="O118" s="22" t="s">
        <v>2308</v>
      </c>
      <c r="P118" s="22" t="s">
        <v>2308</v>
      </c>
      <c r="Q118" s="22" t="s">
        <v>2308</v>
      </c>
      <c r="R118" s="22" t="s">
        <v>2308</v>
      </c>
      <c r="S118" s="22" t="s">
        <v>2308</v>
      </c>
      <c r="T118" s="22" t="s">
        <v>2308</v>
      </c>
      <c r="U118" s="22" t="s">
        <v>2308</v>
      </c>
      <c r="V118" s="22" t="s">
        <v>2308</v>
      </c>
      <c r="W118" s="22" t="s">
        <v>2308</v>
      </c>
      <c r="X118" s="22" t="s">
        <v>2308</v>
      </c>
      <c r="Y118" s="22">
        <f>5/3.67</f>
        <v>1.3623978201634879</v>
      </c>
      <c r="Z118" s="4" t="s">
        <v>75</v>
      </c>
      <c r="AA118" s="4" t="s">
        <v>35</v>
      </c>
      <c r="AB118" s="4" t="s">
        <v>64</v>
      </c>
      <c r="AC118" s="5" t="s">
        <v>5090</v>
      </c>
      <c r="AD118" s="5" t="s">
        <v>1382</v>
      </c>
    </row>
    <row r="119" spans="1:30" ht="110.5" customHeight="1">
      <c r="A119" s="12" t="s">
        <v>1341</v>
      </c>
      <c r="B119" s="4" t="s">
        <v>1364</v>
      </c>
      <c r="C119" s="12" t="s">
        <v>24</v>
      </c>
      <c r="D119" s="4" t="s">
        <v>2692</v>
      </c>
      <c r="E119" s="5" t="s">
        <v>404</v>
      </c>
      <c r="F119" s="20" t="s">
        <v>28</v>
      </c>
      <c r="G119" s="12" t="s">
        <v>2308</v>
      </c>
      <c r="H119" s="12" t="s">
        <v>531</v>
      </c>
      <c r="I119" s="12"/>
      <c r="J119" s="22" t="s">
        <v>2308</v>
      </c>
      <c r="K119" s="22" t="s">
        <v>2308</v>
      </c>
      <c r="L119" s="22" t="s">
        <v>2308</v>
      </c>
      <c r="M119" s="22" t="s">
        <v>2308</v>
      </c>
      <c r="N119" s="22" t="s">
        <v>2308</v>
      </c>
      <c r="O119" s="22" t="s">
        <v>2308</v>
      </c>
      <c r="P119" s="22" t="s">
        <v>2308</v>
      </c>
      <c r="Q119" s="22" t="s">
        <v>2308</v>
      </c>
      <c r="R119" s="22" t="s">
        <v>2308</v>
      </c>
      <c r="S119" s="22" t="s">
        <v>2308</v>
      </c>
      <c r="T119" s="22" t="s">
        <v>2308</v>
      </c>
      <c r="U119" s="22" t="s">
        <v>2308</v>
      </c>
      <c r="V119" s="22" t="s">
        <v>2308</v>
      </c>
      <c r="W119" s="22" t="s">
        <v>2308</v>
      </c>
      <c r="X119" s="22" t="s">
        <v>2308</v>
      </c>
      <c r="Y119" s="22">
        <f>5/3.67</f>
        <v>1.3623978201634879</v>
      </c>
      <c r="Z119" s="4" t="s">
        <v>75</v>
      </c>
      <c r="AA119" s="4" t="s">
        <v>35</v>
      </c>
      <c r="AB119" s="4" t="s">
        <v>64</v>
      </c>
      <c r="AC119" s="5" t="s">
        <v>5090</v>
      </c>
      <c r="AD119" s="5" t="s">
        <v>1381</v>
      </c>
    </row>
    <row r="120" spans="1:30" ht="144.5" customHeight="1">
      <c r="A120" s="12" t="s">
        <v>1342</v>
      </c>
      <c r="B120" s="4" t="s">
        <v>1365</v>
      </c>
      <c r="C120" s="12" t="s">
        <v>24</v>
      </c>
      <c r="D120" s="4" t="s">
        <v>2692</v>
      </c>
      <c r="E120" s="5" t="s">
        <v>403</v>
      </c>
      <c r="F120" s="20" t="s">
        <v>28</v>
      </c>
      <c r="G120" s="12" t="s">
        <v>2308</v>
      </c>
      <c r="H120" s="4" t="s">
        <v>531</v>
      </c>
      <c r="I120" s="12"/>
      <c r="J120" s="22" t="s">
        <v>2308</v>
      </c>
      <c r="K120" s="22" t="s">
        <v>2308</v>
      </c>
      <c r="L120" s="22" t="s">
        <v>2308</v>
      </c>
      <c r="M120" s="22" t="s">
        <v>2308</v>
      </c>
      <c r="N120" s="22" t="s">
        <v>2308</v>
      </c>
      <c r="O120" s="22" t="s">
        <v>2308</v>
      </c>
      <c r="P120" s="22" t="s">
        <v>2308</v>
      </c>
      <c r="Q120" s="22" t="s">
        <v>2308</v>
      </c>
      <c r="R120" s="22" t="s">
        <v>2308</v>
      </c>
      <c r="S120" s="22" t="s">
        <v>2308</v>
      </c>
      <c r="T120" s="22" t="s">
        <v>2308</v>
      </c>
      <c r="U120" s="22" t="s">
        <v>2308</v>
      </c>
      <c r="V120" s="22" t="s">
        <v>2308</v>
      </c>
      <c r="W120" s="22" t="s">
        <v>2308</v>
      </c>
      <c r="X120" s="22" t="s">
        <v>2308</v>
      </c>
      <c r="Y120" s="22">
        <f>5/2.51</f>
        <v>1.9920318725099604</v>
      </c>
      <c r="Z120" s="4" t="s">
        <v>75</v>
      </c>
      <c r="AA120" s="4" t="s">
        <v>35</v>
      </c>
      <c r="AB120" s="4" t="s">
        <v>64</v>
      </c>
      <c r="AC120" s="5" t="s">
        <v>5090</v>
      </c>
      <c r="AD120" s="5" t="s">
        <v>1382</v>
      </c>
    </row>
    <row r="121" spans="1:30" ht="110.5" customHeight="1">
      <c r="A121" s="12" t="s">
        <v>1342</v>
      </c>
      <c r="B121" s="4" t="s">
        <v>1366</v>
      </c>
      <c r="C121" s="12" t="s">
        <v>24</v>
      </c>
      <c r="D121" s="4" t="s">
        <v>2692</v>
      </c>
      <c r="E121" s="5" t="s">
        <v>404</v>
      </c>
      <c r="F121" s="20" t="s">
        <v>28</v>
      </c>
      <c r="G121" s="12" t="s">
        <v>2308</v>
      </c>
      <c r="H121" s="12" t="s">
        <v>531</v>
      </c>
      <c r="I121" s="12"/>
      <c r="J121" s="22" t="s">
        <v>2308</v>
      </c>
      <c r="K121" s="22" t="s">
        <v>2308</v>
      </c>
      <c r="L121" s="22" t="s">
        <v>2308</v>
      </c>
      <c r="M121" s="22" t="s">
        <v>2308</v>
      </c>
      <c r="N121" s="22" t="s">
        <v>2308</v>
      </c>
      <c r="O121" s="22" t="s">
        <v>2308</v>
      </c>
      <c r="P121" s="22" t="s">
        <v>2308</v>
      </c>
      <c r="Q121" s="22" t="s">
        <v>2308</v>
      </c>
      <c r="R121" s="22" t="s">
        <v>2308</v>
      </c>
      <c r="S121" s="22" t="s">
        <v>2308</v>
      </c>
      <c r="T121" s="22" t="s">
        <v>2308</v>
      </c>
      <c r="U121" s="22" t="s">
        <v>2308</v>
      </c>
      <c r="V121" s="22" t="s">
        <v>2308</v>
      </c>
      <c r="W121" s="22" t="s">
        <v>2308</v>
      </c>
      <c r="X121" s="22" t="s">
        <v>2308</v>
      </c>
      <c r="Y121" s="22">
        <f>5/2.51</f>
        <v>1.9920318725099604</v>
      </c>
      <c r="Z121" s="4" t="s">
        <v>75</v>
      </c>
      <c r="AA121" s="4" t="s">
        <v>35</v>
      </c>
      <c r="AB121" s="4" t="s">
        <v>64</v>
      </c>
      <c r="AC121" s="5" t="s">
        <v>5090</v>
      </c>
      <c r="AD121" s="5" t="s">
        <v>1381</v>
      </c>
    </row>
    <row r="122" spans="1:30" ht="153" customHeight="1">
      <c r="A122" s="12" t="s">
        <v>1343</v>
      </c>
      <c r="B122" s="4" t="s">
        <v>1367</v>
      </c>
      <c r="C122" s="12" t="s">
        <v>24</v>
      </c>
      <c r="D122" s="4" t="s">
        <v>2692</v>
      </c>
      <c r="E122" s="5" t="s">
        <v>403</v>
      </c>
      <c r="F122" s="20" t="s">
        <v>28</v>
      </c>
      <c r="G122" s="12" t="s">
        <v>2308</v>
      </c>
      <c r="H122" s="4" t="s">
        <v>531</v>
      </c>
      <c r="I122" s="12"/>
      <c r="J122" s="22" t="s">
        <v>2308</v>
      </c>
      <c r="K122" s="22" t="s">
        <v>2308</v>
      </c>
      <c r="L122" s="22" t="s">
        <v>2308</v>
      </c>
      <c r="M122" s="22" t="s">
        <v>2308</v>
      </c>
      <c r="N122" s="22" t="s">
        <v>2308</v>
      </c>
      <c r="O122" s="22" t="s">
        <v>2308</v>
      </c>
      <c r="P122" s="22" t="s">
        <v>2308</v>
      </c>
      <c r="Q122" s="22" t="s">
        <v>2308</v>
      </c>
      <c r="R122" s="22" t="s">
        <v>2308</v>
      </c>
      <c r="S122" s="22" t="s">
        <v>2308</v>
      </c>
      <c r="T122" s="22" t="s">
        <v>2308</v>
      </c>
      <c r="U122" s="22" t="s">
        <v>2308</v>
      </c>
      <c r="V122" s="22" t="s">
        <v>2308</v>
      </c>
      <c r="W122" s="22" t="s">
        <v>2308</v>
      </c>
      <c r="X122" s="22" t="s">
        <v>2308</v>
      </c>
      <c r="Y122" s="22">
        <f>5/3.26</f>
        <v>1.5337423312883436</v>
      </c>
      <c r="Z122" s="4" t="s">
        <v>75</v>
      </c>
      <c r="AA122" s="4" t="s">
        <v>35</v>
      </c>
      <c r="AB122" s="4" t="s">
        <v>64</v>
      </c>
      <c r="AC122" s="5" t="s">
        <v>5090</v>
      </c>
      <c r="AD122" s="5" t="s">
        <v>1382</v>
      </c>
    </row>
    <row r="123" spans="1:30" ht="101" customHeight="1">
      <c r="A123" s="12" t="s">
        <v>1343</v>
      </c>
      <c r="B123" s="4" t="s">
        <v>1368</v>
      </c>
      <c r="C123" s="12" t="s">
        <v>24</v>
      </c>
      <c r="D123" s="4" t="s">
        <v>2692</v>
      </c>
      <c r="E123" s="5" t="s">
        <v>404</v>
      </c>
      <c r="F123" s="20" t="s">
        <v>28</v>
      </c>
      <c r="G123" s="12" t="s">
        <v>2308</v>
      </c>
      <c r="H123" s="12" t="s">
        <v>531</v>
      </c>
      <c r="I123" s="12"/>
      <c r="J123" s="22" t="s">
        <v>2308</v>
      </c>
      <c r="K123" s="22" t="s">
        <v>2308</v>
      </c>
      <c r="L123" s="22" t="s">
        <v>2308</v>
      </c>
      <c r="M123" s="22" t="s">
        <v>2308</v>
      </c>
      <c r="N123" s="22" t="s">
        <v>2308</v>
      </c>
      <c r="O123" s="22" t="s">
        <v>2308</v>
      </c>
      <c r="P123" s="22" t="s">
        <v>2308</v>
      </c>
      <c r="Q123" s="22" t="s">
        <v>2308</v>
      </c>
      <c r="R123" s="22" t="s">
        <v>2308</v>
      </c>
      <c r="S123" s="22" t="s">
        <v>2308</v>
      </c>
      <c r="T123" s="22" t="s">
        <v>2308</v>
      </c>
      <c r="U123" s="22" t="s">
        <v>2308</v>
      </c>
      <c r="V123" s="22" t="s">
        <v>2308</v>
      </c>
      <c r="W123" s="22" t="s">
        <v>2308</v>
      </c>
      <c r="X123" s="22" t="s">
        <v>2308</v>
      </c>
      <c r="Y123" s="22">
        <f>5/3.26</f>
        <v>1.5337423312883436</v>
      </c>
      <c r="Z123" s="4" t="s">
        <v>75</v>
      </c>
      <c r="AA123" s="4" t="s">
        <v>35</v>
      </c>
      <c r="AB123" s="4" t="s">
        <v>64</v>
      </c>
      <c r="AC123" s="5" t="s">
        <v>5090</v>
      </c>
      <c r="AD123" s="5" t="s">
        <v>1381</v>
      </c>
    </row>
    <row r="124" spans="1:30" ht="142" customHeight="1">
      <c r="A124" s="12" t="s">
        <v>1344</v>
      </c>
      <c r="B124" s="4" t="s">
        <v>1369</v>
      </c>
      <c r="C124" s="12" t="s">
        <v>24</v>
      </c>
      <c r="D124" s="4" t="s">
        <v>2692</v>
      </c>
      <c r="E124" s="5" t="s">
        <v>403</v>
      </c>
      <c r="F124" s="20" t="s">
        <v>28</v>
      </c>
      <c r="G124" s="12" t="s">
        <v>2308</v>
      </c>
      <c r="H124" s="4" t="s">
        <v>531</v>
      </c>
      <c r="I124" s="12"/>
      <c r="J124" s="22" t="s">
        <v>2308</v>
      </c>
      <c r="K124" s="22" t="s">
        <v>2308</v>
      </c>
      <c r="L124" s="22" t="s">
        <v>2308</v>
      </c>
      <c r="M124" s="22" t="s">
        <v>2308</v>
      </c>
      <c r="N124" s="22" t="s">
        <v>2308</v>
      </c>
      <c r="O124" s="22" t="s">
        <v>2308</v>
      </c>
      <c r="P124" s="22" t="s">
        <v>2308</v>
      </c>
      <c r="Q124" s="22" t="s">
        <v>2308</v>
      </c>
      <c r="R124" s="22" t="s">
        <v>2308</v>
      </c>
      <c r="S124" s="22" t="s">
        <v>2308</v>
      </c>
      <c r="T124" s="22" t="s">
        <v>2308</v>
      </c>
      <c r="U124" s="22" t="s">
        <v>2308</v>
      </c>
      <c r="V124" s="22" t="s">
        <v>2308</v>
      </c>
      <c r="W124" s="22" t="s">
        <v>2308</v>
      </c>
      <c r="X124" s="22" t="s">
        <v>2308</v>
      </c>
      <c r="Y124" s="22">
        <f>5/2.75</f>
        <v>1.8181818181818181</v>
      </c>
      <c r="Z124" s="4" t="s">
        <v>75</v>
      </c>
      <c r="AA124" s="4" t="s">
        <v>35</v>
      </c>
      <c r="AB124" s="4" t="s">
        <v>64</v>
      </c>
      <c r="AC124" s="5" t="s">
        <v>5090</v>
      </c>
      <c r="AD124" s="5" t="s">
        <v>1382</v>
      </c>
    </row>
    <row r="125" spans="1:30" ht="105.5" customHeight="1">
      <c r="A125" s="12" t="s">
        <v>1344</v>
      </c>
      <c r="B125" s="4" t="s">
        <v>1370</v>
      </c>
      <c r="C125" s="12" t="s">
        <v>24</v>
      </c>
      <c r="D125" s="4" t="s">
        <v>2692</v>
      </c>
      <c r="E125" s="5" t="s">
        <v>404</v>
      </c>
      <c r="F125" s="20" t="s">
        <v>28</v>
      </c>
      <c r="G125" s="12" t="s">
        <v>2308</v>
      </c>
      <c r="H125" s="12" t="s">
        <v>531</v>
      </c>
      <c r="I125" s="12"/>
      <c r="J125" s="22" t="s">
        <v>2308</v>
      </c>
      <c r="K125" s="22" t="s">
        <v>2308</v>
      </c>
      <c r="L125" s="22" t="s">
        <v>2308</v>
      </c>
      <c r="M125" s="22" t="s">
        <v>2308</v>
      </c>
      <c r="N125" s="22" t="s">
        <v>2308</v>
      </c>
      <c r="O125" s="22" t="s">
        <v>2308</v>
      </c>
      <c r="P125" s="22" t="s">
        <v>2308</v>
      </c>
      <c r="Q125" s="22" t="s">
        <v>2308</v>
      </c>
      <c r="R125" s="22" t="s">
        <v>2308</v>
      </c>
      <c r="S125" s="22" t="s">
        <v>2308</v>
      </c>
      <c r="T125" s="22" t="s">
        <v>2308</v>
      </c>
      <c r="U125" s="22" t="s">
        <v>2308</v>
      </c>
      <c r="V125" s="22" t="s">
        <v>2308</v>
      </c>
      <c r="W125" s="22" t="s">
        <v>2308</v>
      </c>
      <c r="X125" s="22" t="s">
        <v>2308</v>
      </c>
      <c r="Y125" s="22">
        <f>5/2.75</f>
        <v>1.8181818181818181</v>
      </c>
      <c r="Z125" s="4" t="s">
        <v>75</v>
      </c>
      <c r="AA125" s="4" t="s">
        <v>35</v>
      </c>
      <c r="AB125" s="4" t="s">
        <v>64</v>
      </c>
      <c r="AC125" s="5" t="s">
        <v>5090</v>
      </c>
      <c r="AD125" s="5" t="s">
        <v>1381</v>
      </c>
    </row>
    <row r="126" spans="1:30" ht="151" customHeight="1">
      <c r="A126" s="12" t="s">
        <v>1345</v>
      </c>
      <c r="B126" s="4" t="s">
        <v>1371</v>
      </c>
      <c r="C126" s="12" t="s">
        <v>24</v>
      </c>
      <c r="D126" s="4" t="s">
        <v>2692</v>
      </c>
      <c r="E126" s="5" t="s">
        <v>403</v>
      </c>
      <c r="F126" s="20" t="s">
        <v>28</v>
      </c>
      <c r="G126" s="12" t="s">
        <v>2308</v>
      </c>
      <c r="H126" s="4" t="s">
        <v>531</v>
      </c>
      <c r="I126" s="12"/>
      <c r="J126" s="22" t="s">
        <v>2308</v>
      </c>
      <c r="K126" s="22" t="s">
        <v>2308</v>
      </c>
      <c r="L126" s="22" t="s">
        <v>2308</v>
      </c>
      <c r="M126" s="22" t="s">
        <v>2308</v>
      </c>
      <c r="N126" s="22" t="s">
        <v>2308</v>
      </c>
      <c r="O126" s="22" t="s">
        <v>2308</v>
      </c>
      <c r="P126" s="22" t="s">
        <v>2308</v>
      </c>
      <c r="Q126" s="22" t="s">
        <v>2308</v>
      </c>
      <c r="R126" s="22" t="s">
        <v>2308</v>
      </c>
      <c r="S126" s="22" t="s">
        <v>2308</v>
      </c>
      <c r="T126" s="22" t="s">
        <v>2308</v>
      </c>
      <c r="U126" s="22" t="s">
        <v>2308</v>
      </c>
      <c r="V126" s="22" t="s">
        <v>2308</v>
      </c>
      <c r="W126" s="22" t="s">
        <v>2308</v>
      </c>
      <c r="X126" s="22" t="s">
        <v>2308</v>
      </c>
      <c r="Y126" s="22">
        <f>5/2.62</f>
        <v>1.9083969465648853</v>
      </c>
      <c r="Z126" s="4" t="s">
        <v>75</v>
      </c>
      <c r="AA126" s="4" t="s">
        <v>35</v>
      </c>
      <c r="AB126" s="4" t="s">
        <v>64</v>
      </c>
      <c r="AC126" s="5" t="s">
        <v>5090</v>
      </c>
      <c r="AD126" s="5" t="s">
        <v>1382</v>
      </c>
    </row>
    <row r="127" spans="1:30" ht="110.5" customHeight="1">
      <c r="A127" s="12" t="s">
        <v>1345</v>
      </c>
      <c r="B127" s="4" t="s">
        <v>1372</v>
      </c>
      <c r="C127" s="12" t="s">
        <v>24</v>
      </c>
      <c r="D127" s="4" t="s">
        <v>2692</v>
      </c>
      <c r="E127" s="5" t="s">
        <v>404</v>
      </c>
      <c r="F127" s="20" t="s">
        <v>28</v>
      </c>
      <c r="G127" s="12" t="s">
        <v>2308</v>
      </c>
      <c r="H127" s="12" t="s">
        <v>531</v>
      </c>
      <c r="I127" s="12"/>
      <c r="J127" s="22" t="s">
        <v>2308</v>
      </c>
      <c r="K127" s="22" t="s">
        <v>2308</v>
      </c>
      <c r="L127" s="22" t="s">
        <v>2308</v>
      </c>
      <c r="M127" s="22" t="s">
        <v>2308</v>
      </c>
      <c r="N127" s="22" t="s">
        <v>2308</v>
      </c>
      <c r="O127" s="22" t="s">
        <v>2308</v>
      </c>
      <c r="P127" s="22" t="s">
        <v>2308</v>
      </c>
      <c r="Q127" s="22" t="s">
        <v>2308</v>
      </c>
      <c r="R127" s="22" t="s">
        <v>2308</v>
      </c>
      <c r="S127" s="22" t="s">
        <v>2308</v>
      </c>
      <c r="T127" s="22" t="s">
        <v>2308</v>
      </c>
      <c r="U127" s="22" t="s">
        <v>2308</v>
      </c>
      <c r="V127" s="22" t="s">
        <v>2308</v>
      </c>
      <c r="W127" s="22" t="s">
        <v>2308</v>
      </c>
      <c r="X127" s="22" t="s">
        <v>2308</v>
      </c>
      <c r="Y127" s="22">
        <f>5/2.62</f>
        <v>1.9083969465648853</v>
      </c>
      <c r="Z127" s="4" t="s">
        <v>75</v>
      </c>
      <c r="AA127" s="4" t="s">
        <v>35</v>
      </c>
      <c r="AB127" s="4" t="s">
        <v>64</v>
      </c>
      <c r="AC127" s="5" t="s">
        <v>5090</v>
      </c>
      <c r="AD127" s="5" t="s">
        <v>1381</v>
      </c>
    </row>
    <row r="128" spans="1:30" ht="110.5" customHeight="1">
      <c r="A128" s="12" t="s">
        <v>1346</v>
      </c>
      <c r="B128" s="4" t="s">
        <v>1373</v>
      </c>
      <c r="C128" s="12" t="s">
        <v>24</v>
      </c>
      <c r="D128" s="4" t="s">
        <v>2692</v>
      </c>
      <c r="E128" s="5" t="s">
        <v>403</v>
      </c>
      <c r="F128" s="20" t="s">
        <v>28</v>
      </c>
      <c r="G128" s="12" t="s">
        <v>2308</v>
      </c>
      <c r="H128" s="4" t="s">
        <v>531</v>
      </c>
      <c r="I128" s="12"/>
      <c r="J128" s="22" t="s">
        <v>2308</v>
      </c>
      <c r="K128" s="22" t="s">
        <v>2308</v>
      </c>
      <c r="L128" s="22" t="s">
        <v>2308</v>
      </c>
      <c r="M128" s="22" t="s">
        <v>2308</v>
      </c>
      <c r="N128" s="22" t="s">
        <v>2308</v>
      </c>
      <c r="O128" s="22" t="s">
        <v>2308</v>
      </c>
      <c r="P128" s="22" t="s">
        <v>2308</v>
      </c>
      <c r="Q128" s="22" t="s">
        <v>2308</v>
      </c>
      <c r="R128" s="22" t="s">
        <v>2308</v>
      </c>
      <c r="S128" s="22" t="s">
        <v>2308</v>
      </c>
      <c r="T128" s="22" t="s">
        <v>2308</v>
      </c>
      <c r="U128" s="22" t="s">
        <v>2308</v>
      </c>
      <c r="V128" s="22" t="s">
        <v>2308</v>
      </c>
      <c r="W128" s="22" t="s">
        <v>2308</v>
      </c>
      <c r="X128" s="22" t="s">
        <v>2308</v>
      </c>
      <c r="Y128" s="22">
        <f>5/2.38</f>
        <v>2.1008403361344539</v>
      </c>
      <c r="Z128" s="4" t="s">
        <v>75</v>
      </c>
      <c r="AA128" s="4" t="s">
        <v>35</v>
      </c>
      <c r="AB128" s="4" t="s">
        <v>64</v>
      </c>
      <c r="AC128" s="5" t="s">
        <v>5090</v>
      </c>
      <c r="AD128" s="5" t="s">
        <v>1382</v>
      </c>
    </row>
    <row r="129" spans="1:30" ht="110.5" customHeight="1">
      <c r="A129" s="12" t="s">
        <v>1346</v>
      </c>
      <c r="B129" s="4" t="s">
        <v>1374</v>
      </c>
      <c r="C129" s="12" t="s">
        <v>24</v>
      </c>
      <c r="D129" s="4" t="s">
        <v>2692</v>
      </c>
      <c r="E129" s="5" t="s">
        <v>404</v>
      </c>
      <c r="F129" s="20" t="s">
        <v>28</v>
      </c>
      <c r="G129" s="12" t="s">
        <v>2308</v>
      </c>
      <c r="H129" s="12" t="s">
        <v>531</v>
      </c>
      <c r="I129" s="12"/>
      <c r="J129" s="22" t="s">
        <v>2308</v>
      </c>
      <c r="K129" s="22" t="s">
        <v>2308</v>
      </c>
      <c r="L129" s="22" t="s">
        <v>2308</v>
      </c>
      <c r="M129" s="22" t="s">
        <v>2308</v>
      </c>
      <c r="N129" s="22" t="s">
        <v>2308</v>
      </c>
      <c r="O129" s="22" t="s">
        <v>2308</v>
      </c>
      <c r="P129" s="22" t="s">
        <v>2308</v>
      </c>
      <c r="Q129" s="22" t="s">
        <v>2308</v>
      </c>
      <c r="R129" s="22" t="s">
        <v>2308</v>
      </c>
      <c r="S129" s="22" t="s">
        <v>2308</v>
      </c>
      <c r="T129" s="22" t="s">
        <v>2308</v>
      </c>
      <c r="U129" s="22" t="s">
        <v>2308</v>
      </c>
      <c r="V129" s="22" t="s">
        <v>2308</v>
      </c>
      <c r="W129" s="22" t="s">
        <v>2308</v>
      </c>
      <c r="X129" s="22" t="s">
        <v>2308</v>
      </c>
      <c r="Y129" s="22">
        <f>5/2.38</f>
        <v>2.1008403361344539</v>
      </c>
      <c r="Z129" s="4" t="s">
        <v>75</v>
      </c>
      <c r="AA129" s="4" t="s">
        <v>35</v>
      </c>
      <c r="AB129" s="4" t="s">
        <v>64</v>
      </c>
      <c r="AC129" s="5" t="s">
        <v>5090</v>
      </c>
      <c r="AD129" s="5" t="s">
        <v>1381</v>
      </c>
    </row>
    <row r="130" spans="1:30" ht="132.5" customHeight="1">
      <c r="A130" s="12" t="s">
        <v>1347</v>
      </c>
      <c r="B130" s="4" t="s">
        <v>1375</v>
      </c>
      <c r="C130" s="12" t="s">
        <v>24</v>
      </c>
      <c r="D130" s="4" t="s">
        <v>2692</v>
      </c>
      <c r="E130" s="5" t="s">
        <v>403</v>
      </c>
      <c r="F130" s="20" t="s">
        <v>28</v>
      </c>
      <c r="G130" s="12" t="s">
        <v>2308</v>
      </c>
      <c r="H130" s="4" t="s">
        <v>531</v>
      </c>
      <c r="I130" s="12"/>
      <c r="J130" s="22" t="s">
        <v>2308</v>
      </c>
      <c r="K130" s="22" t="s">
        <v>2308</v>
      </c>
      <c r="L130" s="22" t="s">
        <v>2308</v>
      </c>
      <c r="M130" s="22" t="s">
        <v>2308</v>
      </c>
      <c r="N130" s="22" t="s">
        <v>2308</v>
      </c>
      <c r="O130" s="22" t="s">
        <v>2308</v>
      </c>
      <c r="P130" s="22" t="s">
        <v>2308</v>
      </c>
      <c r="Q130" s="22" t="s">
        <v>2308</v>
      </c>
      <c r="R130" s="22" t="s">
        <v>2308</v>
      </c>
      <c r="S130" s="22" t="s">
        <v>2308</v>
      </c>
      <c r="T130" s="22" t="s">
        <v>2308</v>
      </c>
      <c r="U130" s="22" t="s">
        <v>2308</v>
      </c>
      <c r="V130" s="22" t="s">
        <v>2308</v>
      </c>
      <c r="W130" s="22" t="s">
        <v>2308</v>
      </c>
      <c r="X130" s="22" t="s">
        <v>2308</v>
      </c>
      <c r="Y130" s="22">
        <f>5/2.22</f>
        <v>2.2522522522522519</v>
      </c>
      <c r="Z130" s="4" t="s">
        <v>75</v>
      </c>
      <c r="AA130" s="4" t="s">
        <v>35</v>
      </c>
      <c r="AB130" s="4" t="s">
        <v>64</v>
      </c>
      <c r="AC130" s="5" t="s">
        <v>5090</v>
      </c>
      <c r="AD130" s="5" t="s">
        <v>1382</v>
      </c>
    </row>
    <row r="131" spans="1:30" ht="118" customHeight="1">
      <c r="A131" s="12" t="s">
        <v>1347</v>
      </c>
      <c r="B131" s="4" t="s">
        <v>1376</v>
      </c>
      <c r="C131" s="12" t="s">
        <v>24</v>
      </c>
      <c r="D131" s="4" t="s">
        <v>2692</v>
      </c>
      <c r="E131" s="5" t="s">
        <v>404</v>
      </c>
      <c r="F131" s="20" t="s">
        <v>28</v>
      </c>
      <c r="G131" s="12" t="s">
        <v>2308</v>
      </c>
      <c r="H131" s="12" t="s">
        <v>531</v>
      </c>
      <c r="I131" s="12"/>
      <c r="J131" s="22" t="s">
        <v>2308</v>
      </c>
      <c r="K131" s="22" t="s">
        <v>2308</v>
      </c>
      <c r="L131" s="22" t="s">
        <v>2308</v>
      </c>
      <c r="M131" s="22" t="s">
        <v>2308</v>
      </c>
      <c r="N131" s="22" t="s">
        <v>2308</v>
      </c>
      <c r="O131" s="22" t="s">
        <v>2308</v>
      </c>
      <c r="P131" s="22" t="s">
        <v>2308</v>
      </c>
      <c r="Q131" s="22" t="s">
        <v>2308</v>
      </c>
      <c r="R131" s="22" t="s">
        <v>2308</v>
      </c>
      <c r="S131" s="22" t="s">
        <v>2308</v>
      </c>
      <c r="T131" s="22" t="s">
        <v>2308</v>
      </c>
      <c r="U131" s="22" t="s">
        <v>2308</v>
      </c>
      <c r="V131" s="22" t="s">
        <v>2308</v>
      </c>
      <c r="W131" s="22" t="s">
        <v>2308</v>
      </c>
      <c r="X131" s="22" t="s">
        <v>2308</v>
      </c>
      <c r="Y131" s="22">
        <f>5/2.22</f>
        <v>2.2522522522522519</v>
      </c>
      <c r="Z131" s="4" t="s">
        <v>75</v>
      </c>
      <c r="AA131" s="4" t="s">
        <v>35</v>
      </c>
      <c r="AB131" s="4" t="s">
        <v>64</v>
      </c>
      <c r="AC131" s="5" t="s">
        <v>5090</v>
      </c>
      <c r="AD131" s="5" t="s">
        <v>1381</v>
      </c>
    </row>
    <row r="132" spans="1:30" ht="149.5" customHeight="1">
      <c r="A132" s="12" t="s">
        <v>1348</v>
      </c>
      <c r="B132" s="4" t="s">
        <v>1377</v>
      </c>
      <c r="C132" s="12" t="s">
        <v>24</v>
      </c>
      <c r="D132" s="4" t="s">
        <v>2692</v>
      </c>
      <c r="E132" s="5" t="s">
        <v>403</v>
      </c>
      <c r="F132" s="20" t="s">
        <v>28</v>
      </c>
      <c r="G132" s="12" t="s">
        <v>2308</v>
      </c>
      <c r="H132" s="4" t="s">
        <v>531</v>
      </c>
      <c r="I132" s="12"/>
      <c r="J132" s="22" t="s">
        <v>2308</v>
      </c>
      <c r="K132" s="22" t="s">
        <v>2308</v>
      </c>
      <c r="L132" s="22" t="s">
        <v>2308</v>
      </c>
      <c r="M132" s="22" t="s">
        <v>2308</v>
      </c>
      <c r="N132" s="22" t="s">
        <v>2308</v>
      </c>
      <c r="O132" s="22" t="s">
        <v>2308</v>
      </c>
      <c r="P132" s="22" t="s">
        <v>2308</v>
      </c>
      <c r="Q132" s="22" t="s">
        <v>2308</v>
      </c>
      <c r="R132" s="22" t="s">
        <v>2308</v>
      </c>
      <c r="S132" s="22" t="s">
        <v>2308</v>
      </c>
      <c r="T132" s="22" t="s">
        <v>2308</v>
      </c>
      <c r="U132" s="22" t="s">
        <v>2308</v>
      </c>
      <c r="V132" s="22" t="s">
        <v>2308</v>
      </c>
      <c r="W132" s="22" t="s">
        <v>2308</v>
      </c>
      <c r="X132" s="22" t="s">
        <v>2308</v>
      </c>
      <c r="Y132" s="22">
        <f>5/2.81</f>
        <v>1.7793594306049823</v>
      </c>
      <c r="Z132" s="4" t="s">
        <v>75</v>
      </c>
      <c r="AA132" s="4" t="s">
        <v>35</v>
      </c>
      <c r="AB132" s="4" t="s">
        <v>64</v>
      </c>
      <c r="AC132" s="5" t="s">
        <v>5090</v>
      </c>
      <c r="AD132" s="5" t="s">
        <v>1382</v>
      </c>
    </row>
    <row r="133" spans="1:30" ht="116.5" customHeight="1">
      <c r="A133" s="12" t="s">
        <v>1348</v>
      </c>
      <c r="B133" s="4" t="s">
        <v>1378</v>
      </c>
      <c r="C133" s="12" t="s">
        <v>24</v>
      </c>
      <c r="D133" s="4" t="s">
        <v>2692</v>
      </c>
      <c r="E133" s="5" t="s">
        <v>404</v>
      </c>
      <c r="F133" s="20" t="s">
        <v>28</v>
      </c>
      <c r="G133" s="12" t="s">
        <v>2308</v>
      </c>
      <c r="H133" s="12" t="s">
        <v>531</v>
      </c>
      <c r="I133" s="12"/>
      <c r="J133" s="22" t="s">
        <v>2308</v>
      </c>
      <c r="K133" s="22" t="s">
        <v>2308</v>
      </c>
      <c r="L133" s="22" t="s">
        <v>2308</v>
      </c>
      <c r="M133" s="22" t="s">
        <v>2308</v>
      </c>
      <c r="N133" s="22" t="s">
        <v>2308</v>
      </c>
      <c r="O133" s="22" t="s">
        <v>2308</v>
      </c>
      <c r="P133" s="22" t="s">
        <v>2308</v>
      </c>
      <c r="Q133" s="22" t="s">
        <v>2308</v>
      </c>
      <c r="R133" s="22" t="s">
        <v>2308</v>
      </c>
      <c r="S133" s="22" t="s">
        <v>2308</v>
      </c>
      <c r="T133" s="22" t="s">
        <v>2308</v>
      </c>
      <c r="U133" s="22" t="s">
        <v>2308</v>
      </c>
      <c r="V133" s="22" t="s">
        <v>2308</v>
      </c>
      <c r="W133" s="22" t="s">
        <v>2308</v>
      </c>
      <c r="X133" s="22" t="s">
        <v>2308</v>
      </c>
      <c r="Y133" s="22">
        <f>5/2.81</f>
        <v>1.7793594306049823</v>
      </c>
      <c r="Z133" s="4" t="s">
        <v>75</v>
      </c>
      <c r="AA133" s="4" t="s">
        <v>35</v>
      </c>
      <c r="AB133" s="4" t="s">
        <v>64</v>
      </c>
      <c r="AC133" s="5" t="s">
        <v>5090</v>
      </c>
      <c r="AD133" s="5" t="s">
        <v>1381</v>
      </c>
    </row>
    <row r="134" spans="1:30" ht="149.5" customHeight="1">
      <c r="A134" s="12" t="s">
        <v>1349</v>
      </c>
      <c r="B134" s="4" t="s">
        <v>1379</v>
      </c>
      <c r="C134" s="12" t="s">
        <v>24</v>
      </c>
      <c r="D134" s="4" t="s">
        <v>2692</v>
      </c>
      <c r="E134" s="5" t="s">
        <v>403</v>
      </c>
      <c r="F134" s="20" t="s">
        <v>28</v>
      </c>
      <c r="G134" s="12" t="s">
        <v>2308</v>
      </c>
      <c r="H134" s="4" t="s">
        <v>531</v>
      </c>
      <c r="I134" s="12"/>
      <c r="J134" s="22" t="s">
        <v>2308</v>
      </c>
      <c r="K134" s="22" t="s">
        <v>2308</v>
      </c>
      <c r="L134" s="22" t="s">
        <v>2308</v>
      </c>
      <c r="M134" s="22" t="s">
        <v>2308</v>
      </c>
      <c r="N134" s="22" t="s">
        <v>2308</v>
      </c>
      <c r="O134" s="22" t="s">
        <v>2308</v>
      </c>
      <c r="P134" s="22" t="s">
        <v>2308</v>
      </c>
      <c r="Q134" s="22" t="s">
        <v>2308</v>
      </c>
      <c r="R134" s="22" t="s">
        <v>2308</v>
      </c>
      <c r="S134" s="22" t="s">
        <v>2308</v>
      </c>
      <c r="T134" s="22" t="s">
        <v>2308</v>
      </c>
      <c r="U134" s="22" t="s">
        <v>2308</v>
      </c>
      <c r="V134" s="22" t="s">
        <v>2308</v>
      </c>
      <c r="W134" s="22" t="s">
        <v>2308</v>
      </c>
      <c r="X134" s="22" t="s">
        <v>2308</v>
      </c>
      <c r="Y134" s="22">
        <f>5/3.42</f>
        <v>1.4619883040935673</v>
      </c>
      <c r="Z134" s="4" t="s">
        <v>75</v>
      </c>
      <c r="AA134" s="4" t="s">
        <v>35</v>
      </c>
      <c r="AB134" s="4" t="s">
        <v>64</v>
      </c>
      <c r="AC134" s="5" t="s">
        <v>5090</v>
      </c>
      <c r="AD134" s="5" t="s">
        <v>1382</v>
      </c>
    </row>
    <row r="135" spans="1:30" ht="101.5" customHeight="1">
      <c r="A135" s="12" t="s">
        <v>1349</v>
      </c>
      <c r="B135" s="4" t="s">
        <v>1380</v>
      </c>
      <c r="C135" s="12" t="s">
        <v>24</v>
      </c>
      <c r="D135" s="4" t="s">
        <v>2692</v>
      </c>
      <c r="E135" s="5" t="s">
        <v>404</v>
      </c>
      <c r="F135" s="20" t="s">
        <v>28</v>
      </c>
      <c r="G135" s="12" t="s">
        <v>2308</v>
      </c>
      <c r="H135" s="12" t="s">
        <v>531</v>
      </c>
      <c r="I135" s="12"/>
      <c r="J135" s="22" t="s">
        <v>2308</v>
      </c>
      <c r="K135" s="22" t="s">
        <v>2308</v>
      </c>
      <c r="L135" s="22" t="s">
        <v>2308</v>
      </c>
      <c r="M135" s="22" t="s">
        <v>2308</v>
      </c>
      <c r="N135" s="22" t="s">
        <v>2308</v>
      </c>
      <c r="O135" s="22" t="s">
        <v>2308</v>
      </c>
      <c r="P135" s="22" t="s">
        <v>2308</v>
      </c>
      <c r="Q135" s="22" t="s">
        <v>2308</v>
      </c>
      <c r="R135" s="22" t="s">
        <v>2308</v>
      </c>
      <c r="S135" s="22" t="s">
        <v>2308</v>
      </c>
      <c r="T135" s="22" t="s">
        <v>2308</v>
      </c>
      <c r="U135" s="22" t="s">
        <v>2308</v>
      </c>
      <c r="V135" s="22" t="s">
        <v>2308</v>
      </c>
      <c r="W135" s="22" t="s">
        <v>2308</v>
      </c>
      <c r="X135" s="22" t="s">
        <v>2308</v>
      </c>
      <c r="Y135" s="22">
        <f>5/3.42</f>
        <v>1.4619883040935673</v>
      </c>
      <c r="Z135" s="4" t="s">
        <v>75</v>
      </c>
      <c r="AA135" s="4" t="s">
        <v>35</v>
      </c>
      <c r="AB135" s="4" t="s">
        <v>64</v>
      </c>
      <c r="AC135" s="5" t="s">
        <v>5090</v>
      </c>
      <c r="AD135" s="5" t="s">
        <v>1381</v>
      </c>
    </row>
    <row r="136" spans="1:30" ht="150.5" customHeight="1">
      <c r="A136" s="12" t="s">
        <v>1384</v>
      </c>
      <c r="B136" s="4" t="s">
        <v>1386</v>
      </c>
      <c r="C136" s="12" t="s">
        <v>24</v>
      </c>
      <c r="D136" s="4" t="s">
        <v>2692</v>
      </c>
      <c r="E136" s="5" t="s">
        <v>403</v>
      </c>
      <c r="F136" s="20" t="s">
        <v>28</v>
      </c>
      <c r="G136" s="12" t="s">
        <v>2308</v>
      </c>
      <c r="H136" s="4" t="s">
        <v>531</v>
      </c>
      <c r="I136" s="12"/>
      <c r="J136" s="22" t="s">
        <v>2308</v>
      </c>
      <c r="K136" s="22" t="s">
        <v>2308</v>
      </c>
      <c r="L136" s="22" t="s">
        <v>2308</v>
      </c>
      <c r="M136" s="22" t="s">
        <v>2308</v>
      </c>
      <c r="N136" s="22" t="s">
        <v>2308</v>
      </c>
      <c r="O136" s="22" t="s">
        <v>2308</v>
      </c>
      <c r="P136" s="22" t="s">
        <v>2308</v>
      </c>
      <c r="Q136" s="22" t="s">
        <v>2308</v>
      </c>
      <c r="R136" s="22" t="s">
        <v>2308</v>
      </c>
      <c r="S136" s="22" t="s">
        <v>2308</v>
      </c>
      <c r="T136" s="22" t="s">
        <v>2308</v>
      </c>
      <c r="U136" s="22" t="s">
        <v>2308</v>
      </c>
      <c r="V136" s="22" t="s">
        <v>2308</v>
      </c>
      <c r="W136" s="22" t="s">
        <v>2308</v>
      </c>
      <c r="X136" s="22" t="s">
        <v>2308</v>
      </c>
      <c r="Y136" s="22">
        <f>5/3.14</f>
        <v>1.592356687898089</v>
      </c>
      <c r="Z136" s="4" t="s">
        <v>75</v>
      </c>
      <c r="AA136" s="4" t="s">
        <v>35</v>
      </c>
      <c r="AB136" s="4" t="s">
        <v>64</v>
      </c>
      <c r="AC136" s="5" t="s">
        <v>5090</v>
      </c>
      <c r="AD136" s="5" t="s">
        <v>1382</v>
      </c>
    </row>
    <row r="137" spans="1:30" ht="103" customHeight="1">
      <c r="A137" s="12" t="s">
        <v>1384</v>
      </c>
      <c r="B137" s="4" t="s">
        <v>1387</v>
      </c>
      <c r="C137" s="12" t="s">
        <v>24</v>
      </c>
      <c r="D137" s="4" t="s">
        <v>2692</v>
      </c>
      <c r="E137" s="5" t="s">
        <v>404</v>
      </c>
      <c r="F137" s="20" t="s">
        <v>28</v>
      </c>
      <c r="G137" s="12" t="s">
        <v>2308</v>
      </c>
      <c r="H137" s="12" t="s">
        <v>531</v>
      </c>
      <c r="I137" s="12"/>
      <c r="J137" s="22" t="s">
        <v>2308</v>
      </c>
      <c r="K137" s="22" t="s">
        <v>2308</v>
      </c>
      <c r="L137" s="22" t="s">
        <v>2308</v>
      </c>
      <c r="M137" s="22" t="s">
        <v>2308</v>
      </c>
      <c r="N137" s="22" t="s">
        <v>2308</v>
      </c>
      <c r="O137" s="22" t="s">
        <v>2308</v>
      </c>
      <c r="P137" s="22" t="s">
        <v>2308</v>
      </c>
      <c r="Q137" s="22" t="s">
        <v>2308</v>
      </c>
      <c r="R137" s="22" t="s">
        <v>2308</v>
      </c>
      <c r="S137" s="22" t="s">
        <v>2308</v>
      </c>
      <c r="T137" s="22" t="s">
        <v>2308</v>
      </c>
      <c r="U137" s="22" t="s">
        <v>2308</v>
      </c>
      <c r="V137" s="22" t="s">
        <v>2308</v>
      </c>
      <c r="W137" s="22" t="s">
        <v>2308</v>
      </c>
      <c r="X137" s="22" t="s">
        <v>2308</v>
      </c>
      <c r="Y137" s="22">
        <f>5/3.14</f>
        <v>1.592356687898089</v>
      </c>
      <c r="Z137" s="4" t="s">
        <v>75</v>
      </c>
      <c r="AA137" s="4" t="s">
        <v>35</v>
      </c>
      <c r="AB137" s="4" t="s">
        <v>64</v>
      </c>
      <c r="AC137" s="5" t="s">
        <v>5090</v>
      </c>
      <c r="AD137" s="5" t="s">
        <v>1381</v>
      </c>
    </row>
    <row r="138" spans="1:30" ht="119.5" customHeight="1">
      <c r="A138" s="12" t="s">
        <v>112</v>
      </c>
      <c r="B138" s="4" t="s">
        <v>115</v>
      </c>
      <c r="C138" s="12" t="s">
        <v>24</v>
      </c>
      <c r="D138" s="4" t="s">
        <v>2692</v>
      </c>
      <c r="E138" s="5" t="s">
        <v>84</v>
      </c>
      <c r="F138" s="20" t="s">
        <v>28</v>
      </c>
      <c r="G138" s="12" t="s">
        <v>2308</v>
      </c>
      <c r="H138" s="4" t="s">
        <v>531</v>
      </c>
      <c r="I138" s="12">
        <v>2001</v>
      </c>
      <c r="J138" s="22" t="s">
        <v>2308</v>
      </c>
      <c r="K138" s="22" t="s">
        <v>2308</v>
      </c>
      <c r="L138" s="22" t="s">
        <v>2308</v>
      </c>
      <c r="M138" s="22" t="s">
        <v>2308</v>
      </c>
      <c r="N138" s="22" t="s">
        <v>2308</v>
      </c>
      <c r="O138" s="22" t="s">
        <v>2308</v>
      </c>
      <c r="P138" s="22" t="s">
        <v>2308</v>
      </c>
      <c r="Q138" s="22" t="s">
        <v>2308</v>
      </c>
      <c r="R138" s="22" t="s">
        <v>2308</v>
      </c>
      <c r="S138" s="22" t="s">
        <v>2308</v>
      </c>
      <c r="T138" s="22" t="s">
        <v>2308</v>
      </c>
      <c r="U138" s="22" t="s">
        <v>2308</v>
      </c>
      <c r="V138" s="22" t="s">
        <v>2308</v>
      </c>
      <c r="W138" s="22" t="s">
        <v>2308</v>
      </c>
      <c r="X138" s="22" t="s">
        <v>2308</v>
      </c>
      <c r="Y138" s="22" t="s">
        <v>2308</v>
      </c>
      <c r="Z138" s="4" t="s">
        <v>34</v>
      </c>
      <c r="AA138" s="4" t="s">
        <v>34</v>
      </c>
      <c r="AB138" s="4" t="s">
        <v>64</v>
      </c>
      <c r="AC138" s="5" t="s">
        <v>5090</v>
      </c>
      <c r="AD138" s="5" t="s">
        <v>1400</v>
      </c>
    </row>
    <row r="139" spans="1:30" ht="116" customHeight="1">
      <c r="A139" s="12" t="s">
        <v>112</v>
      </c>
      <c r="B139" s="4" t="s">
        <v>1389</v>
      </c>
      <c r="C139" s="12" t="s">
        <v>24</v>
      </c>
      <c r="D139" s="4" t="s">
        <v>2692</v>
      </c>
      <c r="E139" s="5" t="s">
        <v>84</v>
      </c>
      <c r="F139" s="20" t="s">
        <v>28</v>
      </c>
      <c r="G139" s="12" t="s">
        <v>2308</v>
      </c>
      <c r="H139" s="4" t="s">
        <v>531</v>
      </c>
      <c r="I139" s="12">
        <v>2001</v>
      </c>
      <c r="J139" s="22" t="s">
        <v>2308</v>
      </c>
      <c r="K139" s="22" t="s">
        <v>2308</v>
      </c>
      <c r="L139" s="22" t="s">
        <v>2308</v>
      </c>
      <c r="M139" s="22" t="s">
        <v>2308</v>
      </c>
      <c r="N139" s="22" t="s">
        <v>2308</v>
      </c>
      <c r="O139" s="22" t="s">
        <v>2308</v>
      </c>
      <c r="P139" s="22" t="s">
        <v>2308</v>
      </c>
      <c r="Q139" s="22" t="s">
        <v>2308</v>
      </c>
      <c r="R139" s="22" t="s">
        <v>2308</v>
      </c>
      <c r="S139" s="22" t="s">
        <v>2308</v>
      </c>
      <c r="T139" s="22" t="s">
        <v>2308</v>
      </c>
      <c r="U139" s="22" t="s">
        <v>2308</v>
      </c>
      <c r="V139" s="22" t="s">
        <v>2308</v>
      </c>
      <c r="W139" s="22" t="s">
        <v>2308</v>
      </c>
      <c r="X139" s="22" t="s">
        <v>2308</v>
      </c>
      <c r="Y139" s="22" t="s">
        <v>2308</v>
      </c>
      <c r="Z139" s="4" t="s">
        <v>68</v>
      </c>
      <c r="AA139" s="4" t="s">
        <v>68</v>
      </c>
      <c r="AB139" s="4" t="s">
        <v>64</v>
      </c>
      <c r="AC139" s="5" t="s">
        <v>5090</v>
      </c>
      <c r="AD139" s="5" t="s">
        <v>1400</v>
      </c>
    </row>
    <row r="140" spans="1:30" ht="116" customHeight="1">
      <c r="A140" s="12" t="s">
        <v>112</v>
      </c>
      <c r="B140" s="4" t="s">
        <v>1390</v>
      </c>
      <c r="C140" s="12" t="s">
        <v>24</v>
      </c>
      <c r="D140" s="4" t="s">
        <v>2692</v>
      </c>
      <c r="E140" s="5" t="s">
        <v>84</v>
      </c>
      <c r="F140" s="20" t="s">
        <v>28</v>
      </c>
      <c r="G140" s="12" t="s">
        <v>2308</v>
      </c>
      <c r="H140" s="4" t="s">
        <v>531</v>
      </c>
      <c r="I140" s="12">
        <v>2002</v>
      </c>
      <c r="J140" s="22" t="s">
        <v>2308</v>
      </c>
      <c r="K140" s="22" t="s">
        <v>2308</v>
      </c>
      <c r="L140" s="22" t="s">
        <v>2308</v>
      </c>
      <c r="M140" s="22" t="s">
        <v>2308</v>
      </c>
      <c r="N140" s="22" t="s">
        <v>2308</v>
      </c>
      <c r="O140" s="22" t="s">
        <v>2308</v>
      </c>
      <c r="P140" s="22" t="s">
        <v>2308</v>
      </c>
      <c r="Q140" s="22" t="s">
        <v>2308</v>
      </c>
      <c r="R140" s="22" t="s">
        <v>2308</v>
      </c>
      <c r="S140" s="22" t="s">
        <v>2308</v>
      </c>
      <c r="T140" s="22" t="s">
        <v>2308</v>
      </c>
      <c r="U140" s="22" t="s">
        <v>2308</v>
      </c>
      <c r="V140" s="22" t="s">
        <v>2308</v>
      </c>
      <c r="W140" s="22" t="s">
        <v>2308</v>
      </c>
      <c r="X140" s="22" t="s">
        <v>2308</v>
      </c>
      <c r="Y140" s="22" t="s">
        <v>2308</v>
      </c>
      <c r="Z140" s="4" t="s">
        <v>34</v>
      </c>
      <c r="AA140" s="4" t="s">
        <v>34</v>
      </c>
      <c r="AB140" s="4" t="s">
        <v>64</v>
      </c>
      <c r="AC140" s="5" t="s">
        <v>5090</v>
      </c>
      <c r="AD140" s="5" t="s">
        <v>1400</v>
      </c>
    </row>
    <row r="141" spans="1:30" ht="131" customHeight="1">
      <c r="A141" s="12" t="s">
        <v>112</v>
      </c>
      <c r="B141" s="4" t="s">
        <v>1391</v>
      </c>
      <c r="C141" s="12" t="s">
        <v>24</v>
      </c>
      <c r="D141" s="4" t="s">
        <v>2692</v>
      </c>
      <c r="E141" s="5" t="s">
        <v>84</v>
      </c>
      <c r="F141" s="20" t="s">
        <v>28</v>
      </c>
      <c r="G141" s="12" t="s">
        <v>2308</v>
      </c>
      <c r="H141" s="4" t="s">
        <v>531</v>
      </c>
      <c r="I141" s="12">
        <v>2002</v>
      </c>
      <c r="J141" s="22" t="s">
        <v>2308</v>
      </c>
      <c r="K141" s="22" t="s">
        <v>2308</v>
      </c>
      <c r="L141" s="22" t="s">
        <v>2308</v>
      </c>
      <c r="M141" s="22" t="s">
        <v>2308</v>
      </c>
      <c r="N141" s="22" t="s">
        <v>2308</v>
      </c>
      <c r="O141" s="22" t="s">
        <v>2308</v>
      </c>
      <c r="P141" s="22" t="s">
        <v>2308</v>
      </c>
      <c r="Q141" s="22" t="s">
        <v>2308</v>
      </c>
      <c r="R141" s="22" t="s">
        <v>2308</v>
      </c>
      <c r="S141" s="22" t="s">
        <v>2308</v>
      </c>
      <c r="T141" s="22" t="s">
        <v>2308</v>
      </c>
      <c r="U141" s="22" t="s">
        <v>2308</v>
      </c>
      <c r="V141" s="22" t="s">
        <v>2308</v>
      </c>
      <c r="W141" s="22" t="s">
        <v>2308</v>
      </c>
      <c r="X141" s="22" t="s">
        <v>2308</v>
      </c>
      <c r="Y141" s="22" t="s">
        <v>2308</v>
      </c>
      <c r="Z141" s="4" t="s">
        <v>68</v>
      </c>
      <c r="AA141" s="4" t="s">
        <v>68</v>
      </c>
      <c r="AB141" s="4" t="s">
        <v>64</v>
      </c>
      <c r="AC141" s="5" t="s">
        <v>5090</v>
      </c>
      <c r="AD141" s="5" t="s">
        <v>1400</v>
      </c>
    </row>
    <row r="142" spans="1:30" ht="121" customHeight="1">
      <c r="A142" s="12" t="s">
        <v>112</v>
      </c>
      <c r="B142" s="4" t="s">
        <v>1392</v>
      </c>
      <c r="C142" s="12" t="s">
        <v>24</v>
      </c>
      <c r="D142" s="4" t="s">
        <v>2692</v>
      </c>
      <c r="E142" s="5" t="s">
        <v>84</v>
      </c>
      <c r="F142" s="20" t="s">
        <v>28</v>
      </c>
      <c r="G142" s="12" t="s">
        <v>2308</v>
      </c>
      <c r="H142" s="4" t="s">
        <v>531</v>
      </c>
      <c r="I142" s="12">
        <v>2003</v>
      </c>
      <c r="J142" s="22" t="s">
        <v>2308</v>
      </c>
      <c r="K142" s="22" t="s">
        <v>2308</v>
      </c>
      <c r="L142" s="22" t="s">
        <v>2308</v>
      </c>
      <c r="M142" s="22" t="s">
        <v>2308</v>
      </c>
      <c r="N142" s="22" t="s">
        <v>2308</v>
      </c>
      <c r="O142" s="22" t="s">
        <v>2308</v>
      </c>
      <c r="P142" s="22" t="s">
        <v>2308</v>
      </c>
      <c r="Q142" s="22" t="s">
        <v>2308</v>
      </c>
      <c r="R142" s="22" t="s">
        <v>2308</v>
      </c>
      <c r="S142" s="22" t="s">
        <v>2308</v>
      </c>
      <c r="T142" s="22" t="s">
        <v>2308</v>
      </c>
      <c r="U142" s="22" t="s">
        <v>2308</v>
      </c>
      <c r="V142" s="22" t="s">
        <v>2308</v>
      </c>
      <c r="W142" s="22" t="s">
        <v>2308</v>
      </c>
      <c r="X142" s="22" t="s">
        <v>2308</v>
      </c>
      <c r="Y142" s="22" t="s">
        <v>2308</v>
      </c>
      <c r="Z142" s="4" t="s">
        <v>34</v>
      </c>
      <c r="AA142" s="4" t="s">
        <v>34</v>
      </c>
      <c r="AB142" s="4" t="s">
        <v>64</v>
      </c>
      <c r="AC142" s="5" t="s">
        <v>5090</v>
      </c>
      <c r="AD142" s="5" t="s">
        <v>1400</v>
      </c>
    </row>
    <row r="143" spans="1:30" ht="122" customHeight="1">
      <c r="A143" s="12" t="s">
        <v>112</v>
      </c>
      <c r="B143" s="4" t="s">
        <v>1393</v>
      </c>
      <c r="C143" s="12" t="s">
        <v>24</v>
      </c>
      <c r="D143" s="4" t="s">
        <v>2692</v>
      </c>
      <c r="E143" s="5" t="s">
        <v>84</v>
      </c>
      <c r="F143" s="20" t="s">
        <v>28</v>
      </c>
      <c r="G143" s="12" t="s">
        <v>2308</v>
      </c>
      <c r="H143" s="4" t="s">
        <v>531</v>
      </c>
      <c r="I143" s="12">
        <v>2003</v>
      </c>
      <c r="J143" s="22" t="s">
        <v>2308</v>
      </c>
      <c r="K143" s="22" t="s">
        <v>2308</v>
      </c>
      <c r="L143" s="22" t="s">
        <v>2308</v>
      </c>
      <c r="M143" s="22" t="s">
        <v>2308</v>
      </c>
      <c r="N143" s="22" t="s">
        <v>2308</v>
      </c>
      <c r="O143" s="22" t="s">
        <v>2308</v>
      </c>
      <c r="P143" s="22" t="s">
        <v>2308</v>
      </c>
      <c r="Q143" s="22" t="s">
        <v>2308</v>
      </c>
      <c r="R143" s="22" t="s">
        <v>2308</v>
      </c>
      <c r="S143" s="22" t="s">
        <v>2308</v>
      </c>
      <c r="T143" s="22" t="s">
        <v>2308</v>
      </c>
      <c r="U143" s="22" t="s">
        <v>2308</v>
      </c>
      <c r="V143" s="22" t="s">
        <v>2308</v>
      </c>
      <c r="W143" s="22" t="s">
        <v>2308</v>
      </c>
      <c r="X143" s="22" t="s">
        <v>2308</v>
      </c>
      <c r="Y143" s="22" t="s">
        <v>2308</v>
      </c>
      <c r="Z143" s="4" t="s">
        <v>68</v>
      </c>
      <c r="AA143" s="4" t="s">
        <v>68</v>
      </c>
      <c r="AB143" s="4" t="s">
        <v>64</v>
      </c>
      <c r="AC143" s="5" t="s">
        <v>5090</v>
      </c>
      <c r="AD143" s="5" t="s">
        <v>1400</v>
      </c>
    </row>
    <row r="144" spans="1:30" ht="122" customHeight="1">
      <c r="A144" s="12" t="s">
        <v>112</v>
      </c>
      <c r="B144" s="4" t="s">
        <v>1394</v>
      </c>
      <c r="C144" s="12" t="s">
        <v>24</v>
      </c>
      <c r="D144" s="4" t="s">
        <v>2692</v>
      </c>
      <c r="E144" s="5" t="s">
        <v>84</v>
      </c>
      <c r="F144" s="20" t="s">
        <v>28</v>
      </c>
      <c r="G144" s="12" t="s">
        <v>2308</v>
      </c>
      <c r="H144" s="4" t="s">
        <v>531</v>
      </c>
      <c r="I144" s="12">
        <v>2004</v>
      </c>
      <c r="J144" s="22" t="s">
        <v>2308</v>
      </c>
      <c r="K144" s="22" t="s">
        <v>2308</v>
      </c>
      <c r="L144" s="22" t="s">
        <v>2308</v>
      </c>
      <c r="M144" s="22" t="s">
        <v>2308</v>
      </c>
      <c r="N144" s="22" t="s">
        <v>2308</v>
      </c>
      <c r="O144" s="22" t="s">
        <v>2308</v>
      </c>
      <c r="P144" s="22" t="s">
        <v>2308</v>
      </c>
      <c r="Q144" s="22" t="s">
        <v>2308</v>
      </c>
      <c r="R144" s="22" t="s">
        <v>2308</v>
      </c>
      <c r="S144" s="22" t="s">
        <v>2308</v>
      </c>
      <c r="T144" s="22" t="s">
        <v>2308</v>
      </c>
      <c r="U144" s="22" t="s">
        <v>2308</v>
      </c>
      <c r="V144" s="22" t="s">
        <v>2308</v>
      </c>
      <c r="W144" s="22" t="s">
        <v>2308</v>
      </c>
      <c r="X144" s="22" t="s">
        <v>2308</v>
      </c>
      <c r="Y144" s="22" t="s">
        <v>2308</v>
      </c>
      <c r="Z144" s="4" t="s">
        <v>34</v>
      </c>
      <c r="AA144" s="4" t="s">
        <v>34</v>
      </c>
      <c r="AB144" s="4" t="s">
        <v>64</v>
      </c>
      <c r="AC144" s="5" t="s">
        <v>5090</v>
      </c>
      <c r="AD144" s="5" t="s">
        <v>1400</v>
      </c>
    </row>
    <row r="145" spans="1:30" ht="121" customHeight="1">
      <c r="A145" s="12" t="s">
        <v>112</v>
      </c>
      <c r="B145" s="4" t="s">
        <v>1395</v>
      </c>
      <c r="C145" s="12" t="s">
        <v>24</v>
      </c>
      <c r="D145" s="4" t="s">
        <v>2692</v>
      </c>
      <c r="E145" s="5" t="s">
        <v>84</v>
      </c>
      <c r="F145" s="20" t="s">
        <v>28</v>
      </c>
      <c r="G145" s="12" t="s">
        <v>2308</v>
      </c>
      <c r="H145" s="4" t="s">
        <v>531</v>
      </c>
      <c r="I145" s="12">
        <v>2004</v>
      </c>
      <c r="J145" s="22" t="s">
        <v>2308</v>
      </c>
      <c r="K145" s="22" t="s">
        <v>2308</v>
      </c>
      <c r="L145" s="22" t="s">
        <v>2308</v>
      </c>
      <c r="M145" s="22" t="s">
        <v>2308</v>
      </c>
      <c r="N145" s="22" t="s">
        <v>2308</v>
      </c>
      <c r="O145" s="22" t="s">
        <v>2308</v>
      </c>
      <c r="P145" s="22" t="s">
        <v>2308</v>
      </c>
      <c r="Q145" s="22" t="s">
        <v>2308</v>
      </c>
      <c r="R145" s="22" t="s">
        <v>2308</v>
      </c>
      <c r="S145" s="22" t="s">
        <v>2308</v>
      </c>
      <c r="T145" s="22" t="s">
        <v>2308</v>
      </c>
      <c r="U145" s="22" t="s">
        <v>2308</v>
      </c>
      <c r="V145" s="22" t="s">
        <v>2308</v>
      </c>
      <c r="W145" s="22" t="s">
        <v>2308</v>
      </c>
      <c r="X145" s="22" t="s">
        <v>2308</v>
      </c>
      <c r="Y145" s="22" t="s">
        <v>2308</v>
      </c>
      <c r="Z145" s="4" t="s">
        <v>68</v>
      </c>
      <c r="AA145" s="4" t="s">
        <v>68</v>
      </c>
      <c r="AB145" s="4" t="s">
        <v>64</v>
      </c>
      <c r="AC145" s="5" t="s">
        <v>5090</v>
      </c>
      <c r="AD145" s="5" t="s">
        <v>1400</v>
      </c>
    </row>
    <row r="146" spans="1:30" ht="121" customHeight="1">
      <c r="A146" s="12" t="s">
        <v>112</v>
      </c>
      <c r="B146" s="4" t="s">
        <v>1396</v>
      </c>
      <c r="C146" s="12" t="s">
        <v>24</v>
      </c>
      <c r="D146" s="4" t="s">
        <v>2692</v>
      </c>
      <c r="E146" s="5" t="s">
        <v>84</v>
      </c>
      <c r="F146" s="20" t="s">
        <v>28</v>
      </c>
      <c r="G146" s="12" t="s">
        <v>2308</v>
      </c>
      <c r="H146" s="4" t="s">
        <v>531</v>
      </c>
      <c r="I146" s="12">
        <v>2005</v>
      </c>
      <c r="J146" s="22" t="s">
        <v>2308</v>
      </c>
      <c r="K146" s="22" t="s">
        <v>2308</v>
      </c>
      <c r="L146" s="22" t="s">
        <v>2308</v>
      </c>
      <c r="M146" s="22" t="s">
        <v>2308</v>
      </c>
      <c r="N146" s="22" t="s">
        <v>2308</v>
      </c>
      <c r="O146" s="22" t="s">
        <v>2308</v>
      </c>
      <c r="P146" s="22" t="s">
        <v>2308</v>
      </c>
      <c r="Q146" s="22" t="s">
        <v>2308</v>
      </c>
      <c r="R146" s="22" t="s">
        <v>2308</v>
      </c>
      <c r="S146" s="22" t="s">
        <v>2308</v>
      </c>
      <c r="T146" s="22" t="s">
        <v>2308</v>
      </c>
      <c r="U146" s="22" t="s">
        <v>2308</v>
      </c>
      <c r="V146" s="22" t="s">
        <v>2308</v>
      </c>
      <c r="W146" s="22" t="s">
        <v>2308</v>
      </c>
      <c r="X146" s="22" t="s">
        <v>2308</v>
      </c>
      <c r="Y146" s="22" t="s">
        <v>2308</v>
      </c>
      <c r="Z146" s="4" t="s">
        <v>34</v>
      </c>
      <c r="AA146" s="4" t="s">
        <v>34</v>
      </c>
      <c r="AB146" s="4" t="s">
        <v>64</v>
      </c>
      <c r="AC146" s="5" t="s">
        <v>5090</v>
      </c>
      <c r="AD146" s="5" t="s">
        <v>1400</v>
      </c>
    </row>
    <row r="147" spans="1:30" ht="115" customHeight="1">
      <c r="A147" s="12" t="s">
        <v>112</v>
      </c>
      <c r="B147" s="4" t="s">
        <v>1397</v>
      </c>
      <c r="C147" s="12" t="s">
        <v>24</v>
      </c>
      <c r="D147" s="4" t="s">
        <v>2692</v>
      </c>
      <c r="E147" s="5" t="s">
        <v>84</v>
      </c>
      <c r="F147" s="20" t="s">
        <v>28</v>
      </c>
      <c r="G147" s="12" t="s">
        <v>2308</v>
      </c>
      <c r="H147" s="4" t="s">
        <v>531</v>
      </c>
      <c r="I147" s="12">
        <v>2005</v>
      </c>
      <c r="J147" s="22" t="s">
        <v>2308</v>
      </c>
      <c r="K147" s="22" t="s">
        <v>2308</v>
      </c>
      <c r="L147" s="22" t="s">
        <v>2308</v>
      </c>
      <c r="M147" s="22" t="s">
        <v>2308</v>
      </c>
      <c r="N147" s="22" t="s">
        <v>2308</v>
      </c>
      <c r="O147" s="22" t="s">
        <v>2308</v>
      </c>
      <c r="P147" s="22" t="s">
        <v>2308</v>
      </c>
      <c r="Q147" s="22" t="s">
        <v>2308</v>
      </c>
      <c r="R147" s="22" t="s">
        <v>2308</v>
      </c>
      <c r="S147" s="22" t="s">
        <v>2308</v>
      </c>
      <c r="T147" s="22" t="s">
        <v>2308</v>
      </c>
      <c r="U147" s="22" t="s">
        <v>2308</v>
      </c>
      <c r="V147" s="22" t="s">
        <v>2308</v>
      </c>
      <c r="W147" s="22" t="s">
        <v>2308</v>
      </c>
      <c r="X147" s="22" t="s">
        <v>2308</v>
      </c>
      <c r="Y147" s="22" t="s">
        <v>2308</v>
      </c>
      <c r="Z147" s="4" t="s">
        <v>68</v>
      </c>
      <c r="AA147" s="4" t="s">
        <v>68</v>
      </c>
      <c r="AB147" s="4" t="s">
        <v>64</v>
      </c>
      <c r="AC147" s="5" t="s">
        <v>5090</v>
      </c>
      <c r="AD147" s="5" t="s">
        <v>1400</v>
      </c>
    </row>
    <row r="148" spans="1:30" ht="155.5" customHeight="1">
      <c r="A148" s="24" t="s">
        <v>129</v>
      </c>
      <c r="B148" s="4" t="s">
        <v>130</v>
      </c>
      <c r="C148" s="24" t="s">
        <v>24</v>
      </c>
      <c r="D148" s="24" t="s">
        <v>27</v>
      </c>
      <c r="E148" s="24" t="s">
        <v>136</v>
      </c>
      <c r="F148" s="27" t="s">
        <v>74</v>
      </c>
      <c r="G148" s="27" t="s">
        <v>74</v>
      </c>
      <c r="H148" s="4" t="s">
        <v>531</v>
      </c>
      <c r="I148" s="24"/>
      <c r="J148" s="84" t="s">
        <v>2308</v>
      </c>
      <c r="K148" s="84" t="s">
        <v>2308</v>
      </c>
      <c r="L148" s="84" t="s">
        <v>2308</v>
      </c>
      <c r="M148" s="84" t="s">
        <v>2308</v>
      </c>
      <c r="N148" s="84" t="s">
        <v>2308</v>
      </c>
      <c r="O148" s="84" t="s">
        <v>2308</v>
      </c>
      <c r="P148" s="84" t="s">
        <v>2308</v>
      </c>
      <c r="Q148" s="22" t="s">
        <v>2308</v>
      </c>
      <c r="R148" s="22" t="s">
        <v>2308</v>
      </c>
      <c r="S148" s="84" t="s">
        <v>2308</v>
      </c>
      <c r="T148" s="84" t="s">
        <v>2308</v>
      </c>
      <c r="U148" s="22" t="s">
        <v>2308</v>
      </c>
      <c r="V148" s="84" t="s">
        <v>2308</v>
      </c>
      <c r="W148" s="84" t="s">
        <v>2308</v>
      </c>
      <c r="X148" s="84" t="s">
        <v>2308</v>
      </c>
      <c r="Y148" s="84" t="s">
        <v>2308</v>
      </c>
      <c r="Z148" s="23" t="s">
        <v>68</v>
      </c>
      <c r="AA148" s="23" t="s">
        <v>68</v>
      </c>
      <c r="AB148" s="23" t="s">
        <v>76</v>
      </c>
      <c r="AC148" s="25" t="s">
        <v>137</v>
      </c>
      <c r="AD148" s="23"/>
    </row>
    <row r="149" spans="1:30" ht="149.5" customHeight="1">
      <c r="A149" s="24" t="s">
        <v>129</v>
      </c>
      <c r="B149" s="4" t="s">
        <v>131</v>
      </c>
      <c r="C149" s="24" t="s">
        <v>24</v>
      </c>
      <c r="D149" s="24" t="s">
        <v>27</v>
      </c>
      <c r="E149" s="24" t="s">
        <v>136</v>
      </c>
      <c r="F149" s="27" t="s">
        <v>167</v>
      </c>
      <c r="G149" s="12" t="s">
        <v>2308</v>
      </c>
      <c r="H149" s="4" t="s">
        <v>531</v>
      </c>
      <c r="I149" s="24"/>
      <c r="J149" s="84" t="s">
        <v>2308</v>
      </c>
      <c r="K149" s="84" t="s">
        <v>2308</v>
      </c>
      <c r="L149" s="84" t="s">
        <v>2308</v>
      </c>
      <c r="M149" s="84" t="s">
        <v>2308</v>
      </c>
      <c r="N149" s="84" t="s">
        <v>2308</v>
      </c>
      <c r="O149" s="84" t="s">
        <v>2308</v>
      </c>
      <c r="P149" s="84" t="s">
        <v>2308</v>
      </c>
      <c r="Q149" s="22" t="s">
        <v>2308</v>
      </c>
      <c r="R149" s="22" t="s">
        <v>2308</v>
      </c>
      <c r="S149" s="84" t="s">
        <v>2308</v>
      </c>
      <c r="T149" s="84" t="s">
        <v>2308</v>
      </c>
      <c r="U149" s="22" t="s">
        <v>2308</v>
      </c>
      <c r="V149" s="84" t="s">
        <v>2308</v>
      </c>
      <c r="W149" s="84" t="s">
        <v>2308</v>
      </c>
      <c r="X149" s="84" t="s">
        <v>2308</v>
      </c>
      <c r="Y149" s="84" t="s">
        <v>2308</v>
      </c>
      <c r="Z149" s="23" t="s">
        <v>35</v>
      </c>
      <c r="AA149" s="23" t="s">
        <v>133</v>
      </c>
      <c r="AB149" s="23" t="s">
        <v>134</v>
      </c>
      <c r="AC149" s="25" t="s">
        <v>138</v>
      </c>
      <c r="AD149" s="23"/>
    </row>
    <row r="150" spans="1:30" ht="47" customHeight="1">
      <c r="A150" s="24" t="s">
        <v>139</v>
      </c>
      <c r="B150" s="4" t="s">
        <v>144</v>
      </c>
      <c r="C150" s="24" t="s">
        <v>24</v>
      </c>
      <c r="D150" s="5" t="s">
        <v>150</v>
      </c>
      <c r="E150" s="4" t="s">
        <v>143</v>
      </c>
      <c r="F150" s="5" t="s">
        <v>74</v>
      </c>
      <c r="G150" s="12" t="s">
        <v>2308</v>
      </c>
      <c r="H150" s="4" t="s">
        <v>532</v>
      </c>
      <c r="I150" s="4"/>
      <c r="J150" s="22">
        <v>0</v>
      </c>
      <c r="K150" s="22">
        <v>0</v>
      </c>
      <c r="L150" s="22">
        <v>0</v>
      </c>
      <c r="M150" s="22">
        <v>0</v>
      </c>
      <c r="N150" s="22">
        <v>0</v>
      </c>
      <c r="O150" s="22">
        <v>0</v>
      </c>
      <c r="P150" s="22">
        <v>0</v>
      </c>
      <c r="Q150" s="22">
        <v>0</v>
      </c>
      <c r="R150" s="22">
        <v>0</v>
      </c>
      <c r="S150" s="22">
        <v>0</v>
      </c>
      <c r="T150" s="22">
        <v>0</v>
      </c>
      <c r="U150" s="22">
        <v>0</v>
      </c>
      <c r="V150" s="22">
        <v>0</v>
      </c>
      <c r="W150" s="22">
        <v>0</v>
      </c>
      <c r="X150" s="22">
        <v>0</v>
      </c>
      <c r="Y150" s="84" t="s">
        <v>2308</v>
      </c>
      <c r="Z150" s="4" t="s">
        <v>2308</v>
      </c>
      <c r="AA150" s="4" t="s">
        <v>2308</v>
      </c>
      <c r="AB150" s="4" t="s">
        <v>2308</v>
      </c>
      <c r="AC150" s="4" t="s">
        <v>145</v>
      </c>
      <c r="AD150" s="4"/>
    </row>
    <row r="151" spans="1:30" ht="60" customHeight="1">
      <c r="A151" s="24" t="s">
        <v>139</v>
      </c>
      <c r="B151" s="4" t="s">
        <v>146</v>
      </c>
      <c r="C151" s="24" t="s">
        <v>24</v>
      </c>
      <c r="D151" s="24" t="s">
        <v>27</v>
      </c>
      <c r="E151" s="24" t="s">
        <v>136</v>
      </c>
      <c r="F151" s="27" t="s">
        <v>167</v>
      </c>
      <c r="G151" s="12" t="s">
        <v>2308</v>
      </c>
      <c r="H151" s="4" t="s">
        <v>531</v>
      </c>
      <c r="I151" s="24"/>
      <c r="J151" s="22" t="s">
        <v>2308</v>
      </c>
      <c r="K151" s="22" t="s">
        <v>2308</v>
      </c>
      <c r="L151" s="22" t="s">
        <v>2308</v>
      </c>
      <c r="M151" s="22" t="s">
        <v>2308</v>
      </c>
      <c r="N151" s="22" t="s">
        <v>2308</v>
      </c>
      <c r="O151" s="22" t="s">
        <v>2308</v>
      </c>
      <c r="P151" s="22" t="s">
        <v>2308</v>
      </c>
      <c r="Q151" s="22" t="s">
        <v>2308</v>
      </c>
      <c r="R151" s="22" t="s">
        <v>2308</v>
      </c>
      <c r="S151" s="22" t="s">
        <v>2308</v>
      </c>
      <c r="T151" s="22" t="s">
        <v>2308</v>
      </c>
      <c r="U151" s="22" t="s">
        <v>2308</v>
      </c>
      <c r="V151" s="22" t="s">
        <v>2308</v>
      </c>
      <c r="W151" s="22" t="s">
        <v>2308</v>
      </c>
      <c r="X151" s="22" t="s">
        <v>2308</v>
      </c>
      <c r="Y151" s="22" t="s">
        <v>2308</v>
      </c>
      <c r="Z151" s="4" t="s">
        <v>2308</v>
      </c>
      <c r="AA151" s="4" t="s">
        <v>2308</v>
      </c>
      <c r="AB151" s="4" t="s">
        <v>2308</v>
      </c>
      <c r="AC151" s="4"/>
      <c r="AD151" s="5" t="s">
        <v>1401</v>
      </c>
    </row>
    <row r="152" spans="1:30" ht="77.5" customHeight="1">
      <c r="A152" s="24" t="s">
        <v>142</v>
      </c>
      <c r="B152" s="4" t="s">
        <v>148</v>
      </c>
      <c r="C152" s="24" t="s">
        <v>24</v>
      </c>
      <c r="D152" s="12" t="s">
        <v>25</v>
      </c>
      <c r="E152" s="4" t="s">
        <v>45</v>
      </c>
      <c r="F152" s="5" t="s">
        <v>29</v>
      </c>
      <c r="G152" s="4" t="s">
        <v>2308</v>
      </c>
      <c r="H152" s="4" t="s">
        <v>531</v>
      </c>
      <c r="I152" s="4"/>
      <c r="J152" s="22" t="s">
        <v>2308</v>
      </c>
      <c r="K152" s="22" t="s">
        <v>2308</v>
      </c>
      <c r="L152" s="22" t="s">
        <v>2308</v>
      </c>
      <c r="M152" s="22" t="s">
        <v>2308</v>
      </c>
      <c r="N152" s="22" t="s">
        <v>2308</v>
      </c>
      <c r="O152" s="22" t="s">
        <v>2308</v>
      </c>
      <c r="P152" s="22" t="s">
        <v>2308</v>
      </c>
      <c r="Q152" s="22" t="s">
        <v>2308</v>
      </c>
      <c r="R152" s="22" t="s">
        <v>2308</v>
      </c>
      <c r="S152" s="22" t="s">
        <v>2308</v>
      </c>
      <c r="T152" s="22" t="s">
        <v>2308</v>
      </c>
      <c r="U152" s="22" t="s">
        <v>2308</v>
      </c>
      <c r="V152" s="22" t="s">
        <v>2308</v>
      </c>
      <c r="W152" s="22" t="s">
        <v>2308</v>
      </c>
      <c r="X152" s="22" t="s">
        <v>2308</v>
      </c>
      <c r="Y152" s="22" t="s">
        <v>2308</v>
      </c>
      <c r="Z152" s="4" t="s">
        <v>2308</v>
      </c>
      <c r="AA152" s="4" t="s">
        <v>2308</v>
      </c>
      <c r="AB152" s="4" t="s">
        <v>2308</v>
      </c>
      <c r="AC152" s="5" t="s">
        <v>1403</v>
      </c>
      <c r="AD152" s="5" t="s">
        <v>1402</v>
      </c>
    </row>
    <row r="153" spans="1:30" ht="77.5" customHeight="1">
      <c r="A153" s="24" t="s">
        <v>142</v>
      </c>
      <c r="B153" s="4" t="s">
        <v>5091</v>
      </c>
      <c r="C153" s="24" t="s">
        <v>24</v>
      </c>
      <c r="D153" s="12" t="s">
        <v>149</v>
      </c>
      <c r="E153" s="4" t="s">
        <v>45</v>
      </c>
      <c r="F153" s="5" t="s">
        <v>29</v>
      </c>
      <c r="G153" s="4" t="s">
        <v>2308</v>
      </c>
      <c r="H153" s="4" t="s">
        <v>531</v>
      </c>
      <c r="I153" s="4"/>
      <c r="J153" s="22" t="s">
        <v>2308</v>
      </c>
      <c r="K153" s="22" t="s">
        <v>2308</v>
      </c>
      <c r="L153" s="22" t="s">
        <v>2308</v>
      </c>
      <c r="M153" s="22" t="s">
        <v>2308</v>
      </c>
      <c r="N153" s="22" t="s">
        <v>2308</v>
      </c>
      <c r="O153" s="22" t="s">
        <v>2308</v>
      </c>
      <c r="P153" s="22" t="s">
        <v>2308</v>
      </c>
      <c r="Q153" s="22" t="s">
        <v>2308</v>
      </c>
      <c r="R153" s="22" t="s">
        <v>2308</v>
      </c>
      <c r="S153" s="22" t="s">
        <v>2308</v>
      </c>
      <c r="T153" s="22" t="s">
        <v>2308</v>
      </c>
      <c r="U153" s="22" t="s">
        <v>2308</v>
      </c>
      <c r="V153" s="22" t="s">
        <v>2308</v>
      </c>
      <c r="W153" s="22" t="s">
        <v>2308</v>
      </c>
      <c r="X153" s="22" t="s">
        <v>2308</v>
      </c>
      <c r="Y153" s="22" t="s">
        <v>2308</v>
      </c>
      <c r="Z153" s="4" t="s">
        <v>2308</v>
      </c>
      <c r="AA153" s="4" t="s">
        <v>2308</v>
      </c>
      <c r="AB153" s="4" t="s">
        <v>2308</v>
      </c>
      <c r="AC153" s="5" t="s">
        <v>1403</v>
      </c>
      <c r="AD153" s="5" t="s">
        <v>1402</v>
      </c>
    </row>
    <row r="154" spans="1:30" ht="77.5" customHeight="1">
      <c r="A154" s="24" t="s">
        <v>142</v>
      </c>
      <c r="B154" s="4" t="s">
        <v>5092</v>
      </c>
      <c r="C154" s="24" t="s">
        <v>24</v>
      </c>
      <c r="D154" s="12" t="s">
        <v>149</v>
      </c>
      <c r="E154" s="4" t="s">
        <v>45</v>
      </c>
      <c r="F154" s="5" t="s">
        <v>29</v>
      </c>
      <c r="G154" s="4" t="s">
        <v>2308</v>
      </c>
      <c r="H154" s="4" t="s">
        <v>531</v>
      </c>
      <c r="I154" s="4"/>
      <c r="J154" s="22" t="s">
        <v>2308</v>
      </c>
      <c r="K154" s="22" t="s">
        <v>2308</v>
      </c>
      <c r="L154" s="22" t="s">
        <v>2308</v>
      </c>
      <c r="M154" s="22" t="s">
        <v>2308</v>
      </c>
      <c r="N154" s="22" t="s">
        <v>2308</v>
      </c>
      <c r="O154" s="22" t="s">
        <v>2308</v>
      </c>
      <c r="P154" s="22" t="s">
        <v>2308</v>
      </c>
      <c r="Q154" s="22" t="s">
        <v>2308</v>
      </c>
      <c r="R154" s="22" t="s">
        <v>2308</v>
      </c>
      <c r="S154" s="22" t="s">
        <v>2308</v>
      </c>
      <c r="T154" s="22" t="s">
        <v>2308</v>
      </c>
      <c r="U154" s="22" t="s">
        <v>2308</v>
      </c>
      <c r="V154" s="22" t="s">
        <v>2308</v>
      </c>
      <c r="W154" s="22" t="s">
        <v>2308</v>
      </c>
      <c r="X154" s="22" t="s">
        <v>2308</v>
      </c>
      <c r="Y154" s="22" t="s">
        <v>2308</v>
      </c>
      <c r="Z154" s="4" t="s">
        <v>2308</v>
      </c>
      <c r="AA154" s="4" t="s">
        <v>2308</v>
      </c>
      <c r="AB154" s="4" t="s">
        <v>2308</v>
      </c>
      <c r="AC154" s="5" t="s">
        <v>1403</v>
      </c>
      <c r="AD154" s="5" t="s">
        <v>1402</v>
      </c>
    </row>
    <row r="155" spans="1:30" ht="77.5" customHeight="1">
      <c r="A155" s="24" t="s">
        <v>151</v>
      </c>
      <c r="B155" s="4" t="s">
        <v>2332</v>
      </c>
      <c r="C155" s="24" t="s">
        <v>24</v>
      </c>
      <c r="D155" s="12" t="s">
        <v>2337</v>
      </c>
      <c r="E155" s="4" t="s">
        <v>116</v>
      </c>
      <c r="F155" s="5" t="s">
        <v>74</v>
      </c>
      <c r="G155" s="4" t="s">
        <v>2308</v>
      </c>
      <c r="H155" s="4" t="s">
        <v>531</v>
      </c>
      <c r="I155" s="4"/>
      <c r="J155" s="22" t="s">
        <v>2308</v>
      </c>
      <c r="K155" s="22" t="s">
        <v>2308</v>
      </c>
      <c r="L155" s="22" t="s">
        <v>2308</v>
      </c>
      <c r="M155" s="22" t="s">
        <v>2308</v>
      </c>
      <c r="N155" s="22" t="s">
        <v>2308</v>
      </c>
      <c r="O155" s="22" t="s">
        <v>2308</v>
      </c>
      <c r="P155" s="22" t="s">
        <v>2308</v>
      </c>
      <c r="Q155" s="22" t="s">
        <v>2308</v>
      </c>
      <c r="R155" s="22" t="s">
        <v>2308</v>
      </c>
      <c r="S155" s="22" t="s">
        <v>2308</v>
      </c>
      <c r="T155" s="22" t="s">
        <v>2308</v>
      </c>
      <c r="U155" s="22" t="s">
        <v>2308</v>
      </c>
      <c r="V155" s="22" t="s">
        <v>2308</v>
      </c>
      <c r="W155" s="22" t="s">
        <v>2308</v>
      </c>
      <c r="X155" s="22" t="s">
        <v>2308</v>
      </c>
      <c r="Y155" s="22" t="s">
        <v>2308</v>
      </c>
      <c r="Z155" s="22" t="s">
        <v>2308</v>
      </c>
      <c r="AA155" s="22" t="s">
        <v>2308</v>
      </c>
      <c r="AB155" s="22" t="s">
        <v>2308</v>
      </c>
      <c r="AC155" s="5" t="s">
        <v>2335</v>
      </c>
      <c r="AD155" s="5"/>
    </row>
    <row r="156" spans="1:30" ht="77.5" customHeight="1">
      <c r="A156" s="24" t="s">
        <v>151</v>
      </c>
      <c r="B156" s="4" t="s">
        <v>2333</v>
      </c>
      <c r="C156" s="24" t="s">
        <v>24</v>
      </c>
      <c r="D156" s="12" t="s">
        <v>27</v>
      </c>
      <c r="E156" s="4" t="s">
        <v>136</v>
      </c>
      <c r="F156" s="5" t="s">
        <v>74</v>
      </c>
      <c r="G156" s="4" t="s">
        <v>2308</v>
      </c>
      <c r="H156" s="4" t="s">
        <v>531</v>
      </c>
      <c r="I156" s="4"/>
      <c r="J156" s="22" t="s">
        <v>2308</v>
      </c>
      <c r="K156" s="22" t="s">
        <v>2308</v>
      </c>
      <c r="L156" s="22" t="s">
        <v>2308</v>
      </c>
      <c r="M156" s="22" t="s">
        <v>2308</v>
      </c>
      <c r="N156" s="22" t="s">
        <v>2308</v>
      </c>
      <c r="O156" s="22" t="s">
        <v>2308</v>
      </c>
      <c r="P156" s="22" t="s">
        <v>2308</v>
      </c>
      <c r="Q156" s="22" t="s">
        <v>2308</v>
      </c>
      <c r="R156" s="22" t="s">
        <v>2308</v>
      </c>
      <c r="S156" s="22" t="s">
        <v>2308</v>
      </c>
      <c r="T156" s="22" t="s">
        <v>2308</v>
      </c>
      <c r="U156" s="22" t="s">
        <v>2308</v>
      </c>
      <c r="V156" s="22" t="s">
        <v>2308</v>
      </c>
      <c r="W156" s="22" t="s">
        <v>2308</v>
      </c>
      <c r="X156" s="22" t="s">
        <v>2308</v>
      </c>
      <c r="Y156" s="22" t="s">
        <v>2308</v>
      </c>
      <c r="Z156" s="22" t="s">
        <v>2308</v>
      </c>
      <c r="AA156" s="22" t="s">
        <v>2308</v>
      </c>
      <c r="AB156" s="22" t="s">
        <v>2308</v>
      </c>
      <c r="AC156" s="5" t="s">
        <v>2334</v>
      </c>
      <c r="AD156" s="5"/>
    </row>
    <row r="157" spans="1:30" ht="131" customHeight="1">
      <c r="A157" s="12" t="s">
        <v>156</v>
      </c>
      <c r="B157" s="4" t="s">
        <v>163</v>
      </c>
      <c r="C157" s="24" t="s">
        <v>24</v>
      </c>
      <c r="D157" s="12" t="s">
        <v>149</v>
      </c>
      <c r="E157" s="12" t="s">
        <v>45</v>
      </c>
      <c r="F157" s="20" t="s">
        <v>74</v>
      </c>
      <c r="G157" s="12" t="s">
        <v>74</v>
      </c>
      <c r="H157" s="4" t="s">
        <v>531</v>
      </c>
      <c r="I157" s="12"/>
      <c r="J157" s="22" t="s">
        <v>2308</v>
      </c>
      <c r="K157" s="22" t="s">
        <v>2308</v>
      </c>
      <c r="L157" s="22" t="s">
        <v>2308</v>
      </c>
      <c r="M157" s="22" t="s">
        <v>2308</v>
      </c>
      <c r="N157" s="22" t="s">
        <v>2308</v>
      </c>
      <c r="O157" s="22" t="s">
        <v>2308</v>
      </c>
      <c r="P157" s="22" t="s">
        <v>2308</v>
      </c>
      <c r="Q157" s="22" t="s">
        <v>2308</v>
      </c>
      <c r="R157" s="22" t="s">
        <v>2308</v>
      </c>
      <c r="S157" s="22" t="s">
        <v>2308</v>
      </c>
      <c r="T157" s="22" t="s">
        <v>2308</v>
      </c>
      <c r="U157" s="22" t="s">
        <v>2308</v>
      </c>
      <c r="V157" s="22" t="s">
        <v>2308</v>
      </c>
      <c r="W157" s="22" t="s">
        <v>2308</v>
      </c>
      <c r="X157" s="22" t="s">
        <v>2308</v>
      </c>
      <c r="Y157" s="22" t="s">
        <v>2308</v>
      </c>
      <c r="Z157" s="4" t="s">
        <v>2308</v>
      </c>
      <c r="AA157" s="4" t="s">
        <v>2308</v>
      </c>
      <c r="AB157" s="4" t="s">
        <v>2308</v>
      </c>
      <c r="AC157" s="5"/>
      <c r="AD157" s="5" t="s">
        <v>5083</v>
      </c>
    </row>
    <row r="158" spans="1:30" ht="138.5" customHeight="1">
      <c r="A158" s="12" t="s">
        <v>156</v>
      </c>
      <c r="B158" s="4" t="s">
        <v>164</v>
      </c>
      <c r="C158" s="24" t="s">
        <v>24</v>
      </c>
      <c r="D158" s="12" t="s">
        <v>25</v>
      </c>
      <c r="E158" s="12" t="s">
        <v>45</v>
      </c>
      <c r="F158" s="20" t="s">
        <v>29</v>
      </c>
      <c r="G158" s="12" t="s">
        <v>29</v>
      </c>
      <c r="H158" s="4" t="s">
        <v>531</v>
      </c>
      <c r="I158" s="12"/>
      <c r="J158" s="22" t="s">
        <v>2308</v>
      </c>
      <c r="K158" s="22" t="s">
        <v>2308</v>
      </c>
      <c r="L158" s="22" t="s">
        <v>2308</v>
      </c>
      <c r="M158" s="22" t="s">
        <v>2308</v>
      </c>
      <c r="N158" s="22" t="s">
        <v>2308</v>
      </c>
      <c r="O158" s="22" t="s">
        <v>2308</v>
      </c>
      <c r="P158" s="22" t="s">
        <v>2308</v>
      </c>
      <c r="Q158" s="22" t="s">
        <v>2308</v>
      </c>
      <c r="R158" s="22" t="s">
        <v>2308</v>
      </c>
      <c r="S158" s="22" t="s">
        <v>2308</v>
      </c>
      <c r="T158" s="22" t="s">
        <v>2308</v>
      </c>
      <c r="U158" s="22" t="s">
        <v>2308</v>
      </c>
      <c r="V158" s="22" t="s">
        <v>2308</v>
      </c>
      <c r="W158" s="22" t="s">
        <v>2308</v>
      </c>
      <c r="X158" s="22" t="s">
        <v>2308</v>
      </c>
      <c r="Y158" s="22" t="s">
        <v>2308</v>
      </c>
      <c r="Z158" s="4" t="s">
        <v>2308</v>
      </c>
      <c r="AA158" s="4" t="s">
        <v>2308</v>
      </c>
      <c r="AB158" s="4" t="s">
        <v>2308</v>
      </c>
      <c r="AC158" s="4"/>
      <c r="AD158" s="5" t="s">
        <v>5083</v>
      </c>
    </row>
    <row r="159" spans="1:30" ht="132.5" customHeight="1">
      <c r="A159" s="12" t="s">
        <v>156</v>
      </c>
      <c r="B159" s="4" t="s">
        <v>165</v>
      </c>
      <c r="C159" s="24" t="s">
        <v>24</v>
      </c>
      <c r="D159" s="24" t="s">
        <v>27</v>
      </c>
      <c r="E159" s="24" t="s">
        <v>136</v>
      </c>
      <c r="F159" s="27" t="s">
        <v>167</v>
      </c>
      <c r="G159" s="27" t="s">
        <v>2308</v>
      </c>
      <c r="H159" s="4" t="s">
        <v>531</v>
      </c>
      <c r="I159" s="27"/>
      <c r="J159" s="22" t="s">
        <v>2308</v>
      </c>
      <c r="K159" s="22" t="s">
        <v>2308</v>
      </c>
      <c r="L159" s="22" t="s">
        <v>2308</v>
      </c>
      <c r="M159" s="22" t="s">
        <v>2308</v>
      </c>
      <c r="N159" s="22" t="s">
        <v>2308</v>
      </c>
      <c r="O159" s="22" t="s">
        <v>2308</v>
      </c>
      <c r="P159" s="22" t="s">
        <v>2308</v>
      </c>
      <c r="Q159" s="22" t="s">
        <v>2308</v>
      </c>
      <c r="R159" s="22" t="s">
        <v>2308</v>
      </c>
      <c r="S159" s="22" t="s">
        <v>2308</v>
      </c>
      <c r="T159" s="22" t="s">
        <v>2308</v>
      </c>
      <c r="U159" s="22" t="s">
        <v>2308</v>
      </c>
      <c r="V159" s="22" t="s">
        <v>2308</v>
      </c>
      <c r="W159" s="22" t="s">
        <v>2308</v>
      </c>
      <c r="X159" s="22" t="s">
        <v>2308</v>
      </c>
      <c r="Y159" s="22" t="s">
        <v>2308</v>
      </c>
      <c r="Z159" s="4" t="s">
        <v>2308</v>
      </c>
      <c r="AA159" s="4" t="s">
        <v>2308</v>
      </c>
      <c r="AB159" s="4" t="s">
        <v>2308</v>
      </c>
      <c r="AC159" s="4"/>
      <c r="AD159" s="5" t="s">
        <v>5083</v>
      </c>
    </row>
    <row r="160" spans="1:30" ht="150.5" customHeight="1">
      <c r="A160" s="12" t="s">
        <v>168</v>
      </c>
      <c r="B160" s="4" t="s">
        <v>173</v>
      </c>
      <c r="C160" s="24" t="s">
        <v>24</v>
      </c>
      <c r="D160" s="12" t="s">
        <v>149</v>
      </c>
      <c r="E160" s="12" t="s">
        <v>84</v>
      </c>
      <c r="F160" s="20" t="s">
        <v>74</v>
      </c>
      <c r="G160" s="12" t="s">
        <v>74</v>
      </c>
      <c r="H160" s="4" t="s">
        <v>531</v>
      </c>
      <c r="I160" s="4">
        <v>2002</v>
      </c>
      <c r="J160" s="22" t="s">
        <v>2308</v>
      </c>
      <c r="K160" s="22" t="s">
        <v>2308</v>
      </c>
      <c r="L160" s="22" t="s">
        <v>2308</v>
      </c>
      <c r="M160" s="22" t="s">
        <v>2308</v>
      </c>
      <c r="N160" s="22" t="s">
        <v>2308</v>
      </c>
      <c r="O160" s="22" t="s">
        <v>2308</v>
      </c>
      <c r="P160" s="22" t="s">
        <v>2308</v>
      </c>
      <c r="Q160" s="22" t="s">
        <v>2308</v>
      </c>
      <c r="R160" s="22" t="s">
        <v>2308</v>
      </c>
      <c r="S160" s="22" t="s">
        <v>2308</v>
      </c>
      <c r="T160" s="22" t="s">
        <v>2308</v>
      </c>
      <c r="U160" s="22" t="s">
        <v>2308</v>
      </c>
      <c r="V160" s="22" t="s">
        <v>2308</v>
      </c>
      <c r="W160" s="22" t="s">
        <v>2308</v>
      </c>
      <c r="X160" s="22" t="s">
        <v>2308</v>
      </c>
      <c r="Y160" s="22" t="s">
        <v>2308</v>
      </c>
      <c r="Z160" s="4" t="s">
        <v>2308</v>
      </c>
      <c r="AA160" s="4" t="s">
        <v>2308</v>
      </c>
      <c r="AB160" s="4" t="s">
        <v>2308</v>
      </c>
      <c r="AC160" s="5" t="s">
        <v>1421</v>
      </c>
      <c r="AD160" s="5" t="s">
        <v>1466</v>
      </c>
    </row>
    <row r="161" spans="1:30" ht="151.5" customHeight="1">
      <c r="A161" s="12" t="s">
        <v>168</v>
      </c>
      <c r="B161" s="4" t="s">
        <v>175</v>
      </c>
      <c r="C161" s="24" t="s">
        <v>24</v>
      </c>
      <c r="D161" s="12" t="s">
        <v>149</v>
      </c>
      <c r="E161" s="12" t="s">
        <v>84</v>
      </c>
      <c r="F161" s="20" t="s">
        <v>74</v>
      </c>
      <c r="G161" s="12" t="s">
        <v>74</v>
      </c>
      <c r="H161" s="4" t="s">
        <v>531</v>
      </c>
      <c r="I161" s="4">
        <v>2003</v>
      </c>
      <c r="J161" s="22" t="s">
        <v>2308</v>
      </c>
      <c r="K161" s="22" t="s">
        <v>2308</v>
      </c>
      <c r="L161" s="22" t="s">
        <v>2308</v>
      </c>
      <c r="M161" s="22" t="s">
        <v>2308</v>
      </c>
      <c r="N161" s="22" t="s">
        <v>2308</v>
      </c>
      <c r="O161" s="22" t="s">
        <v>2308</v>
      </c>
      <c r="P161" s="22" t="s">
        <v>2308</v>
      </c>
      <c r="Q161" s="22" t="s">
        <v>2308</v>
      </c>
      <c r="R161" s="22" t="s">
        <v>2308</v>
      </c>
      <c r="S161" s="22" t="s">
        <v>2308</v>
      </c>
      <c r="T161" s="22" t="s">
        <v>2308</v>
      </c>
      <c r="U161" s="22" t="s">
        <v>2308</v>
      </c>
      <c r="V161" s="22" t="s">
        <v>2308</v>
      </c>
      <c r="W161" s="22" t="s">
        <v>2308</v>
      </c>
      <c r="X161" s="22" t="s">
        <v>2308</v>
      </c>
      <c r="Y161" s="22" t="s">
        <v>2308</v>
      </c>
      <c r="Z161" s="4" t="s">
        <v>2308</v>
      </c>
      <c r="AA161" s="4" t="s">
        <v>2308</v>
      </c>
      <c r="AB161" s="4" t="s">
        <v>2308</v>
      </c>
      <c r="AC161" s="5" t="s">
        <v>1421</v>
      </c>
      <c r="AD161" s="5" t="s">
        <v>1466</v>
      </c>
    </row>
    <row r="162" spans="1:30" ht="137.5" customHeight="1">
      <c r="A162" s="12" t="s">
        <v>168</v>
      </c>
      <c r="B162" s="4" t="s">
        <v>176</v>
      </c>
      <c r="C162" s="24" t="s">
        <v>24</v>
      </c>
      <c r="D162" s="12" t="s">
        <v>149</v>
      </c>
      <c r="E162" s="12" t="s">
        <v>84</v>
      </c>
      <c r="F162" s="20" t="s">
        <v>74</v>
      </c>
      <c r="G162" s="12" t="s">
        <v>74</v>
      </c>
      <c r="H162" s="4" t="s">
        <v>531</v>
      </c>
      <c r="I162" s="4">
        <v>2004</v>
      </c>
      <c r="J162" s="22" t="s">
        <v>2308</v>
      </c>
      <c r="K162" s="22" t="s">
        <v>2308</v>
      </c>
      <c r="L162" s="22" t="s">
        <v>2308</v>
      </c>
      <c r="M162" s="22" t="s">
        <v>2308</v>
      </c>
      <c r="N162" s="22" t="s">
        <v>2308</v>
      </c>
      <c r="O162" s="22" t="s">
        <v>2308</v>
      </c>
      <c r="P162" s="22" t="s">
        <v>2308</v>
      </c>
      <c r="Q162" s="22" t="s">
        <v>2308</v>
      </c>
      <c r="R162" s="22" t="s">
        <v>2308</v>
      </c>
      <c r="S162" s="22" t="s">
        <v>2308</v>
      </c>
      <c r="T162" s="22" t="s">
        <v>2308</v>
      </c>
      <c r="U162" s="22" t="s">
        <v>2308</v>
      </c>
      <c r="V162" s="22" t="s">
        <v>2308</v>
      </c>
      <c r="W162" s="22" t="s">
        <v>2308</v>
      </c>
      <c r="X162" s="22" t="s">
        <v>2308</v>
      </c>
      <c r="Y162" s="22" t="s">
        <v>2308</v>
      </c>
      <c r="Z162" s="4" t="s">
        <v>2308</v>
      </c>
      <c r="AA162" s="4" t="s">
        <v>2308</v>
      </c>
      <c r="AB162" s="4" t="s">
        <v>2308</v>
      </c>
      <c r="AC162" s="5" t="s">
        <v>1421</v>
      </c>
      <c r="AD162" s="5" t="s">
        <v>5095</v>
      </c>
    </row>
    <row r="163" spans="1:30" ht="124" customHeight="1">
      <c r="A163" s="12" t="s">
        <v>168</v>
      </c>
      <c r="B163" s="4" t="s">
        <v>1413</v>
      </c>
      <c r="C163" s="24" t="s">
        <v>24</v>
      </c>
      <c r="D163" s="12" t="s">
        <v>149</v>
      </c>
      <c r="E163" s="12" t="s">
        <v>84</v>
      </c>
      <c r="F163" s="20" t="s">
        <v>74</v>
      </c>
      <c r="G163" s="12" t="s">
        <v>74</v>
      </c>
      <c r="H163" s="4" t="s">
        <v>531</v>
      </c>
      <c r="I163" s="4">
        <v>2005</v>
      </c>
      <c r="J163" s="22" t="s">
        <v>2308</v>
      </c>
      <c r="K163" s="22" t="s">
        <v>2308</v>
      </c>
      <c r="L163" s="22" t="s">
        <v>2308</v>
      </c>
      <c r="M163" s="22" t="s">
        <v>2308</v>
      </c>
      <c r="N163" s="22" t="s">
        <v>2308</v>
      </c>
      <c r="O163" s="22" t="s">
        <v>2308</v>
      </c>
      <c r="P163" s="22" t="s">
        <v>2308</v>
      </c>
      <c r="Q163" s="22" t="s">
        <v>2308</v>
      </c>
      <c r="R163" s="22" t="s">
        <v>2308</v>
      </c>
      <c r="S163" s="22" t="s">
        <v>2308</v>
      </c>
      <c r="T163" s="22" t="s">
        <v>2308</v>
      </c>
      <c r="U163" s="22" t="s">
        <v>2308</v>
      </c>
      <c r="V163" s="22" t="s">
        <v>2308</v>
      </c>
      <c r="W163" s="22" t="s">
        <v>2308</v>
      </c>
      <c r="X163" s="22" t="s">
        <v>2308</v>
      </c>
      <c r="Y163" s="22" t="s">
        <v>2308</v>
      </c>
      <c r="Z163" s="4" t="s">
        <v>2308</v>
      </c>
      <c r="AA163" s="4" t="s">
        <v>2308</v>
      </c>
      <c r="AB163" s="4" t="s">
        <v>2308</v>
      </c>
      <c r="AC163" s="5" t="s">
        <v>1421</v>
      </c>
      <c r="AD163" s="5" t="s">
        <v>1466</v>
      </c>
    </row>
    <row r="164" spans="1:30" ht="135" customHeight="1">
      <c r="A164" s="12" t="s">
        <v>168</v>
      </c>
      <c r="B164" s="4" t="s">
        <v>1414</v>
      </c>
      <c r="C164" s="24" t="s">
        <v>24</v>
      </c>
      <c r="D164" s="12" t="s">
        <v>149</v>
      </c>
      <c r="E164" s="12" t="s">
        <v>84</v>
      </c>
      <c r="F164" s="20" t="s">
        <v>74</v>
      </c>
      <c r="G164" s="12" t="s">
        <v>74</v>
      </c>
      <c r="H164" s="4" t="s">
        <v>531</v>
      </c>
      <c r="I164" s="4">
        <v>2006</v>
      </c>
      <c r="J164" s="22" t="s">
        <v>2308</v>
      </c>
      <c r="K164" s="22" t="s">
        <v>2308</v>
      </c>
      <c r="L164" s="22" t="s">
        <v>2308</v>
      </c>
      <c r="M164" s="22" t="s">
        <v>2308</v>
      </c>
      <c r="N164" s="22" t="s">
        <v>2308</v>
      </c>
      <c r="O164" s="22" t="s">
        <v>2308</v>
      </c>
      <c r="P164" s="22" t="s">
        <v>2308</v>
      </c>
      <c r="Q164" s="22" t="s">
        <v>2308</v>
      </c>
      <c r="R164" s="22" t="s">
        <v>2308</v>
      </c>
      <c r="S164" s="22" t="s">
        <v>2308</v>
      </c>
      <c r="T164" s="22" t="s">
        <v>2308</v>
      </c>
      <c r="U164" s="22" t="s">
        <v>2308</v>
      </c>
      <c r="V164" s="22" t="s">
        <v>2308</v>
      </c>
      <c r="W164" s="22" t="s">
        <v>2308</v>
      </c>
      <c r="X164" s="22" t="s">
        <v>2308</v>
      </c>
      <c r="Y164" s="22" t="s">
        <v>2308</v>
      </c>
      <c r="Z164" s="4" t="s">
        <v>2308</v>
      </c>
      <c r="AA164" s="4" t="s">
        <v>2308</v>
      </c>
      <c r="AB164" s="4" t="s">
        <v>2308</v>
      </c>
      <c r="AC164" s="5" t="s">
        <v>1421</v>
      </c>
      <c r="AD164" s="5" t="s">
        <v>1466</v>
      </c>
    </row>
    <row r="165" spans="1:30" ht="147.5" customHeight="1">
      <c r="A165" s="12" t="s">
        <v>168</v>
      </c>
      <c r="B165" s="4" t="s">
        <v>1415</v>
      </c>
      <c r="C165" s="24" t="s">
        <v>24</v>
      </c>
      <c r="D165" s="12" t="s">
        <v>149</v>
      </c>
      <c r="E165" s="12" t="s">
        <v>84</v>
      </c>
      <c r="F165" s="20" t="s">
        <v>74</v>
      </c>
      <c r="G165" s="12" t="s">
        <v>74</v>
      </c>
      <c r="H165" s="4" t="s">
        <v>531</v>
      </c>
      <c r="I165" s="4">
        <v>2007</v>
      </c>
      <c r="J165" s="22" t="s">
        <v>2308</v>
      </c>
      <c r="K165" s="22" t="s">
        <v>2308</v>
      </c>
      <c r="L165" s="22" t="s">
        <v>2308</v>
      </c>
      <c r="M165" s="22" t="s">
        <v>2308</v>
      </c>
      <c r="N165" s="22" t="s">
        <v>2308</v>
      </c>
      <c r="O165" s="22" t="s">
        <v>2308</v>
      </c>
      <c r="P165" s="22" t="s">
        <v>2308</v>
      </c>
      <c r="Q165" s="22" t="s">
        <v>2308</v>
      </c>
      <c r="R165" s="22" t="s">
        <v>2308</v>
      </c>
      <c r="S165" s="22" t="s">
        <v>2308</v>
      </c>
      <c r="T165" s="22" t="s">
        <v>2308</v>
      </c>
      <c r="U165" s="22" t="s">
        <v>2308</v>
      </c>
      <c r="V165" s="22" t="s">
        <v>2308</v>
      </c>
      <c r="W165" s="22" t="s">
        <v>2308</v>
      </c>
      <c r="X165" s="22" t="s">
        <v>2308</v>
      </c>
      <c r="Y165" s="22" t="s">
        <v>2308</v>
      </c>
      <c r="Z165" s="4" t="s">
        <v>2308</v>
      </c>
      <c r="AA165" s="4" t="s">
        <v>2308</v>
      </c>
      <c r="AB165" s="4" t="s">
        <v>2308</v>
      </c>
      <c r="AC165" s="5" t="s">
        <v>1421</v>
      </c>
      <c r="AD165" s="5" t="s">
        <v>1466</v>
      </c>
    </row>
    <row r="166" spans="1:30" ht="139" customHeight="1">
      <c r="A166" s="12" t="s">
        <v>168</v>
      </c>
      <c r="B166" s="4" t="s">
        <v>1416</v>
      </c>
      <c r="C166" s="24" t="s">
        <v>24</v>
      </c>
      <c r="D166" s="12" t="s">
        <v>149</v>
      </c>
      <c r="E166" s="12" t="s">
        <v>84</v>
      </c>
      <c r="F166" s="20" t="s">
        <v>74</v>
      </c>
      <c r="G166" s="12" t="s">
        <v>74</v>
      </c>
      <c r="H166" s="4" t="s">
        <v>531</v>
      </c>
      <c r="I166" s="4">
        <v>2008</v>
      </c>
      <c r="J166" s="22" t="s">
        <v>2308</v>
      </c>
      <c r="K166" s="22" t="s">
        <v>2308</v>
      </c>
      <c r="L166" s="22" t="s">
        <v>2308</v>
      </c>
      <c r="M166" s="22" t="s">
        <v>2308</v>
      </c>
      <c r="N166" s="22" t="s">
        <v>2308</v>
      </c>
      <c r="O166" s="22" t="s">
        <v>2308</v>
      </c>
      <c r="P166" s="22" t="s">
        <v>2308</v>
      </c>
      <c r="Q166" s="22" t="s">
        <v>2308</v>
      </c>
      <c r="R166" s="22" t="s">
        <v>2308</v>
      </c>
      <c r="S166" s="22" t="s">
        <v>2308</v>
      </c>
      <c r="T166" s="22" t="s">
        <v>2308</v>
      </c>
      <c r="U166" s="22" t="s">
        <v>2308</v>
      </c>
      <c r="V166" s="22" t="s">
        <v>2308</v>
      </c>
      <c r="W166" s="22" t="s">
        <v>2308</v>
      </c>
      <c r="X166" s="22" t="s">
        <v>2308</v>
      </c>
      <c r="Y166" s="22" t="s">
        <v>2308</v>
      </c>
      <c r="Z166" s="4" t="s">
        <v>2308</v>
      </c>
      <c r="AA166" s="4" t="s">
        <v>2308</v>
      </c>
      <c r="AB166" s="4" t="s">
        <v>2308</v>
      </c>
      <c r="AC166" s="5" t="s">
        <v>1421</v>
      </c>
      <c r="AD166" s="5" t="s">
        <v>1466</v>
      </c>
    </row>
    <row r="167" spans="1:30" ht="155" customHeight="1">
      <c r="A167" s="12" t="s">
        <v>168</v>
      </c>
      <c r="B167" s="4" t="s">
        <v>1417</v>
      </c>
      <c r="C167" s="24" t="s">
        <v>24</v>
      </c>
      <c r="D167" s="12" t="s">
        <v>149</v>
      </c>
      <c r="E167" s="12" t="s">
        <v>84</v>
      </c>
      <c r="F167" s="20" t="s">
        <v>74</v>
      </c>
      <c r="G167" s="12" t="s">
        <v>74</v>
      </c>
      <c r="H167" s="4" t="s">
        <v>531</v>
      </c>
      <c r="I167" s="4">
        <v>2009</v>
      </c>
      <c r="J167" s="22" t="s">
        <v>2308</v>
      </c>
      <c r="K167" s="22" t="s">
        <v>2308</v>
      </c>
      <c r="L167" s="22" t="s">
        <v>2308</v>
      </c>
      <c r="M167" s="22" t="s">
        <v>2308</v>
      </c>
      <c r="N167" s="22" t="s">
        <v>2308</v>
      </c>
      <c r="O167" s="22" t="s">
        <v>2308</v>
      </c>
      <c r="P167" s="22" t="s">
        <v>2308</v>
      </c>
      <c r="Q167" s="22" t="s">
        <v>2308</v>
      </c>
      <c r="R167" s="22" t="s">
        <v>2308</v>
      </c>
      <c r="S167" s="22" t="s">
        <v>2308</v>
      </c>
      <c r="T167" s="22" t="s">
        <v>2308</v>
      </c>
      <c r="U167" s="22" t="s">
        <v>2308</v>
      </c>
      <c r="V167" s="22" t="s">
        <v>2308</v>
      </c>
      <c r="W167" s="22" t="s">
        <v>2308</v>
      </c>
      <c r="X167" s="22" t="s">
        <v>2308</v>
      </c>
      <c r="Y167" s="22" t="s">
        <v>2308</v>
      </c>
      <c r="Z167" s="4" t="s">
        <v>2308</v>
      </c>
      <c r="AA167" s="4" t="s">
        <v>2308</v>
      </c>
      <c r="AB167" s="4" t="s">
        <v>2308</v>
      </c>
      <c r="AC167" s="5" t="s">
        <v>1421</v>
      </c>
      <c r="AD167" s="5" t="s">
        <v>1466</v>
      </c>
    </row>
    <row r="168" spans="1:30" ht="146.5" customHeight="1">
      <c r="A168" s="12" t="s">
        <v>168</v>
      </c>
      <c r="B168" s="4" t="s">
        <v>1418</v>
      </c>
      <c r="C168" s="24" t="s">
        <v>24</v>
      </c>
      <c r="D168" s="12" t="s">
        <v>149</v>
      </c>
      <c r="E168" s="12" t="s">
        <v>84</v>
      </c>
      <c r="F168" s="20" t="s">
        <v>74</v>
      </c>
      <c r="G168" s="12" t="s">
        <v>74</v>
      </c>
      <c r="H168" s="4" t="s">
        <v>531</v>
      </c>
      <c r="I168" s="4">
        <v>2010</v>
      </c>
      <c r="J168" s="22" t="s">
        <v>2308</v>
      </c>
      <c r="K168" s="22" t="s">
        <v>2308</v>
      </c>
      <c r="L168" s="22" t="s">
        <v>2308</v>
      </c>
      <c r="M168" s="22" t="s">
        <v>2308</v>
      </c>
      <c r="N168" s="22" t="s">
        <v>2308</v>
      </c>
      <c r="O168" s="22" t="s">
        <v>2308</v>
      </c>
      <c r="P168" s="22" t="s">
        <v>2308</v>
      </c>
      <c r="Q168" s="22" t="s">
        <v>2308</v>
      </c>
      <c r="R168" s="22" t="s">
        <v>2308</v>
      </c>
      <c r="S168" s="22" t="s">
        <v>2308</v>
      </c>
      <c r="T168" s="22" t="s">
        <v>2308</v>
      </c>
      <c r="U168" s="22" t="s">
        <v>2308</v>
      </c>
      <c r="V168" s="22" t="s">
        <v>2308</v>
      </c>
      <c r="W168" s="22" t="s">
        <v>2308</v>
      </c>
      <c r="X168" s="22" t="s">
        <v>2308</v>
      </c>
      <c r="Y168" s="22" t="s">
        <v>2308</v>
      </c>
      <c r="Z168" s="4" t="s">
        <v>2308</v>
      </c>
      <c r="AA168" s="4" t="s">
        <v>2308</v>
      </c>
      <c r="AB168" s="4" t="s">
        <v>2308</v>
      </c>
      <c r="AC168" s="5" t="s">
        <v>1421</v>
      </c>
      <c r="AD168" s="5" t="s">
        <v>1466</v>
      </c>
    </row>
    <row r="169" spans="1:30" ht="147.5" customHeight="1">
      <c r="A169" s="12" t="s">
        <v>168</v>
      </c>
      <c r="B169" s="4" t="s">
        <v>1419</v>
      </c>
      <c r="C169" s="24" t="s">
        <v>24</v>
      </c>
      <c r="D169" s="12" t="s">
        <v>149</v>
      </c>
      <c r="E169" s="12" t="s">
        <v>84</v>
      </c>
      <c r="F169" s="20" t="s">
        <v>74</v>
      </c>
      <c r="G169" s="12" t="s">
        <v>74</v>
      </c>
      <c r="H169" s="4" t="s">
        <v>531</v>
      </c>
      <c r="I169" s="4">
        <v>2011</v>
      </c>
      <c r="J169" s="22" t="s">
        <v>2308</v>
      </c>
      <c r="K169" s="22" t="s">
        <v>2308</v>
      </c>
      <c r="L169" s="22" t="s">
        <v>2308</v>
      </c>
      <c r="M169" s="22" t="s">
        <v>2308</v>
      </c>
      <c r="N169" s="22" t="s">
        <v>2308</v>
      </c>
      <c r="O169" s="22" t="s">
        <v>2308</v>
      </c>
      <c r="P169" s="22" t="s">
        <v>2308</v>
      </c>
      <c r="Q169" s="22" t="s">
        <v>2308</v>
      </c>
      <c r="R169" s="22" t="s">
        <v>2308</v>
      </c>
      <c r="S169" s="22" t="s">
        <v>2308</v>
      </c>
      <c r="T169" s="22" t="s">
        <v>2308</v>
      </c>
      <c r="U169" s="22" t="s">
        <v>2308</v>
      </c>
      <c r="V169" s="22" t="s">
        <v>2308</v>
      </c>
      <c r="W169" s="22" t="s">
        <v>2308</v>
      </c>
      <c r="X169" s="22" t="s">
        <v>2308</v>
      </c>
      <c r="Y169" s="22" t="s">
        <v>2308</v>
      </c>
      <c r="Z169" s="4" t="s">
        <v>2308</v>
      </c>
      <c r="AA169" s="4" t="s">
        <v>2308</v>
      </c>
      <c r="AB169" s="4" t="s">
        <v>2308</v>
      </c>
      <c r="AC169" s="5" t="s">
        <v>1421</v>
      </c>
      <c r="AD169" s="5" t="s">
        <v>1466</v>
      </c>
    </row>
    <row r="170" spans="1:30" ht="142" customHeight="1">
      <c r="A170" s="12" t="s">
        <v>168</v>
      </c>
      <c r="B170" s="4" t="s">
        <v>1420</v>
      </c>
      <c r="C170" s="24" t="s">
        <v>24</v>
      </c>
      <c r="D170" s="12" t="s">
        <v>149</v>
      </c>
      <c r="E170" s="12" t="s">
        <v>84</v>
      </c>
      <c r="F170" s="20" t="s">
        <v>74</v>
      </c>
      <c r="G170" s="12" t="s">
        <v>74</v>
      </c>
      <c r="H170" s="4" t="s">
        <v>531</v>
      </c>
      <c r="I170" s="4">
        <v>2012</v>
      </c>
      <c r="J170" s="22" t="s">
        <v>2308</v>
      </c>
      <c r="K170" s="22" t="s">
        <v>2308</v>
      </c>
      <c r="L170" s="22" t="s">
        <v>2308</v>
      </c>
      <c r="M170" s="22" t="s">
        <v>2308</v>
      </c>
      <c r="N170" s="22" t="s">
        <v>2308</v>
      </c>
      <c r="O170" s="22" t="s">
        <v>2308</v>
      </c>
      <c r="P170" s="22" t="s">
        <v>2308</v>
      </c>
      <c r="Q170" s="22" t="s">
        <v>2308</v>
      </c>
      <c r="R170" s="22" t="s">
        <v>2308</v>
      </c>
      <c r="S170" s="22" t="s">
        <v>2308</v>
      </c>
      <c r="T170" s="22" t="s">
        <v>2308</v>
      </c>
      <c r="U170" s="22" t="s">
        <v>2308</v>
      </c>
      <c r="V170" s="22" t="s">
        <v>2308</v>
      </c>
      <c r="W170" s="22" t="s">
        <v>2308</v>
      </c>
      <c r="X170" s="22" t="s">
        <v>2308</v>
      </c>
      <c r="Y170" s="22" t="s">
        <v>2308</v>
      </c>
      <c r="Z170" s="4" t="s">
        <v>2308</v>
      </c>
      <c r="AA170" s="4" t="s">
        <v>2308</v>
      </c>
      <c r="AB170" s="4" t="s">
        <v>2308</v>
      </c>
      <c r="AC170" s="5" t="s">
        <v>1421</v>
      </c>
      <c r="AD170" s="5" t="s">
        <v>1466</v>
      </c>
    </row>
    <row r="171" spans="1:30" ht="112.5" customHeight="1">
      <c r="A171" s="12" t="s">
        <v>168</v>
      </c>
      <c r="B171" s="4" t="s">
        <v>1422</v>
      </c>
      <c r="C171" s="24" t="s">
        <v>24</v>
      </c>
      <c r="D171" s="12" t="s">
        <v>149</v>
      </c>
      <c r="E171" s="20" t="s">
        <v>403</v>
      </c>
      <c r="F171" s="20" t="s">
        <v>74</v>
      </c>
      <c r="G171" s="12" t="s">
        <v>74</v>
      </c>
      <c r="H171" s="4" t="s">
        <v>531</v>
      </c>
      <c r="I171" s="4">
        <v>2002</v>
      </c>
      <c r="J171" s="22" t="s">
        <v>2308</v>
      </c>
      <c r="K171" s="22" t="s">
        <v>2308</v>
      </c>
      <c r="L171" s="22" t="s">
        <v>2308</v>
      </c>
      <c r="M171" s="22" t="s">
        <v>2308</v>
      </c>
      <c r="N171" s="22" t="s">
        <v>2308</v>
      </c>
      <c r="O171" s="22" t="s">
        <v>2308</v>
      </c>
      <c r="P171" s="22" t="s">
        <v>2308</v>
      </c>
      <c r="Q171" s="22" t="s">
        <v>2308</v>
      </c>
      <c r="R171" s="22" t="s">
        <v>2308</v>
      </c>
      <c r="S171" s="22" t="s">
        <v>2308</v>
      </c>
      <c r="T171" s="22" t="s">
        <v>2308</v>
      </c>
      <c r="U171" s="22" t="s">
        <v>2308</v>
      </c>
      <c r="V171" s="22" t="s">
        <v>2308</v>
      </c>
      <c r="W171" s="22" t="s">
        <v>2308</v>
      </c>
      <c r="X171" s="22" t="s">
        <v>2308</v>
      </c>
      <c r="Y171" s="22" t="s">
        <v>2308</v>
      </c>
      <c r="Z171" s="4" t="s">
        <v>2308</v>
      </c>
      <c r="AA171" s="4" t="s">
        <v>2308</v>
      </c>
      <c r="AB171" s="4" t="s">
        <v>2308</v>
      </c>
      <c r="AC171" s="5" t="s">
        <v>1421</v>
      </c>
      <c r="AD171" s="5" t="s">
        <v>1465</v>
      </c>
    </row>
    <row r="172" spans="1:30" ht="112.5" customHeight="1">
      <c r="A172" s="12" t="s">
        <v>168</v>
      </c>
      <c r="B172" s="4" t="s">
        <v>1423</v>
      </c>
      <c r="C172" s="24" t="s">
        <v>24</v>
      </c>
      <c r="D172" s="12" t="s">
        <v>149</v>
      </c>
      <c r="E172" s="20" t="s">
        <v>403</v>
      </c>
      <c r="F172" s="20" t="s">
        <v>74</v>
      </c>
      <c r="G172" s="12" t="s">
        <v>74</v>
      </c>
      <c r="H172" s="4" t="s">
        <v>531</v>
      </c>
      <c r="I172" s="4">
        <v>2003</v>
      </c>
      <c r="J172" s="22" t="s">
        <v>2308</v>
      </c>
      <c r="K172" s="22" t="s">
        <v>2308</v>
      </c>
      <c r="L172" s="22" t="s">
        <v>2308</v>
      </c>
      <c r="M172" s="22" t="s">
        <v>2308</v>
      </c>
      <c r="N172" s="22" t="s">
        <v>2308</v>
      </c>
      <c r="O172" s="22" t="s">
        <v>2308</v>
      </c>
      <c r="P172" s="22" t="s">
        <v>2308</v>
      </c>
      <c r="Q172" s="22" t="s">
        <v>2308</v>
      </c>
      <c r="R172" s="22" t="s">
        <v>2308</v>
      </c>
      <c r="S172" s="22" t="s">
        <v>2308</v>
      </c>
      <c r="T172" s="22" t="s">
        <v>2308</v>
      </c>
      <c r="U172" s="22" t="s">
        <v>2308</v>
      </c>
      <c r="V172" s="22" t="s">
        <v>2308</v>
      </c>
      <c r="W172" s="22" t="s">
        <v>2308</v>
      </c>
      <c r="X172" s="22" t="s">
        <v>2308</v>
      </c>
      <c r="Y172" s="22" t="s">
        <v>2308</v>
      </c>
      <c r="Z172" s="4" t="s">
        <v>2308</v>
      </c>
      <c r="AA172" s="4" t="s">
        <v>2308</v>
      </c>
      <c r="AB172" s="4" t="s">
        <v>2308</v>
      </c>
      <c r="AC172" s="5" t="s">
        <v>1421</v>
      </c>
      <c r="AD172" s="5" t="s">
        <v>1465</v>
      </c>
    </row>
    <row r="173" spans="1:30" ht="112.5" customHeight="1">
      <c r="A173" s="12" t="s">
        <v>168</v>
      </c>
      <c r="B173" s="4" t="s">
        <v>1424</v>
      </c>
      <c r="C173" s="24" t="s">
        <v>24</v>
      </c>
      <c r="D173" s="12" t="s">
        <v>149</v>
      </c>
      <c r="E173" s="20" t="s">
        <v>403</v>
      </c>
      <c r="F173" s="20" t="s">
        <v>74</v>
      </c>
      <c r="G173" s="12" t="s">
        <v>74</v>
      </c>
      <c r="H173" s="4" t="s">
        <v>531</v>
      </c>
      <c r="I173" s="4">
        <v>2004</v>
      </c>
      <c r="J173" s="22" t="s">
        <v>2308</v>
      </c>
      <c r="K173" s="22" t="s">
        <v>2308</v>
      </c>
      <c r="L173" s="22" t="s">
        <v>2308</v>
      </c>
      <c r="M173" s="22" t="s">
        <v>2308</v>
      </c>
      <c r="N173" s="22" t="s">
        <v>2308</v>
      </c>
      <c r="O173" s="22" t="s">
        <v>2308</v>
      </c>
      <c r="P173" s="22" t="s">
        <v>2308</v>
      </c>
      <c r="Q173" s="22" t="s">
        <v>2308</v>
      </c>
      <c r="R173" s="22" t="s">
        <v>2308</v>
      </c>
      <c r="S173" s="22" t="s">
        <v>2308</v>
      </c>
      <c r="T173" s="22" t="s">
        <v>2308</v>
      </c>
      <c r="U173" s="22" t="s">
        <v>2308</v>
      </c>
      <c r="V173" s="22" t="s">
        <v>2308</v>
      </c>
      <c r="W173" s="22" t="s">
        <v>2308</v>
      </c>
      <c r="X173" s="22" t="s">
        <v>2308</v>
      </c>
      <c r="Y173" s="22" t="s">
        <v>2308</v>
      </c>
      <c r="Z173" s="4" t="s">
        <v>2308</v>
      </c>
      <c r="AA173" s="4" t="s">
        <v>2308</v>
      </c>
      <c r="AB173" s="4" t="s">
        <v>2308</v>
      </c>
      <c r="AC173" s="5" t="s">
        <v>1421</v>
      </c>
      <c r="AD173" s="5" t="s">
        <v>1465</v>
      </c>
    </row>
    <row r="174" spans="1:30" ht="112.5" customHeight="1">
      <c r="A174" s="12" t="s">
        <v>168</v>
      </c>
      <c r="B174" s="4" t="s">
        <v>1425</v>
      </c>
      <c r="C174" s="24" t="s">
        <v>24</v>
      </c>
      <c r="D174" s="12" t="s">
        <v>149</v>
      </c>
      <c r="E174" s="20" t="s">
        <v>403</v>
      </c>
      <c r="F174" s="20" t="s">
        <v>74</v>
      </c>
      <c r="G174" s="12" t="s">
        <v>74</v>
      </c>
      <c r="H174" s="4" t="s">
        <v>531</v>
      </c>
      <c r="I174" s="4">
        <v>2005</v>
      </c>
      <c r="J174" s="22" t="s">
        <v>2308</v>
      </c>
      <c r="K174" s="22" t="s">
        <v>2308</v>
      </c>
      <c r="L174" s="22" t="s">
        <v>2308</v>
      </c>
      <c r="M174" s="22" t="s">
        <v>2308</v>
      </c>
      <c r="N174" s="22" t="s">
        <v>2308</v>
      </c>
      <c r="O174" s="22" t="s">
        <v>2308</v>
      </c>
      <c r="P174" s="22" t="s">
        <v>2308</v>
      </c>
      <c r="Q174" s="22" t="s">
        <v>2308</v>
      </c>
      <c r="R174" s="22" t="s">
        <v>2308</v>
      </c>
      <c r="S174" s="22" t="s">
        <v>2308</v>
      </c>
      <c r="T174" s="22" t="s">
        <v>2308</v>
      </c>
      <c r="U174" s="22" t="s">
        <v>2308</v>
      </c>
      <c r="V174" s="22" t="s">
        <v>2308</v>
      </c>
      <c r="W174" s="22" t="s">
        <v>2308</v>
      </c>
      <c r="X174" s="22" t="s">
        <v>2308</v>
      </c>
      <c r="Y174" s="22" t="s">
        <v>2308</v>
      </c>
      <c r="Z174" s="4" t="s">
        <v>2308</v>
      </c>
      <c r="AA174" s="4" t="s">
        <v>2308</v>
      </c>
      <c r="AB174" s="4" t="s">
        <v>2308</v>
      </c>
      <c r="AC174" s="5" t="s">
        <v>1421</v>
      </c>
      <c r="AD174" s="5" t="s">
        <v>1465</v>
      </c>
    </row>
    <row r="175" spans="1:30" ht="112.5" customHeight="1">
      <c r="A175" s="12" t="s">
        <v>168</v>
      </c>
      <c r="B175" s="4" t="s">
        <v>1426</v>
      </c>
      <c r="C175" s="24" t="s">
        <v>24</v>
      </c>
      <c r="D175" s="12" t="s">
        <v>149</v>
      </c>
      <c r="E175" s="20" t="s">
        <v>403</v>
      </c>
      <c r="F175" s="20" t="s">
        <v>74</v>
      </c>
      <c r="G175" s="12" t="s">
        <v>74</v>
      </c>
      <c r="H175" s="4" t="s">
        <v>531</v>
      </c>
      <c r="I175" s="4">
        <v>2006</v>
      </c>
      <c r="J175" s="22" t="s">
        <v>2308</v>
      </c>
      <c r="K175" s="22" t="s">
        <v>2308</v>
      </c>
      <c r="L175" s="22" t="s">
        <v>2308</v>
      </c>
      <c r="M175" s="22" t="s">
        <v>2308</v>
      </c>
      <c r="N175" s="22" t="s">
        <v>2308</v>
      </c>
      <c r="O175" s="22" t="s">
        <v>2308</v>
      </c>
      <c r="P175" s="22" t="s">
        <v>2308</v>
      </c>
      <c r="Q175" s="22" t="s">
        <v>2308</v>
      </c>
      <c r="R175" s="22" t="s">
        <v>2308</v>
      </c>
      <c r="S175" s="22" t="s">
        <v>2308</v>
      </c>
      <c r="T175" s="22" t="s">
        <v>2308</v>
      </c>
      <c r="U175" s="22" t="s">
        <v>2308</v>
      </c>
      <c r="V175" s="22" t="s">
        <v>2308</v>
      </c>
      <c r="W175" s="22" t="s">
        <v>2308</v>
      </c>
      <c r="X175" s="22" t="s">
        <v>2308</v>
      </c>
      <c r="Y175" s="22" t="s">
        <v>2308</v>
      </c>
      <c r="Z175" s="4" t="s">
        <v>2308</v>
      </c>
      <c r="AA175" s="4" t="s">
        <v>2308</v>
      </c>
      <c r="AB175" s="4" t="s">
        <v>2308</v>
      </c>
      <c r="AC175" s="5" t="s">
        <v>1421</v>
      </c>
      <c r="AD175" s="5" t="s">
        <v>1465</v>
      </c>
    </row>
    <row r="176" spans="1:30" ht="112.5" customHeight="1">
      <c r="A176" s="12" t="s">
        <v>168</v>
      </c>
      <c r="B176" s="4" t="s">
        <v>1427</v>
      </c>
      <c r="C176" s="24" t="s">
        <v>24</v>
      </c>
      <c r="D176" s="12" t="s">
        <v>149</v>
      </c>
      <c r="E176" s="20" t="s">
        <v>403</v>
      </c>
      <c r="F176" s="20" t="s">
        <v>74</v>
      </c>
      <c r="G176" s="12" t="s">
        <v>74</v>
      </c>
      <c r="H176" s="4" t="s">
        <v>531</v>
      </c>
      <c r="I176" s="4">
        <v>2007</v>
      </c>
      <c r="J176" s="22" t="s">
        <v>2308</v>
      </c>
      <c r="K176" s="22" t="s">
        <v>2308</v>
      </c>
      <c r="L176" s="22" t="s">
        <v>2308</v>
      </c>
      <c r="M176" s="22" t="s">
        <v>2308</v>
      </c>
      <c r="N176" s="22" t="s">
        <v>2308</v>
      </c>
      <c r="O176" s="22" t="s">
        <v>2308</v>
      </c>
      <c r="P176" s="22" t="s">
        <v>2308</v>
      </c>
      <c r="Q176" s="22" t="s">
        <v>2308</v>
      </c>
      <c r="R176" s="22" t="s">
        <v>2308</v>
      </c>
      <c r="S176" s="22" t="s">
        <v>2308</v>
      </c>
      <c r="T176" s="22" t="s">
        <v>2308</v>
      </c>
      <c r="U176" s="22" t="s">
        <v>2308</v>
      </c>
      <c r="V176" s="22" t="s">
        <v>2308</v>
      </c>
      <c r="W176" s="22" t="s">
        <v>2308</v>
      </c>
      <c r="X176" s="22" t="s">
        <v>2308</v>
      </c>
      <c r="Y176" s="22" t="s">
        <v>2308</v>
      </c>
      <c r="Z176" s="4" t="s">
        <v>2308</v>
      </c>
      <c r="AA176" s="4" t="s">
        <v>2308</v>
      </c>
      <c r="AB176" s="4" t="s">
        <v>2308</v>
      </c>
      <c r="AC176" s="5" t="s">
        <v>1421</v>
      </c>
      <c r="AD176" s="5" t="s">
        <v>1465</v>
      </c>
    </row>
    <row r="177" spans="1:30" ht="112.5" customHeight="1">
      <c r="A177" s="12" t="s">
        <v>168</v>
      </c>
      <c r="B177" s="4" t="s">
        <v>1428</v>
      </c>
      <c r="C177" s="24" t="s">
        <v>24</v>
      </c>
      <c r="D177" s="12" t="s">
        <v>149</v>
      </c>
      <c r="E177" s="20" t="s">
        <v>403</v>
      </c>
      <c r="F177" s="20" t="s">
        <v>74</v>
      </c>
      <c r="G177" s="12" t="s">
        <v>74</v>
      </c>
      <c r="H177" s="4" t="s">
        <v>531</v>
      </c>
      <c r="I177" s="4">
        <v>2008</v>
      </c>
      <c r="J177" s="22" t="s">
        <v>2308</v>
      </c>
      <c r="K177" s="22" t="s">
        <v>2308</v>
      </c>
      <c r="L177" s="22" t="s">
        <v>2308</v>
      </c>
      <c r="M177" s="22" t="s">
        <v>2308</v>
      </c>
      <c r="N177" s="22" t="s">
        <v>2308</v>
      </c>
      <c r="O177" s="22" t="s">
        <v>2308</v>
      </c>
      <c r="P177" s="22" t="s">
        <v>2308</v>
      </c>
      <c r="Q177" s="22" t="s">
        <v>2308</v>
      </c>
      <c r="R177" s="22" t="s">
        <v>2308</v>
      </c>
      <c r="S177" s="22" t="s">
        <v>2308</v>
      </c>
      <c r="T177" s="22" t="s">
        <v>2308</v>
      </c>
      <c r="U177" s="22" t="s">
        <v>2308</v>
      </c>
      <c r="V177" s="22" t="s">
        <v>2308</v>
      </c>
      <c r="W177" s="22" t="s">
        <v>2308</v>
      </c>
      <c r="X177" s="22" t="s">
        <v>2308</v>
      </c>
      <c r="Y177" s="22" t="s">
        <v>2308</v>
      </c>
      <c r="Z177" s="4" t="s">
        <v>2308</v>
      </c>
      <c r="AA177" s="4" t="s">
        <v>2308</v>
      </c>
      <c r="AB177" s="4" t="s">
        <v>2308</v>
      </c>
      <c r="AC177" s="5" t="s">
        <v>1421</v>
      </c>
      <c r="AD177" s="5" t="s">
        <v>1465</v>
      </c>
    </row>
    <row r="178" spans="1:30" ht="112.5" customHeight="1">
      <c r="A178" s="12" t="s">
        <v>168</v>
      </c>
      <c r="B178" s="4" t="s">
        <v>1429</v>
      </c>
      <c r="C178" s="24" t="s">
        <v>24</v>
      </c>
      <c r="D178" s="12" t="s">
        <v>149</v>
      </c>
      <c r="E178" s="20" t="s">
        <v>403</v>
      </c>
      <c r="F178" s="20" t="s">
        <v>74</v>
      </c>
      <c r="G178" s="12" t="s">
        <v>74</v>
      </c>
      <c r="H178" s="4" t="s">
        <v>531</v>
      </c>
      <c r="I178" s="4">
        <v>2009</v>
      </c>
      <c r="J178" s="22" t="s">
        <v>2308</v>
      </c>
      <c r="K178" s="22" t="s">
        <v>2308</v>
      </c>
      <c r="L178" s="22" t="s">
        <v>2308</v>
      </c>
      <c r="M178" s="22" t="s">
        <v>2308</v>
      </c>
      <c r="N178" s="22" t="s">
        <v>2308</v>
      </c>
      <c r="O178" s="22" t="s">
        <v>2308</v>
      </c>
      <c r="P178" s="22" t="s">
        <v>2308</v>
      </c>
      <c r="Q178" s="22" t="s">
        <v>2308</v>
      </c>
      <c r="R178" s="22" t="s">
        <v>2308</v>
      </c>
      <c r="S178" s="22" t="s">
        <v>2308</v>
      </c>
      <c r="T178" s="22" t="s">
        <v>2308</v>
      </c>
      <c r="U178" s="22" t="s">
        <v>2308</v>
      </c>
      <c r="V178" s="22" t="s">
        <v>2308</v>
      </c>
      <c r="W178" s="22" t="s">
        <v>2308</v>
      </c>
      <c r="X178" s="22" t="s">
        <v>2308</v>
      </c>
      <c r="Y178" s="22" t="s">
        <v>2308</v>
      </c>
      <c r="Z178" s="4" t="s">
        <v>2308</v>
      </c>
      <c r="AA178" s="4" t="s">
        <v>2308</v>
      </c>
      <c r="AB178" s="4" t="s">
        <v>2308</v>
      </c>
      <c r="AC178" s="5" t="s">
        <v>1421</v>
      </c>
      <c r="AD178" s="5" t="s">
        <v>1465</v>
      </c>
    </row>
    <row r="179" spans="1:30" ht="112.5" customHeight="1">
      <c r="A179" s="12" t="s">
        <v>168</v>
      </c>
      <c r="B179" s="4" t="s">
        <v>1430</v>
      </c>
      <c r="C179" s="24" t="s">
        <v>24</v>
      </c>
      <c r="D179" s="12" t="s">
        <v>149</v>
      </c>
      <c r="E179" s="20" t="s">
        <v>403</v>
      </c>
      <c r="F179" s="20" t="s">
        <v>74</v>
      </c>
      <c r="G179" s="12" t="s">
        <v>74</v>
      </c>
      <c r="H179" s="4" t="s">
        <v>531</v>
      </c>
      <c r="I179" s="4">
        <v>2010</v>
      </c>
      <c r="J179" s="22" t="s">
        <v>2308</v>
      </c>
      <c r="K179" s="22" t="s">
        <v>2308</v>
      </c>
      <c r="L179" s="22" t="s">
        <v>2308</v>
      </c>
      <c r="M179" s="22" t="s">
        <v>2308</v>
      </c>
      <c r="N179" s="22" t="s">
        <v>2308</v>
      </c>
      <c r="O179" s="22" t="s">
        <v>2308</v>
      </c>
      <c r="P179" s="22" t="s">
        <v>2308</v>
      </c>
      <c r="Q179" s="22" t="s">
        <v>2308</v>
      </c>
      <c r="R179" s="22" t="s">
        <v>2308</v>
      </c>
      <c r="S179" s="22" t="s">
        <v>2308</v>
      </c>
      <c r="T179" s="22" t="s">
        <v>2308</v>
      </c>
      <c r="U179" s="22" t="s">
        <v>2308</v>
      </c>
      <c r="V179" s="22" t="s">
        <v>2308</v>
      </c>
      <c r="W179" s="22" t="s">
        <v>2308</v>
      </c>
      <c r="X179" s="22" t="s">
        <v>2308</v>
      </c>
      <c r="Y179" s="22" t="s">
        <v>2308</v>
      </c>
      <c r="Z179" s="4" t="s">
        <v>2308</v>
      </c>
      <c r="AA179" s="4" t="s">
        <v>2308</v>
      </c>
      <c r="AB179" s="4" t="s">
        <v>2308</v>
      </c>
      <c r="AC179" s="5" t="s">
        <v>1421</v>
      </c>
      <c r="AD179" s="5" t="s">
        <v>1465</v>
      </c>
    </row>
    <row r="180" spans="1:30" ht="112.5" customHeight="1">
      <c r="A180" s="12" t="s">
        <v>168</v>
      </c>
      <c r="B180" s="4" t="s">
        <v>1431</v>
      </c>
      <c r="C180" s="24" t="s">
        <v>24</v>
      </c>
      <c r="D180" s="12" t="s">
        <v>149</v>
      </c>
      <c r="E180" s="20" t="s">
        <v>403</v>
      </c>
      <c r="F180" s="20" t="s">
        <v>74</v>
      </c>
      <c r="G180" s="12" t="s">
        <v>74</v>
      </c>
      <c r="H180" s="4" t="s">
        <v>531</v>
      </c>
      <c r="I180" s="4">
        <v>2011</v>
      </c>
      <c r="J180" s="22" t="s">
        <v>2308</v>
      </c>
      <c r="K180" s="22" t="s">
        <v>2308</v>
      </c>
      <c r="L180" s="22" t="s">
        <v>2308</v>
      </c>
      <c r="M180" s="22" t="s">
        <v>2308</v>
      </c>
      <c r="N180" s="22" t="s">
        <v>2308</v>
      </c>
      <c r="O180" s="22" t="s">
        <v>2308</v>
      </c>
      <c r="P180" s="22" t="s">
        <v>2308</v>
      </c>
      <c r="Q180" s="22" t="s">
        <v>2308</v>
      </c>
      <c r="R180" s="22" t="s">
        <v>2308</v>
      </c>
      <c r="S180" s="22" t="s">
        <v>2308</v>
      </c>
      <c r="T180" s="22" t="s">
        <v>2308</v>
      </c>
      <c r="U180" s="22" t="s">
        <v>2308</v>
      </c>
      <c r="V180" s="22" t="s">
        <v>2308</v>
      </c>
      <c r="W180" s="22" t="s">
        <v>2308</v>
      </c>
      <c r="X180" s="22" t="s">
        <v>2308</v>
      </c>
      <c r="Y180" s="22" t="s">
        <v>2308</v>
      </c>
      <c r="Z180" s="4" t="s">
        <v>2308</v>
      </c>
      <c r="AA180" s="4" t="s">
        <v>2308</v>
      </c>
      <c r="AB180" s="4" t="s">
        <v>2308</v>
      </c>
      <c r="AC180" s="5" t="s">
        <v>1421</v>
      </c>
      <c r="AD180" s="5" t="s">
        <v>1465</v>
      </c>
    </row>
    <row r="181" spans="1:30" ht="112.5" customHeight="1">
      <c r="A181" s="12" t="s">
        <v>168</v>
      </c>
      <c r="B181" s="4" t="s">
        <v>1432</v>
      </c>
      <c r="C181" s="24" t="s">
        <v>24</v>
      </c>
      <c r="D181" s="12" t="s">
        <v>149</v>
      </c>
      <c r="E181" s="20" t="s">
        <v>403</v>
      </c>
      <c r="F181" s="20" t="s">
        <v>74</v>
      </c>
      <c r="G181" s="12" t="s">
        <v>74</v>
      </c>
      <c r="H181" s="4" t="s">
        <v>531</v>
      </c>
      <c r="I181" s="4">
        <v>2012</v>
      </c>
      <c r="J181" s="22" t="s">
        <v>2308</v>
      </c>
      <c r="K181" s="22" t="s">
        <v>2308</v>
      </c>
      <c r="L181" s="22" t="s">
        <v>2308</v>
      </c>
      <c r="M181" s="22" t="s">
        <v>2308</v>
      </c>
      <c r="N181" s="22" t="s">
        <v>2308</v>
      </c>
      <c r="O181" s="22" t="s">
        <v>2308</v>
      </c>
      <c r="P181" s="22" t="s">
        <v>2308</v>
      </c>
      <c r="Q181" s="22" t="s">
        <v>2308</v>
      </c>
      <c r="R181" s="22" t="s">
        <v>2308</v>
      </c>
      <c r="S181" s="22" t="s">
        <v>2308</v>
      </c>
      <c r="T181" s="22" t="s">
        <v>2308</v>
      </c>
      <c r="U181" s="22" t="s">
        <v>2308</v>
      </c>
      <c r="V181" s="22" t="s">
        <v>2308</v>
      </c>
      <c r="W181" s="22" t="s">
        <v>2308</v>
      </c>
      <c r="X181" s="22" t="s">
        <v>2308</v>
      </c>
      <c r="Y181" s="22" t="s">
        <v>2308</v>
      </c>
      <c r="Z181" s="4" t="s">
        <v>2308</v>
      </c>
      <c r="AA181" s="4" t="s">
        <v>2308</v>
      </c>
      <c r="AB181" s="4" t="s">
        <v>2308</v>
      </c>
      <c r="AC181" s="5" t="s">
        <v>1421</v>
      </c>
      <c r="AD181" s="5" t="s">
        <v>1465</v>
      </c>
    </row>
    <row r="182" spans="1:30" ht="112.5" customHeight="1">
      <c r="A182" s="12" t="s">
        <v>168</v>
      </c>
      <c r="B182" s="4" t="s">
        <v>1446</v>
      </c>
      <c r="C182" s="24" t="s">
        <v>24</v>
      </c>
      <c r="D182" s="12" t="s">
        <v>149</v>
      </c>
      <c r="E182" s="20" t="s">
        <v>45</v>
      </c>
      <c r="F182" s="20" t="s">
        <v>74</v>
      </c>
      <c r="G182" s="12" t="s">
        <v>74</v>
      </c>
      <c r="H182" s="4" t="s">
        <v>531</v>
      </c>
      <c r="I182" s="4">
        <v>2002</v>
      </c>
      <c r="J182" s="22" t="s">
        <v>2308</v>
      </c>
      <c r="K182" s="22" t="s">
        <v>2308</v>
      </c>
      <c r="L182" s="22" t="s">
        <v>2308</v>
      </c>
      <c r="M182" s="22" t="s">
        <v>2308</v>
      </c>
      <c r="N182" s="22" t="s">
        <v>2308</v>
      </c>
      <c r="O182" s="22" t="s">
        <v>2308</v>
      </c>
      <c r="P182" s="22" t="s">
        <v>2308</v>
      </c>
      <c r="Q182" s="22" t="s">
        <v>2308</v>
      </c>
      <c r="R182" s="22" t="s">
        <v>2308</v>
      </c>
      <c r="S182" s="22" t="s">
        <v>2308</v>
      </c>
      <c r="T182" s="22" t="s">
        <v>2308</v>
      </c>
      <c r="U182" s="22" t="s">
        <v>2308</v>
      </c>
      <c r="V182" s="22" t="s">
        <v>2308</v>
      </c>
      <c r="W182" s="22" t="s">
        <v>2308</v>
      </c>
      <c r="X182" s="22" t="s">
        <v>2308</v>
      </c>
      <c r="Y182" s="22" t="s">
        <v>2308</v>
      </c>
      <c r="Z182" s="4" t="s">
        <v>2308</v>
      </c>
      <c r="AA182" s="4" t="s">
        <v>2308</v>
      </c>
      <c r="AB182" s="4" t="s">
        <v>2308</v>
      </c>
      <c r="AC182" s="5" t="s">
        <v>1421</v>
      </c>
      <c r="AD182" s="5" t="s">
        <v>1465</v>
      </c>
    </row>
    <row r="183" spans="1:30" ht="112.5" customHeight="1">
      <c r="A183" s="12" t="s">
        <v>168</v>
      </c>
      <c r="B183" s="4" t="s">
        <v>1447</v>
      </c>
      <c r="C183" s="24" t="s">
        <v>24</v>
      </c>
      <c r="D183" s="12" t="s">
        <v>149</v>
      </c>
      <c r="E183" s="20" t="s">
        <v>45</v>
      </c>
      <c r="F183" s="20" t="s">
        <v>74</v>
      </c>
      <c r="G183" s="12" t="s">
        <v>74</v>
      </c>
      <c r="H183" s="4" t="s">
        <v>531</v>
      </c>
      <c r="I183" s="4">
        <v>2003</v>
      </c>
      <c r="J183" s="22" t="s">
        <v>2308</v>
      </c>
      <c r="K183" s="22" t="s">
        <v>2308</v>
      </c>
      <c r="L183" s="22" t="s">
        <v>2308</v>
      </c>
      <c r="M183" s="22" t="s">
        <v>2308</v>
      </c>
      <c r="N183" s="22" t="s">
        <v>2308</v>
      </c>
      <c r="O183" s="22" t="s">
        <v>2308</v>
      </c>
      <c r="P183" s="22" t="s">
        <v>2308</v>
      </c>
      <c r="Q183" s="22" t="s">
        <v>2308</v>
      </c>
      <c r="R183" s="22" t="s">
        <v>2308</v>
      </c>
      <c r="S183" s="22" t="s">
        <v>2308</v>
      </c>
      <c r="T183" s="22" t="s">
        <v>2308</v>
      </c>
      <c r="U183" s="22" t="s">
        <v>2308</v>
      </c>
      <c r="V183" s="22" t="s">
        <v>2308</v>
      </c>
      <c r="W183" s="22" t="s">
        <v>2308</v>
      </c>
      <c r="X183" s="22" t="s">
        <v>2308</v>
      </c>
      <c r="Y183" s="22" t="s">
        <v>2308</v>
      </c>
      <c r="Z183" s="4" t="s">
        <v>2308</v>
      </c>
      <c r="AA183" s="4" t="s">
        <v>2308</v>
      </c>
      <c r="AB183" s="4" t="s">
        <v>2308</v>
      </c>
      <c r="AC183" s="5" t="s">
        <v>1421</v>
      </c>
      <c r="AD183" s="5" t="s">
        <v>1465</v>
      </c>
    </row>
    <row r="184" spans="1:30" ht="112.5" customHeight="1">
      <c r="A184" s="12" t="s">
        <v>168</v>
      </c>
      <c r="B184" s="4" t="s">
        <v>1448</v>
      </c>
      <c r="C184" s="24" t="s">
        <v>24</v>
      </c>
      <c r="D184" s="12" t="s">
        <v>149</v>
      </c>
      <c r="E184" s="20" t="s">
        <v>45</v>
      </c>
      <c r="F184" s="20" t="s">
        <v>74</v>
      </c>
      <c r="G184" s="12" t="s">
        <v>74</v>
      </c>
      <c r="H184" s="4" t="s">
        <v>531</v>
      </c>
      <c r="I184" s="4">
        <v>2004</v>
      </c>
      <c r="J184" s="22" t="s">
        <v>2308</v>
      </c>
      <c r="K184" s="22" t="s">
        <v>2308</v>
      </c>
      <c r="L184" s="22" t="s">
        <v>2308</v>
      </c>
      <c r="M184" s="22" t="s">
        <v>2308</v>
      </c>
      <c r="N184" s="22" t="s">
        <v>2308</v>
      </c>
      <c r="O184" s="22" t="s">
        <v>2308</v>
      </c>
      <c r="P184" s="22" t="s">
        <v>2308</v>
      </c>
      <c r="Q184" s="22" t="s">
        <v>2308</v>
      </c>
      <c r="R184" s="22" t="s">
        <v>2308</v>
      </c>
      <c r="S184" s="22" t="s">
        <v>2308</v>
      </c>
      <c r="T184" s="22" t="s">
        <v>2308</v>
      </c>
      <c r="U184" s="22" t="s">
        <v>2308</v>
      </c>
      <c r="V184" s="22" t="s">
        <v>2308</v>
      </c>
      <c r="W184" s="22" t="s">
        <v>2308</v>
      </c>
      <c r="X184" s="22" t="s">
        <v>2308</v>
      </c>
      <c r="Y184" s="22" t="s">
        <v>2308</v>
      </c>
      <c r="Z184" s="4" t="s">
        <v>2308</v>
      </c>
      <c r="AA184" s="4" t="s">
        <v>2308</v>
      </c>
      <c r="AB184" s="4" t="s">
        <v>2308</v>
      </c>
      <c r="AC184" s="5" t="s">
        <v>1421</v>
      </c>
      <c r="AD184" s="5" t="s">
        <v>1465</v>
      </c>
    </row>
    <row r="185" spans="1:30" ht="112.5" customHeight="1">
      <c r="A185" s="12" t="s">
        <v>168</v>
      </c>
      <c r="B185" s="4" t="s">
        <v>1449</v>
      </c>
      <c r="C185" s="24" t="s">
        <v>24</v>
      </c>
      <c r="D185" s="12" t="s">
        <v>149</v>
      </c>
      <c r="E185" s="20" t="s">
        <v>45</v>
      </c>
      <c r="F185" s="20" t="s">
        <v>74</v>
      </c>
      <c r="G185" s="12" t="s">
        <v>74</v>
      </c>
      <c r="H185" s="4" t="s">
        <v>531</v>
      </c>
      <c r="I185" s="4">
        <v>2005</v>
      </c>
      <c r="J185" s="22" t="s">
        <v>2308</v>
      </c>
      <c r="K185" s="22" t="s">
        <v>2308</v>
      </c>
      <c r="L185" s="22" t="s">
        <v>2308</v>
      </c>
      <c r="M185" s="22" t="s">
        <v>2308</v>
      </c>
      <c r="N185" s="22" t="s">
        <v>2308</v>
      </c>
      <c r="O185" s="22" t="s">
        <v>2308</v>
      </c>
      <c r="P185" s="22" t="s">
        <v>2308</v>
      </c>
      <c r="Q185" s="22" t="s">
        <v>2308</v>
      </c>
      <c r="R185" s="22" t="s">
        <v>2308</v>
      </c>
      <c r="S185" s="22" t="s">
        <v>2308</v>
      </c>
      <c r="T185" s="22" t="s">
        <v>2308</v>
      </c>
      <c r="U185" s="22" t="s">
        <v>2308</v>
      </c>
      <c r="V185" s="22" t="s">
        <v>2308</v>
      </c>
      <c r="W185" s="22" t="s">
        <v>2308</v>
      </c>
      <c r="X185" s="22" t="s">
        <v>2308</v>
      </c>
      <c r="Y185" s="22" t="s">
        <v>2308</v>
      </c>
      <c r="Z185" s="4" t="s">
        <v>2308</v>
      </c>
      <c r="AA185" s="4" t="s">
        <v>2308</v>
      </c>
      <c r="AB185" s="4" t="s">
        <v>2308</v>
      </c>
      <c r="AC185" s="5" t="s">
        <v>1421</v>
      </c>
      <c r="AD185" s="5" t="s">
        <v>1465</v>
      </c>
    </row>
    <row r="186" spans="1:30" ht="112.5" customHeight="1">
      <c r="A186" s="12" t="s">
        <v>168</v>
      </c>
      <c r="B186" s="4" t="s">
        <v>1450</v>
      </c>
      <c r="C186" s="24" t="s">
        <v>24</v>
      </c>
      <c r="D186" s="12" t="s">
        <v>149</v>
      </c>
      <c r="E186" s="20" t="s">
        <v>45</v>
      </c>
      <c r="F186" s="20" t="s">
        <v>74</v>
      </c>
      <c r="G186" s="12" t="s">
        <v>74</v>
      </c>
      <c r="H186" s="4" t="s">
        <v>531</v>
      </c>
      <c r="I186" s="4">
        <v>2006</v>
      </c>
      <c r="J186" s="22" t="s">
        <v>2308</v>
      </c>
      <c r="K186" s="22" t="s">
        <v>2308</v>
      </c>
      <c r="L186" s="22" t="s">
        <v>2308</v>
      </c>
      <c r="M186" s="22" t="s">
        <v>2308</v>
      </c>
      <c r="N186" s="22" t="s">
        <v>2308</v>
      </c>
      <c r="O186" s="22" t="s">
        <v>2308</v>
      </c>
      <c r="P186" s="22" t="s">
        <v>2308</v>
      </c>
      <c r="Q186" s="22" t="s">
        <v>2308</v>
      </c>
      <c r="R186" s="22" t="s">
        <v>2308</v>
      </c>
      <c r="S186" s="22" t="s">
        <v>2308</v>
      </c>
      <c r="T186" s="22" t="s">
        <v>2308</v>
      </c>
      <c r="U186" s="22" t="s">
        <v>2308</v>
      </c>
      <c r="V186" s="22" t="s">
        <v>2308</v>
      </c>
      <c r="W186" s="22" t="s">
        <v>2308</v>
      </c>
      <c r="X186" s="22" t="s">
        <v>2308</v>
      </c>
      <c r="Y186" s="22" t="s">
        <v>2308</v>
      </c>
      <c r="Z186" s="4" t="s">
        <v>2308</v>
      </c>
      <c r="AA186" s="4" t="s">
        <v>2308</v>
      </c>
      <c r="AB186" s="4" t="s">
        <v>2308</v>
      </c>
      <c r="AC186" s="5" t="s">
        <v>1421</v>
      </c>
      <c r="AD186" s="5" t="s">
        <v>1465</v>
      </c>
    </row>
    <row r="187" spans="1:30" ht="112.5" customHeight="1">
      <c r="A187" s="12" t="s">
        <v>168</v>
      </c>
      <c r="B187" s="4" t="s">
        <v>1451</v>
      </c>
      <c r="C187" s="24" t="s">
        <v>24</v>
      </c>
      <c r="D187" s="12" t="s">
        <v>149</v>
      </c>
      <c r="E187" s="20" t="s">
        <v>45</v>
      </c>
      <c r="F187" s="20" t="s">
        <v>74</v>
      </c>
      <c r="G187" s="12" t="s">
        <v>74</v>
      </c>
      <c r="H187" s="4" t="s">
        <v>531</v>
      </c>
      <c r="I187" s="4">
        <v>2007</v>
      </c>
      <c r="J187" s="22" t="s">
        <v>2308</v>
      </c>
      <c r="K187" s="22" t="s">
        <v>2308</v>
      </c>
      <c r="L187" s="22" t="s">
        <v>2308</v>
      </c>
      <c r="M187" s="22" t="s">
        <v>2308</v>
      </c>
      <c r="N187" s="22" t="s">
        <v>2308</v>
      </c>
      <c r="O187" s="22" t="s">
        <v>2308</v>
      </c>
      <c r="P187" s="22" t="s">
        <v>2308</v>
      </c>
      <c r="Q187" s="22" t="s">
        <v>2308</v>
      </c>
      <c r="R187" s="22" t="s">
        <v>2308</v>
      </c>
      <c r="S187" s="22" t="s">
        <v>2308</v>
      </c>
      <c r="T187" s="22" t="s">
        <v>2308</v>
      </c>
      <c r="U187" s="22" t="s">
        <v>2308</v>
      </c>
      <c r="V187" s="22" t="s">
        <v>2308</v>
      </c>
      <c r="W187" s="22" t="s">
        <v>2308</v>
      </c>
      <c r="X187" s="22" t="s">
        <v>2308</v>
      </c>
      <c r="Y187" s="22" t="s">
        <v>2308</v>
      </c>
      <c r="Z187" s="4" t="s">
        <v>2308</v>
      </c>
      <c r="AA187" s="4" t="s">
        <v>2308</v>
      </c>
      <c r="AB187" s="4" t="s">
        <v>2308</v>
      </c>
      <c r="AC187" s="5" t="s">
        <v>1421</v>
      </c>
      <c r="AD187" s="5" t="s">
        <v>1465</v>
      </c>
    </row>
    <row r="188" spans="1:30" ht="112.5" customHeight="1">
      <c r="A188" s="12" t="s">
        <v>168</v>
      </c>
      <c r="B188" s="4" t="s">
        <v>1452</v>
      </c>
      <c r="C188" s="24" t="s">
        <v>24</v>
      </c>
      <c r="D188" s="12" t="s">
        <v>149</v>
      </c>
      <c r="E188" s="20" t="s">
        <v>45</v>
      </c>
      <c r="F188" s="20" t="s">
        <v>74</v>
      </c>
      <c r="G188" s="12" t="s">
        <v>74</v>
      </c>
      <c r="H188" s="4" t="s">
        <v>531</v>
      </c>
      <c r="I188" s="4">
        <v>2008</v>
      </c>
      <c r="J188" s="22" t="s">
        <v>2308</v>
      </c>
      <c r="K188" s="22" t="s">
        <v>2308</v>
      </c>
      <c r="L188" s="22" t="s">
        <v>2308</v>
      </c>
      <c r="M188" s="22" t="s">
        <v>2308</v>
      </c>
      <c r="N188" s="22" t="s">
        <v>2308</v>
      </c>
      <c r="O188" s="22" t="s">
        <v>2308</v>
      </c>
      <c r="P188" s="22" t="s">
        <v>2308</v>
      </c>
      <c r="Q188" s="22" t="s">
        <v>2308</v>
      </c>
      <c r="R188" s="22" t="s">
        <v>2308</v>
      </c>
      <c r="S188" s="22" t="s">
        <v>2308</v>
      </c>
      <c r="T188" s="22" t="s">
        <v>2308</v>
      </c>
      <c r="U188" s="22" t="s">
        <v>2308</v>
      </c>
      <c r="V188" s="22" t="s">
        <v>2308</v>
      </c>
      <c r="W188" s="22" t="s">
        <v>2308</v>
      </c>
      <c r="X188" s="22" t="s">
        <v>2308</v>
      </c>
      <c r="Y188" s="22" t="s">
        <v>2308</v>
      </c>
      <c r="Z188" s="4" t="s">
        <v>2308</v>
      </c>
      <c r="AA188" s="4" t="s">
        <v>2308</v>
      </c>
      <c r="AB188" s="4" t="s">
        <v>2308</v>
      </c>
      <c r="AC188" s="5" t="s">
        <v>1421</v>
      </c>
      <c r="AD188" s="5" t="s">
        <v>1465</v>
      </c>
    </row>
    <row r="189" spans="1:30" ht="112.5" customHeight="1">
      <c r="A189" s="12" t="s">
        <v>168</v>
      </c>
      <c r="B189" s="4" t="s">
        <v>1453</v>
      </c>
      <c r="C189" s="24" t="s">
        <v>24</v>
      </c>
      <c r="D189" s="12" t="s">
        <v>149</v>
      </c>
      <c r="E189" s="20" t="s">
        <v>45</v>
      </c>
      <c r="F189" s="20" t="s">
        <v>74</v>
      </c>
      <c r="G189" s="12" t="s">
        <v>74</v>
      </c>
      <c r="H189" s="4" t="s">
        <v>531</v>
      </c>
      <c r="I189" s="4">
        <v>2009</v>
      </c>
      <c r="J189" s="22" t="s">
        <v>2308</v>
      </c>
      <c r="K189" s="22" t="s">
        <v>2308</v>
      </c>
      <c r="L189" s="22" t="s">
        <v>2308</v>
      </c>
      <c r="M189" s="22" t="s">
        <v>2308</v>
      </c>
      <c r="N189" s="22" t="s">
        <v>2308</v>
      </c>
      <c r="O189" s="22" t="s">
        <v>2308</v>
      </c>
      <c r="P189" s="22" t="s">
        <v>2308</v>
      </c>
      <c r="Q189" s="22" t="s">
        <v>2308</v>
      </c>
      <c r="R189" s="22" t="s">
        <v>2308</v>
      </c>
      <c r="S189" s="22" t="s">
        <v>2308</v>
      </c>
      <c r="T189" s="22" t="s">
        <v>2308</v>
      </c>
      <c r="U189" s="22" t="s">
        <v>2308</v>
      </c>
      <c r="V189" s="22" t="s">
        <v>2308</v>
      </c>
      <c r="W189" s="22" t="s">
        <v>2308</v>
      </c>
      <c r="X189" s="22" t="s">
        <v>2308</v>
      </c>
      <c r="Y189" s="22" t="s">
        <v>2308</v>
      </c>
      <c r="Z189" s="4" t="s">
        <v>2308</v>
      </c>
      <c r="AA189" s="4" t="s">
        <v>2308</v>
      </c>
      <c r="AB189" s="4" t="s">
        <v>2308</v>
      </c>
      <c r="AC189" s="5" t="s">
        <v>1421</v>
      </c>
      <c r="AD189" s="5" t="s">
        <v>1465</v>
      </c>
    </row>
    <row r="190" spans="1:30" ht="112.5" customHeight="1">
      <c r="A190" s="12" t="s">
        <v>168</v>
      </c>
      <c r="B190" s="4" t="s">
        <v>1454</v>
      </c>
      <c r="C190" s="24" t="s">
        <v>24</v>
      </c>
      <c r="D190" s="12" t="s">
        <v>149</v>
      </c>
      <c r="E190" s="20" t="s">
        <v>45</v>
      </c>
      <c r="F190" s="20" t="s">
        <v>74</v>
      </c>
      <c r="G190" s="12" t="s">
        <v>74</v>
      </c>
      <c r="H190" s="4" t="s">
        <v>531</v>
      </c>
      <c r="I190" s="4">
        <v>2010</v>
      </c>
      <c r="J190" s="22" t="s">
        <v>2308</v>
      </c>
      <c r="K190" s="22" t="s">
        <v>2308</v>
      </c>
      <c r="L190" s="22" t="s">
        <v>2308</v>
      </c>
      <c r="M190" s="22" t="s">
        <v>2308</v>
      </c>
      <c r="N190" s="22" t="s">
        <v>2308</v>
      </c>
      <c r="O190" s="22" t="s">
        <v>2308</v>
      </c>
      <c r="P190" s="22" t="s">
        <v>2308</v>
      </c>
      <c r="Q190" s="22" t="s">
        <v>2308</v>
      </c>
      <c r="R190" s="22" t="s">
        <v>2308</v>
      </c>
      <c r="S190" s="22" t="s">
        <v>2308</v>
      </c>
      <c r="T190" s="22" t="s">
        <v>2308</v>
      </c>
      <c r="U190" s="22" t="s">
        <v>2308</v>
      </c>
      <c r="V190" s="22" t="s">
        <v>2308</v>
      </c>
      <c r="W190" s="22" t="s">
        <v>2308</v>
      </c>
      <c r="X190" s="22" t="s">
        <v>2308</v>
      </c>
      <c r="Y190" s="22" t="s">
        <v>2308</v>
      </c>
      <c r="Z190" s="4" t="s">
        <v>2308</v>
      </c>
      <c r="AA190" s="4" t="s">
        <v>2308</v>
      </c>
      <c r="AB190" s="4" t="s">
        <v>2308</v>
      </c>
      <c r="AC190" s="5" t="s">
        <v>1421</v>
      </c>
      <c r="AD190" s="5" t="s">
        <v>1465</v>
      </c>
    </row>
    <row r="191" spans="1:30" ht="112.5" customHeight="1">
      <c r="A191" s="12" t="s">
        <v>168</v>
      </c>
      <c r="B191" s="4" t="s">
        <v>1455</v>
      </c>
      <c r="C191" s="24" t="s">
        <v>24</v>
      </c>
      <c r="D191" s="12" t="s">
        <v>149</v>
      </c>
      <c r="E191" s="20" t="s">
        <v>45</v>
      </c>
      <c r="F191" s="20" t="s">
        <v>74</v>
      </c>
      <c r="G191" s="12" t="s">
        <v>74</v>
      </c>
      <c r="H191" s="4" t="s">
        <v>531</v>
      </c>
      <c r="I191" s="4">
        <v>2011</v>
      </c>
      <c r="J191" s="22" t="s">
        <v>2308</v>
      </c>
      <c r="K191" s="22" t="s">
        <v>2308</v>
      </c>
      <c r="L191" s="22" t="s">
        <v>2308</v>
      </c>
      <c r="M191" s="22" t="s">
        <v>2308</v>
      </c>
      <c r="N191" s="22" t="s">
        <v>2308</v>
      </c>
      <c r="O191" s="22" t="s">
        <v>2308</v>
      </c>
      <c r="P191" s="22" t="s">
        <v>2308</v>
      </c>
      <c r="Q191" s="22" t="s">
        <v>2308</v>
      </c>
      <c r="R191" s="22" t="s">
        <v>2308</v>
      </c>
      <c r="S191" s="22" t="s">
        <v>2308</v>
      </c>
      <c r="T191" s="22" t="s">
        <v>2308</v>
      </c>
      <c r="U191" s="22" t="s">
        <v>2308</v>
      </c>
      <c r="V191" s="22" t="s">
        <v>2308</v>
      </c>
      <c r="W191" s="22" t="s">
        <v>2308</v>
      </c>
      <c r="X191" s="22" t="s">
        <v>2308</v>
      </c>
      <c r="Y191" s="22" t="s">
        <v>2308</v>
      </c>
      <c r="Z191" s="4" t="s">
        <v>2308</v>
      </c>
      <c r="AA191" s="4" t="s">
        <v>2308</v>
      </c>
      <c r="AB191" s="4" t="s">
        <v>2308</v>
      </c>
      <c r="AC191" s="5" t="s">
        <v>1421</v>
      </c>
      <c r="AD191" s="5" t="s">
        <v>1465</v>
      </c>
    </row>
    <row r="192" spans="1:30" ht="112.5" customHeight="1">
      <c r="A192" s="12" t="s">
        <v>168</v>
      </c>
      <c r="B192" s="4" t="s">
        <v>1456</v>
      </c>
      <c r="C192" s="24" t="s">
        <v>24</v>
      </c>
      <c r="D192" s="12" t="s">
        <v>149</v>
      </c>
      <c r="E192" s="20" t="s">
        <v>45</v>
      </c>
      <c r="F192" s="20" t="s">
        <v>74</v>
      </c>
      <c r="G192" s="12" t="s">
        <v>74</v>
      </c>
      <c r="H192" s="4" t="s">
        <v>531</v>
      </c>
      <c r="I192" s="4">
        <v>2012</v>
      </c>
      <c r="J192" s="22" t="s">
        <v>2308</v>
      </c>
      <c r="K192" s="22" t="s">
        <v>2308</v>
      </c>
      <c r="L192" s="22" t="s">
        <v>2308</v>
      </c>
      <c r="M192" s="22" t="s">
        <v>2308</v>
      </c>
      <c r="N192" s="22" t="s">
        <v>2308</v>
      </c>
      <c r="O192" s="22" t="s">
        <v>2308</v>
      </c>
      <c r="P192" s="22" t="s">
        <v>2308</v>
      </c>
      <c r="Q192" s="22" t="s">
        <v>2308</v>
      </c>
      <c r="R192" s="22" t="s">
        <v>2308</v>
      </c>
      <c r="S192" s="22" t="s">
        <v>2308</v>
      </c>
      <c r="T192" s="22" t="s">
        <v>2308</v>
      </c>
      <c r="U192" s="22" t="s">
        <v>2308</v>
      </c>
      <c r="V192" s="22" t="s">
        <v>2308</v>
      </c>
      <c r="W192" s="22" t="s">
        <v>2308</v>
      </c>
      <c r="X192" s="22" t="s">
        <v>2308</v>
      </c>
      <c r="Y192" s="22" t="s">
        <v>2308</v>
      </c>
      <c r="Z192" s="4" t="s">
        <v>2308</v>
      </c>
      <c r="AA192" s="4" t="s">
        <v>2308</v>
      </c>
      <c r="AB192" s="4" t="s">
        <v>2308</v>
      </c>
      <c r="AC192" s="5" t="s">
        <v>1421</v>
      </c>
      <c r="AD192" s="5" t="s">
        <v>1465</v>
      </c>
    </row>
    <row r="193" spans="1:30" ht="112.5" customHeight="1">
      <c r="A193" s="12" t="s">
        <v>169</v>
      </c>
      <c r="B193" s="4" t="s">
        <v>177</v>
      </c>
      <c r="C193" s="24" t="s">
        <v>24</v>
      </c>
      <c r="D193" s="12" t="s">
        <v>149</v>
      </c>
      <c r="E193" s="20" t="s">
        <v>403</v>
      </c>
      <c r="F193" s="20" t="s">
        <v>74</v>
      </c>
      <c r="G193" s="12" t="s">
        <v>74</v>
      </c>
      <c r="H193" s="4" t="s">
        <v>531</v>
      </c>
      <c r="I193" s="4">
        <v>2002</v>
      </c>
      <c r="J193" s="22" t="s">
        <v>2308</v>
      </c>
      <c r="K193" s="22" t="s">
        <v>2308</v>
      </c>
      <c r="L193" s="22" t="s">
        <v>2308</v>
      </c>
      <c r="M193" s="22" t="s">
        <v>2308</v>
      </c>
      <c r="N193" s="22" t="s">
        <v>2308</v>
      </c>
      <c r="O193" s="22" t="s">
        <v>2308</v>
      </c>
      <c r="P193" s="22" t="s">
        <v>2308</v>
      </c>
      <c r="Q193" s="22" t="s">
        <v>2308</v>
      </c>
      <c r="R193" s="22" t="s">
        <v>2308</v>
      </c>
      <c r="S193" s="22" t="s">
        <v>2308</v>
      </c>
      <c r="T193" s="22" t="s">
        <v>2308</v>
      </c>
      <c r="U193" s="22" t="s">
        <v>2308</v>
      </c>
      <c r="V193" s="22" t="s">
        <v>2308</v>
      </c>
      <c r="W193" s="22" t="s">
        <v>2308</v>
      </c>
      <c r="X193" s="22" t="s">
        <v>2308</v>
      </c>
      <c r="Y193" s="22" t="s">
        <v>2308</v>
      </c>
      <c r="Z193" s="4" t="s">
        <v>2308</v>
      </c>
      <c r="AA193" s="4" t="s">
        <v>2308</v>
      </c>
      <c r="AB193" s="4" t="s">
        <v>2308</v>
      </c>
      <c r="AC193" s="5" t="s">
        <v>1421</v>
      </c>
      <c r="AD193" s="5" t="s">
        <v>1465</v>
      </c>
    </row>
    <row r="194" spans="1:30" ht="112.5" customHeight="1">
      <c r="A194" s="12" t="s">
        <v>169</v>
      </c>
      <c r="B194" s="4" t="s">
        <v>178</v>
      </c>
      <c r="C194" s="24" t="s">
        <v>24</v>
      </c>
      <c r="D194" s="12" t="s">
        <v>149</v>
      </c>
      <c r="E194" s="20" t="s">
        <v>403</v>
      </c>
      <c r="F194" s="20" t="s">
        <v>74</v>
      </c>
      <c r="G194" s="12" t="s">
        <v>74</v>
      </c>
      <c r="H194" s="4" t="s">
        <v>531</v>
      </c>
      <c r="I194" s="4">
        <v>2003</v>
      </c>
      <c r="J194" s="22" t="s">
        <v>2308</v>
      </c>
      <c r="K194" s="22" t="s">
        <v>2308</v>
      </c>
      <c r="L194" s="22" t="s">
        <v>2308</v>
      </c>
      <c r="M194" s="22" t="s">
        <v>2308</v>
      </c>
      <c r="N194" s="22" t="s">
        <v>2308</v>
      </c>
      <c r="O194" s="22" t="s">
        <v>2308</v>
      </c>
      <c r="P194" s="22" t="s">
        <v>2308</v>
      </c>
      <c r="Q194" s="22" t="s">
        <v>2308</v>
      </c>
      <c r="R194" s="22" t="s">
        <v>2308</v>
      </c>
      <c r="S194" s="22" t="s">
        <v>2308</v>
      </c>
      <c r="T194" s="22" t="s">
        <v>2308</v>
      </c>
      <c r="U194" s="22" t="s">
        <v>2308</v>
      </c>
      <c r="V194" s="22" t="s">
        <v>2308</v>
      </c>
      <c r="W194" s="22" t="s">
        <v>2308</v>
      </c>
      <c r="X194" s="22" t="s">
        <v>2308</v>
      </c>
      <c r="Y194" s="22" t="s">
        <v>2308</v>
      </c>
      <c r="Z194" s="4" t="s">
        <v>2308</v>
      </c>
      <c r="AA194" s="4" t="s">
        <v>2308</v>
      </c>
      <c r="AB194" s="4" t="s">
        <v>2308</v>
      </c>
      <c r="AC194" s="5" t="s">
        <v>1421</v>
      </c>
      <c r="AD194" s="5" t="s">
        <v>1465</v>
      </c>
    </row>
    <row r="195" spans="1:30" ht="112.5" customHeight="1">
      <c r="A195" s="12" t="s">
        <v>169</v>
      </c>
      <c r="B195" s="4" t="s">
        <v>179</v>
      </c>
      <c r="C195" s="24" t="s">
        <v>24</v>
      </c>
      <c r="D195" s="12" t="s">
        <v>149</v>
      </c>
      <c r="E195" s="20" t="s">
        <v>403</v>
      </c>
      <c r="F195" s="20" t="s">
        <v>74</v>
      </c>
      <c r="G195" s="12" t="s">
        <v>74</v>
      </c>
      <c r="H195" s="4" t="s">
        <v>531</v>
      </c>
      <c r="I195" s="4">
        <v>2004</v>
      </c>
      <c r="J195" s="22" t="s">
        <v>2308</v>
      </c>
      <c r="K195" s="22" t="s">
        <v>2308</v>
      </c>
      <c r="L195" s="22" t="s">
        <v>2308</v>
      </c>
      <c r="M195" s="22" t="s">
        <v>2308</v>
      </c>
      <c r="N195" s="22" t="s">
        <v>2308</v>
      </c>
      <c r="O195" s="22" t="s">
        <v>2308</v>
      </c>
      <c r="P195" s="22" t="s">
        <v>2308</v>
      </c>
      <c r="Q195" s="22" t="s">
        <v>2308</v>
      </c>
      <c r="R195" s="22" t="s">
        <v>2308</v>
      </c>
      <c r="S195" s="22" t="s">
        <v>2308</v>
      </c>
      <c r="T195" s="22" t="s">
        <v>2308</v>
      </c>
      <c r="U195" s="22" t="s">
        <v>2308</v>
      </c>
      <c r="V195" s="22" t="s">
        <v>2308</v>
      </c>
      <c r="W195" s="22" t="s">
        <v>2308</v>
      </c>
      <c r="X195" s="22" t="s">
        <v>2308</v>
      </c>
      <c r="Y195" s="22" t="s">
        <v>2308</v>
      </c>
      <c r="Z195" s="4" t="s">
        <v>2308</v>
      </c>
      <c r="AA195" s="4" t="s">
        <v>2308</v>
      </c>
      <c r="AB195" s="4" t="s">
        <v>2308</v>
      </c>
      <c r="AC195" s="5" t="s">
        <v>1421</v>
      </c>
      <c r="AD195" s="5" t="s">
        <v>1465</v>
      </c>
    </row>
    <row r="196" spans="1:30" ht="112.5" customHeight="1">
      <c r="A196" s="12" t="s">
        <v>169</v>
      </c>
      <c r="B196" s="4" t="s">
        <v>1435</v>
      </c>
      <c r="C196" s="24" t="s">
        <v>24</v>
      </c>
      <c r="D196" s="12" t="s">
        <v>149</v>
      </c>
      <c r="E196" s="20" t="s">
        <v>403</v>
      </c>
      <c r="F196" s="20" t="s">
        <v>74</v>
      </c>
      <c r="G196" s="12" t="s">
        <v>74</v>
      </c>
      <c r="H196" s="4" t="s">
        <v>531</v>
      </c>
      <c r="I196" s="4">
        <v>2005</v>
      </c>
      <c r="J196" s="22" t="s">
        <v>2308</v>
      </c>
      <c r="K196" s="22" t="s">
        <v>2308</v>
      </c>
      <c r="L196" s="22" t="s">
        <v>2308</v>
      </c>
      <c r="M196" s="22" t="s">
        <v>2308</v>
      </c>
      <c r="N196" s="22" t="s">
        <v>2308</v>
      </c>
      <c r="O196" s="22" t="s">
        <v>2308</v>
      </c>
      <c r="P196" s="22" t="s">
        <v>2308</v>
      </c>
      <c r="Q196" s="22" t="s">
        <v>2308</v>
      </c>
      <c r="R196" s="22" t="s">
        <v>2308</v>
      </c>
      <c r="S196" s="22" t="s">
        <v>2308</v>
      </c>
      <c r="T196" s="22" t="s">
        <v>2308</v>
      </c>
      <c r="U196" s="22" t="s">
        <v>2308</v>
      </c>
      <c r="V196" s="22" t="s">
        <v>2308</v>
      </c>
      <c r="W196" s="22" t="s">
        <v>2308</v>
      </c>
      <c r="X196" s="22" t="s">
        <v>2308</v>
      </c>
      <c r="Y196" s="22" t="s">
        <v>2308</v>
      </c>
      <c r="Z196" s="4" t="s">
        <v>2308</v>
      </c>
      <c r="AA196" s="4" t="s">
        <v>2308</v>
      </c>
      <c r="AB196" s="4" t="s">
        <v>2308</v>
      </c>
      <c r="AC196" s="5" t="s">
        <v>1421</v>
      </c>
      <c r="AD196" s="5" t="s">
        <v>1465</v>
      </c>
    </row>
    <row r="197" spans="1:30" ht="112.5" customHeight="1">
      <c r="A197" s="12" t="s">
        <v>169</v>
      </c>
      <c r="B197" s="4" t="s">
        <v>1436</v>
      </c>
      <c r="C197" s="24" t="s">
        <v>24</v>
      </c>
      <c r="D197" s="12" t="s">
        <v>149</v>
      </c>
      <c r="E197" s="20" t="s">
        <v>403</v>
      </c>
      <c r="F197" s="20" t="s">
        <v>74</v>
      </c>
      <c r="G197" s="12" t="s">
        <v>74</v>
      </c>
      <c r="H197" s="4" t="s">
        <v>531</v>
      </c>
      <c r="I197" s="4">
        <v>2006</v>
      </c>
      <c r="J197" s="22" t="s">
        <v>2308</v>
      </c>
      <c r="K197" s="22" t="s">
        <v>2308</v>
      </c>
      <c r="L197" s="22" t="s">
        <v>2308</v>
      </c>
      <c r="M197" s="22" t="s">
        <v>2308</v>
      </c>
      <c r="N197" s="22" t="s">
        <v>2308</v>
      </c>
      <c r="O197" s="22" t="s">
        <v>2308</v>
      </c>
      <c r="P197" s="22" t="s">
        <v>2308</v>
      </c>
      <c r="Q197" s="22" t="s">
        <v>2308</v>
      </c>
      <c r="R197" s="22" t="s">
        <v>2308</v>
      </c>
      <c r="S197" s="22" t="s">
        <v>2308</v>
      </c>
      <c r="T197" s="22" t="s">
        <v>2308</v>
      </c>
      <c r="U197" s="22" t="s">
        <v>2308</v>
      </c>
      <c r="V197" s="22" t="s">
        <v>2308</v>
      </c>
      <c r="W197" s="22" t="s">
        <v>2308</v>
      </c>
      <c r="X197" s="22" t="s">
        <v>2308</v>
      </c>
      <c r="Y197" s="22" t="s">
        <v>2308</v>
      </c>
      <c r="Z197" s="4" t="s">
        <v>2308</v>
      </c>
      <c r="AA197" s="4" t="s">
        <v>2308</v>
      </c>
      <c r="AB197" s="4" t="s">
        <v>2308</v>
      </c>
      <c r="AC197" s="5" t="s">
        <v>1421</v>
      </c>
      <c r="AD197" s="5" t="s">
        <v>1465</v>
      </c>
    </row>
    <row r="198" spans="1:30" ht="112.5" customHeight="1">
      <c r="A198" s="12" t="s">
        <v>169</v>
      </c>
      <c r="B198" s="4" t="s">
        <v>1437</v>
      </c>
      <c r="C198" s="24" t="s">
        <v>24</v>
      </c>
      <c r="D198" s="12" t="s">
        <v>149</v>
      </c>
      <c r="E198" s="20" t="s">
        <v>403</v>
      </c>
      <c r="F198" s="20" t="s">
        <v>74</v>
      </c>
      <c r="G198" s="12" t="s">
        <v>74</v>
      </c>
      <c r="H198" s="4" t="s">
        <v>531</v>
      </c>
      <c r="I198" s="4">
        <v>2007</v>
      </c>
      <c r="J198" s="22" t="s">
        <v>2308</v>
      </c>
      <c r="K198" s="22" t="s">
        <v>2308</v>
      </c>
      <c r="L198" s="22" t="s">
        <v>2308</v>
      </c>
      <c r="M198" s="22" t="s">
        <v>2308</v>
      </c>
      <c r="N198" s="22" t="s">
        <v>2308</v>
      </c>
      <c r="O198" s="22" t="s">
        <v>2308</v>
      </c>
      <c r="P198" s="22" t="s">
        <v>2308</v>
      </c>
      <c r="Q198" s="22" t="s">
        <v>2308</v>
      </c>
      <c r="R198" s="22" t="s">
        <v>2308</v>
      </c>
      <c r="S198" s="22" t="s">
        <v>2308</v>
      </c>
      <c r="T198" s="22" t="s">
        <v>2308</v>
      </c>
      <c r="U198" s="22" t="s">
        <v>2308</v>
      </c>
      <c r="V198" s="22" t="s">
        <v>2308</v>
      </c>
      <c r="W198" s="22" t="s">
        <v>2308</v>
      </c>
      <c r="X198" s="22" t="s">
        <v>2308</v>
      </c>
      <c r="Y198" s="22" t="s">
        <v>2308</v>
      </c>
      <c r="Z198" s="4" t="s">
        <v>2308</v>
      </c>
      <c r="AA198" s="4" t="s">
        <v>2308</v>
      </c>
      <c r="AB198" s="4" t="s">
        <v>2308</v>
      </c>
      <c r="AC198" s="5" t="s">
        <v>1421</v>
      </c>
      <c r="AD198" s="5" t="s">
        <v>1465</v>
      </c>
    </row>
    <row r="199" spans="1:30" ht="112.5" customHeight="1">
      <c r="A199" s="12" t="s">
        <v>169</v>
      </c>
      <c r="B199" s="4" t="s">
        <v>1438</v>
      </c>
      <c r="C199" s="24" t="s">
        <v>24</v>
      </c>
      <c r="D199" s="12" t="s">
        <v>149</v>
      </c>
      <c r="E199" s="20" t="s">
        <v>403</v>
      </c>
      <c r="F199" s="20" t="s">
        <v>74</v>
      </c>
      <c r="G199" s="12" t="s">
        <v>74</v>
      </c>
      <c r="H199" s="4" t="s">
        <v>531</v>
      </c>
      <c r="I199" s="4">
        <v>2008</v>
      </c>
      <c r="J199" s="22" t="s">
        <v>2308</v>
      </c>
      <c r="K199" s="22" t="s">
        <v>2308</v>
      </c>
      <c r="L199" s="22" t="s">
        <v>2308</v>
      </c>
      <c r="M199" s="22" t="s">
        <v>2308</v>
      </c>
      <c r="N199" s="22" t="s">
        <v>2308</v>
      </c>
      <c r="O199" s="22" t="s">
        <v>2308</v>
      </c>
      <c r="P199" s="22" t="s">
        <v>2308</v>
      </c>
      <c r="Q199" s="22" t="s">
        <v>2308</v>
      </c>
      <c r="R199" s="22" t="s">
        <v>2308</v>
      </c>
      <c r="S199" s="22" t="s">
        <v>2308</v>
      </c>
      <c r="T199" s="22" t="s">
        <v>2308</v>
      </c>
      <c r="U199" s="22" t="s">
        <v>2308</v>
      </c>
      <c r="V199" s="22" t="s">
        <v>2308</v>
      </c>
      <c r="W199" s="22" t="s">
        <v>2308</v>
      </c>
      <c r="X199" s="22" t="s">
        <v>2308</v>
      </c>
      <c r="Y199" s="22" t="s">
        <v>2308</v>
      </c>
      <c r="Z199" s="4" t="s">
        <v>2308</v>
      </c>
      <c r="AA199" s="4" t="s">
        <v>2308</v>
      </c>
      <c r="AB199" s="4" t="s">
        <v>2308</v>
      </c>
      <c r="AC199" s="5" t="s">
        <v>1421</v>
      </c>
      <c r="AD199" s="5" t="s">
        <v>1465</v>
      </c>
    </row>
    <row r="200" spans="1:30" ht="112.5" customHeight="1">
      <c r="A200" s="12" t="s">
        <v>169</v>
      </c>
      <c r="B200" s="4" t="s">
        <v>1439</v>
      </c>
      <c r="C200" s="24" t="s">
        <v>24</v>
      </c>
      <c r="D200" s="12" t="s">
        <v>149</v>
      </c>
      <c r="E200" s="20" t="s">
        <v>403</v>
      </c>
      <c r="F200" s="20" t="s">
        <v>74</v>
      </c>
      <c r="G200" s="12" t="s">
        <v>74</v>
      </c>
      <c r="H200" s="4" t="s">
        <v>531</v>
      </c>
      <c r="I200" s="4">
        <v>2009</v>
      </c>
      <c r="J200" s="22" t="s">
        <v>2308</v>
      </c>
      <c r="K200" s="22" t="s">
        <v>2308</v>
      </c>
      <c r="L200" s="22" t="s">
        <v>2308</v>
      </c>
      <c r="M200" s="22" t="s">
        <v>2308</v>
      </c>
      <c r="N200" s="22" t="s">
        <v>2308</v>
      </c>
      <c r="O200" s="22" t="s">
        <v>2308</v>
      </c>
      <c r="P200" s="22" t="s">
        <v>2308</v>
      </c>
      <c r="Q200" s="22" t="s">
        <v>2308</v>
      </c>
      <c r="R200" s="22" t="s">
        <v>2308</v>
      </c>
      <c r="S200" s="22" t="s">
        <v>2308</v>
      </c>
      <c r="T200" s="22" t="s">
        <v>2308</v>
      </c>
      <c r="U200" s="22" t="s">
        <v>2308</v>
      </c>
      <c r="V200" s="22" t="s">
        <v>2308</v>
      </c>
      <c r="W200" s="22" t="s">
        <v>2308</v>
      </c>
      <c r="X200" s="22" t="s">
        <v>2308</v>
      </c>
      <c r="Y200" s="22" t="s">
        <v>2308</v>
      </c>
      <c r="Z200" s="4" t="s">
        <v>2308</v>
      </c>
      <c r="AA200" s="4" t="s">
        <v>2308</v>
      </c>
      <c r="AB200" s="4" t="s">
        <v>2308</v>
      </c>
      <c r="AC200" s="5" t="s">
        <v>1421</v>
      </c>
      <c r="AD200" s="5" t="s">
        <v>1465</v>
      </c>
    </row>
    <row r="201" spans="1:30" ht="112.5" customHeight="1">
      <c r="A201" s="12" t="s">
        <v>169</v>
      </c>
      <c r="B201" s="4" t="s">
        <v>1440</v>
      </c>
      <c r="C201" s="24" t="s">
        <v>24</v>
      </c>
      <c r="D201" s="12" t="s">
        <v>149</v>
      </c>
      <c r="E201" s="20" t="s">
        <v>403</v>
      </c>
      <c r="F201" s="20" t="s">
        <v>74</v>
      </c>
      <c r="G201" s="12" t="s">
        <v>74</v>
      </c>
      <c r="H201" s="4" t="s">
        <v>531</v>
      </c>
      <c r="I201" s="4">
        <v>2010</v>
      </c>
      <c r="J201" s="22" t="s">
        <v>2308</v>
      </c>
      <c r="K201" s="22" t="s">
        <v>2308</v>
      </c>
      <c r="L201" s="22" t="s">
        <v>2308</v>
      </c>
      <c r="M201" s="22" t="s">
        <v>2308</v>
      </c>
      <c r="N201" s="22" t="s">
        <v>2308</v>
      </c>
      <c r="O201" s="22" t="s">
        <v>2308</v>
      </c>
      <c r="P201" s="22" t="s">
        <v>2308</v>
      </c>
      <c r="Q201" s="22" t="s">
        <v>2308</v>
      </c>
      <c r="R201" s="22" t="s">
        <v>2308</v>
      </c>
      <c r="S201" s="22" t="s">
        <v>2308</v>
      </c>
      <c r="T201" s="22" t="s">
        <v>2308</v>
      </c>
      <c r="U201" s="22" t="s">
        <v>2308</v>
      </c>
      <c r="V201" s="22" t="s">
        <v>2308</v>
      </c>
      <c r="W201" s="22" t="s">
        <v>2308</v>
      </c>
      <c r="X201" s="22" t="s">
        <v>2308</v>
      </c>
      <c r="Y201" s="22" t="s">
        <v>2308</v>
      </c>
      <c r="Z201" s="4" t="s">
        <v>2308</v>
      </c>
      <c r="AA201" s="4" t="s">
        <v>2308</v>
      </c>
      <c r="AB201" s="4" t="s">
        <v>2308</v>
      </c>
      <c r="AC201" s="5" t="s">
        <v>1421</v>
      </c>
      <c r="AD201" s="5" t="s">
        <v>1465</v>
      </c>
    </row>
    <row r="202" spans="1:30" ht="112.5" customHeight="1">
      <c r="A202" s="12" t="s">
        <v>169</v>
      </c>
      <c r="B202" s="4" t="s">
        <v>1441</v>
      </c>
      <c r="C202" s="24" t="s">
        <v>24</v>
      </c>
      <c r="D202" s="12" t="s">
        <v>149</v>
      </c>
      <c r="E202" s="20" t="s">
        <v>403</v>
      </c>
      <c r="F202" s="20" t="s">
        <v>74</v>
      </c>
      <c r="G202" s="12" t="s">
        <v>74</v>
      </c>
      <c r="H202" s="4" t="s">
        <v>531</v>
      </c>
      <c r="I202" s="4">
        <v>2011</v>
      </c>
      <c r="J202" s="22" t="s">
        <v>2308</v>
      </c>
      <c r="K202" s="22" t="s">
        <v>2308</v>
      </c>
      <c r="L202" s="22" t="s">
        <v>2308</v>
      </c>
      <c r="M202" s="22" t="s">
        <v>2308</v>
      </c>
      <c r="N202" s="22" t="s">
        <v>2308</v>
      </c>
      <c r="O202" s="22" t="s">
        <v>2308</v>
      </c>
      <c r="P202" s="22" t="s">
        <v>2308</v>
      </c>
      <c r="Q202" s="22" t="s">
        <v>2308</v>
      </c>
      <c r="R202" s="22" t="s">
        <v>2308</v>
      </c>
      <c r="S202" s="22" t="s">
        <v>2308</v>
      </c>
      <c r="T202" s="22" t="s">
        <v>2308</v>
      </c>
      <c r="U202" s="22" t="s">
        <v>2308</v>
      </c>
      <c r="V202" s="22" t="s">
        <v>2308</v>
      </c>
      <c r="W202" s="22" t="s">
        <v>2308</v>
      </c>
      <c r="X202" s="22" t="s">
        <v>2308</v>
      </c>
      <c r="Y202" s="22" t="s">
        <v>2308</v>
      </c>
      <c r="Z202" s="4" t="s">
        <v>2308</v>
      </c>
      <c r="AA202" s="4" t="s">
        <v>2308</v>
      </c>
      <c r="AB202" s="4" t="s">
        <v>2308</v>
      </c>
      <c r="AC202" s="5" t="s">
        <v>1421</v>
      </c>
      <c r="AD202" s="5" t="s">
        <v>1465</v>
      </c>
    </row>
    <row r="203" spans="1:30" ht="112.5" customHeight="1">
      <c r="A203" s="12" t="s">
        <v>169</v>
      </c>
      <c r="B203" s="4" t="s">
        <v>1442</v>
      </c>
      <c r="C203" s="24" t="s">
        <v>24</v>
      </c>
      <c r="D203" s="12" t="s">
        <v>149</v>
      </c>
      <c r="E203" s="20" t="s">
        <v>403</v>
      </c>
      <c r="F203" s="20" t="s">
        <v>74</v>
      </c>
      <c r="G203" s="12" t="s">
        <v>74</v>
      </c>
      <c r="H203" s="4" t="s">
        <v>531</v>
      </c>
      <c r="I203" s="4">
        <v>2012</v>
      </c>
      <c r="J203" s="22" t="s">
        <v>2308</v>
      </c>
      <c r="K203" s="22" t="s">
        <v>2308</v>
      </c>
      <c r="L203" s="22" t="s">
        <v>2308</v>
      </c>
      <c r="M203" s="22" t="s">
        <v>2308</v>
      </c>
      <c r="N203" s="22" t="s">
        <v>2308</v>
      </c>
      <c r="O203" s="22" t="s">
        <v>2308</v>
      </c>
      <c r="P203" s="22" t="s">
        <v>2308</v>
      </c>
      <c r="Q203" s="22" t="s">
        <v>2308</v>
      </c>
      <c r="R203" s="22" t="s">
        <v>2308</v>
      </c>
      <c r="S203" s="22" t="s">
        <v>2308</v>
      </c>
      <c r="T203" s="22" t="s">
        <v>2308</v>
      </c>
      <c r="U203" s="22" t="s">
        <v>2308</v>
      </c>
      <c r="V203" s="22" t="s">
        <v>2308</v>
      </c>
      <c r="W203" s="22" t="s">
        <v>2308</v>
      </c>
      <c r="X203" s="22" t="s">
        <v>2308</v>
      </c>
      <c r="Y203" s="22" t="s">
        <v>2308</v>
      </c>
      <c r="Z203" s="4" t="s">
        <v>2308</v>
      </c>
      <c r="AA203" s="4" t="s">
        <v>2308</v>
      </c>
      <c r="AB203" s="4" t="s">
        <v>2308</v>
      </c>
      <c r="AC203" s="5" t="s">
        <v>1421</v>
      </c>
      <c r="AD203" s="5" t="s">
        <v>1465</v>
      </c>
    </row>
    <row r="204" spans="1:30" ht="112.5" customHeight="1">
      <c r="A204" s="12" t="s">
        <v>169</v>
      </c>
      <c r="B204" s="4" t="s">
        <v>1443</v>
      </c>
      <c r="C204" s="24" t="s">
        <v>24</v>
      </c>
      <c r="D204" s="12" t="s">
        <v>149</v>
      </c>
      <c r="E204" s="20" t="s">
        <v>45</v>
      </c>
      <c r="F204" s="20" t="s">
        <v>74</v>
      </c>
      <c r="G204" s="12" t="s">
        <v>74</v>
      </c>
      <c r="H204" s="4" t="s">
        <v>531</v>
      </c>
      <c r="I204" s="4">
        <v>2002</v>
      </c>
      <c r="J204" s="22" t="s">
        <v>2308</v>
      </c>
      <c r="K204" s="22" t="s">
        <v>2308</v>
      </c>
      <c r="L204" s="22" t="s">
        <v>2308</v>
      </c>
      <c r="M204" s="22" t="s">
        <v>2308</v>
      </c>
      <c r="N204" s="22" t="s">
        <v>2308</v>
      </c>
      <c r="O204" s="22" t="s">
        <v>2308</v>
      </c>
      <c r="P204" s="22" t="s">
        <v>2308</v>
      </c>
      <c r="Q204" s="22" t="s">
        <v>2308</v>
      </c>
      <c r="R204" s="22" t="s">
        <v>2308</v>
      </c>
      <c r="S204" s="22" t="s">
        <v>2308</v>
      </c>
      <c r="T204" s="22" t="s">
        <v>2308</v>
      </c>
      <c r="U204" s="22" t="s">
        <v>2308</v>
      </c>
      <c r="V204" s="22" t="s">
        <v>2308</v>
      </c>
      <c r="W204" s="22" t="s">
        <v>2308</v>
      </c>
      <c r="X204" s="22" t="s">
        <v>2308</v>
      </c>
      <c r="Y204" s="22" t="s">
        <v>2308</v>
      </c>
      <c r="Z204" s="4" t="s">
        <v>2308</v>
      </c>
      <c r="AA204" s="4" t="s">
        <v>2308</v>
      </c>
      <c r="AB204" s="4" t="s">
        <v>2308</v>
      </c>
      <c r="AC204" s="5" t="s">
        <v>1421</v>
      </c>
      <c r="AD204" s="5" t="s">
        <v>1465</v>
      </c>
    </row>
    <row r="205" spans="1:30" ht="112.5" customHeight="1">
      <c r="A205" s="12" t="s">
        <v>169</v>
      </c>
      <c r="B205" s="4" t="s">
        <v>1444</v>
      </c>
      <c r="C205" s="24" t="s">
        <v>24</v>
      </c>
      <c r="D205" s="12" t="s">
        <v>149</v>
      </c>
      <c r="E205" s="20" t="s">
        <v>45</v>
      </c>
      <c r="F205" s="20" t="s">
        <v>74</v>
      </c>
      <c r="G205" s="12" t="s">
        <v>74</v>
      </c>
      <c r="H205" s="4" t="s">
        <v>531</v>
      </c>
      <c r="I205" s="4">
        <v>2003</v>
      </c>
      <c r="J205" s="22" t="s">
        <v>2308</v>
      </c>
      <c r="K205" s="22" t="s">
        <v>2308</v>
      </c>
      <c r="L205" s="22" t="s">
        <v>2308</v>
      </c>
      <c r="M205" s="22" t="s">
        <v>2308</v>
      </c>
      <c r="N205" s="22" t="s">
        <v>2308</v>
      </c>
      <c r="O205" s="22" t="s">
        <v>2308</v>
      </c>
      <c r="P205" s="22" t="s">
        <v>2308</v>
      </c>
      <c r="Q205" s="22" t="s">
        <v>2308</v>
      </c>
      <c r="R205" s="22" t="s">
        <v>2308</v>
      </c>
      <c r="S205" s="22" t="s">
        <v>2308</v>
      </c>
      <c r="T205" s="22" t="s">
        <v>2308</v>
      </c>
      <c r="U205" s="22" t="s">
        <v>2308</v>
      </c>
      <c r="V205" s="22" t="s">
        <v>2308</v>
      </c>
      <c r="W205" s="22" t="s">
        <v>2308</v>
      </c>
      <c r="X205" s="22" t="s">
        <v>2308</v>
      </c>
      <c r="Y205" s="22" t="s">
        <v>2308</v>
      </c>
      <c r="Z205" s="4" t="s">
        <v>2308</v>
      </c>
      <c r="AA205" s="4" t="s">
        <v>2308</v>
      </c>
      <c r="AB205" s="4" t="s">
        <v>2308</v>
      </c>
      <c r="AC205" s="5" t="s">
        <v>1421</v>
      </c>
      <c r="AD205" s="5" t="s">
        <v>1465</v>
      </c>
    </row>
    <row r="206" spans="1:30" ht="112.5" customHeight="1">
      <c r="A206" s="12" t="s">
        <v>169</v>
      </c>
      <c r="B206" s="4" t="s">
        <v>1445</v>
      </c>
      <c r="C206" s="24" t="s">
        <v>24</v>
      </c>
      <c r="D206" s="12" t="s">
        <v>149</v>
      </c>
      <c r="E206" s="20" t="s">
        <v>45</v>
      </c>
      <c r="F206" s="20" t="s">
        <v>74</v>
      </c>
      <c r="G206" s="12" t="s">
        <v>74</v>
      </c>
      <c r="H206" s="4" t="s">
        <v>531</v>
      </c>
      <c r="I206" s="4">
        <v>2004</v>
      </c>
      <c r="J206" s="22" t="s">
        <v>2308</v>
      </c>
      <c r="K206" s="22" t="s">
        <v>2308</v>
      </c>
      <c r="L206" s="22" t="s">
        <v>2308</v>
      </c>
      <c r="M206" s="22" t="s">
        <v>2308</v>
      </c>
      <c r="N206" s="22" t="s">
        <v>2308</v>
      </c>
      <c r="O206" s="22" t="s">
        <v>2308</v>
      </c>
      <c r="P206" s="22" t="s">
        <v>2308</v>
      </c>
      <c r="Q206" s="22" t="s">
        <v>2308</v>
      </c>
      <c r="R206" s="22" t="s">
        <v>2308</v>
      </c>
      <c r="S206" s="22" t="s">
        <v>2308</v>
      </c>
      <c r="T206" s="22" t="s">
        <v>2308</v>
      </c>
      <c r="U206" s="22" t="s">
        <v>2308</v>
      </c>
      <c r="V206" s="22" t="s">
        <v>2308</v>
      </c>
      <c r="W206" s="22" t="s">
        <v>2308</v>
      </c>
      <c r="X206" s="22" t="s">
        <v>2308</v>
      </c>
      <c r="Y206" s="22" t="s">
        <v>2308</v>
      </c>
      <c r="Z206" s="4" t="s">
        <v>2308</v>
      </c>
      <c r="AA206" s="4" t="s">
        <v>2308</v>
      </c>
      <c r="AB206" s="4" t="s">
        <v>2308</v>
      </c>
      <c r="AC206" s="5" t="s">
        <v>1421</v>
      </c>
      <c r="AD206" s="5" t="s">
        <v>1465</v>
      </c>
    </row>
    <row r="207" spans="1:30" ht="112.5" customHeight="1">
      <c r="A207" s="12" t="s">
        <v>169</v>
      </c>
      <c r="B207" s="4" t="s">
        <v>1457</v>
      </c>
      <c r="C207" s="24" t="s">
        <v>24</v>
      </c>
      <c r="D207" s="12" t="s">
        <v>149</v>
      </c>
      <c r="E207" s="20" t="s">
        <v>45</v>
      </c>
      <c r="F207" s="20" t="s">
        <v>74</v>
      </c>
      <c r="G207" s="12" t="s">
        <v>74</v>
      </c>
      <c r="H207" s="4" t="s">
        <v>531</v>
      </c>
      <c r="I207" s="4">
        <v>2005</v>
      </c>
      <c r="J207" s="22" t="s">
        <v>2308</v>
      </c>
      <c r="K207" s="22" t="s">
        <v>2308</v>
      </c>
      <c r="L207" s="22" t="s">
        <v>2308</v>
      </c>
      <c r="M207" s="22" t="s">
        <v>2308</v>
      </c>
      <c r="N207" s="22" t="s">
        <v>2308</v>
      </c>
      <c r="O207" s="22" t="s">
        <v>2308</v>
      </c>
      <c r="P207" s="22" t="s">
        <v>2308</v>
      </c>
      <c r="Q207" s="22" t="s">
        <v>2308</v>
      </c>
      <c r="R207" s="22" t="s">
        <v>2308</v>
      </c>
      <c r="S207" s="22" t="s">
        <v>2308</v>
      </c>
      <c r="T207" s="22" t="s">
        <v>2308</v>
      </c>
      <c r="U207" s="22" t="s">
        <v>2308</v>
      </c>
      <c r="V207" s="22" t="s">
        <v>2308</v>
      </c>
      <c r="W207" s="22" t="s">
        <v>2308</v>
      </c>
      <c r="X207" s="22" t="s">
        <v>2308</v>
      </c>
      <c r="Y207" s="22" t="s">
        <v>2308</v>
      </c>
      <c r="Z207" s="4" t="s">
        <v>2308</v>
      </c>
      <c r="AA207" s="4" t="s">
        <v>2308</v>
      </c>
      <c r="AB207" s="4" t="s">
        <v>2308</v>
      </c>
      <c r="AC207" s="5" t="s">
        <v>1421</v>
      </c>
      <c r="AD207" s="5" t="s">
        <v>1465</v>
      </c>
    </row>
    <row r="208" spans="1:30" ht="112.5" customHeight="1">
      <c r="A208" s="12" t="s">
        <v>169</v>
      </c>
      <c r="B208" s="4" t="s">
        <v>1458</v>
      </c>
      <c r="C208" s="24" t="s">
        <v>24</v>
      </c>
      <c r="D208" s="12" t="s">
        <v>149</v>
      </c>
      <c r="E208" s="20" t="s">
        <v>45</v>
      </c>
      <c r="F208" s="20" t="s">
        <v>74</v>
      </c>
      <c r="G208" s="12" t="s">
        <v>74</v>
      </c>
      <c r="H208" s="4" t="s">
        <v>531</v>
      </c>
      <c r="I208" s="4">
        <v>2006</v>
      </c>
      <c r="J208" s="22" t="s">
        <v>2308</v>
      </c>
      <c r="K208" s="22" t="s">
        <v>2308</v>
      </c>
      <c r="L208" s="22" t="s">
        <v>2308</v>
      </c>
      <c r="M208" s="22" t="s">
        <v>2308</v>
      </c>
      <c r="N208" s="22" t="s">
        <v>2308</v>
      </c>
      <c r="O208" s="22" t="s">
        <v>2308</v>
      </c>
      <c r="P208" s="22" t="s">
        <v>2308</v>
      </c>
      <c r="Q208" s="22" t="s">
        <v>2308</v>
      </c>
      <c r="R208" s="22" t="s">
        <v>2308</v>
      </c>
      <c r="S208" s="22" t="s">
        <v>2308</v>
      </c>
      <c r="T208" s="22" t="s">
        <v>2308</v>
      </c>
      <c r="U208" s="22" t="s">
        <v>2308</v>
      </c>
      <c r="V208" s="22" t="s">
        <v>2308</v>
      </c>
      <c r="W208" s="22" t="s">
        <v>2308</v>
      </c>
      <c r="X208" s="22" t="s">
        <v>2308</v>
      </c>
      <c r="Y208" s="22" t="s">
        <v>2308</v>
      </c>
      <c r="Z208" s="4" t="s">
        <v>2308</v>
      </c>
      <c r="AA208" s="4" t="s">
        <v>2308</v>
      </c>
      <c r="AB208" s="4" t="s">
        <v>2308</v>
      </c>
      <c r="AC208" s="5" t="s">
        <v>1421</v>
      </c>
      <c r="AD208" s="5" t="s">
        <v>1465</v>
      </c>
    </row>
    <row r="209" spans="1:30" ht="112.5" customHeight="1">
      <c r="A209" s="12" t="s">
        <v>169</v>
      </c>
      <c r="B209" s="4" t="s">
        <v>1459</v>
      </c>
      <c r="C209" s="24" t="s">
        <v>24</v>
      </c>
      <c r="D209" s="12" t="s">
        <v>149</v>
      </c>
      <c r="E209" s="20" t="s">
        <v>45</v>
      </c>
      <c r="F209" s="20" t="s">
        <v>74</v>
      </c>
      <c r="G209" s="12" t="s">
        <v>74</v>
      </c>
      <c r="H209" s="4" t="s">
        <v>531</v>
      </c>
      <c r="I209" s="4">
        <v>2007</v>
      </c>
      <c r="J209" s="22" t="s">
        <v>2308</v>
      </c>
      <c r="K209" s="22" t="s">
        <v>2308</v>
      </c>
      <c r="L209" s="22" t="s">
        <v>2308</v>
      </c>
      <c r="M209" s="22" t="s">
        <v>2308</v>
      </c>
      <c r="N209" s="22" t="s">
        <v>2308</v>
      </c>
      <c r="O209" s="22" t="s">
        <v>2308</v>
      </c>
      <c r="P209" s="22" t="s">
        <v>2308</v>
      </c>
      <c r="Q209" s="22" t="s">
        <v>2308</v>
      </c>
      <c r="R209" s="22" t="s">
        <v>2308</v>
      </c>
      <c r="S209" s="22" t="s">
        <v>2308</v>
      </c>
      <c r="T209" s="22" t="s">
        <v>2308</v>
      </c>
      <c r="U209" s="22" t="s">
        <v>2308</v>
      </c>
      <c r="V209" s="22" t="s">
        <v>2308</v>
      </c>
      <c r="W209" s="22" t="s">
        <v>2308</v>
      </c>
      <c r="X209" s="22" t="s">
        <v>2308</v>
      </c>
      <c r="Y209" s="22" t="s">
        <v>2308</v>
      </c>
      <c r="Z209" s="4" t="s">
        <v>2308</v>
      </c>
      <c r="AA209" s="4" t="s">
        <v>2308</v>
      </c>
      <c r="AB209" s="4" t="s">
        <v>2308</v>
      </c>
      <c r="AC209" s="5" t="s">
        <v>1421</v>
      </c>
      <c r="AD209" s="5" t="s">
        <v>1465</v>
      </c>
    </row>
    <row r="210" spans="1:30" ht="112.5" customHeight="1">
      <c r="A210" s="12" t="s">
        <v>169</v>
      </c>
      <c r="B210" s="4" t="s">
        <v>1460</v>
      </c>
      <c r="C210" s="24" t="s">
        <v>24</v>
      </c>
      <c r="D210" s="12" t="s">
        <v>149</v>
      </c>
      <c r="E210" s="20" t="s">
        <v>45</v>
      </c>
      <c r="F210" s="20" t="s">
        <v>74</v>
      </c>
      <c r="G210" s="12" t="s">
        <v>74</v>
      </c>
      <c r="H210" s="4" t="s">
        <v>531</v>
      </c>
      <c r="I210" s="4">
        <v>2008</v>
      </c>
      <c r="J210" s="22" t="s">
        <v>2308</v>
      </c>
      <c r="K210" s="22" t="s">
        <v>2308</v>
      </c>
      <c r="L210" s="22" t="s">
        <v>2308</v>
      </c>
      <c r="M210" s="22" t="s">
        <v>2308</v>
      </c>
      <c r="N210" s="22" t="s">
        <v>2308</v>
      </c>
      <c r="O210" s="22" t="s">
        <v>2308</v>
      </c>
      <c r="P210" s="22" t="s">
        <v>2308</v>
      </c>
      <c r="Q210" s="22" t="s">
        <v>2308</v>
      </c>
      <c r="R210" s="22" t="s">
        <v>2308</v>
      </c>
      <c r="S210" s="22" t="s">
        <v>2308</v>
      </c>
      <c r="T210" s="22" t="s">
        <v>2308</v>
      </c>
      <c r="U210" s="22" t="s">
        <v>2308</v>
      </c>
      <c r="V210" s="22" t="s">
        <v>2308</v>
      </c>
      <c r="W210" s="22" t="s">
        <v>2308</v>
      </c>
      <c r="X210" s="22" t="s">
        <v>2308</v>
      </c>
      <c r="Y210" s="22" t="s">
        <v>2308</v>
      </c>
      <c r="Z210" s="4" t="s">
        <v>2308</v>
      </c>
      <c r="AA210" s="4" t="s">
        <v>2308</v>
      </c>
      <c r="AB210" s="4" t="s">
        <v>2308</v>
      </c>
      <c r="AC210" s="5" t="s">
        <v>1421</v>
      </c>
      <c r="AD210" s="5" t="s">
        <v>1465</v>
      </c>
    </row>
    <row r="211" spans="1:30" ht="112.5" customHeight="1">
      <c r="A211" s="12" t="s">
        <v>169</v>
      </c>
      <c r="B211" s="4" t="s">
        <v>1461</v>
      </c>
      <c r="C211" s="24" t="s">
        <v>24</v>
      </c>
      <c r="D211" s="12" t="s">
        <v>149</v>
      </c>
      <c r="E211" s="20" t="s">
        <v>45</v>
      </c>
      <c r="F211" s="20" t="s">
        <v>74</v>
      </c>
      <c r="G211" s="12" t="s">
        <v>74</v>
      </c>
      <c r="H211" s="4" t="s">
        <v>531</v>
      </c>
      <c r="I211" s="4">
        <v>2009</v>
      </c>
      <c r="J211" s="22" t="s">
        <v>2308</v>
      </c>
      <c r="K211" s="22" t="s">
        <v>2308</v>
      </c>
      <c r="L211" s="22" t="s">
        <v>2308</v>
      </c>
      <c r="M211" s="22" t="s">
        <v>2308</v>
      </c>
      <c r="N211" s="22" t="s">
        <v>2308</v>
      </c>
      <c r="O211" s="22" t="s">
        <v>2308</v>
      </c>
      <c r="P211" s="22" t="s">
        <v>2308</v>
      </c>
      <c r="Q211" s="22" t="s">
        <v>2308</v>
      </c>
      <c r="R211" s="22" t="s">
        <v>2308</v>
      </c>
      <c r="S211" s="22" t="s">
        <v>2308</v>
      </c>
      <c r="T211" s="22" t="s">
        <v>2308</v>
      </c>
      <c r="U211" s="22" t="s">
        <v>2308</v>
      </c>
      <c r="V211" s="22" t="s">
        <v>2308</v>
      </c>
      <c r="W211" s="22" t="s">
        <v>2308</v>
      </c>
      <c r="X211" s="22" t="s">
        <v>2308</v>
      </c>
      <c r="Y211" s="22" t="s">
        <v>2308</v>
      </c>
      <c r="Z211" s="4" t="s">
        <v>2308</v>
      </c>
      <c r="AA211" s="4" t="s">
        <v>2308</v>
      </c>
      <c r="AB211" s="4" t="s">
        <v>2308</v>
      </c>
      <c r="AC211" s="5" t="s">
        <v>1421</v>
      </c>
      <c r="AD211" s="5" t="s">
        <v>1465</v>
      </c>
    </row>
    <row r="212" spans="1:30" ht="112.5" customHeight="1">
      <c r="A212" s="12" t="s">
        <v>169</v>
      </c>
      <c r="B212" s="4" t="s">
        <v>1462</v>
      </c>
      <c r="C212" s="24" t="s">
        <v>24</v>
      </c>
      <c r="D212" s="12" t="s">
        <v>149</v>
      </c>
      <c r="E212" s="20" t="s">
        <v>45</v>
      </c>
      <c r="F212" s="20" t="s">
        <v>74</v>
      </c>
      <c r="G212" s="12" t="s">
        <v>74</v>
      </c>
      <c r="H212" s="4" t="s">
        <v>531</v>
      </c>
      <c r="I212" s="4">
        <v>2010</v>
      </c>
      <c r="J212" s="22" t="s">
        <v>2308</v>
      </c>
      <c r="K212" s="22" t="s">
        <v>2308</v>
      </c>
      <c r="L212" s="22" t="s">
        <v>2308</v>
      </c>
      <c r="M212" s="22" t="s">
        <v>2308</v>
      </c>
      <c r="N212" s="22" t="s">
        <v>2308</v>
      </c>
      <c r="O212" s="22" t="s">
        <v>2308</v>
      </c>
      <c r="P212" s="22" t="s">
        <v>2308</v>
      </c>
      <c r="Q212" s="22" t="s">
        <v>2308</v>
      </c>
      <c r="R212" s="22" t="s">
        <v>2308</v>
      </c>
      <c r="S212" s="22" t="s">
        <v>2308</v>
      </c>
      <c r="T212" s="22" t="s">
        <v>2308</v>
      </c>
      <c r="U212" s="22" t="s">
        <v>2308</v>
      </c>
      <c r="V212" s="22" t="s">
        <v>2308</v>
      </c>
      <c r="W212" s="22" t="s">
        <v>2308</v>
      </c>
      <c r="X212" s="22" t="s">
        <v>2308</v>
      </c>
      <c r="Y212" s="22" t="s">
        <v>2308</v>
      </c>
      <c r="Z212" s="4" t="s">
        <v>2308</v>
      </c>
      <c r="AA212" s="4" t="s">
        <v>2308</v>
      </c>
      <c r="AB212" s="4" t="s">
        <v>2308</v>
      </c>
      <c r="AC212" s="5" t="s">
        <v>1421</v>
      </c>
      <c r="AD212" s="5" t="s">
        <v>1465</v>
      </c>
    </row>
    <row r="213" spans="1:30" ht="112.5" customHeight="1">
      <c r="A213" s="12" t="s">
        <v>169</v>
      </c>
      <c r="B213" s="4" t="s">
        <v>1463</v>
      </c>
      <c r="C213" s="24" t="s">
        <v>24</v>
      </c>
      <c r="D213" s="12" t="s">
        <v>149</v>
      </c>
      <c r="E213" s="20" t="s">
        <v>45</v>
      </c>
      <c r="F213" s="20" t="s">
        <v>74</v>
      </c>
      <c r="G213" s="12" t="s">
        <v>74</v>
      </c>
      <c r="H213" s="4" t="s">
        <v>531</v>
      </c>
      <c r="I213" s="4">
        <v>2011</v>
      </c>
      <c r="J213" s="22" t="s">
        <v>2308</v>
      </c>
      <c r="K213" s="22" t="s">
        <v>2308</v>
      </c>
      <c r="L213" s="22" t="s">
        <v>2308</v>
      </c>
      <c r="M213" s="22" t="s">
        <v>2308</v>
      </c>
      <c r="N213" s="22" t="s">
        <v>2308</v>
      </c>
      <c r="O213" s="22" t="s">
        <v>2308</v>
      </c>
      <c r="P213" s="22" t="s">
        <v>2308</v>
      </c>
      <c r="Q213" s="22" t="s">
        <v>2308</v>
      </c>
      <c r="R213" s="22" t="s">
        <v>2308</v>
      </c>
      <c r="S213" s="22" t="s">
        <v>2308</v>
      </c>
      <c r="T213" s="22" t="s">
        <v>2308</v>
      </c>
      <c r="U213" s="22" t="s">
        <v>2308</v>
      </c>
      <c r="V213" s="22" t="s">
        <v>2308</v>
      </c>
      <c r="W213" s="22" t="s">
        <v>2308</v>
      </c>
      <c r="X213" s="22" t="s">
        <v>2308</v>
      </c>
      <c r="Y213" s="22" t="s">
        <v>2308</v>
      </c>
      <c r="Z213" s="4" t="s">
        <v>2308</v>
      </c>
      <c r="AA213" s="4" t="s">
        <v>2308</v>
      </c>
      <c r="AB213" s="4" t="s">
        <v>2308</v>
      </c>
      <c r="AC213" s="5" t="s">
        <v>1421</v>
      </c>
      <c r="AD213" s="5" t="s">
        <v>1465</v>
      </c>
    </row>
    <row r="214" spans="1:30" ht="120" customHeight="1">
      <c r="A214" s="12" t="s">
        <v>169</v>
      </c>
      <c r="B214" s="4" t="s">
        <v>1464</v>
      </c>
      <c r="C214" s="24" t="s">
        <v>24</v>
      </c>
      <c r="D214" s="12" t="s">
        <v>149</v>
      </c>
      <c r="E214" s="20" t="s">
        <v>45</v>
      </c>
      <c r="F214" s="20" t="s">
        <v>74</v>
      </c>
      <c r="G214" s="12" t="s">
        <v>74</v>
      </c>
      <c r="H214" s="4" t="s">
        <v>531</v>
      </c>
      <c r="I214" s="4">
        <v>2012</v>
      </c>
      <c r="J214" s="22" t="s">
        <v>2308</v>
      </c>
      <c r="K214" s="22" t="s">
        <v>2308</v>
      </c>
      <c r="L214" s="22" t="s">
        <v>2308</v>
      </c>
      <c r="M214" s="22" t="s">
        <v>2308</v>
      </c>
      <c r="N214" s="22" t="s">
        <v>2308</v>
      </c>
      <c r="O214" s="22" t="s">
        <v>2308</v>
      </c>
      <c r="P214" s="22" t="s">
        <v>2308</v>
      </c>
      <c r="Q214" s="22" t="s">
        <v>2308</v>
      </c>
      <c r="R214" s="22" t="s">
        <v>2308</v>
      </c>
      <c r="S214" s="22" t="s">
        <v>2308</v>
      </c>
      <c r="T214" s="22" t="s">
        <v>2308</v>
      </c>
      <c r="U214" s="22" t="s">
        <v>2308</v>
      </c>
      <c r="V214" s="22" t="s">
        <v>2308</v>
      </c>
      <c r="W214" s="22" t="s">
        <v>2308</v>
      </c>
      <c r="X214" s="22" t="s">
        <v>2308</v>
      </c>
      <c r="Y214" s="22" t="s">
        <v>2308</v>
      </c>
      <c r="Z214" s="4" t="s">
        <v>2308</v>
      </c>
      <c r="AA214" s="4" t="s">
        <v>2308</v>
      </c>
      <c r="AB214" s="4" t="s">
        <v>2308</v>
      </c>
      <c r="AC214" s="5" t="s">
        <v>1421</v>
      </c>
      <c r="AD214" s="5" t="s">
        <v>1465</v>
      </c>
    </row>
    <row r="215" spans="1:30" ht="151.5" customHeight="1">
      <c r="A215" s="12" t="s">
        <v>169</v>
      </c>
      <c r="B215" s="4" t="s">
        <v>1467</v>
      </c>
      <c r="C215" s="24" t="s">
        <v>24</v>
      </c>
      <c r="D215" s="12" t="s">
        <v>149</v>
      </c>
      <c r="E215" s="12" t="s">
        <v>84</v>
      </c>
      <c r="F215" s="20" t="s">
        <v>74</v>
      </c>
      <c r="G215" s="12" t="s">
        <v>74</v>
      </c>
      <c r="H215" s="4" t="s">
        <v>531</v>
      </c>
      <c r="I215" s="4">
        <v>2002</v>
      </c>
      <c r="J215" s="22" t="s">
        <v>2308</v>
      </c>
      <c r="K215" s="22" t="s">
        <v>2308</v>
      </c>
      <c r="L215" s="22" t="s">
        <v>2308</v>
      </c>
      <c r="M215" s="22" t="s">
        <v>2308</v>
      </c>
      <c r="N215" s="22" t="s">
        <v>2308</v>
      </c>
      <c r="O215" s="22" t="s">
        <v>2308</v>
      </c>
      <c r="P215" s="22" t="s">
        <v>2308</v>
      </c>
      <c r="Q215" s="22" t="s">
        <v>2308</v>
      </c>
      <c r="R215" s="22" t="s">
        <v>2308</v>
      </c>
      <c r="S215" s="22" t="s">
        <v>2308</v>
      </c>
      <c r="T215" s="22" t="s">
        <v>2308</v>
      </c>
      <c r="U215" s="22" t="s">
        <v>2308</v>
      </c>
      <c r="V215" s="22" t="s">
        <v>2308</v>
      </c>
      <c r="W215" s="22" t="s">
        <v>2308</v>
      </c>
      <c r="X215" s="22" t="s">
        <v>2308</v>
      </c>
      <c r="Y215" s="22" t="s">
        <v>2308</v>
      </c>
      <c r="Z215" s="4" t="s">
        <v>2308</v>
      </c>
      <c r="AA215" s="4" t="s">
        <v>2308</v>
      </c>
      <c r="AB215" s="4" t="s">
        <v>2308</v>
      </c>
      <c r="AC215" s="5" t="s">
        <v>1421</v>
      </c>
      <c r="AD215" s="5" t="s">
        <v>1478</v>
      </c>
    </row>
    <row r="216" spans="1:30" ht="160.5" customHeight="1">
      <c r="A216" s="12" t="s">
        <v>169</v>
      </c>
      <c r="B216" s="4" t="s">
        <v>1468</v>
      </c>
      <c r="C216" s="24" t="s">
        <v>24</v>
      </c>
      <c r="D216" s="12" t="s">
        <v>149</v>
      </c>
      <c r="E216" s="12" t="s">
        <v>84</v>
      </c>
      <c r="F216" s="20" t="s">
        <v>74</v>
      </c>
      <c r="G216" s="12" t="s">
        <v>74</v>
      </c>
      <c r="H216" s="4" t="s">
        <v>531</v>
      </c>
      <c r="I216" s="4">
        <v>2003</v>
      </c>
      <c r="J216" s="22" t="s">
        <v>2308</v>
      </c>
      <c r="K216" s="22" t="s">
        <v>2308</v>
      </c>
      <c r="L216" s="22" t="s">
        <v>2308</v>
      </c>
      <c r="M216" s="22" t="s">
        <v>2308</v>
      </c>
      <c r="N216" s="22" t="s">
        <v>2308</v>
      </c>
      <c r="O216" s="22" t="s">
        <v>2308</v>
      </c>
      <c r="P216" s="22" t="s">
        <v>2308</v>
      </c>
      <c r="Q216" s="22" t="s">
        <v>2308</v>
      </c>
      <c r="R216" s="22" t="s">
        <v>2308</v>
      </c>
      <c r="S216" s="22" t="s">
        <v>2308</v>
      </c>
      <c r="T216" s="22" t="s">
        <v>2308</v>
      </c>
      <c r="U216" s="22" t="s">
        <v>2308</v>
      </c>
      <c r="V216" s="22" t="s">
        <v>2308</v>
      </c>
      <c r="W216" s="22" t="s">
        <v>2308</v>
      </c>
      <c r="X216" s="22" t="s">
        <v>2308</v>
      </c>
      <c r="Y216" s="22" t="s">
        <v>2308</v>
      </c>
      <c r="Z216" s="4" t="s">
        <v>2308</v>
      </c>
      <c r="AA216" s="4" t="s">
        <v>2308</v>
      </c>
      <c r="AB216" s="4" t="s">
        <v>2308</v>
      </c>
      <c r="AC216" s="5" t="s">
        <v>1421</v>
      </c>
      <c r="AD216" s="5" t="s">
        <v>1478</v>
      </c>
    </row>
    <row r="217" spans="1:30" ht="160.5" customHeight="1">
      <c r="A217" s="12" t="s">
        <v>169</v>
      </c>
      <c r="B217" s="4" t="s">
        <v>1469</v>
      </c>
      <c r="C217" s="24" t="s">
        <v>24</v>
      </c>
      <c r="D217" s="12" t="s">
        <v>149</v>
      </c>
      <c r="E217" s="12" t="s">
        <v>84</v>
      </c>
      <c r="F217" s="20" t="s">
        <v>74</v>
      </c>
      <c r="G217" s="12" t="s">
        <v>74</v>
      </c>
      <c r="H217" s="4" t="s">
        <v>531</v>
      </c>
      <c r="I217" s="4">
        <v>2004</v>
      </c>
      <c r="J217" s="22" t="s">
        <v>2308</v>
      </c>
      <c r="K217" s="22" t="s">
        <v>2308</v>
      </c>
      <c r="L217" s="22" t="s">
        <v>2308</v>
      </c>
      <c r="M217" s="22" t="s">
        <v>2308</v>
      </c>
      <c r="N217" s="22" t="s">
        <v>2308</v>
      </c>
      <c r="O217" s="22" t="s">
        <v>2308</v>
      </c>
      <c r="P217" s="22" t="s">
        <v>2308</v>
      </c>
      <c r="Q217" s="22" t="s">
        <v>2308</v>
      </c>
      <c r="R217" s="22" t="s">
        <v>2308</v>
      </c>
      <c r="S217" s="22" t="s">
        <v>2308</v>
      </c>
      <c r="T217" s="22" t="s">
        <v>2308</v>
      </c>
      <c r="U217" s="22" t="s">
        <v>2308</v>
      </c>
      <c r="V217" s="22" t="s">
        <v>2308</v>
      </c>
      <c r="W217" s="22" t="s">
        <v>2308</v>
      </c>
      <c r="X217" s="22" t="s">
        <v>2308</v>
      </c>
      <c r="Y217" s="22" t="s">
        <v>2308</v>
      </c>
      <c r="Z217" s="4" t="s">
        <v>2308</v>
      </c>
      <c r="AA217" s="4" t="s">
        <v>2308</v>
      </c>
      <c r="AB217" s="4" t="s">
        <v>2308</v>
      </c>
      <c r="AC217" s="5" t="s">
        <v>1421</v>
      </c>
      <c r="AD217" s="5" t="s">
        <v>1478</v>
      </c>
    </row>
    <row r="218" spans="1:30" ht="160.5" customHeight="1">
      <c r="A218" s="12" t="s">
        <v>169</v>
      </c>
      <c r="B218" s="4" t="s">
        <v>1470</v>
      </c>
      <c r="C218" s="24" t="s">
        <v>24</v>
      </c>
      <c r="D218" s="12" t="s">
        <v>149</v>
      </c>
      <c r="E218" s="12" t="s">
        <v>84</v>
      </c>
      <c r="F218" s="20" t="s">
        <v>74</v>
      </c>
      <c r="G218" s="12" t="s">
        <v>74</v>
      </c>
      <c r="H218" s="4" t="s">
        <v>531</v>
      </c>
      <c r="I218" s="4">
        <v>2005</v>
      </c>
      <c r="J218" s="22" t="s">
        <v>2308</v>
      </c>
      <c r="K218" s="22" t="s">
        <v>2308</v>
      </c>
      <c r="L218" s="22" t="s">
        <v>2308</v>
      </c>
      <c r="M218" s="22" t="s">
        <v>2308</v>
      </c>
      <c r="N218" s="22" t="s">
        <v>2308</v>
      </c>
      <c r="O218" s="22" t="s">
        <v>2308</v>
      </c>
      <c r="P218" s="22" t="s">
        <v>2308</v>
      </c>
      <c r="Q218" s="22" t="s">
        <v>2308</v>
      </c>
      <c r="R218" s="22" t="s">
        <v>2308</v>
      </c>
      <c r="S218" s="22" t="s">
        <v>2308</v>
      </c>
      <c r="T218" s="22" t="s">
        <v>2308</v>
      </c>
      <c r="U218" s="22" t="s">
        <v>2308</v>
      </c>
      <c r="V218" s="22" t="s">
        <v>2308</v>
      </c>
      <c r="W218" s="22" t="s">
        <v>2308</v>
      </c>
      <c r="X218" s="22" t="s">
        <v>2308</v>
      </c>
      <c r="Y218" s="22" t="s">
        <v>2308</v>
      </c>
      <c r="Z218" s="4" t="s">
        <v>2308</v>
      </c>
      <c r="AA218" s="4" t="s">
        <v>2308</v>
      </c>
      <c r="AB218" s="4" t="s">
        <v>2308</v>
      </c>
      <c r="AC218" s="5" t="s">
        <v>1421</v>
      </c>
      <c r="AD218" s="5" t="s">
        <v>1478</v>
      </c>
    </row>
    <row r="219" spans="1:30" ht="160.5" customHeight="1">
      <c r="A219" s="12" t="s">
        <v>169</v>
      </c>
      <c r="B219" s="4" t="s">
        <v>1471</v>
      </c>
      <c r="C219" s="24" t="s">
        <v>24</v>
      </c>
      <c r="D219" s="12" t="s">
        <v>149</v>
      </c>
      <c r="E219" s="12" t="s">
        <v>84</v>
      </c>
      <c r="F219" s="20" t="s">
        <v>74</v>
      </c>
      <c r="G219" s="12" t="s">
        <v>74</v>
      </c>
      <c r="H219" s="4" t="s">
        <v>531</v>
      </c>
      <c r="I219" s="4">
        <v>2006</v>
      </c>
      <c r="J219" s="22" t="s">
        <v>2308</v>
      </c>
      <c r="K219" s="22" t="s">
        <v>2308</v>
      </c>
      <c r="L219" s="22" t="s">
        <v>2308</v>
      </c>
      <c r="M219" s="22" t="s">
        <v>2308</v>
      </c>
      <c r="N219" s="22" t="s">
        <v>2308</v>
      </c>
      <c r="O219" s="22" t="s">
        <v>2308</v>
      </c>
      <c r="P219" s="22" t="s">
        <v>2308</v>
      </c>
      <c r="Q219" s="22" t="s">
        <v>2308</v>
      </c>
      <c r="R219" s="22" t="s">
        <v>2308</v>
      </c>
      <c r="S219" s="22" t="s">
        <v>2308</v>
      </c>
      <c r="T219" s="22" t="s">
        <v>2308</v>
      </c>
      <c r="U219" s="22" t="s">
        <v>2308</v>
      </c>
      <c r="V219" s="22" t="s">
        <v>2308</v>
      </c>
      <c r="W219" s="22" t="s">
        <v>2308</v>
      </c>
      <c r="X219" s="22" t="s">
        <v>2308</v>
      </c>
      <c r="Y219" s="22" t="s">
        <v>2308</v>
      </c>
      <c r="Z219" s="4" t="s">
        <v>2308</v>
      </c>
      <c r="AA219" s="4" t="s">
        <v>2308</v>
      </c>
      <c r="AB219" s="4" t="s">
        <v>2308</v>
      </c>
      <c r="AC219" s="5" t="s">
        <v>1421</v>
      </c>
      <c r="AD219" s="5" t="s">
        <v>1478</v>
      </c>
    </row>
    <row r="220" spans="1:30" ht="160.5" customHeight="1">
      <c r="A220" s="12" t="s">
        <v>169</v>
      </c>
      <c r="B220" s="4" t="s">
        <v>1472</v>
      </c>
      <c r="C220" s="24" t="s">
        <v>24</v>
      </c>
      <c r="D220" s="12" t="s">
        <v>149</v>
      </c>
      <c r="E220" s="12" t="s">
        <v>84</v>
      </c>
      <c r="F220" s="20" t="s">
        <v>74</v>
      </c>
      <c r="G220" s="12" t="s">
        <v>74</v>
      </c>
      <c r="H220" s="4" t="s">
        <v>531</v>
      </c>
      <c r="I220" s="4">
        <v>2007</v>
      </c>
      <c r="J220" s="22" t="s">
        <v>2308</v>
      </c>
      <c r="K220" s="22" t="s">
        <v>2308</v>
      </c>
      <c r="L220" s="22" t="s">
        <v>2308</v>
      </c>
      <c r="M220" s="22" t="s">
        <v>2308</v>
      </c>
      <c r="N220" s="22" t="s">
        <v>2308</v>
      </c>
      <c r="O220" s="22" t="s">
        <v>2308</v>
      </c>
      <c r="P220" s="22" t="s">
        <v>2308</v>
      </c>
      <c r="Q220" s="22" t="s">
        <v>2308</v>
      </c>
      <c r="R220" s="22" t="s">
        <v>2308</v>
      </c>
      <c r="S220" s="22" t="s">
        <v>2308</v>
      </c>
      <c r="T220" s="22" t="s">
        <v>2308</v>
      </c>
      <c r="U220" s="22" t="s">
        <v>2308</v>
      </c>
      <c r="V220" s="22" t="s">
        <v>2308</v>
      </c>
      <c r="W220" s="22" t="s">
        <v>2308</v>
      </c>
      <c r="X220" s="22" t="s">
        <v>2308</v>
      </c>
      <c r="Y220" s="22" t="s">
        <v>2308</v>
      </c>
      <c r="Z220" s="4" t="s">
        <v>2308</v>
      </c>
      <c r="AA220" s="4" t="s">
        <v>2308</v>
      </c>
      <c r="AB220" s="4" t="s">
        <v>2308</v>
      </c>
      <c r="AC220" s="5" t="s">
        <v>1421</v>
      </c>
      <c r="AD220" s="5" t="s">
        <v>1478</v>
      </c>
    </row>
    <row r="221" spans="1:30" ht="160.5" customHeight="1">
      <c r="A221" s="12" t="s">
        <v>169</v>
      </c>
      <c r="B221" s="4" t="s">
        <v>1473</v>
      </c>
      <c r="C221" s="24" t="s">
        <v>24</v>
      </c>
      <c r="D221" s="12" t="s">
        <v>149</v>
      </c>
      <c r="E221" s="12" t="s">
        <v>84</v>
      </c>
      <c r="F221" s="20" t="s">
        <v>74</v>
      </c>
      <c r="G221" s="12" t="s">
        <v>74</v>
      </c>
      <c r="H221" s="4" t="s">
        <v>531</v>
      </c>
      <c r="I221" s="4">
        <v>2008</v>
      </c>
      <c r="J221" s="22" t="s">
        <v>2308</v>
      </c>
      <c r="K221" s="22" t="s">
        <v>2308</v>
      </c>
      <c r="L221" s="22" t="s">
        <v>2308</v>
      </c>
      <c r="M221" s="22" t="s">
        <v>2308</v>
      </c>
      <c r="N221" s="22" t="s">
        <v>2308</v>
      </c>
      <c r="O221" s="22" t="s">
        <v>2308</v>
      </c>
      <c r="P221" s="22" t="s">
        <v>2308</v>
      </c>
      <c r="Q221" s="22" t="s">
        <v>2308</v>
      </c>
      <c r="R221" s="22" t="s">
        <v>2308</v>
      </c>
      <c r="S221" s="22" t="s">
        <v>2308</v>
      </c>
      <c r="T221" s="22" t="s">
        <v>2308</v>
      </c>
      <c r="U221" s="22" t="s">
        <v>2308</v>
      </c>
      <c r="V221" s="22" t="s">
        <v>2308</v>
      </c>
      <c r="W221" s="22" t="s">
        <v>2308</v>
      </c>
      <c r="X221" s="22" t="s">
        <v>2308</v>
      </c>
      <c r="Y221" s="22" t="s">
        <v>2308</v>
      </c>
      <c r="Z221" s="4" t="s">
        <v>2308</v>
      </c>
      <c r="AA221" s="4" t="s">
        <v>2308</v>
      </c>
      <c r="AB221" s="4" t="s">
        <v>2308</v>
      </c>
      <c r="AC221" s="5" t="s">
        <v>1421</v>
      </c>
      <c r="AD221" s="5" t="s">
        <v>1478</v>
      </c>
    </row>
    <row r="222" spans="1:30" ht="160.5" customHeight="1">
      <c r="A222" s="12" t="s">
        <v>169</v>
      </c>
      <c r="B222" s="4" t="s">
        <v>1474</v>
      </c>
      <c r="C222" s="24" t="s">
        <v>24</v>
      </c>
      <c r="D222" s="12" t="s">
        <v>149</v>
      </c>
      <c r="E222" s="12" t="s">
        <v>84</v>
      </c>
      <c r="F222" s="20" t="s">
        <v>74</v>
      </c>
      <c r="G222" s="12" t="s">
        <v>74</v>
      </c>
      <c r="H222" s="4" t="s">
        <v>531</v>
      </c>
      <c r="I222" s="4">
        <v>2009</v>
      </c>
      <c r="J222" s="22" t="s">
        <v>2308</v>
      </c>
      <c r="K222" s="22" t="s">
        <v>2308</v>
      </c>
      <c r="L222" s="22" t="s">
        <v>2308</v>
      </c>
      <c r="M222" s="22" t="s">
        <v>2308</v>
      </c>
      <c r="N222" s="22" t="s">
        <v>2308</v>
      </c>
      <c r="O222" s="22" t="s">
        <v>2308</v>
      </c>
      <c r="P222" s="22" t="s">
        <v>2308</v>
      </c>
      <c r="Q222" s="22" t="s">
        <v>2308</v>
      </c>
      <c r="R222" s="22" t="s">
        <v>2308</v>
      </c>
      <c r="S222" s="22" t="s">
        <v>2308</v>
      </c>
      <c r="T222" s="22" t="s">
        <v>2308</v>
      </c>
      <c r="U222" s="22" t="s">
        <v>2308</v>
      </c>
      <c r="V222" s="22" t="s">
        <v>2308</v>
      </c>
      <c r="W222" s="22" t="s">
        <v>2308</v>
      </c>
      <c r="X222" s="22" t="s">
        <v>2308</v>
      </c>
      <c r="Y222" s="22" t="s">
        <v>2308</v>
      </c>
      <c r="Z222" s="4" t="s">
        <v>2308</v>
      </c>
      <c r="AA222" s="4" t="s">
        <v>2308</v>
      </c>
      <c r="AB222" s="4" t="s">
        <v>2308</v>
      </c>
      <c r="AC222" s="5" t="s">
        <v>1421</v>
      </c>
      <c r="AD222" s="5" t="s">
        <v>1478</v>
      </c>
    </row>
    <row r="223" spans="1:30" ht="160.5" customHeight="1">
      <c r="A223" s="12" t="s">
        <v>169</v>
      </c>
      <c r="B223" s="4" t="s">
        <v>1475</v>
      </c>
      <c r="C223" s="24" t="s">
        <v>24</v>
      </c>
      <c r="D223" s="12" t="s">
        <v>149</v>
      </c>
      <c r="E223" s="12" t="s">
        <v>84</v>
      </c>
      <c r="F223" s="20" t="s">
        <v>74</v>
      </c>
      <c r="G223" s="12" t="s">
        <v>74</v>
      </c>
      <c r="H223" s="4" t="s">
        <v>531</v>
      </c>
      <c r="I223" s="4">
        <v>2010</v>
      </c>
      <c r="J223" s="22" t="s">
        <v>2308</v>
      </c>
      <c r="K223" s="22" t="s">
        <v>2308</v>
      </c>
      <c r="L223" s="22" t="s">
        <v>2308</v>
      </c>
      <c r="M223" s="22" t="s">
        <v>2308</v>
      </c>
      <c r="N223" s="22" t="s">
        <v>2308</v>
      </c>
      <c r="O223" s="22" t="s">
        <v>2308</v>
      </c>
      <c r="P223" s="22" t="s">
        <v>2308</v>
      </c>
      <c r="Q223" s="22" t="s">
        <v>2308</v>
      </c>
      <c r="R223" s="22" t="s">
        <v>2308</v>
      </c>
      <c r="S223" s="22" t="s">
        <v>2308</v>
      </c>
      <c r="T223" s="22" t="s">
        <v>2308</v>
      </c>
      <c r="U223" s="22" t="s">
        <v>2308</v>
      </c>
      <c r="V223" s="22" t="s">
        <v>2308</v>
      </c>
      <c r="W223" s="22" t="s">
        <v>2308</v>
      </c>
      <c r="X223" s="22" t="s">
        <v>2308</v>
      </c>
      <c r="Y223" s="22" t="s">
        <v>2308</v>
      </c>
      <c r="Z223" s="4" t="s">
        <v>2308</v>
      </c>
      <c r="AA223" s="4" t="s">
        <v>2308</v>
      </c>
      <c r="AB223" s="4" t="s">
        <v>2308</v>
      </c>
      <c r="AC223" s="5" t="s">
        <v>1421</v>
      </c>
      <c r="AD223" s="5" t="s">
        <v>1478</v>
      </c>
    </row>
    <row r="224" spans="1:30" ht="160.5" customHeight="1">
      <c r="A224" s="12" t="s">
        <v>169</v>
      </c>
      <c r="B224" s="4" t="s">
        <v>1476</v>
      </c>
      <c r="C224" s="24" t="s">
        <v>24</v>
      </c>
      <c r="D224" s="12" t="s">
        <v>149</v>
      </c>
      <c r="E224" s="12" t="s">
        <v>84</v>
      </c>
      <c r="F224" s="20" t="s">
        <v>74</v>
      </c>
      <c r="G224" s="12" t="s">
        <v>74</v>
      </c>
      <c r="H224" s="4" t="s">
        <v>531</v>
      </c>
      <c r="I224" s="4">
        <v>2011</v>
      </c>
      <c r="J224" s="22" t="s">
        <v>2308</v>
      </c>
      <c r="K224" s="22" t="s">
        <v>2308</v>
      </c>
      <c r="L224" s="22" t="s">
        <v>2308</v>
      </c>
      <c r="M224" s="22" t="s">
        <v>2308</v>
      </c>
      <c r="N224" s="22" t="s">
        <v>2308</v>
      </c>
      <c r="O224" s="22" t="s">
        <v>2308</v>
      </c>
      <c r="P224" s="22" t="s">
        <v>2308</v>
      </c>
      <c r="Q224" s="22" t="s">
        <v>2308</v>
      </c>
      <c r="R224" s="22" t="s">
        <v>2308</v>
      </c>
      <c r="S224" s="22" t="s">
        <v>2308</v>
      </c>
      <c r="T224" s="22" t="s">
        <v>2308</v>
      </c>
      <c r="U224" s="22" t="s">
        <v>2308</v>
      </c>
      <c r="V224" s="22" t="s">
        <v>2308</v>
      </c>
      <c r="W224" s="22" t="s">
        <v>2308</v>
      </c>
      <c r="X224" s="22" t="s">
        <v>2308</v>
      </c>
      <c r="Y224" s="22" t="s">
        <v>2308</v>
      </c>
      <c r="Z224" s="4" t="s">
        <v>2308</v>
      </c>
      <c r="AA224" s="4" t="s">
        <v>2308</v>
      </c>
      <c r="AB224" s="4" t="s">
        <v>2308</v>
      </c>
      <c r="AC224" s="5" t="s">
        <v>1421</v>
      </c>
      <c r="AD224" s="5" t="s">
        <v>1478</v>
      </c>
    </row>
    <row r="225" spans="1:30" ht="160.5" customHeight="1">
      <c r="A225" s="12" t="s">
        <v>169</v>
      </c>
      <c r="B225" s="4" t="s">
        <v>1477</v>
      </c>
      <c r="C225" s="24" t="s">
        <v>24</v>
      </c>
      <c r="D225" s="12" t="s">
        <v>149</v>
      </c>
      <c r="E225" s="12" t="s">
        <v>84</v>
      </c>
      <c r="F225" s="20" t="s">
        <v>74</v>
      </c>
      <c r="G225" s="12" t="s">
        <v>74</v>
      </c>
      <c r="H225" s="4" t="s">
        <v>531</v>
      </c>
      <c r="I225" s="4">
        <v>2012</v>
      </c>
      <c r="J225" s="22" t="s">
        <v>2308</v>
      </c>
      <c r="K225" s="22" t="s">
        <v>2308</v>
      </c>
      <c r="L225" s="22" t="s">
        <v>2308</v>
      </c>
      <c r="M225" s="22" t="s">
        <v>2308</v>
      </c>
      <c r="N225" s="22" t="s">
        <v>2308</v>
      </c>
      <c r="O225" s="22" t="s">
        <v>2308</v>
      </c>
      <c r="P225" s="22" t="s">
        <v>2308</v>
      </c>
      <c r="Q225" s="22" t="s">
        <v>2308</v>
      </c>
      <c r="R225" s="22" t="s">
        <v>2308</v>
      </c>
      <c r="S225" s="22" t="s">
        <v>2308</v>
      </c>
      <c r="T225" s="22" t="s">
        <v>2308</v>
      </c>
      <c r="U225" s="22" t="s">
        <v>2308</v>
      </c>
      <c r="V225" s="22" t="s">
        <v>2308</v>
      </c>
      <c r="W225" s="22" t="s">
        <v>2308</v>
      </c>
      <c r="X225" s="22" t="s">
        <v>2308</v>
      </c>
      <c r="Y225" s="22" t="s">
        <v>2308</v>
      </c>
      <c r="Z225" s="4" t="s">
        <v>2308</v>
      </c>
      <c r="AA225" s="4" t="s">
        <v>2308</v>
      </c>
      <c r="AB225" s="4" t="s">
        <v>2308</v>
      </c>
      <c r="AC225" s="5" t="s">
        <v>1421</v>
      </c>
      <c r="AD225" s="5" t="s">
        <v>1478</v>
      </c>
    </row>
    <row r="226" spans="1:30" ht="56" customHeight="1">
      <c r="A226" s="12" t="s">
        <v>180</v>
      </c>
      <c r="B226" s="4" t="s">
        <v>191</v>
      </c>
      <c r="C226" s="24" t="s">
        <v>24</v>
      </c>
      <c r="D226" s="24" t="s">
        <v>27</v>
      </c>
      <c r="E226" s="5" t="s">
        <v>404</v>
      </c>
      <c r="F226" s="20" t="s">
        <v>167</v>
      </c>
      <c r="G226" s="20" t="s">
        <v>2308</v>
      </c>
      <c r="H226" s="4" t="s">
        <v>531</v>
      </c>
      <c r="I226" s="4"/>
      <c r="J226" s="22" t="s">
        <v>2308</v>
      </c>
      <c r="K226" s="22" t="s">
        <v>2308</v>
      </c>
      <c r="L226" s="22" t="s">
        <v>2308</v>
      </c>
      <c r="M226" s="22" t="s">
        <v>2308</v>
      </c>
      <c r="N226" s="22" t="s">
        <v>2308</v>
      </c>
      <c r="O226" s="22" t="s">
        <v>2308</v>
      </c>
      <c r="P226" s="22" t="s">
        <v>2308</v>
      </c>
      <c r="Q226" s="22" t="s">
        <v>2308</v>
      </c>
      <c r="R226" s="22" t="s">
        <v>2308</v>
      </c>
      <c r="S226" s="22" t="s">
        <v>2308</v>
      </c>
      <c r="T226" s="22" t="s">
        <v>2308</v>
      </c>
      <c r="U226" s="22" t="s">
        <v>2308</v>
      </c>
      <c r="V226" s="22" t="s">
        <v>2308</v>
      </c>
      <c r="W226" s="22" t="s">
        <v>2308</v>
      </c>
      <c r="X226" s="22" t="s">
        <v>2308</v>
      </c>
      <c r="Y226" s="22">
        <v>7.15</v>
      </c>
      <c r="Z226" s="4" t="s">
        <v>194</v>
      </c>
      <c r="AA226" s="4" t="s">
        <v>195</v>
      </c>
      <c r="AB226" s="4" t="s">
        <v>64</v>
      </c>
      <c r="AC226" s="4"/>
      <c r="AD226" s="5" t="s">
        <v>1482</v>
      </c>
    </row>
    <row r="227" spans="1:30" ht="52.5" customHeight="1">
      <c r="A227" s="12" t="s">
        <v>181</v>
      </c>
      <c r="B227" s="4" t="s">
        <v>192</v>
      </c>
      <c r="C227" s="24" t="s">
        <v>24</v>
      </c>
      <c r="D227" s="24" t="s">
        <v>27</v>
      </c>
      <c r="E227" s="31" t="s">
        <v>136</v>
      </c>
      <c r="F227" s="20" t="s">
        <v>167</v>
      </c>
      <c r="G227" s="20" t="s">
        <v>2308</v>
      </c>
      <c r="H227" s="4" t="s">
        <v>531</v>
      </c>
      <c r="I227" s="4"/>
      <c r="J227" s="22" t="s">
        <v>2308</v>
      </c>
      <c r="K227" s="22" t="s">
        <v>2308</v>
      </c>
      <c r="L227" s="22" t="s">
        <v>2308</v>
      </c>
      <c r="M227" s="22" t="s">
        <v>2308</v>
      </c>
      <c r="N227" s="22" t="s">
        <v>2308</v>
      </c>
      <c r="O227" s="22" t="s">
        <v>2308</v>
      </c>
      <c r="P227" s="22" t="s">
        <v>2308</v>
      </c>
      <c r="Q227" s="22" t="s">
        <v>2308</v>
      </c>
      <c r="R227" s="22" t="s">
        <v>2308</v>
      </c>
      <c r="S227" s="22" t="s">
        <v>2308</v>
      </c>
      <c r="T227" s="22" t="s">
        <v>2308</v>
      </c>
      <c r="U227" s="22" t="s">
        <v>2308</v>
      </c>
      <c r="V227" s="22" t="s">
        <v>2308</v>
      </c>
      <c r="W227" s="22" t="s">
        <v>2308</v>
      </c>
      <c r="X227" s="22" t="s">
        <v>2308</v>
      </c>
      <c r="Y227" s="22">
        <v>11.97</v>
      </c>
      <c r="Z227" s="4" t="s">
        <v>194</v>
      </c>
      <c r="AA227" s="4" t="s">
        <v>195</v>
      </c>
      <c r="AB227" s="4" t="s">
        <v>64</v>
      </c>
      <c r="AC227" s="4"/>
      <c r="AD227" s="5" t="s">
        <v>1482</v>
      </c>
    </row>
    <row r="228" spans="1:30" ht="59.5" customHeight="1">
      <c r="A228" s="12" t="s">
        <v>182</v>
      </c>
      <c r="B228" s="4" t="s">
        <v>193</v>
      </c>
      <c r="C228" s="24" t="s">
        <v>24</v>
      </c>
      <c r="D228" s="24" t="s">
        <v>27</v>
      </c>
      <c r="E228" s="12" t="s">
        <v>136</v>
      </c>
      <c r="F228" s="20" t="s">
        <v>167</v>
      </c>
      <c r="G228" s="20" t="s">
        <v>2308</v>
      </c>
      <c r="H228" s="4" t="s">
        <v>531</v>
      </c>
      <c r="I228" s="4"/>
      <c r="J228" s="22" t="s">
        <v>2308</v>
      </c>
      <c r="K228" s="22" t="s">
        <v>2308</v>
      </c>
      <c r="L228" s="22" t="s">
        <v>2308</v>
      </c>
      <c r="M228" s="22" t="s">
        <v>2308</v>
      </c>
      <c r="N228" s="22" t="s">
        <v>2308</v>
      </c>
      <c r="O228" s="22" t="s">
        <v>2308</v>
      </c>
      <c r="P228" s="22" t="s">
        <v>2308</v>
      </c>
      <c r="Q228" s="22" t="s">
        <v>2308</v>
      </c>
      <c r="R228" s="22" t="s">
        <v>2308</v>
      </c>
      <c r="S228" s="22" t="s">
        <v>2308</v>
      </c>
      <c r="T228" s="22" t="s">
        <v>2308</v>
      </c>
      <c r="U228" s="22" t="s">
        <v>2308</v>
      </c>
      <c r="V228" s="22" t="s">
        <v>2308</v>
      </c>
      <c r="W228" s="22" t="s">
        <v>2308</v>
      </c>
      <c r="X228" s="22" t="s">
        <v>2308</v>
      </c>
      <c r="Y228" s="22">
        <v>14.16</v>
      </c>
      <c r="Z228" s="4" t="s">
        <v>194</v>
      </c>
      <c r="AA228" s="4" t="s">
        <v>195</v>
      </c>
      <c r="AB228" s="4" t="s">
        <v>64</v>
      </c>
      <c r="AC228" s="4"/>
      <c r="AD228" s="5" t="s">
        <v>1482</v>
      </c>
    </row>
    <row r="229" spans="1:30" ht="84" customHeight="1">
      <c r="A229" s="12" t="s">
        <v>379</v>
      </c>
      <c r="B229" s="12" t="s">
        <v>384</v>
      </c>
      <c r="C229" s="24" t="s">
        <v>24</v>
      </c>
      <c r="D229" s="24" t="s">
        <v>27</v>
      </c>
      <c r="E229" s="5" t="s">
        <v>403</v>
      </c>
      <c r="F229" s="20" t="s">
        <v>167</v>
      </c>
      <c r="G229" s="20"/>
      <c r="H229" s="4" t="s">
        <v>531</v>
      </c>
      <c r="I229" s="4"/>
      <c r="J229" s="22" t="s">
        <v>2308</v>
      </c>
      <c r="K229" s="22" t="s">
        <v>2308</v>
      </c>
      <c r="L229" s="22" t="s">
        <v>2308</v>
      </c>
      <c r="M229" s="22" t="s">
        <v>2308</v>
      </c>
      <c r="N229" s="22" t="s">
        <v>2308</v>
      </c>
      <c r="O229" s="22" t="s">
        <v>2308</v>
      </c>
      <c r="P229" s="22" t="s">
        <v>2308</v>
      </c>
      <c r="Q229" s="22" t="s">
        <v>2308</v>
      </c>
      <c r="R229" s="22" t="s">
        <v>2308</v>
      </c>
      <c r="S229" s="22" t="s">
        <v>2308</v>
      </c>
      <c r="T229" s="22" t="s">
        <v>2308</v>
      </c>
      <c r="U229" s="22" t="s">
        <v>2308</v>
      </c>
      <c r="V229" s="22" t="s">
        <v>2308</v>
      </c>
      <c r="W229" s="22" t="s">
        <v>2308</v>
      </c>
      <c r="X229" s="22" t="s">
        <v>2308</v>
      </c>
      <c r="Y229" s="22" t="s">
        <v>2308</v>
      </c>
      <c r="Z229" s="4" t="s">
        <v>195</v>
      </c>
      <c r="AA229" s="4" t="s">
        <v>38</v>
      </c>
      <c r="AB229" s="4" t="s">
        <v>64</v>
      </c>
      <c r="AC229" s="5" t="s">
        <v>386</v>
      </c>
      <c r="AD229" s="5" t="s">
        <v>401</v>
      </c>
    </row>
    <row r="230" spans="1:30" ht="90.5" customHeight="1">
      <c r="A230" s="12" t="s">
        <v>379</v>
      </c>
      <c r="B230" s="12" t="s">
        <v>385</v>
      </c>
      <c r="C230" s="24" t="s">
        <v>24</v>
      </c>
      <c r="D230" s="24" t="s">
        <v>27</v>
      </c>
      <c r="E230" s="5" t="s">
        <v>404</v>
      </c>
      <c r="F230" s="20" t="s">
        <v>167</v>
      </c>
      <c r="G230" s="20"/>
      <c r="H230" s="4" t="s">
        <v>531</v>
      </c>
      <c r="I230" s="4"/>
      <c r="J230" s="22" t="s">
        <v>2308</v>
      </c>
      <c r="K230" s="22" t="s">
        <v>2308</v>
      </c>
      <c r="L230" s="22" t="s">
        <v>2308</v>
      </c>
      <c r="M230" s="22" t="s">
        <v>2308</v>
      </c>
      <c r="N230" s="22" t="s">
        <v>2308</v>
      </c>
      <c r="O230" s="22" t="s">
        <v>2308</v>
      </c>
      <c r="P230" s="22" t="s">
        <v>2308</v>
      </c>
      <c r="Q230" s="22" t="s">
        <v>2308</v>
      </c>
      <c r="R230" s="22" t="s">
        <v>2308</v>
      </c>
      <c r="S230" s="22" t="s">
        <v>2308</v>
      </c>
      <c r="T230" s="22" t="s">
        <v>2308</v>
      </c>
      <c r="U230" s="22" t="s">
        <v>2308</v>
      </c>
      <c r="V230" s="22" t="s">
        <v>2308</v>
      </c>
      <c r="W230" s="22" t="s">
        <v>2308</v>
      </c>
      <c r="X230" s="22" t="s">
        <v>2308</v>
      </c>
      <c r="Y230" s="22" t="s">
        <v>2308</v>
      </c>
      <c r="Z230" s="4" t="s">
        <v>195</v>
      </c>
      <c r="AA230" s="4" t="s">
        <v>38</v>
      </c>
      <c r="AB230" s="4" t="s">
        <v>64</v>
      </c>
      <c r="AC230" s="5" t="s">
        <v>387</v>
      </c>
      <c r="AD230" s="5" t="s">
        <v>401</v>
      </c>
    </row>
    <row r="231" spans="1:30" ht="76.5" customHeight="1">
      <c r="A231" s="4" t="s">
        <v>388</v>
      </c>
      <c r="B231" s="12" t="s">
        <v>397</v>
      </c>
      <c r="C231" s="24" t="s">
        <v>24</v>
      </c>
      <c r="D231" s="24" t="s">
        <v>27</v>
      </c>
      <c r="E231" s="5" t="s">
        <v>404</v>
      </c>
      <c r="F231" s="20" t="s">
        <v>28</v>
      </c>
      <c r="G231" s="12" t="s">
        <v>2308</v>
      </c>
      <c r="H231" s="12" t="s">
        <v>532</v>
      </c>
      <c r="I231" s="4"/>
      <c r="J231" s="22">
        <v>0</v>
      </c>
      <c r="K231" s="22">
        <v>0</v>
      </c>
      <c r="L231" s="22">
        <v>0</v>
      </c>
      <c r="M231" s="22">
        <v>0</v>
      </c>
      <c r="N231" s="22">
        <v>0</v>
      </c>
      <c r="O231" s="22">
        <v>0</v>
      </c>
      <c r="P231" s="22">
        <v>0</v>
      </c>
      <c r="Q231" s="22">
        <v>0</v>
      </c>
      <c r="R231" s="22">
        <v>0</v>
      </c>
      <c r="S231" s="22">
        <v>0</v>
      </c>
      <c r="T231" s="22">
        <v>0</v>
      </c>
      <c r="U231" s="22">
        <v>0</v>
      </c>
      <c r="V231" s="22">
        <v>0</v>
      </c>
      <c r="W231" s="22">
        <v>0</v>
      </c>
      <c r="X231" s="22">
        <v>0</v>
      </c>
      <c r="Y231" s="22" t="s">
        <v>2308</v>
      </c>
      <c r="Z231" s="4" t="s">
        <v>407</v>
      </c>
      <c r="AA231" s="4" t="s">
        <v>406</v>
      </c>
      <c r="AB231" s="4" t="s">
        <v>64</v>
      </c>
      <c r="AC231" s="4"/>
      <c r="AD231" s="11"/>
    </row>
    <row r="232" spans="1:30" ht="108" customHeight="1">
      <c r="A232" s="4" t="s">
        <v>388</v>
      </c>
      <c r="B232" s="12" t="s">
        <v>410</v>
      </c>
      <c r="C232" s="24" t="s">
        <v>24</v>
      </c>
      <c r="D232" s="24" t="s">
        <v>27</v>
      </c>
      <c r="E232" s="5" t="s">
        <v>136</v>
      </c>
      <c r="F232" s="20" t="s">
        <v>167</v>
      </c>
      <c r="G232" s="12" t="s">
        <v>2308</v>
      </c>
      <c r="H232" s="4" t="s">
        <v>531</v>
      </c>
      <c r="I232" s="4"/>
      <c r="J232" s="22" t="s">
        <v>2308</v>
      </c>
      <c r="K232" s="22" t="s">
        <v>2308</v>
      </c>
      <c r="L232" s="22" t="s">
        <v>2308</v>
      </c>
      <c r="M232" s="22" t="s">
        <v>2308</v>
      </c>
      <c r="N232" s="22" t="s">
        <v>2308</v>
      </c>
      <c r="O232" s="22" t="s">
        <v>2308</v>
      </c>
      <c r="P232" s="22" t="s">
        <v>2308</v>
      </c>
      <c r="Q232" s="22" t="s">
        <v>2308</v>
      </c>
      <c r="R232" s="22" t="s">
        <v>2308</v>
      </c>
      <c r="S232" s="22" t="s">
        <v>2308</v>
      </c>
      <c r="T232" s="22" t="s">
        <v>2308</v>
      </c>
      <c r="U232" s="22" t="s">
        <v>2308</v>
      </c>
      <c r="V232" s="22" t="s">
        <v>2308</v>
      </c>
      <c r="W232" s="22" t="s">
        <v>2308</v>
      </c>
      <c r="X232" s="22" t="s">
        <v>2308</v>
      </c>
      <c r="Y232" s="22">
        <v>3.310162</v>
      </c>
      <c r="Z232" s="4" t="s">
        <v>407</v>
      </c>
      <c r="AA232" s="4" t="s">
        <v>406</v>
      </c>
      <c r="AB232" s="4" t="s">
        <v>64</v>
      </c>
      <c r="AC232" s="4"/>
      <c r="AD232" s="11" t="s">
        <v>422</v>
      </c>
    </row>
    <row r="233" spans="1:30" ht="76.5" customHeight="1">
      <c r="A233" s="4" t="s">
        <v>388</v>
      </c>
      <c r="B233" s="12" t="s">
        <v>417</v>
      </c>
      <c r="C233" s="24" t="s">
        <v>24</v>
      </c>
      <c r="D233" s="24" t="s">
        <v>413</v>
      </c>
      <c r="E233" s="5" t="s">
        <v>136</v>
      </c>
      <c r="F233" s="20" t="s">
        <v>167</v>
      </c>
      <c r="G233" s="12" t="s">
        <v>2308</v>
      </c>
      <c r="H233" s="4" t="s">
        <v>531</v>
      </c>
      <c r="I233" s="4"/>
      <c r="J233" s="22" t="s">
        <v>2308</v>
      </c>
      <c r="K233" s="22" t="s">
        <v>2308</v>
      </c>
      <c r="L233" s="22" t="s">
        <v>2308</v>
      </c>
      <c r="M233" s="22" t="s">
        <v>2308</v>
      </c>
      <c r="N233" s="22" t="s">
        <v>2308</v>
      </c>
      <c r="O233" s="22" t="s">
        <v>2308</v>
      </c>
      <c r="P233" s="22" t="s">
        <v>2308</v>
      </c>
      <c r="Q233" s="22" t="s">
        <v>2308</v>
      </c>
      <c r="R233" s="22" t="s">
        <v>2308</v>
      </c>
      <c r="S233" s="22" t="s">
        <v>2308</v>
      </c>
      <c r="T233" s="22" t="s">
        <v>2308</v>
      </c>
      <c r="U233" s="22" t="s">
        <v>2308</v>
      </c>
      <c r="V233" s="22" t="s">
        <v>2308</v>
      </c>
      <c r="W233" s="22" t="s">
        <v>2308</v>
      </c>
      <c r="X233" s="22" t="s">
        <v>2308</v>
      </c>
      <c r="Y233" s="22" t="s">
        <v>2308</v>
      </c>
      <c r="Z233" s="4" t="s">
        <v>411</v>
      </c>
      <c r="AA233" s="4" t="s">
        <v>412</v>
      </c>
      <c r="AB233" s="4" t="s">
        <v>64</v>
      </c>
      <c r="AC233" s="5" t="s">
        <v>415</v>
      </c>
      <c r="AD233" s="11" t="s">
        <v>416</v>
      </c>
    </row>
    <row r="234" spans="1:30" ht="76.5" customHeight="1">
      <c r="A234" s="4" t="s">
        <v>388</v>
      </c>
      <c r="B234" s="12" t="s">
        <v>1487</v>
      </c>
      <c r="C234" s="24" t="s">
        <v>24</v>
      </c>
      <c r="D234" s="24" t="s">
        <v>26</v>
      </c>
      <c r="E234" s="5" t="s">
        <v>136</v>
      </c>
      <c r="F234" s="20" t="s">
        <v>2695</v>
      </c>
      <c r="G234" s="12" t="s">
        <v>2308</v>
      </c>
      <c r="H234" s="4" t="s">
        <v>531</v>
      </c>
      <c r="I234" s="4"/>
      <c r="J234" s="22" t="s">
        <v>2308</v>
      </c>
      <c r="K234" s="22" t="s">
        <v>2308</v>
      </c>
      <c r="L234" s="22" t="s">
        <v>2308</v>
      </c>
      <c r="M234" s="22" t="s">
        <v>2308</v>
      </c>
      <c r="N234" s="22" t="s">
        <v>2308</v>
      </c>
      <c r="O234" s="22" t="s">
        <v>2308</v>
      </c>
      <c r="P234" s="22" t="s">
        <v>2308</v>
      </c>
      <c r="Q234" s="22" t="s">
        <v>2308</v>
      </c>
      <c r="R234" s="22" t="s">
        <v>2308</v>
      </c>
      <c r="S234" s="22" t="s">
        <v>2308</v>
      </c>
      <c r="T234" s="22" t="s">
        <v>2308</v>
      </c>
      <c r="U234" s="22" t="s">
        <v>2308</v>
      </c>
      <c r="V234" s="22" t="s">
        <v>2308</v>
      </c>
      <c r="W234" s="22" t="s">
        <v>2308</v>
      </c>
      <c r="X234" s="22" t="s">
        <v>2308</v>
      </c>
      <c r="Y234" s="22" t="s">
        <v>2308</v>
      </c>
      <c r="Z234" s="4" t="s">
        <v>411</v>
      </c>
      <c r="AA234" s="4" t="s">
        <v>412</v>
      </c>
      <c r="AB234" s="4" t="s">
        <v>64</v>
      </c>
      <c r="AC234" s="5" t="s">
        <v>415</v>
      </c>
      <c r="AD234" s="11" t="s">
        <v>416</v>
      </c>
    </row>
    <row r="235" spans="1:30" ht="97" customHeight="1">
      <c r="A235" s="4" t="s">
        <v>389</v>
      </c>
      <c r="B235" s="4" t="s">
        <v>398</v>
      </c>
      <c r="C235" s="24" t="s">
        <v>24</v>
      </c>
      <c r="D235" s="24" t="s">
        <v>27</v>
      </c>
      <c r="E235" s="5" t="s">
        <v>404</v>
      </c>
      <c r="F235" s="20" t="s">
        <v>28</v>
      </c>
      <c r="G235" s="12" t="s">
        <v>2308</v>
      </c>
      <c r="H235" s="12" t="s">
        <v>532</v>
      </c>
      <c r="I235" s="4"/>
      <c r="J235" s="22">
        <v>0</v>
      </c>
      <c r="K235" s="22">
        <v>0</v>
      </c>
      <c r="L235" s="22">
        <v>0</v>
      </c>
      <c r="M235" s="22">
        <v>0</v>
      </c>
      <c r="N235" s="22">
        <v>0</v>
      </c>
      <c r="O235" s="22">
        <v>0</v>
      </c>
      <c r="P235" s="22">
        <v>0</v>
      </c>
      <c r="Q235" s="22" t="s">
        <v>2308</v>
      </c>
      <c r="R235" s="22" t="s">
        <v>2308</v>
      </c>
      <c r="S235" s="22">
        <v>0</v>
      </c>
      <c r="T235" s="22">
        <v>0</v>
      </c>
      <c r="U235" s="22">
        <v>0</v>
      </c>
      <c r="V235" s="22">
        <v>0</v>
      </c>
      <c r="W235" s="22">
        <v>0</v>
      </c>
      <c r="X235" s="22">
        <v>0</v>
      </c>
      <c r="Y235" s="22" t="s">
        <v>2308</v>
      </c>
      <c r="Z235" s="4" t="s">
        <v>407</v>
      </c>
      <c r="AA235" s="4" t="s">
        <v>406</v>
      </c>
      <c r="AB235" s="4" t="s">
        <v>64</v>
      </c>
      <c r="AC235" s="4"/>
      <c r="AD235" s="11"/>
    </row>
    <row r="236" spans="1:30" ht="103" customHeight="1">
      <c r="A236" s="4" t="s">
        <v>389</v>
      </c>
      <c r="B236" s="4" t="s">
        <v>414</v>
      </c>
      <c r="C236" s="24" t="s">
        <v>24</v>
      </c>
      <c r="D236" s="24" t="s">
        <v>27</v>
      </c>
      <c r="E236" s="5" t="s">
        <v>136</v>
      </c>
      <c r="F236" s="20" t="s">
        <v>167</v>
      </c>
      <c r="G236" s="12" t="s">
        <v>2308</v>
      </c>
      <c r="H236" s="4" t="s">
        <v>531</v>
      </c>
      <c r="I236" s="4"/>
      <c r="J236" s="22" t="s">
        <v>2308</v>
      </c>
      <c r="K236" s="22" t="s">
        <v>2308</v>
      </c>
      <c r="L236" s="22" t="s">
        <v>2308</v>
      </c>
      <c r="M236" s="22" t="s">
        <v>2308</v>
      </c>
      <c r="N236" s="22" t="s">
        <v>2308</v>
      </c>
      <c r="O236" s="22" t="s">
        <v>2308</v>
      </c>
      <c r="P236" s="22" t="s">
        <v>2308</v>
      </c>
      <c r="Q236" s="22" t="s">
        <v>2308</v>
      </c>
      <c r="R236" s="22" t="s">
        <v>2308</v>
      </c>
      <c r="S236" s="22" t="s">
        <v>2308</v>
      </c>
      <c r="T236" s="22" t="s">
        <v>2308</v>
      </c>
      <c r="U236" s="22" t="s">
        <v>2308</v>
      </c>
      <c r="V236" s="22" t="s">
        <v>2308</v>
      </c>
      <c r="W236" s="22" t="s">
        <v>2308</v>
      </c>
      <c r="X236" s="22" t="s">
        <v>2308</v>
      </c>
      <c r="Y236" s="22">
        <v>5.2383449999999998</v>
      </c>
      <c r="Z236" s="4" t="s">
        <v>407</v>
      </c>
      <c r="AA236" s="4" t="s">
        <v>406</v>
      </c>
      <c r="AB236" s="4" t="s">
        <v>64</v>
      </c>
      <c r="AC236" s="4"/>
      <c r="AD236" s="11" t="s">
        <v>422</v>
      </c>
    </row>
    <row r="237" spans="1:30" ht="66.5" customHeight="1">
      <c r="A237" s="4" t="s">
        <v>389</v>
      </c>
      <c r="B237" s="12" t="s">
        <v>418</v>
      </c>
      <c r="C237" s="24" t="s">
        <v>24</v>
      </c>
      <c r="D237" s="24" t="s">
        <v>413</v>
      </c>
      <c r="E237" s="5" t="s">
        <v>136</v>
      </c>
      <c r="F237" s="20" t="s">
        <v>167</v>
      </c>
      <c r="G237" s="12" t="s">
        <v>2308</v>
      </c>
      <c r="H237" s="4" t="s">
        <v>531</v>
      </c>
      <c r="I237" s="4"/>
      <c r="J237" s="22" t="s">
        <v>2308</v>
      </c>
      <c r="K237" s="22" t="s">
        <v>2308</v>
      </c>
      <c r="L237" s="22" t="s">
        <v>2308</v>
      </c>
      <c r="M237" s="22" t="s">
        <v>2308</v>
      </c>
      <c r="N237" s="22" t="s">
        <v>2308</v>
      </c>
      <c r="O237" s="22" t="s">
        <v>2308</v>
      </c>
      <c r="P237" s="22" t="s">
        <v>2308</v>
      </c>
      <c r="Q237" s="22" t="s">
        <v>2308</v>
      </c>
      <c r="R237" s="22" t="s">
        <v>2308</v>
      </c>
      <c r="S237" s="22" t="s">
        <v>2308</v>
      </c>
      <c r="T237" s="22" t="s">
        <v>2308</v>
      </c>
      <c r="U237" s="22" t="s">
        <v>2308</v>
      </c>
      <c r="V237" s="22" t="s">
        <v>2308</v>
      </c>
      <c r="W237" s="22" t="s">
        <v>2308</v>
      </c>
      <c r="X237" s="22" t="s">
        <v>2308</v>
      </c>
      <c r="Y237" s="22" t="s">
        <v>2308</v>
      </c>
      <c r="Z237" s="4" t="s">
        <v>411</v>
      </c>
      <c r="AA237" s="4" t="s">
        <v>412</v>
      </c>
      <c r="AB237" s="4" t="s">
        <v>64</v>
      </c>
      <c r="AC237" s="5" t="s">
        <v>415</v>
      </c>
      <c r="AD237" s="11" t="s">
        <v>416</v>
      </c>
    </row>
    <row r="238" spans="1:30" ht="73" customHeight="1">
      <c r="A238" s="4" t="s">
        <v>395</v>
      </c>
      <c r="B238" s="4" t="s">
        <v>399</v>
      </c>
      <c r="C238" s="24" t="s">
        <v>24</v>
      </c>
      <c r="D238" s="24" t="s">
        <v>27</v>
      </c>
      <c r="E238" s="5" t="s">
        <v>404</v>
      </c>
      <c r="F238" s="20" t="s">
        <v>28</v>
      </c>
      <c r="G238" s="12" t="s">
        <v>2308</v>
      </c>
      <c r="H238" s="12" t="s">
        <v>532</v>
      </c>
      <c r="I238" s="4"/>
      <c r="J238" s="22">
        <v>0</v>
      </c>
      <c r="K238" s="22">
        <v>0</v>
      </c>
      <c r="L238" s="22">
        <v>0</v>
      </c>
      <c r="M238" s="22">
        <v>0</v>
      </c>
      <c r="N238" s="22">
        <v>0</v>
      </c>
      <c r="O238" s="22">
        <v>0</v>
      </c>
      <c r="P238" s="22">
        <v>0</v>
      </c>
      <c r="Q238" s="22" t="s">
        <v>2308</v>
      </c>
      <c r="R238" s="22" t="s">
        <v>2308</v>
      </c>
      <c r="S238" s="22">
        <v>0</v>
      </c>
      <c r="T238" s="22">
        <v>0</v>
      </c>
      <c r="U238" s="22">
        <v>0</v>
      </c>
      <c r="V238" s="22">
        <v>0</v>
      </c>
      <c r="W238" s="22">
        <v>0</v>
      </c>
      <c r="X238" s="22">
        <v>0</v>
      </c>
      <c r="Y238" s="22" t="s">
        <v>2308</v>
      </c>
      <c r="Z238" s="4" t="s">
        <v>407</v>
      </c>
      <c r="AA238" s="4" t="s">
        <v>406</v>
      </c>
      <c r="AB238" s="4" t="s">
        <v>64</v>
      </c>
      <c r="AC238" s="11" t="s">
        <v>408</v>
      </c>
      <c r="AD238" s="11"/>
    </row>
    <row r="239" spans="1:30" ht="73" customHeight="1">
      <c r="A239" s="4" t="s">
        <v>395</v>
      </c>
      <c r="B239" s="4" t="s">
        <v>419</v>
      </c>
      <c r="C239" s="24" t="s">
        <v>24</v>
      </c>
      <c r="D239" s="24" t="s">
        <v>27</v>
      </c>
      <c r="E239" s="5" t="s">
        <v>136</v>
      </c>
      <c r="F239" s="20" t="s">
        <v>167</v>
      </c>
      <c r="G239" s="12" t="s">
        <v>2308</v>
      </c>
      <c r="H239" s="12" t="s">
        <v>532</v>
      </c>
      <c r="I239" s="4"/>
      <c r="J239" s="22">
        <v>0</v>
      </c>
      <c r="K239" s="22">
        <v>0</v>
      </c>
      <c r="L239" s="22">
        <v>0</v>
      </c>
      <c r="M239" s="22">
        <v>0</v>
      </c>
      <c r="N239" s="22">
        <v>0</v>
      </c>
      <c r="O239" s="22">
        <v>0</v>
      </c>
      <c r="P239" s="22">
        <v>0</v>
      </c>
      <c r="Q239" s="22" t="s">
        <v>2308</v>
      </c>
      <c r="R239" s="22" t="s">
        <v>2308</v>
      </c>
      <c r="S239" s="22">
        <v>0</v>
      </c>
      <c r="T239" s="22">
        <v>0</v>
      </c>
      <c r="U239" s="22">
        <v>0</v>
      </c>
      <c r="V239" s="22">
        <v>0</v>
      </c>
      <c r="W239" s="22">
        <v>0</v>
      </c>
      <c r="X239" s="22">
        <v>0</v>
      </c>
      <c r="Y239" s="22" t="s">
        <v>2308</v>
      </c>
      <c r="Z239" s="4" t="s">
        <v>407</v>
      </c>
      <c r="AA239" s="4" t="s">
        <v>406</v>
      </c>
      <c r="AB239" s="4" t="s">
        <v>64</v>
      </c>
      <c r="AC239" s="11" t="s">
        <v>1489</v>
      </c>
      <c r="AD239" s="11"/>
    </row>
    <row r="240" spans="1:30" ht="108" customHeight="1">
      <c r="A240" s="4" t="s">
        <v>396</v>
      </c>
      <c r="B240" s="4" t="s">
        <v>400</v>
      </c>
      <c r="C240" s="24" t="s">
        <v>24</v>
      </c>
      <c r="D240" s="24" t="s">
        <v>27</v>
      </c>
      <c r="E240" s="5" t="s">
        <v>404</v>
      </c>
      <c r="F240" s="20" t="s">
        <v>28</v>
      </c>
      <c r="G240" s="12" t="s">
        <v>2308</v>
      </c>
      <c r="H240" s="12" t="s">
        <v>532</v>
      </c>
      <c r="I240" s="4"/>
      <c r="J240" s="22">
        <v>0</v>
      </c>
      <c r="K240" s="22">
        <v>0</v>
      </c>
      <c r="L240" s="22">
        <v>0</v>
      </c>
      <c r="M240" s="22">
        <v>0</v>
      </c>
      <c r="N240" s="22">
        <v>0</v>
      </c>
      <c r="O240" s="22">
        <v>0</v>
      </c>
      <c r="P240" s="22">
        <v>0</v>
      </c>
      <c r="Q240" s="22" t="s">
        <v>2308</v>
      </c>
      <c r="R240" s="22" t="s">
        <v>2308</v>
      </c>
      <c r="S240" s="22">
        <v>0</v>
      </c>
      <c r="T240" s="22">
        <v>0</v>
      </c>
      <c r="U240" s="22">
        <v>0</v>
      </c>
      <c r="V240" s="22">
        <v>0</v>
      </c>
      <c r="W240" s="22">
        <v>0</v>
      </c>
      <c r="X240" s="22">
        <v>0</v>
      </c>
      <c r="Y240" s="22" t="s">
        <v>2308</v>
      </c>
      <c r="Z240" s="4" t="s">
        <v>35</v>
      </c>
      <c r="AA240" s="4" t="s">
        <v>406</v>
      </c>
      <c r="AB240" s="4" t="s">
        <v>64</v>
      </c>
      <c r="AC240" s="11" t="s">
        <v>409</v>
      </c>
      <c r="AD240" s="11"/>
    </row>
    <row r="241" spans="1:30" ht="108" customHeight="1">
      <c r="A241" s="4" t="s">
        <v>396</v>
      </c>
      <c r="B241" s="4" t="s">
        <v>420</v>
      </c>
      <c r="C241" s="24" t="s">
        <v>24</v>
      </c>
      <c r="D241" s="24" t="s">
        <v>149</v>
      </c>
      <c r="E241" s="5" t="s">
        <v>404</v>
      </c>
      <c r="F241" s="20" t="s">
        <v>2695</v>
      </c>
      <c r="G241" s="12" t="s">
        <v>2308</v>
      </c>
      <c r="H241" s="4" t="s">
        <v>531</v>
      </c>
      <c r="I241" s="4"/>
      <c r="J241" s="22" t="s">
        <v>2308</v>
      </c>
      <c r="K241" s="22" t="s">
        <v>2308</v>
      </c>
      <c r="L241" s="22" t="s">
        <v>2308</v>
      </c>
      <c r="M241" s="22" t="s">
        <v>2308</v>
      </c>
      <c r="N241" s="22" t="s">
        <v>2308</v>
      </c>
      <c r="O241" s="22" t="s">
        <v>2308</v>
      </c>
      <c r="P241" s="22" t="s">
        <v>2308</v>
      </c>
      <c r="Q241" s="22" t="s">
        <v>2308</v>
      </c>
      <c r="R241" s="22" t="s">
        <v>2308</v>
      </c>
      <c r="S241" s="22" t="s">
        <v>2308</v>
      </c>
      <c r="T241" s="22" t="s">
        <v>2308</v>
      </c>
      <c r="U241" s="22" t="s">
        <v>2308</v>
      </c>
      <c r="V241" s="22" t="s">
        <v>2308</v>
      </c>
      <c r="W241" s="22" t="s">
        <v>2308</v>
      </c>
      <c r="X241" s="22" t="s">
        <v>2308</v>
      </c>
      <c r="Y241" s="22" t="s">
        <v>2308</v>
      </c>
      <c r="Z241" s="4" t="s">
        <v>35</v>
      </c>
      <c r="AA241" s="4" t="s">
        <v>406</v>
      </c>
      <c r="AB241" s="4" t="s">
        <v>64</v>
      </c>
      <c r="AC241" s="11" t="s">
        <v>409</v>
      </c>
      <c r="AD241" s="11" t="s">
        <v>421</v>
      </c>
    </row>
    <row r="242" spans="1:30" ht="108" customHeight="1">
      <c r="A242" s="4" t="s">
        <v>396</v>
      </c>
      <c r="B242" s="4" t="s">
        <v>1492</v>
      </c>
      <c r="C242" s="24" t="s">
        <v>24</v>
      </c>
      <c r="D242" s="24" t="s">
        <v>27</v>
      </c>
      <c r="E242" s="5" t="s">
        <v>136</v>
      </c>
      <c r="F242" s="20" t="s">
        <v>167</v>
      </c>
      <c r="G242" s="12" t="s">
        <v>2308</v>
      </c>
      <c r="H242" s="4" t="s">
        <v>531</v>
      </c>
      <c r="I242" s="4"/>
      <c r="J242" s="22" t="s">
        <v>2308</v>
      </c>
      <c r="K242" s="22" t="s">
        <v>2308</v>
      </c>
      <c r="L242" s="22" t="s">
        <v>2308</v>
      </c>
      <c r="M242" s="22" t="s">
        <v>2308</v>
      </c>
      <c r="N242" s="22" t="s">
        <v>2308</v>
      </c>
      <c r="O242" s="22" t="s">
        <v>2308</v>
      </c>
      <c r="P242" s="22" t="s">
        <v>2308</v>
      </c>
      <c r="Q242" s="22" t="s">
        <v>2308</v>
      </c>
      <c r="R242" s="22" t="s">
        <v>2308</v>
      </c>
      <c r="S242" s="22" t="s">
        <v>2308</v>
      </c>
      <c r="T242" s="22" t="s">
        <v>2308</v>
      </c>
      <c r="U242" s="22" t="s">
        <v>2308</v>
      </c>
      <c r="V242" s="22" t="s">
        <v>2308</v>
      </c>
      <c r="W242" s="22" t="s">
        <v>2308</v>
      </c>
      <c r="X242" s="22" t="s">
        <v>2308</v>
      </c>
      <c r="Y242" s="22">
        <v>8.6058520000000005</v>
      </c>
      <c r="Z242" s="4" t="s">
        <v>35</v>
      </c>
      <c r="AA242" s="4" t="s">
        <v>406</v>
      </c>
      <c r="AB242" s="4" t="s">
        <v>64</v>
      </c>
      <c r="AC242" s="11" t="s">
        <v>409</v>
      </c>
      <c r="AD242" s="11" t="s">
        <v>422</v>
      </c>
    </row>
    <row r="243" spans="1:30" ht="63.5" customHeight="1">
      <c r="A243" s="12" t="s">
        <v>423</v>
      </c>
      <c r="B243" s="4" t="s">
        <v>426</v>
      </c>
      <c r="C243" s="24" t="s">
        <v>24</v>
      </c>
      <c r="D243" s="24" t="s">
        <v>27</v>
      </c>
      <c r="E243" s="5" t="s">
        <v>136</v>
      </c>
      <c r="F243" s="20" t="s">
        <v>167</v>
      </c>
      <c r="G243" s="12" t="s">
        <v>2308</v>
      </c>
      <c r="H243" s="4" t="s">
        <v>531</v>
      </c>
      <c r="I243" s="4"/>
      <c r="J243" s="22" t="s">
        <v>2308</v>
      </c>
      <c r="K243" s="22" t="s">
        <v>2308</v>
      </c>
      <c r="L243" s="22" t="s">
        <v>2308</v>
      </c>
      <c r="M243" s="22" t="s">
        <v>2308</v>
      </c>
      <c r="N243" s="22" t="s">
        <v>2308</v>
      </c>
      <c r="O243" s="22" t="s">
        <v>2308</v>
      </c>
      <c r="P243" s="22" t="s">
        <v>2308</v>
      </c>
      <c r="Q243" s="22" t="s">
        <v>2308</v>
      </c>
      <c r="R243" s="22" t="s">
        <v>2308</v>
      </c>
      <c r="S243" s="22" t="s">
        <v>2308</v>
      </c>
      <c r="T243" s="22" t="s">
        <v>2308</v>
      </c>
      <c r="U243" s="22" t="s">
        <v>2308</v>
      </c>
      <c r="V243" s="22" t="s">
        <v>2308</v>
      </c>
      <c r="W243" s="22" t="s">
        <v>2308</v>
      </c>
      <c r="X243" s="22" t="s">
        <v>2308</v>
      </c>
      <c r="Y243" s="22">
        <v>10</v>
      </c>
      <c r="Z243" s="4" t="s">
        <v>2308</v>
      </c>
      <c r="AA243" s="4" t="s">
        <v>2308</v>
      </c>
      <c r="AB243" s="4" t="s">
        <v>2308</v>
      </c>
      <c r="AC243" s="4"/>
      <c r="AD243" s="5" t="s">
        <v>1498</v>
      </c>
    </row>
    <row r="244" spans="1:30" ht="77" customHeight="1">
      <c r="A244" s="12" t="s">
        <v>427</v>
      </c>
      <c r="B244" s="12" t="s">
        <v>431</v>
      </c>
      <c r="C244" s="24" t="s">
        <v>24</v>
      </c>
      <c r="D244" s="24" t="s">
        <v>27</v>
      </c>
      <c r="E244" s="5" t="s">
        <v>136</v>
      </c>
      <c r="F244" s="20" t="s">
        <v>167</v>
      </c>
      <c r="G244" s="12" t="s">
        <v>2308</v>
      </c>
      <c r="H244" s="4" t="s">
        <v>531</v>
      </c>
      <c r="I244" s="4"/>
      <c r="J244" s="22" t="s">
        <v>2308</v>
      </c>
      <c r="K244" s="22" t="s">
        <v>2308</v>
      </c>
      <c r="L244" s="22" t="s">
        <v>2308</v>
      </c>
      <c r="M244" s="22" t="s">
        <v>2308</v>
      </c>
      <c r="N244" s="22" t="s">
        <v>2308</v>
      </c>
      <c r="O244" s="22" t="s">
        <v>2308</v>
      </c>
      <c r="P244" s="22" t="s">
        <v>2308</v>
      </c>
      <c r="Q244" s="22" t="s">
        <v>2308</v>
      </c>
      <c r="R244" s="22" t="s">
        <v>2308</v>
      </c>
      <c r="S244" s="22" t="s">
        <v>2308</v>
      </c>
      <c r="T244" s="22" t="s">
        <v>2308</v>
      </c>
      <c r="U244" s="22" t="s">
        <v>2308</v>
      </c>
      <c r="V244" s="22" t="s">
        <v>2308</v>
      </c>
      <c r="W244" s="22" t="s">
        <v>2308</v>
      </c>
      <c r="X244" s="22" t="s">
        <v>2308</v>
      </c>
      <c r="Y244" s="22">
        <v>13</v>
      </c>
      <c r="Z244" s="4" t="s">
        <v>432</v>
      </c>
      <c r="AA244" s="4" t="s">
        <v>68</v>
      </c>
      <c r="AB244" s="4" t="s">
        <v>2308</v>
      </c>
      <c r="AC244" s="5" t="s">
        <v>1501</v>
      </c>
      <c r="AD244" s="5" t="s">
        <v>1502</v>
      </c>
    </row>
    <row r="245" spans="1:30" ht="67.5" customHeight="1">
      <c r="A245" s="12" t="s">
        <v>434</v>
      </c>
      <c r="B245" s="12" t="s">
        <v>435</v>
      </c>
      <c r="C245" s="24" t="s">
        <v>24</v>
      </c>
      <c r="D245" s="24" t="s">
        <v>27</v>
      </c>
      <c r="E245" s="5" t="s">
        <v>136</v>
      </c>
      <c r="F245" s="20" t="s">
        <v>167</v>
      </c>
      <c r="G245" s="12" t="s">
        <v>2308</v>
      </c>
      <c r="H245" s="4" t="s">
        <v>531</v>
      </c>
      <c r="I245" s="4"/>
      <c r="J245" s="22" t="s">
        <v>2308</v>
      </c>
      <c r="K245" s="22" t="s">
        <v>2308</v>
      </c>
      <c r="L245" s="22" t="s">
        <v>2308</v>
      </c>
      <c r="M245" s="22" t="s">
        <v>2308</v>
      </c>
      <c r="N245" s="22" t="s">
        <v>2308</v>
      </c>
      <c r="O245" s="22" t="s">
        <v>2308</v>
      </c>
      <c r="P245" s="22" t="s">
        <v>2308</v>
      </c>
      <c r="Q245" s="22" t="s">
        <v>2308</v>
      </c>
      <c r="R245" s="22" t="s">
        <v>2308</v>
      </c>
      <c r="S245" s="22" t="s">
        <v>2308</v>
      </c>
      <c r="T245" s="22" t="s">
        <v>2308</v>
      </c>
      <c r="U245" s="22" t="s">
        <v>2308</v>
      </c>
      <c r="V245" s="22" t="s">
        <v>2308</v>
      </c>
      <c r="W245" s="22" t="s">
        <v>2308</v>
      </c>
      <c r="X245" s="22" t="s">
        <v>2308</v>
      </c>
      <c r="Y245" s="22">
        <v>26</v>
      </c>
      <c r="Z245" s="4" t="s">
        <v>432</v>
      </c>
      <c r="AA245" s="4" t="s">
        <v>68</v>
      </c>
      <c r="AB245" s="4" t="s">
        <v>2308</v>
      </c>
      <c r="AC245" s="5" t="s">
        <v>433</v>
      </c>
      <c r="AD245" s="5" t="s">
        <v>1503</v>
      </c>
    </row>
    <row r="246" spans="1:30" ht="67" customHeight="1">
      <c r="A246" s="24" t="s">
        <v>437</v>
      </c>
      <c r="B246" s="24" t="s">
        <v>439</v>
      </c>
      <c r="C246" s="24" t="s">
        <v>24</v>
      </c>
      <c r="D246" s="24" t="s">
        <v>27</v>
      </c>
      <c r="E246" s="25" t="s">
        <v>136</v>
      </c>
      <c r="F246" s="27" t="s">
        <v>28</v>
      </c>
      <c r="G246" s="12" t="s">
        <v>2308</v>
      </c>
      <c r="H246" s="23" t="s">
        <v>531</v>
      </c>
      <c r="I246" s="23"/>
      <c r="J246" s="84" t="s">
        <v>2308</v>
      </c>
      <c r="K246" s="84" t="s">
        <v>2308</v>
      </c>
      <c r="L246" s="84" t="s">
        <v>2308</v>
      </c>
      <c r="M246" s="84" t="s">
        <v>2308</v>
      </c>
      <c r="N246" s="84" t="s">
        <v>2308</v>
      </c>
      <c r="O246" s="84" t="s">
        <v>2308</v>
      </c>
      <c r="P246" s="84" t="s">
        <v>2308</v>
      </c>
      <c r="Q246" s="22" t="s">
        <v>2308</v>
      </c>
      <c r="R246" s="22" t="s">
        <v>2308</v>
      </c>
      <c r="S246" s="84" t="s">
        <v>2308</v>
      </c>
      <c r="T246" s="84" t="s">
        <v>2308</v>
      </c>
      <c r="U246" s="84" t="s">
        <v>2308</v>
      </c>
      <c r="V246" s="84" t="s">
        <v>2308</v>
      </c>
      <c r="W246" s="84" t="s">
        <v>2308</v>
      </c>
      <c r="X246" s="84" t="s">
        <v>2308</v>
      </c>
      <c r="Y246" s="84">
        <v>1</v>
      </c>
      <c r="Z246" s="23" t="s">
        <v>2308</v>
      </c>
      <c r="AA246" s="23" t="s">
        <v>2308</v>
      </c>
      <c r="AB246" s="4" t="s">
        <v>2308</v>
      </c>
      <c r="AC246" s="25" t="s">
        <v>441</v>
      </c>
      <c r="AD246" s="25" t="s">
        <v>442</v>
      </c>
    </row>
    <row r="247" spans="1:30" ht="63.5" customHeight="1">
      <c r="A247" s="24" t="s">
        <v>437</v>
      </c>
      <c r="B247" s="24" t="s">
        <v>440</v>
      </c>
      <c r="C247" s="24" t="s">
        <v>24</v>
      </c>
      <c r="D247" s="24" t="s">
        <v>27</v>
      </c>
      <c r="E247" s="25" t="s">
        <v>136</v>
      </c>
      <c r="F247" s="27" t="s">
        <v>167</v>
      </c>
      <c r="G247" s="12" t="s">
        <v>2308</v>
      </c>
      <c r="H247" s="23" t="s">
        <v>531</v>
      </c>
      <c r="I247" s="23"/>
      <c r="J247" s="84" t="s">
        <v>2308</v>
      </c>
      <c r="K247" s="84" t="s">
        <v>2308</v>
      </c>
      <c r="L247" s="84" t="s">
        <v>2308</v>
      </c>
      <c r="M247" s="84" t="s">
        <v>2308</v>
      </c>
      <c r="N247" s="84" t="s">
        <v>2308</v>
      </c>
      <c r="O247" s="84" t="s">
        <v>2308</v>
      </c>
      <c r="P247" s="84" t="s">
        <v>2308</v>
      </c>
      <c r="Q247" s="22" t="s">
        <v>2308</v>
      </c>
      <c r="R247" s="22" t="s">
        <v>2308</v>
      </c>
      <c r="S247" s="84" t="s">
        <v>2308</v>
      </c>
      <c r="T247" s="84" t="s">
        <v>2308</v>
      </c>
      <c r="U247" s="84" t="s">
        <v>2308</v>
      </c>
      <c r="V247" s="84" t="s">
        <v>2308</v>
      </c>
      <c r="W247" s="84" t="s">
        <v>2308</v>
      </c>
      <c r="X247" s="84" t="s">
        <v>2308</v>
      </c>
      <c r="Y247" s="84">
        <v>20</v>
      </c>
      <c r="Z247" s="23" t="s">
        <v>2308</v>
      </c>
      <c r="AA247" s="23" t="s">
        <v>2308</v>
      </c>
      <c r="AB247" s="4" t="s">
        <v>2308</v>
      </c>
      <c r="AC247" s="25" t="s">
        <v>444</v>
      </c>
      <c r="AD247" s="25" t="s">
        <v>5073</v>
      </c>
    </row>
    <row r="248" spans="1:30" ht="60" customHeight="1">
      <c r="A248" s="4" t="s">
        <v>445</v>
      </c>
      <c r="B248" s="4" t="s">
        <v>449</v>
      </c>
      <c r="C248" s="24" t="s">
        <v>24</v>
      </c>
      <c r="D248" s="24" t="s">
        <v>27</v>
      </c>
      <c r="E248" s="25" t="s">
        <v>136</v>
      </c>
      <c r="F248" s="27" t="s">
        <v>167</v>
      </c>
      <c r="G248" s="12" t="s">
        <v>2308</v>
      </c>
      <c r="H248" s="4" t="s">
        <v>531</v>
      </c>
      <c r="I248" s="4"/>
      <c r="J248" s="22" t="s">
        <v>2308</v>
      </c>
      <c r="K248" s="22" t="s">
        <v>2308</v>
      </c>
      <c r="L248" s="22" t="s">
        <v>2308</v>
      </c>
      <c r="M248" s="22" t="s">
        <v>2308</v>
      </c>
      <c r="N248" s="22" t="s">
        <v>2308</v>
      </c>
      <c r="O248" s="22" t="s">
        <v>2308</v>
      </c>
      <c r="P248" s="22" t="s">
        <v>2308</v>
      </c>
      <c r="Q248" s="22" t="s">
        <v>2308</v>
      </c>
      <c r="R248" s="22" t="s">
        <v>2308</v>
      </c>
      <c r="S248" s="22" t="s">
        <v>2308</v>
      </c>
      <c r="T248" s="22" t="s">
        <v>2308</v>
      </c>
      <c r="U248" s="22" t="s">
        <v>2308</v>
      </c>
      <c r="V248" s="22" t="s">
        <v>2308</v>
      </c>
      <c r="W248" s="22" t="s">
        <v>2308</v>
      </c>
      <c r="X248" s="22" t="s">
        <v>2308</v>
      </c>
      <c r="Y248" s="22">
        <v>11</v>
      </c>
      <c r="Z248" s="4" t="s">
        <v>68</v>
      </c>
      <c r="AA248" s="4" t="s">
        <v>68</v>
      </c>
      <c r="AB248" s="4" t="s">
        <v>2308</v>
      </c>
      <c r="AC248" s="4"/>
      <c r="AD248" s="5" t="s">
        <v>1504</v>
      </c>
    </row>
    <row r="249" spans="1:30" ht="69.5" customHeight="1">
      <c r="A249" s="12" t="s">
        <v>454</v>
      </c>
      <c r="B249" s="12" t="s">
        <v>455</v>
      </c>
      <c r="C249" s="24" t="s">
        <v>24</v>
      </c>
      <c r="D249" s="24" t="s">
        <v>27</v>
      </c>
      <c r="E249" s="5" t="s">
        <v>403</v>
      </c>
      <c r="F249" s="20" t="s">
        <v>28</v>
      </c>
      <c r="G249" s="12" t="s">
        <v>2308</v>
      </c>
      <c r="H249" s="12" t="s">
        <v>532</v>
      </c>
      <c r="I249" s="4"/>
      <c r="J249" s="22">
        <v>0</v>
      </c>
      <c r="K249" s="22">
        <v>0</v>
      </c>
      <c r="L249" s="22">
        <v>0</v>
      </c>
      <c r="M249" s="22">
        <v>0</v>
      </c>
      <c r="N249" s="22">
        <v>0</v>
      </c>
      <c r="O249" s="22">
        <v>0</v>
      </c>
      <c r="P249" s="22">
        <v>0</v>
      </c>
      <c r="Q249" s="22" t="s">
        <v>2308</v>
      </c>
      <c r="R249" s="22" t="s">
        <v>2308</v>
      </c>
      <c r="S249" s="22">
        <v>0</v>
      </c>
      <c r="T249" s="22">
        <v>0</v>
      </c>
      <c r="U249" s="22">
        <v>0</v>
      </c>
      <c r="V249" s="22">
        <v>0</v>
      </c>
      <c r="W249" s="22">
        <v>0</v>
      </c>
      <c r="X249" s="22">
        <v>0</v>
      </c>
      <c r="Y249" s="22" t="s">
        <v>2308</v>
      </c>
      <c r="Z249" s="4" t="s">
        <v>2308</v>
      </c>
      <c r="AA249" s="4" t="s">
        <v>2308</v>
      </c>
      <c r="AB249" s="4" t="s">
        <v>2308</v>
      </c>
      <c r="AC249" s="5" t="s">
        <v>456</v>
      </c>
      <c r="AD249" s="5"/>
    </row>
    <row r="250" spans="1:30" ht="121.5" customHeight="1">
      <c r="A250" s="12" t="s">
        <v>454</v>
      </c>
      <c r="B250" s="12" t="s">
        <v>459</v>
      </c>
      <c r="C250" s="24" t="s">
        <v>24</v>
      </c>
      <c r="D250" s="24" t="s">
        <v>27</v>
      </c>
      <c r="E250" s="25" t="s">
        <v>136</v>
      </c>
      <c r="F250" s="20" t="s">
        <v>55</v>
      </c>
      <c r="G250" s="12" t="s">
        <v>2308</v>
      </c>
      <c r="H250" s="12" t="s">
        <v>532</v>
      </c>
      <c r="I250" s="4"/>
      <c r="J250" s="22">
        <v>0</v>
      </c>
      <c r="K250" s="22">
        <v>0</v>
      </c>
      <c r="L250" s="22">
        <v>0</v>
      </c>
      <c r="M250" s="22">
        <v>0</v>
      </c>
      <c r="N250" s="22">
        <v>0</v>
      </c>
      <c r="O250" s="22">
        <v>0</v>
      </c>
      <c r="P250" s="22">
        <v>0</v>
      </c>
      <c r="Q250" s="22" t="s">
        <v>2308</v>
      </c>
      <c r="R250" s="22" t="s">
        <v>2308</v>
      </c>
      <c r="S250" s="22">
        <v>0</v>
      </c>
      <c r="T250" s="22">
        <v>0</v>
      </c>
      <c r="U250" s="22">
        <v>0</v>
      </c>
      <c r="V250" s="22">
        <v>0</v>
      </c>
      <c r="W250" s="22">
        <v>0</v>
      </c>
      <c r="X250" s="22">
        <v>0</v>
      </c>
      <c r="Y250" s="22" t="s">
        <v>2308</v>
      </c>
      <c r="Z250" s="4" t="s">
        <v>2308</v>
      </c>
      <c r="AA250" s="4" t="s">
        <v>2308</v>
      </c>
      <c r="AB250" s="4" t="s">
        <v>2308</v>
      </c>
      <c r="AC250" s="5" t="s">
        <v>457</v>
      </c>
      <c r="AD250" s="5"/>
    </row>
    <row r="251" spans="1:30" ht="101" customHeight="1">
      <c r="A251" s="12" t="s">
        <v>454</v>
      </c>
      <c r="B251" s="12" t="s">
        <v>460</v>
      </c>
      <c r="C251" s="24" t="s">
        <v>24</v>
      </c>
      <c r="D251" s="24" t="s">
        <v>27</v>
      </c>
      <c r="E251" s="25" t="s">
        <v>136</v>
      </c>
      <c r="F251" s="20" t="s">
        <v>2695</v>
      </c>
      <c r="G251" s="12" t="s">
        <v>2308</v>
      </c>
      <c r="H251" s="20" t="s">
        <v>531</v>
      </c>
      <c r="I251" s="4"/>
      <c r="J251" s="22" t="s">
        <v>2308</v>
      </c>
      <c r="K251" s="22" t="s">
        <v>2308</v>
      </c>
      <c r="L251" s="22" t="s">
        <v>2308</v>
      </c>
      <c r="M251" s="22" t="s">
        <v>2308</v>
      </c>
      <c r="N251" s="22" t="s">
        <v>2308</v>
      </c>
      <c r="O251" s="22" t="s">
        <v>2308</v>
      </c>
      <c r="P251" s="22" t="s">
        <v>2308</v>
      </c>
      <c r="Q251" s="22" t="s">
        <v>2308</v>
      </c>
      <c r="R251" s="22" t="s">
        <v>2308</v>
      </c>
      <c r="S251" s="22" t="s">
        <v>2308</v>
      </c>
      <c r="T251" s="22" t="s">
        <v>2308</v>
      </c>
      <c r="U251" s="22" t="s">
        <v>2308</v>
      </c>
      <c r="V251" s="22" t="s">
        <v>2308</v>
      </c>
      <c r="W251" s="22" t="s">
        <v>2308</v>
      </c>
      <c r="X251" s="22" t="s">
        <v>2308</v>
      </c>
      <c r="Y251" s="22" t="s">
        <v>2308</v>
      </c>
      <c r="Z251" s="4" t="s">
        <v>2308</v>
      </c>
      <c r="AA251" s="4" t="s">
        <v>2308</v>
      </c>
      <c r="AB251" s="4" t="s">
        <v>2308</v>
      </c>
      <c r="AC251" s="5" t="s">
        <v>1507</v>
      </c>
      <c r="AD251" s="5" t="s">
        <v>458</v>
      </c>
    </row>
    <row r="252" spans="1:30" ht="95" customHeight="1">
      <c r="A252" s="4" t="s">
        <v>462</v>
      </c>
      <c r="B252" s="4" t="s">
        <v>469</v>
      </c>
      <c r="C252" s="24" t="s">
        <v>24</v>
      </c>
      <c r="D252" s="24" t="s">
        <v>27</v>
      </c>
      <c r="E252" s="5" t="s">
        <v>403</v>
      </c>
      <c r="F252" s="20" t="s">
        <v>28</v>
      </c>
      <c r="G252" s="12" t="s">
        <v>2308</v>
      </c>
      <c r="H252" s="12" t="s">
        <v>532</v>
      </c>
      <c r="I252" s="4"/>
      <c r="J252" s="22">
        <v>0</v>
      </c>
      <c r="K252" s="22">
        <v>0</v>
      </c>
      <c r="L252" s="22">
        <v>0</v>
      </c>
      <c r="M252" s="22">
        <v>0</v>
      </c>
      <c r="N252" s="22">
        <v>0</v>
      </c>
      <c r="O252" s="22">
        <v>0</v>
      </c>
      <c r="P252" s="22">
        <v>0</v>
      </c>
      <c r="Q252" s="22" t="s">
        <v>2308</v>
      </c>
      <c r="R252" s="22" t="s">
        <v>2308</v>
      </c>
      <c r="S252" s="22">
        <v>0</v>
      </c>
      <c r="T252" s="22">
        <v>0</v>
      </c>
      <c r="U252" s="22">
        <v>0</v>
      </c>
      <c r="V252" s="22">
        <v>0</v>
      </c>
      <c r="W252" s="22">
        <v>0</v>
      </c>
      <c r="X252" s="22">
        <v>0</v>
      </c>
      <c r="Y252" s="22" t="s">
        <v>2308</v>
      </c>
      <c r="Z252" s="4" t="s">
        <v>2308</v>
      </c>
      <c r="AA252" s="4" t="s">
        <v>2308</v>
      </c>
      <c r="AB252" s="4" t="s">
        <v>2308</v>
      </c>
      <c r="AC252" s="5" t="s">
        <v>470</v>
      </c>
      <c r="AD252" s="4"/>
    </row>
    <row r="253" spans="1:30" ht="66" customHeight="1">
      <c r="A253" s="4" t="s">
        <v>463</v>
      </c>
      <c r="B253" s="4" t="s">
        <v>471</v>
      </c>
      <c r="C253" s="24" t="s">
        <v>24</v>
      </c>
      <c r="D253" s="24" t="s">
        <v>27</v>
      </c>
      <c r="E253" s="5" t="s">
        <v>403</v>
      </c>
      <c r="F253" s="20" t="s">
        <v>28</v>
      </c>
      <c r="G253" s="12" t="s">
        <v>2308</v>
      </c>
      <c r="H253" s="12" t="s">
        <v>532</v>
      </c>
      <c r="I253" s="4"/>
      <c r="J253" s="22">
        <v>0</v>
      </c>
      <c r="K253" s="22">
        <v>0</v>
      </c>
      <c r="L253" s="22">
        <v>0</v>
      </c>
      <c r="M253" s="22">
        <v>0</v>
      </c>
      <c r="N253" s="22">
        <v>0</v>
      </c>
      <c r="O253" s="22">
        <v>0</v>
      </c>
      <c r="P253" s="22">
        <v>0</v>
      </c>
      <c r="Q253" s="22" t="s">
        <v>2308</v>
      </c>
      <c r="R253" s="22" t="s">
        <v>2308</v>
      </c>
      <c r="S253" s="22">
        <v>0</v>
      </c>
      <c r="T253" s="22">
        <v>0</v>
      </c>
      <c r="U253" s="22">
        <v>0</v>
      </c>
      <c r="V253" s="22">
        <v>0</v>
      </c>
      <c r="W253" s="22">
        <v>0</v>
      </c>
      <c r="X253" s="22">
        <v>0</v>
      </c>
      <c r="Y253" s="22" t="s">
        <v>2308</v>
      </c>
      <c r="Z253" s="4" t="s">
        <v>2308</v>
      </c>
      <c r="AA253" s="4" t="s">
        <v>2308</v>
      </c>
      <c r="AB253" s="4" t="s">
        <v>2308</v>
      </c>
      <c r="AC253" s="5" t="s">
        <v>470</v>
      </c>
      <c r="AD253" s="4"/>
    </row>
    <row r="254" spans="1:30" ht="79.5" customHeight="1">
      <c r="A254" s="4" t="s">
        <v>463</v>
      </c>
      <c r="B254" s="4" t="s">
        <v>1508</v>
      </c>
      <c r="C254" s="24" t="s">
        <v>24</v>
      </c>
      <c r="D254" s="24" t="s">
        <v>27</v>
      </c>
      <c r="E254" s="25" t="s">
        <v>136</v>
      </c>
      <c r="F254" s="20" t="s">
        <v>55</v>
      </c>
      <c r="G254" s="12" t="s">
        <v>2308</v>
      </c>
      <c r="H254" s="12" t="s">
        <v>532</v>
      </c>
      <c r="I254" s="4"/>
      <c r="J254" s="22">
        <v>0</v>
      </c>
      <c r="K254" s="22">
        <v>0</v>
      </c>
      <c r="L254" s="22">
        <v>0</v>
      </c>
      <c r="M254" s="22">
        <v>0</v>
      </c>
      <c r="N254" s="22">
        <v>0</v>
      </c>
      <c r="O254" s="22">
        <v>0</v>
      </c>
      <c r="P254" s="22">
        <v>0</v>
      </c>
      <c r="Q254" s="22" t="s">
        <v>2308</v>
      </c>
      <c r="R254" s="22" t="s">
        <v>2308</v>
      </c>
      <c r="S254" s="22">
        <v>0</v>
      </c>
      <c r="T254" s="22">
        <v>0</v>
      </c>
      <c r="U254" s="22">
        <v>0</v>
      </c>
      <c r="V254" s="22">
        <v>0</v>
      </c>
      <c r="W254" s="22">
        <v>0</v>
      </c>
      <c r="X254" s="22">
        <v>0</v>
      </c>
      <c r="Y254" s="22" t="s">
        <v>2308</v>
      </c>
      <c r="Z254" s="4" t="s">
        <v>2308</v>
      </c>
      <c r="AA254" s="4" t="s">
        <v>2308</v>
      </c>
      <c r="AB254" s="4" t="s">
        <v>2308</v>
      </c>
      <c r="AC254" s="5" t="s">
        <v>472</v>
      </c>
      <c r="AD254" s="4"/>
    </row>
    <row r="255" spans="1:30" ht="97.5" customHeight="1">
      <c r="A255" s="12" t="s">
        <v>474</v>
      </c>
      <c r="B255" s="12" t="s">
        <v>484</v>
      </c>
      <c r="C255" s="24" t="s">
        <v>24</v>
      </c>
      <c r="D255" s="24" t="s">
        <v>27</v>
      </c>
      <c r="E255" s="5" t="s">
        <v>404</v>
      </c>
      <c r="F255" s="20" t="s">
        <v>28</v>
      </c>
      <c r="G255" s="12" t="s">
        <v>2308</v>
      </c>
      <c r="H255" s="12" t="s">
        <v>532</v>
      </c>
      <c r="I255" s="4">
        <v>2010</v>
      </c>
      <c r="J255" s="22">
        <v>0</v>
      </c>
      <c r="K255" s="22">
        <v>0</v>
      </c>
      <c r="L255" s="22">
        <v>0</v>
      </c>
      <c r="M255" s="22">
        <v>0</v>
      </c>
      <c r="N255" s="22">
        <v>0</v>
      </c>
      <c r="O255" s="22">
        <v>0</v>
      </c>
      <c r="P255" s="22">
        <v>0</v>
      </c>
      <c r="Q255" s="22" t="s">
        <v>2308</v>
      </c>
      <c r="R255" s="22" t="s">
        <v>2308</v>
      </c>
      <c r="S255" s="22">
        <v>0</v>
      </c>
      <c r="T255" s="22">
        <v>0</v>
      </c>
      <c r="U255" s="22">
        <v>0</v>
      </c>
      <c r="V255" s="22">
        <v>0</v>
      </c>
      <c r="W255" s="22">
        <v>0</v>
      </c>
      <c r="X255" s="22">
        <v>0</v>
      </c>
      <c r="Y255" s="22" t="s">
        <v>2308</v>
      </c>
      <c r="Z255" s="4" t="s">
        <v>2308</v>
      </c>
      <c r="AA255" s="4" t="s">
        <v>2308</v>
      </c>
      <c r="AB255" s="4" t="s">
        <v>2308</v>
      </c>
      <c r="AC255" s="5" t="s">
        <v>487</v>
      </c>
      <c r="AD255" s="4"/>
    </row>
    <row r="256" spans="1:30" ht="93.5" customHeight="1">
      <c r="A256" s="12" t="s">
        <v>474</v>
      </c>
      <c r="B256" s="12" t="s">
        <v>485</v>
      </c>
      <c r="C256" s="24" t="s">
        <v>24</v>
      </c>
      <c r="D256" s="24" t="s">
        <v>27</v>
      </c>
      <c r="E256" s="25" t="s">
        <v>136</v>
      </c>
      <c r="F256" s="20" t="s">
        <v>2695</v>
      </c>
      <c r="G256" s="12" t="s">
        <v>2308</v>
      </c>
      <c r="H256" s="12" t="s">
        <v>532</v>
      </c>
      <c r="I256" s="4">
        <v>2010</v>
      </c>
      <c r="J256" s="22">
        <v>0</v>
      </c>
      <c r="K256" s="22">
        <v>0</v>
      </c>
      <c r="L256" s="22">
        <v>0</v>
      </c>
      <c r="M256" s="22">
        <v>0</v>
      </c>
      <c r="N256" s="22">
        <v>0</v>
      </c>
      <c r="O256" s="22">
        <v>0</v>
      </c>
      <c r="P256" s="22">
        <v>0</v>
      </c>
      <c r="Q256" s="22" t="s">
        <v>2308</v>
      </c>
      <c r="R256" s="22" t="s">
        <v>2308</v>
      </c>
      <c r="S256" s="22">
        <v>0</v>
      </c>
      <c r="T256" s="22">
        <v>0</v>
      </c>
      <c r="U256" s="22">
        <v>0</v>
      </c>
      <c r="V256" s="22">
        <v>0</v>
      </c>
      <c r="W256" s="22">
        <v>0</v>
      </c>
      <c r="X256" s="22">
        <v>0</v>
      </c>
      <c r="Y256" s="22" t="s">
        <v>2308</v>
      </c>
      <c r="Z256" s="4" t="s">
        <v>2308</v>
      </c>
      <c r="AA256" s="4" t="s">
        <v>2308</v>
      </c>
      <c r="AB256" s="4" t="s">
        <v>2308</v>
      </c>
      <c r="AC256" s="5" t="s">
        <v>486</v>
      </c>
      <c r="AD256" s="4"/>
    </row>
    <row r="257" spans="1:30" ht="87.5" customHeight="1">
      <c r="A257" s="34" t="s">
        <v>475</v>
      </c>
      <c r="B257" s="34" t="s">
        <v>488</v>
      </c>
      <c r="C257" s="24" t="s">
        <v>24</v>
      </c>
      <c r="D257" s="24" t="s">
        <v>27</v>
      </c>
      <c r="E257" s="5" t="s">
        <v>404</v>
      </c>
      <c r="F257" s="20" t="s">
        <v>28</v>
      </c>
      <c r="G257" s="12" t="s">
        <v>2308</v>
      </c>
      <c r="H257" s="12" t="s">
        <v>532</v>
      </c>
      <c r="I257" s="4">
        <v>2010</v>
      </c>
      <c r="J257" s="22">
        <v>0</v>
      </c>
      <c r="K257" s="22">
        <v>0</v>
      </c>
      <c r="L257" s="22">
        <v>0</v>
      </c>
      <c r="M257" s="22">
        <v>0</v>
      </c>
      <c r="N257" s="22">
        <v>0</v>
      </c>
      <c r="O257" s="22">
        <v>0</v>
      </c>
      <c r="P257" s="22">
        <v>0</v>
      </c>
      <c r="Q257" s="22" t="s">
        <v>2308</v>
      </c>
      <c r="R257" s="22" t="s">
        <v>2308</v>
      </c>
      <c r="S257" s="22">
        <v>0</v>
      </c>
      <c r="T257" s="22">
        <v>0</v>
      </c>
      <c r="U257" s="22">
        <v>0</v>
      </c>
      <c r="V257" s="22">
        <v>0</v>
      </c>
      <c r="W257" s="22">
        <v>0</v>
      </c>
      <c r="X257" s="22">
        <v>0</v>
      </c>
      <c r="Y257" s="22" t="s">
        <v>2308</v>
      </c>
      <c r="Z257" s="4" t="s">
        <v>2308</v>
      </c>
      <c r="AA257" s="4" t="s">
        <v>2308</v>
      </c>
      <c r="AB257" s="4" t="s">
        <v>2308</v>
      </c>
      <c r="AC257" s="4"/>
      <c r="AD257" s="4"/>
    </row>
    <row r="258" spans="1:30" ht="83.5" customHeight="1">
      <c r="A258" s="36" t="s">
        <v>475</v>
      </c>
      <c r="B258" s="36" t="s">
        <v>489</v>
      </c>
      <c r="C258" s="37" t="s">
        <v>24</v>
      </c>
      <c r="D258" s="37" t="s">
        <v>27</v>
      </c>
      <c r="E258" s="38" t="s">
        <v>136</v>
      </c>
      <c r="F258" s="56" t="s">
        <v>55</v>
      </c>
      <c r="G258" s="12" t="s">
        <v>2308</v>
      </c>
      <c r="H258" s="12" t="s">
        <v>532</v>
      </c>
      <c r="I258" s="4">
        <v>2010</v>
      </c>
      <c r="J258" s="22">
        <v>0</v>
      </c>
      <c r="K258" s="22">
        <v>0</v>
      </c>
      <c r="L258" s="22">
        <v>0</v>
      </c>
      <c r="M258" s="22">
        <v>0</v>
      </c>
      <c r="N258" s="22">
        <v>0</v>
      </c>
      <c r="O258" s="22">
        <v>0</v>
      </c>
      <c r="P258" s="22">
        <v>0</v>
      </c>
      <c r="Q258" s="22" t="s">
        <v>2308</v>
      </c>
      <c r="R258" s="22" t="s">
        <v>2308</v>
      </c>
      <c r="S258" s="22">
        <v>0</v>
      </c>
      <c r="T258" s="22">
        <v>0</v>
      </c>
      <c r="U258" s="22">
        <v>0</v>
      </c>
      <c r="V258" s="22">
        <v>0</v>
      </c>
      <c r="W258" s="22">
        <v>0</v>
      </c>
      <c r="X258" s="22">
        <v>0</v>
      </c>
      <c r="Y258" s="22" t="s">
        <v>2308</v>
      </c>
      <c r="Z258" s="4" t="s">
        <v>2308</v>
      </c>
      <c r="AA258" s="4" t="s">
        <v>2308</v>
      </c>
      <c r="AB258" s="4" t="s">
        <v>2308</v>
      </c>
      <c r="AC258" s="5" t="s">
        <v>472</v>
      </c>
      <c r="AD258" s="4"/>
    </row>
    <row r="259" spans="1:30" ht="66" customHeight="1">
      <c r="A259" s="12" t="s">
        <v>475</v>
      </c>
      <c r="B259" s="12" t="s">
        <v>490</v>
      </c>
      <c r="C259" s="24" t="s">
        <v>24</v>
      </c>
      <c r="D259" s="24" t="s">
        <v>27</v>
      </c>
      <c r="E259" s="25" t="s">
        <v>136</v>
      </c>
      <c r="F259" s="20" t="s">
        <v>167</v>
      </c>
      <c r="G259" s="12" t="s">
        <v>2308</v>
      </c>
      <c r="H259" s="20" t="s">
        <v>531</v>
      </c>
      <c r="I259" s="4">
        <v>2010</v>
      </c>
      <c r="J259" s="22" t="s">
        <v>2308</v>
      </c>
      <c r="K259" s="22" t="s">
        <v>2308</v>
      </c>
      <c r="L259" s="22" t="s">
        <v>2308</v>
      </c>
      <c r="M259" s="22" t="s">
        <v>2308</v>
      </c>
      <c r="N259" s="22" t="s">
        <v>2308</v>
      </c>
      <c r="O259" s="22" t="s">
        <v>2308</v>
      </c>
      <c r="P259" s="22" t="s">
        <v>2308</v>
      </c>
      <c r="Q259" s="22" t="s">
        <v>2308</v>
      </c>
      <c r="R259" s="22" t="s">
        <v>2308</v>
      </c>
      <c r="S259" s="22" t="s">
        <v>2308</v>
      </c>
      <c r="T259" s="22" t="s">
        <v>2308</v>
      </c>
      <c r="U259" s="22" t="s">
        <v>2308</v>
      </c>
      <c r="V259" s="22" t="s">
        <v>2308</v>
      </c>
      <c r="W259" s="22" t="s">
        <v>2308</v>
      </c>
      <c r="X259" s="22" t="s">
        <v>2308</v>
      </c>
      <c r="Y259" s="22">
        <v>7</v>
      </c>
      <c r="Z259" s="4" t="s">
        <v>68</v>
      </c>
      <c r="AA259" s="4" t="s">
        <v>35</v>
      </c>
      <c r="AB259" s="4" t="s">
        <v>64</v>
      </c>
      <c r="AC259" s="5" t="s">
        <v>491</v>
      </c>
      <c r="AD259" s="5" t="s">
        <v>2445</v>
      </c>
    </row>
    <row r="260" spans="1:30" ht="68.5" customHeight="1">
      <c r="A260" s="12" t="s">
        <v>476</v>
      </c>
      <c r="B260" s="34" t="s">
        <v>492</v>
      </c>
      <c r="C260" s="24" t="s">
        <v>24</v>
      </c>
      <c r="D260" s="24" t="s">
        <v>27</v>
      </c>
      <c r="E260" s="5" t="s">
        <v>404</v>
      </c>
      <c r="F260" s="20" t="s">
        <v>28</v>
      </c>
      <c r="G260" s="12" t="s">
        <v>2308</v>
      </c>
      <c r="H260" s="12" t="s">
        <v>532</v>
      </c>
      <c r="I260" s="4">
        <v>2010</v>
      </c>
      <c r="J260" s="22">
        <v>0</v>
      </c>
      <c r="K260" s="22">
        <v>0</v>
      </c>
      <c r="L260" s="22">
        <v>0</v>
      </c>
      <c r="M260" s="22">
        <v>0</v>
      </c>
      <c r="N260" s="22">
        <v>0</v>
      </c>
      <c r="O260" s="22">
        <v>0</v>
      </c>
      <c r="P260" s="22">
        <v>0</v>
      </c>
      <c r="Q260" s="22" t="s">
        <v>2308</v>
      </c>
      <c r="R260" s="22" t="s">
        <v>2308</v>
      </c>
      <c r="S260" s="22">
        <v>0</v>
      </c>
      <c r="T260" s="22">
        <v>0</v>
      </c>
      <c r="U260" s="22">
        <v>0</v>
      </c>
      <c r="V260" s="22">
        <v>0</v>
      </c>
      <c r="W260" s="22">
        <v>0</v>
      </c>
      <c r="X260" s="22">
        <v>0</v>
      </c>
      <c r="Y260" s="22" t="s">
        <v>2308</v>
      </c>
      <c r="Z260" s="4" t="s">
        <v>2308</v>
      </c>
      <c r="AA260" s="4" t="s">
        <v>2308</v>
      </c>
      <c r="AB260" s="4" t="s">
        <v>2308</v>
      </c>
      <c r="AC260" s="4"/>
      <c r="AD260" s="5"/>
    </row>
    <row r="261" spans="1:30" ht="62.5" customHeight="1">
      <c r="A261" s="12" t="s">
        <v>476</v>
      </c>
      <c r="B261" s="36" t="s">
        <v>493</v>
      </c>
      <c r="C261" s="37" t="s">
        <v>24</v>
      </c>
      <c r="D261" s="37" t="s">
        <v>27</v>
      </c>
      <c r="E261" s="38" t="s">
        <v>136</v>
      </c>
      <c r="F261" s="56" t="s">
        <v>55</v>
      </c>
      <c r="G261" s="12" t="s">
        <v>2308</v>
      </c>
      <c r="H261" s="12" t="s">
        <v>532</v>
      </c>
      <c r="I261" s="4">
        <v>2010</v>
      </c>
      <c r="J261" s="22">
        <v>0</v>
      </c>
      <c r="K261" s="22">
        <v>0</v>
      </c>
      <c r="L261" s="22">
        <v>0</v>
      </c>
      <c r="M261" s="22">
        <v>0</v>
      </c>
      <c r="N261" s="22">
        <v>0</v>
      </c>
      <c r="O261" s="22">
        <v>0</v>
      </c>
      <c r="P261" s="22">
        <v>0</v>
      </c>
      <c r="Q261" s="22" t="s">
        <v>2308</v>
      </c>
      <c r="R261" s="22" t="s">
        <v>2308</v>
      </c>
      <c r="S261" s="22">
        <v>0</v>
      </c>
      <c r="T261" s="22">
        <v>0</v>
      </c>
      <c r="U261" s="22">
        <v>0</v>
      </c>
      <c r="V261" s="22">
        <v>0</v>
      </c>
      <c r="W261" s="22">
        <v>0</v>
      </c>
      <c r="X261" s="22">
        <v>0</v>
      </c>
      <c r="Y261" s="22" t="s">
        <v>2308</v>
      </c>
      <c r="Z261" s="4" t="s">
        <v>2308</v>
      </c>
      <c r="AA261" s="4" t="s">
        <v>2308</v>
      </c>
      <c r="AB261" s="4" t="s">
        <v>2308</v>
      </c>
      <c r="AC261" s="5" t="s">
        <v>472</v>
      </c>
      <c r="AD261" s="5"/>
    </row>
    <row r="262" spans="1:30" ht="65" customHeight="1">
      <c r="A262" s="12" t="s">
        <v>476</v>
      </c>
      <c r="B262" s="12" t="s">
        <v>494</v>
      </c>
      <c r="C262" s="24" t="s">
        <v>24</v>
      </c>
      <c r="D262" s="24" t="s">
        <v>27</v>
      </c>
      <c r="E262" s="25" t="s">
        <v>136</v>
      </c>
      <c r="F262" s="20" t="s">
        <v>167</v>
      </c>
      <c r="G262" s="12" t="s">
        <v>2308</v>
      </c>
      <c r="H262" s="20" t="s">
        <v>531</v>
      </c>
      <c r="I262" s="4">
        <v>2010</v>
      </c>
      <c r="J262" s="22" t="s">
        <v>2308</v>
      </c>
      <c r="K262" s="22" t="s">
        <v>2308</v>
      </c>
      <c r="L262" s="22" t="s">
        <v>2308</v>
      </c>
      <c r="M262" s="22" t="s">
        <v>2308</v>
      </c>
      <c r="N262" s="22" t="s">
        <v>2308</v>
      </c>
      <c r="O262" s="22" t="s">
        <v>2308</v>
      </c>
      <c r="P262" s="22" t="s">
        <v>2308</v>
      </c>
      <c r="Q262" s="22" t="s">
        <v>2308</v>
      </c>
      <c r="R262" s="22" t="s">
        <v>2308</v>
      </c>
      <c r="S262" s="22" t="s">
        <v>2308</v>
      </c>
      <c r="T262" s="22" t="s">
        <v>2308</v>
      </c>
      <c r="U262" s="22" t="s">
        <v>2308</v>
      </c>
      <c r="V262" s="22" t="s">
        <v>2308</v>
      </c>
      <c r="W262" s="22" t="s">
        <v>2308</v>
      </c>
      <c r="X262" s="22" t="s">
        <v>2308</v>
      </c>
      <c r="Y262" s="22">
        <v>7</v>
      </c>
      <c r="Z262" s="4" t="s">
        <v>68</v>
      </c>
      <c r="AA262" s="4" t="s">
        <v>35</v>
      </c>
      <c r="AB262" s="4" t="s">
        <v>64</v>
      </c>
      <c r="AC262" s="5" t="s">
        <v>499</v>
      </c>
      <c r="AD262" s="5" t="s">
        <v>2445</v>
      </c>
    </row>
    <row r="263" spans="1:30" ht="60.5" customHeight="1">
      <c r="A263" s="12" t="s">
        <v>477</v>
      </c>
      <c r="B263" s="12" t="s">
        <v>495</v>
      </c>
      <c r="C263" s="24" t="s">
        <v>24</v>
      </c>
      <c r="D263" s="24" t="s">
        <v>27</v>
      </c>
      <c r="E263" s="5" t="s">
        <v>404</v>
      </c>
      <c r="F263" s="20" t="s">
        <v>28</v>
      </c>
      <c r="G263" s="12" t="s">
        <v>2308</v>
      </c>
      <c r="H263" s="12" t="s">
        <v>532</v>
      </c>
      <c r="I263" s="4">
        <v>2010</v>
      </c>
      <c r="J263" s="22">
        <v>0</v>
      </c>
      <c r="K263" s="22">
        <v>0</v>
      </c>
      <c r="L263" s="22">
        <v>0</v>
      </c>
      <c r="M263" s="22">
        <v>0</v>
      </c>
      <c r="N263" s="22">
        <v>0</v>
      </c>
      <c r="O263" s="22">
        <v>0</v>
      </c>
      <c r="P263" s="22">
        <v>0</v>
      </c>
      <c r="Q263" s="22" t="s">
        <v>2308</v>
      </c>
      <c r="R263" s="22" t="s">
        <v>2308</v>
      </c>
      <c r="S263" s="22">
        <v>0</v>
      </c>
      <c r="T263" s="22">
        <v>0</v>
      </c>
      <c r="U263" s="22">
        <v>0</v>
      </c>
      <c r="V263" s="22">
        <v>0</v>
      </c>
      <c r="W263" s="22">
        <v>0</v>
      </c>
      <c r="X263" s="22">
        <v>0</v>
      </c>
      <c r="Y263" s="22" t="s">
        <v>2308</v>
      </c>
      <c r="Z263" s="4" t="s">
        <v>2308</v>
      </c>
      <c r="AA263" s="4" t="s">
        <v>2308</v>
      </c>
      <c r="AB263" s="4" t="s">
        <v>2308</v>
      </c>
      <c r="AC263" s="4"/>
      <c r="AD263" s="5"/>
    </row>
    <row r="264" spans="1:30" ht="61" customHeight="1">
      <c r="A264" s="12" t="s">
        <v>477</v>
      </c>
      <c r="B264" s="12" t="s">
        <v>496</v>
      </c>
      <c r="C264" s="37" t="s">
        <v>24</v>
      </c>
      <c r="D264" s="37" t="s">
        <v>27</v>
      </c>
      <c r="E264" s="38" t="s">
        <v>136</v>
      </c>
      <c r="F264" s="56" t="s">
        <v>55</v>
      </c>
      <c r="G264" s="12" t="s">
        <v>2308</v>
      </c>
      <c r="H264" s="12" t="s">
        <v>532</v>
      </c>
      <c r="I264" s="4">
        <v>2010</v>
      </c>
      <c r="J264" s="79">
        <v>0</v>
      </c>
      <c r="K264" s="79">
        <v>0</v>
      </c>
      <c r="L264" s="79">
        <v>0</v>
      </c>
      <c r="M264" s="79">
        <v>0</v>
      </c>
      <c r="N264" s="79">
        <v>0</v>
      </c>
      <c r="O264" s="79">
        <v>0</v>
      </c>
      <c r="P264" s="79">
        <v>0</v>
      </c>
      <c r="Q264" s="22" t="s">
        <v>2308</v>
      </c>
      <c r="R264" s="22" t="s">
        <v>2308</v>
      </c>
      <c r="S264" s="79">
        <v>0</v>
      </c>
      <c r="T264" s="79">
        <v>0</v>
      </c>
      <c r="U264" s="79">
        <v>0</v>
      </c>
      <c r="V264" s="79">
        <v>0</v>
      </c>
      <c r="W264" s="79">
        <v>0</v>
      </c>
      <c r="X264" s="79">
        <v>0</v>
      </c>
      <c r="Y264" s="22" t="s">
        <v>2308</v>
      </c>
      <c r="Z264" s="4" t="s">
        <v>2308</v>
      </c>
      <c r="AA264" s="4" t="s">
        <v>2308</v>
      </c>
      <c r="AB264" s="4" t="s">
        <v>2308</v>
      </c>
      <c r="AC264" s="4"/>
      <c r="AD264" s="5"/>
    </row>
    <row r="265" spans="1:30" ht="101" customHeight="1">
      <c r="A265" s="12" t="s">
        <v>477</v>
      </c>
      <c r="B265" s="12" t="s">
        <v>497</v>
      </c>
      <c r="C265" s="24" t="s">
        <v>24</v>
      </c>
      <c r="D265" s="24" t="s">
        <v>27</v>
      </c>
      <c r="E265" s="25" t="s">
        <v>136</v>
      </c>
      <c r="F265" s="20" t="s">
        <v>167</v>
      </c>
      <c r="G265" s="12" t="s">
        <v>2308</v>
      </c>
      <c r="H265" s="20" t="s">
        <v>531</v>
      </c>
      <c r="I265" s="4">
        <v>2010</v>
      </c>
      <c r="J265" s="22" t="s">
        <v>2308</v>
      </c>
      <c r="K265" s="22" t="s">
        <v>2308</v>
      </c>
      <c r="L265" s="22" t="s">
        <v>2308</v>
      </c>
      <c r="M265" s="22" t="s">
        <v>2308</v>
      </c>
      <c r="N265" s="22" t="s">
        <v>2308</v>
      </c>
      <c r="O265" s="22" t="s">
        <v>2308</v>
      </c>
      <c r="P265" s="22" t="s">
        <v>2308</v>
      </c>
      <c r="Q265" s="22" t="s">
        <v>2308</v>
      </c>
      <c r="R265" s="22" t="s">
        <v>2308</v>
      </c>
      <c r="S265" s="22" t="s">
        <v>2308</v>
      </c>
      <c r="T265" s="22" t="s">
        <v>2308</v>
      </c>
      <c r="U265" s="22" t="s">
        <v>2308</v>
      </c>
      <c r="V265" s="22" t="s">
        <v>2308</v>
      </c>
      <c r="W265" s="22" t="s">
        <v>2308</v>
      </c>
      <c r="X265" s="22" t="s">
        <v>2308</v>
      </c>
      <c r="Y265" s="22">
        <v>6</v>
      </c>
      <c r="Z265" s="4" t="s">
        <v>68</v>
      </c>
      <c r="AA265" s="4" t="s">
        <v>35</v>
      </c>
      <c r="AB265" s="4" t="s">
        <v>64</v>
      </c>
      <c r="AC265" s="5" t="s">
        <v>498</v>
      </c>
      <c r="AD265" s="5" t="s">
        <v>2445</v>
      </c>
    </row>
    <row r="266" spans="1:30" ht="44" customHeight="1">
      <c r="A266" s="12" t="s">
        <v>505</v>
      </c>
      <c r="B266" s="12" t="s">
        <v>508</v>
      </c>
      <c r="C266" s="24" t="s">
        <v>24</v>
      </c>
      <c r="D266" s="24" t="s">
        <v>27</v>
      </c>
      <c r="E266" s="5" t="s">
        <v>404</v>
      </c>
      <c r="F266" s="20" t="s">
        <v>28</v>
      </c>
      <c r="G266" s="12" t="s">
        <v>2308</v>
      </c>
      <c r="H266" s="12" t="s">
        <v>532</v>
      </c>
      <c r="I266" s="4">
        <v>1990</v>
      </c>
      <c r="J266" s="22">
        <v>0</v>
      </c>
      <c r="K266" s="22">
        <v>0</v>
      </c>
      <c r="L266" s="22">
        <v>0</v>
      </c>
      <c r="M266" s="22">
        <v>0</v>
      </c>
      <c r="N266" s="22">
        <v>0</v>
      </c>
      <c r="O266" s="22">
        <v>0</v>
      </c>
      <c r="P266" s="22">
        <v>0</v>
      </c>
      <c r="Q266" s="22" t="s">
        <v>2308</v>
      </c>
      <c r="R266" s="22" t="s">
        <v>2308</v>
      </c>
      <c r="S266" s="22">
        <v>0</v>
      </c>
      <c r="T266" s="22">
        <v>0</v>
      </c>
      <c r="U266" s="22">
        <v>0</v>
      </c>
      <c r="V266" s="22">
        <v>0</v>
      </c>
      <c r="W266" s="22">
        <v>0</v>
      </c>
      <c r="X266" s="22">
        <v>0</v>
      </c>
      <c r="Y266" s="22" t="s">
        <v>2308</v>
      </c>
      <c r="Z266" s="4" t="s">
        <v>2308</v>
      </c>
      <c r="AA266" s="4" t="s">
        <v>2308</v>
      </c>
      <c r="AB266" s="4" t="s">
        <v>2308</v>
      </c>
      <c r="AC266" s="4"/>
      <c r="AD266" s="5"/>
    </row>
    <row r="267" spans="1:30" ht="39.5" customHeight="1">
      <c r="A267" s="12" t="s">
        <v>505</v>
      </c>
      <c r="B267" s="12" t="s">
        <v>509</v>
      </c>
      <c r="C267" s="24" t="s">
        <v>24</v>
      </c>
      <c r="D267" s="24" t="s">
        <v>27</v>
      </c>
      <c r="E267" s="25" t="s">
        <v>136</v>
      </c>
      <c r="F267" s="20" t="s">
        <v>55</v>
      </c>
      <c r="G267" s="12" t="s">
        <v>2308</v>
      </c>
      <c r="H267" s="12" t="s">
        <v>532</v>
      </c>
      <c r="I267" s="4">
        <v>1990</v>
      </c>
      <c r="J267" s="22">
        <v>0</v>
      </c>
      <c r="K267" s="22">
        <v>0</v>
      </c>
      <c r="L267" s="22">
        <v>0</v>
      </c>
      <c r="M267" s="22">
        <v>0</v>
      </c>
      <c r="N267" s="22">
        <v>0</v>
      </c>
      <c r="O267" s="22">
        <v>0</v>
      </c>
      <c r="P267" s="22">
        <v>0</v>
      </c>
      <c r="Q267" s="22" t="s">
        <v>2308</v>
      </c>
      <c r="R267" s="22" t="s">
        <v>2308</v>
      </c>
      <c r="S267" s="22">
        <v>0</v>
      </c>
      <c r="T267" s="22">
        <v>0</v>
      </c>
      <c r="U267" s="22">
        <v>0</v>
      </c>
      <c r="V267" s="22">
        <v>0</v>
      </c>
      <c r="W267" s="22">
        <v>0</v>
      </c>
      <c r="X267" s="22">
        <v>0</v>
      </c>
      <c r="Y267" s="22" t="s">
        <v>2308</v>
      </c>
      <c r="Z267" s="4" t="s">
        <v>2308</v>
      </c>
      <c r="AA267" s="4" t="s">
        <v>2308</v>
      </c>
      <c r="AB267" s="4" t="s">
        <v>2308</v>
      </c>
      <c r="AC267" s="4"/>
      <c r="AD267" s="5"/>
    </row>
    <row r="268" spans="1:30" ht="47.5" customHeight="1">
      <c r="A268" s="12" t="s">
        <v>506</v>
      </c>
      <c r="B268" s="34" t="s">
        <v>510</v>
      </c>
      <c r="C268" s="24" t="s">
        <v>24</v>
      </c>
      <c r="D268" s="24" t="s">
        <v>27</v>
      </c>
      <c r="E268" s="5" t="s">
        <v>404</v>
      </c>
      <c r="F268" s="20" t="s">
        <v>28</v>
      </c>
      <c r="G268" s="12" t="s">
        <v>2308</v>
      </c>
      <c r="H268" s="12" t="s">
        <v>532</v>
      </c>
      <c r="I268" s="4">
        <v>1997</v>
      </c>
      <c r="J268" s="22">
        <v>0</v>
      </c>
      <c r="K268" s="22">
        <v>0</v>
      </c>
      <c r="L268" s="22">
        <v>0</v>
      </c>
      <c r="M268" s="22">
        <v>0</v>
      </c>
      <c r="N268" s="22">
        <v>0</v>
      </c>
      <c r="O268" s="22">
        <v>0</v>
      </c>
      <c r="P268" s="22">
        <v>0</v>
      </c>
      <c r="Q268" s="22" t="s">
        <v>2308</v>
      </c>
      <c r="R268" s="22" t="s">
        <v>2308</v>
      </c>
      <c r="S268" s="22">
        <v>0</v>
      </c>
      <c r="T268" s="22">
        <v>0</v>
      </c>
      <c r="U268" s="22">
        <v>0</v>
      </c>
      <c r="V268" s="22">
        <v>0</v>
      </c>
      <c r="W268" s="22">
        <v>0</v>
      </c>
      <c r="X268" s="22">
        <v>0</v>
      </c>
      <c r="Y268" s="22" t="s">
        <v>2308</v>
      </c>
      <c r="Z268" s="4" t="s">
        <v>2308</v>
      </c>
      <c r="AA268" s="4" t="s">
        <v>2308</v>
      </c>
      <c r="AB268" s="4" t="s">
        <v>2308</v>
      </c>
      <c r="AC268" s="4"/>
      <c r="AD268" s="5"/>
    </row>
    <row r="269" spans="1:30" ht="34.5" customHeight="1">
      <c r="A269" s="12" t="s">
        <v>506</v>
      </c>
      <c r="B269" s="36" t="s">
        <v>511</v>
      </c>
      <c r="C269" s="37" t="s">
        <v>24</v>
      </c>
      <c r="D269" s="37" t="s">
        <v>27</v>
      </c>
      <c r="E269" s="38" t="s">
        <v>136</v>
      </c>
      <c r="F269" s="56" t="s">
        <v>55</v>
      </c>
      <c r="G269" s="12" t="s">
        <v>2308</v>
      </c>
      <c r="H269" s="12" t="s">
        <v>532</v>
      </c>
      <c r="I269" s="4">
        <v>1997</v>
      </c>
      <c r="J269" s="79">
        <v>0</v>
      </c>
      <c r="K269" s="79">
        <v>0</v>
      </c>
      <c r="L269" s="79">
        <v>0</v>
      </c>
      <c r="M269" s="79">
        <v>0</v>
      </c>
      <c r="N269" s="79">
        <v>0</v>
      </c>
      <c r="O269" s="79">
        <v>0</v>
      </c>
      <c r="P269" s="79">
        <v>0</v>
      </c>
      <c r="Q269" s="22" t="s">
        <v>2308</v>
      </c>
      <c r="R269" s="22" t="s">
        <v>2308</v>
      </c>
      <c r="S269" s="79">
        <v>0</v>
      </c>
      <c r="T269" s="79">
        <v>0</v>
      </c>
      <c r="U269" s="79">
        <v>0</v>
      </c>
      <c r="V269" s="79">
        <v>0</v>
      </c>
      <c r="W269" s="79">
        <v>0</v>
      </c>
      <c r="X269" s="79">
        <v>0</v>
      </c>
      <c r="Y269" s="22" t="s">
        <v>2308</v>
      </c>
      <c r="Z269" s="4" t="s">
        <v>2308</v>
      </c>
      <c r="AA269" s="4" t="s">
        <v>2308</v>
      </c>
      <c r="AB269" s="4" t="s">
        <v>2308</v>
      </c>
      <c r="AC269" s="4"/>
      <c r="AD269" s="5"/>
    </row>
    <row r="270" spans="1:30" ht="52" customHeight="1">
      <c r="A270" s="12" t="s">
        <v>506</v>
      </c>
      <c r="B270" s="12" t="s">
        <v>512</v>
      </c>
      <c r="C270" s="24" t="s">
        <v>24</v>
      </c>
      <c r="D270" s="24" t="s">
        <v>27</v>
      </c>
      <c r="E270" s="25" t="s">
        <v>136</v>
      </c>
      <c r="F270" s="20" t="s">
        <v>167</v>
      </c>
      <c r="G270" s="12" t="s">
        <v>2308</v>
      </c>
      <c r="H270" s="20" t="s">
        <v>531</v>
      </c>
      <c r="I270" s="4">
        <v>1997</v>
      </c>
      <c r="J270" s="22" t="s">
        <v>2308</v>
      </c>
      <c r="K270" s="22" t="s">
        <v>2308</v>
      </c>
      <c r="L270" s="22" t="s">
        <v>2308</v>
      </c>
      <c r="M270" s="22" t="s">
        <v>2308</v>
      </c>
      <c r="N270" s="22" t="s">
        <v>2308</v>
      </c>
      <c r="O270" s="22" t="s">
        <v>2308</v>
      </c>
      <c r="P270" s="22" t="s">
        <v>2308</v>
      </c>
      <c r="Q270" s="22" t="s">
        <v>2308</v>
      </c>
      <c r="R270" s="22" t="s">
        <v>2308</v>
      </c>
      <c r="S270" s="22" t="s">
        <v>2308</v>
      </c>
      <c r="T270" s="22" t="s">
        <v>2308</v>
      </c>
      <c r="U270" s="22" t="s">
        <v>2308</v>
      </c>
      <c r="V270" s="22" t="s">
        <v>2308</v>
      </c>
      <c r="W270" s="22" t="s">
        <v>2308</v>
      </c>
      <c r="X270" s="22" t="s">
        <v>2308</v>
      </c>
      <c r="Y270" s="22">
        <v>7</v>
      </c>
      <c r="Z270" s="4" t="s">
        <v>68</v>
      </c>
      <c r="AA270" s="4" t="s">
        <v>35</v>
      </c>
      <c r="AB270" s="4" t="s">
        <v>64</v>
      </c>
      <c r="AC270" s="4"/>
      <c r="AD270" s="5" t="s">
        <v>2445</v>
      </c>
    </row>
    <row r="271" spans="1:30" ht="41.5" customHeight="1">
      <c r="A271" s="12" t="s">
        <v>507</v>
      </c>
      <c r="B271" s="34" t="s">
        <v>513</v>
      </c>
      <c r="C271" s="24" t="s">
        <v>24</v>
      </c>
      <c r="D271" s="24" t="s">
        <v>27</v>
      </c>
      <c r="E271" s="5" t="s">
        <v>404</v>
      </c>
      <c r="F271" s="20" t="s">
        <v>28</v>
      </c>
      <c r="G271" s="12" t="s">
        <v>2308</v>
      </c>
      <c r="H271" s="12" t="s">
        <v>532</v>
      </c>
      <c r="I271" s="4">
        <v>1990</v>
      </c>
      <c r="J271" s="22">
        <v>0</v>
      </c>
      <c r="K271" s="22">
        <v>0</v>
      </c>
      <c r="L271" s="22">
        <v>0</v>
      </c>
      <c r="M271" s="22">
        <v>0</v>
      </c>
      <c r="N271" s="22">
        <v>0</v>
      </c>
      <c r="O271" s="22">
        <v>0</v>
      </c>
      <c r="P271" s="22">
        <v>0</v>
      </c>
      <c r="Q271" s="22" t="s">
        <v>2308</v>
      </c>
      <c r="R271" s="22" t="s">
        <v>2308</v>
      </c>
      <c r="S271" s="22">
        <v>0</v>
      </c>
      <c r="T271" s="22">
        <v>0</v>
      </c>
      <c r="U271" s="22">
        <v>0</v>
      </c>
      <c r="V271" s="22">
        <v>0</v>
      </c>
      <c r="W271" s="22">
        <v>0</v>
      </c>
      <c r="X271" s="22">
        <v>0</v>
      </c>
      <c r="Y271" s="22" t="s">
        <v>2308</v>
      </c>
      <c r="Z271" s="4" t="s">
        <v>2308</v>
      </c>
      <c r="AA271" s="4" t="s">
        <v>2308</v>
      </c>
      <c r="AB271" s="4" t="s">
        <v>2308</v>
      </c>
      <c r="AC271" s="4"/>
      <c r="AD271" s="5"/>
    </row>
    <row r="272" spans="1:30" ht="39.5" customHeight="1">
      <c r="A272" s="12" t="s">
        <v>507</v>
      </c>
      <c r="B272" s="36" t="s">
        <v>514</v>
      </c>
      <c r="C272" s="37" t="s">
        <v>24</v>
      </c>
      <c r="D272" s="37" t="s">
        <v>27</v>
      </c>
      <c r="E272" s="38" t="s">
        <v>136</v>
      </c>
      <c r="F272" s="56" t="s">
        <v>55</v>
      </c>
      <c r="G272" s="12" t="s">
        <v>2308</v>
      </c>
      <c r="H272" s="12" t="s">
        <v>532</v>
      </c>
      <c r="I272" s="4">
        <v>1990</v>
      </c>
      <c r="J272" s="79">
        <v>0</v>
      </c>
      <c r="K272" s="79">
        <v>0</v>
      </c>
      <c r="L272" s="79">
        <v>0</v>
      </c>
      <c r="M272" s="79">
        <v>0</v>
      </c>
      <c r="N272" s="79">
        <v>0</v>
      </c>
      <c r="O272" s="79">
        <v>0</v>
      </c>
      <c r="P272" s="79">
        <v>0</v>
      </c>
      <c r="Q272" s="22" t="s">
        <v>2308</v>
      </c>
      <c r="R272" s="22" t="s">
        <v>2308</v>
      </c>
      <c r="S272" s="79">
        <v>0</v>
      </c>
      <c r="T272" s="79">
        <v>0</v>
      </c>
      <c r="U272" s="79">
        <v>0</v>
      </c>
      <c r="V272" s="79">
        <v>0</v>
      </c>
      <c r="W272" s="79">
        <v>0</v>
      </c>
      <c r="X272" s="79">
        <v>0</v>
      </c>
      <c r="Y272" s="22" t="s">
        <v>2308</v>
      </c>
      <c r="Z272" s="4" t="s">
        <v>2308</v>
      </c>
      <c r="AA272" s="4" t="s">
        <v>2308</v>
      </c>
      <c r="AB272" s="4" t="s">
        <v>2308</v>
      </c>
      <c r="AC272" s="4"/>
      <c r="AD272" s="5"/>
    </row>
    <row r="273" spans="1:30" ht="59" customHeight="1">
      <c r="A273" s="12" t="s">
        <v>507</v>
      </c>
      <c r="B273" s="12" t="s">
        <v>515</v>
      </c>
      <c r="C273" s="24" t="s">
        <v>24</v>
      </c>
      <c r="D273" s="24" t="s">
        <v>27</v>
      </c>
      <c r="E273" s="25" t="s">
        <v>136</v>
      </c>
      <c r="F273" s="20" t="s">
        <v>167</v>
      </c>
      <c r="G273" s="12" t="s">
        <v>2308</v>
      </c>
      <c r="H273" s="20" t="s">
        <v>531</v>
      </c>
      <c r="I273" s="4">
        <v>1990</v>
      </c>
      <c r="J273" s="22" t="s">
        <v>2308</v>
      </c>
      <c r="K273" s="22" t="s">
        <v>2308</v>
      </c>
      <c r="L273" s="22" t="s">
        <v>2308</v>
      </c>
      <c r="M273" s="22" t="s">
        <v>2308</v>
      </c>
      <c r="N273" s="22" t="s">
        <v>2308</v>
      </c>
      <c r="O273" s="22" t="s">
        <v>2308</v>
      </c>
      <c r="P273" s="22" t="s">
        <v>2308</v>
      </c>
      <c r="Q273" s="22" t="s">
        <v>2308</v>
      </c>
      <c r="R273" s="22" t="s">
        <v>2308</v>
      </c>
      <c r="S273" s="22" t="s">
        <v>2308</v>
      </c>
      <c r="T273" s="22" t="s">
        <v>2308</v>
      </c>
      <c r="U273" s="22" t="s">
        <v>2308</v>
      </c>
      <c r="V273" s="22" t="s">
        <v>2308</v>
      </c>
      <c r="W273" s="22" t="s">
        <v>2308</v>
      </c>
      <c r="X273" s="22" t="s">
        <v>2308</v>
      </c>
      <c r="Y273" s="22">
        <v>12</v>
      </c>
      <c r="Z273" s="4" t="s">
        <v>68</v>
      </c>
      <c r="AA273" s="4" t="s">
        <v>35</v>
      </c>
      <c r="AB273" s="4" t="s">
        <v>64</v>
      </c>
      <c r="AC273" s="4"/>
      <c r="AD273" s="5" t="s">
        <v>2445</v>
      </c>
    </row>
    <row r="274" spans="1:30" ht="154.5" customHeight="1">
      <c r="A274" s="12" t="s">
        <v>517</v>
      </c>
      <c r="B274" s="12" t="s">
        <v>2341</v>
      </c>
      <c r="C274" s="24" t="s">
        <v>24</v>
      </c>
      <c r="D274" s="24" t="s">
        <v>1267</v>
      </c>
      <c r="E274" s="25" t="s">
        <v>116</v>
      </c>
      <c r="F274" s="20" t="s">
        <v>167</v>
      </c>
      <c r="G274" s="12" t="s">
        <v>2308</v>
      </c>
      <c r="H274" s="20" t="s">
        <v>531</v>
      </c>
      <c r="I274" s="4"/>
      <c r="J274" s="22" t="s">
        <v>2308</v>
      </c>
      <c r="K274" s="22" t="s">
        <v>2308</v>
      </c>
      <c r="L274" s="22" t="s">
        <v>2308</v>
      </c>
      <c r="M274" s="22" t="s">
        <v>2308</v>
      </c>
      <c r="N274" s="22" t="s">
        <v>2308</v>
      </c>
      <c r="O274" s="22" t="s">
        <v>2308</v>
      </c>
      <c r="P274" s="22" t="s">
        <v>2308</v>
      </c>
      <c r="Q274" s="22" t="s">
        <v>2308</v>
      </c>
      <c r="R274" s="22" t="s">
        <v>2308</v>
      </c>
      <c r="S274" s="22" t="s">
        <v>2308</v>
      </c>
      <c r="T274" s="22" t="s">
        <v>2308</v>
      </c>
      <c r="U274" s="22" t="s">
        <v>2308</v>
      </c>
      <c r="V274" s="22" t="s">
        <v>2308</v>
      </c>
      <c r="W274" s="22" t="s">
        <v>2308</v>
      </c>
      <c r="X274" s="22" t="s">
        <v>2308</v>
      </c>
      <c r="Y274" s="22" t="s">
        <v>2308</v>
      </c>
      <c r="Z274" s="4" t="s">
        <v>2308</v>
      </c>
      <c r="AA274" s="4" t="s">
        <v>2308</v>
      </c>
      <c r="AB274" s="4" t="s">
        <v>2344</v>
      </c>
      <c r="AC274" s="5" t="s">
        <v>2345</v>
      </c>
      <c r="AD274" s="5" t="s">
        <v>2355</v>
      </c>
    </row>
    <row r="275" spans="1:30" ht="138" customHeight="1">
      <c r="A275" s="12" t="s">
        <v>517</v>
      </c>
      <c r="B275" s="12" t="s">
        <v>2342</v>
      </c>
      <c r="C275" s="24" t="s">
        <v>24</v>
      </c>
      <c r="D275" s="24" t="s">
        <v>1267</v>
      </c>
      <c r="E275" s="25" t="s">
        <v>116</v>
      </c>
      <c r="F275" s="20" t="s">
        <v>74</v>
      </c>
      <c r="G275" s="12" t="s">
        <v>2308</v>
      </c>
      <c r="H275" s="20" t="s">
        <v>531</v>
      </c>
      <c r="I275" s="4"/>
      <c r="J275" s="22" t="s">
        <v>2308</v>
      </c>
      <c r="K275" s="22" t="s">
        <v>2308</v>
      </c>
      <c r="L275" s="22" t="s">
        <v>2308</v>
      </c>
      <c r="M275" s="22" t="s">
        <v>2308</v>
      </c>
      <c r="N275" s="22" t="s">
        <v>2308</v>
      </c>
      <c r="O275" s="22" t="s">
        <v>2308</v>
      </c>
      <c r="P275" s="22" t="s">
        <v>2308</v>
      </c>
      <c r="Q275" s="22" t="s">
        <v>2308</v>
      </c>
      <c r="R275" s="22" t="s">
        <v>2308</v>
      </c>
      <c r="S275" s="22" t="s">
        <v>2308</v>
      </c>
      <c r="T275" s="22" t="s">
        <v>2308</v>
      </c>
      <c r="U275" s="22" t="s">
        <v>2308</v>
      </c>
      <c r="V275" s="22" t="s">
        <v>2308</v>
      </c>
      <c r="W275" s="22" t="s">
        <v>2308</v>
      </c>
      <c r="X275" s="22" t="s">
        <v>2308</v>
      </c>
      <c r="Y275" s="22" t="s">
        <v>2308</v>
      </c>
      <c r="Z275" s="4" t="s">
        <v>2308</v>
      </c>
      <c r="AA275" s="4" t="s">
        <v>2308</v>
      </c>
      <c r="AB275" s="4" t="s">
        <v>2344</v>
      </c>
      <c r="AC275" s="5" t="s">
        <v>2345</v>
      </c>
      <c r="AD275" s="5" t="s">
        <v>2356</v>
      </c>
    </row>
    <row r="276" spans="1:30" ht="108" customHeight="1">
      <c r="A276" s="12" t="s">
        <v>517</v>
      </c>
      <c r="B276" s="12" t="s">
        <v>2343</v>
      </c>
      <c r="C276" s="24" t="s">
        <v>24</v>
      </c>
      <c r="D276" s="24" t="s">
        <v>149</v>
      </c>
      <c r="E276" s="25" t="s">
        <v>1125</v>
      </c>
      <c r="F276" s="20" t="s">
        <v>74</v>
      </c>
      <c r="G276" s="12" t="s">
        <v>2308</v>
      </c>
      <c r="H276" s="20" t="s">
        <v>532</v>
      </c>
      <c r="I276" s="4"/>
      <c r="J276" s="22">
        <v>0</v>
      </c>
      <c r="K276" s="22">
        <v>0</v>
      </c>
      <c r="L276" s="22">
        <v>0</v>
      </c>
      <c r="M276" s="22">
        <v>0</v>
      </c>
      <c r="N276" s="22">
        <v>0</v>
      </c>
      <c r="O276" s="22">
        <v>0</v>
      </c>
      <c r="P276" s="22">
        <v>0</v>
      </c>
      <c r="Q276" s="22" t="s">
        <v>2308</v>
      </c>
      <c r="R276" s="22" t="s">
        <v>2308</v>
      </c>
      <c r="S276" s="22">
        <v>0</v>
      </c>
      <c r="T276" s="22">
        <v>0</v>
      </c>
      <c r="U276" s="22">
        <v>0</v>
      </c>
      <c r="V276" s="22">
        <v>0</v>
      </c>
      <c r="W276" s="22">
        <v>0</v>
      </c>
      <c r="X276" s="22">
        <v>0</v>
      </c>
      <c r="Y276" s="22">
        <v>0</v>
      </c>
      <c r="Z276" s="4" t="s">
        <v>2308</v>
      </c>
      <c r="AA276" s="4" t="s">
        <v>2308</v>
      </c>
      <c r="AB276" s="4"/>
      <c r="AC276" s="5" t="s">
        <v>2346</v>
      </c>
      <c r="AD276" s="5"/>
    </row>
    <row r="277" spans="1:30" ht="147" customHeight="1">
      <c r="A277" s="12" t="s">
        <v>2347</v>
      </c>
      <c r="B277" s="12" t="s">
        <v>2349</v>
      </c>
      <c r="C277" s="24" t="s">
        <v>24</v>
      </c>
      <c r="D277" s="24" t="s">
        <v>2337</v>
      </c>
      <c r="E277" s="25" t="s">
        <v>116</v>
      </c>
      <c r="F277" s="20" t="s">
        <v>167</v>
      </c>
      <c r="G277" s="12" t="s">
        <v>2308</v>
      </c>
      <c r="H277" s="20" t="s">
        <v>531</v>
      </c>
      <c r="I277" s="4"/>
      <c r="J277" s="22" t="s">
        <v>2308</v>
      </c>
      <c r="K277" s="22" t="s">
        <v>2308</v>
      </c>
      <c r="L277" s="22" t="s">
        <v>2308</v>
      </c>
      <c r="M277" s="22" t="s">
        <v>2308</v>
      </c>
      <c r="N277" s="22" t="s">
        <v>2308</v>
      </c>
      <c r="O277" s="22" t="s">
        <v>2308</v>
      </c>
      <c r="P277" s="22" t="s">
        <v>2308</v>
      </c>
      <c r="Q277" s="22" t="s">
        <v>2308</v>
      </c>
      <c r="R277" s="22" t="s">
        <v>2308</v>
      </c>
      <c r="S277" s="22" t="s">
        <v>2308</v>
      </c>
      <c r="T277" s="22" t="s">
        <v>2308</v>
      </c>
      <c r="U277" s="22" t="s">
        <v>2308</v>
      </c>
      <c r="V277" s="22" t="s">
        <v>2308</v>
      </c>
      <c r="W277" s="22" t="s">
        <v>2308</v>
      </c>
      <c r="X277" s="22" t="s">
        <v>2308</v>
      </c>
      <c r="Y277" s="22" t="s">
        <v>2308</v>
      </c>
      <c r="Z277" s="4" t="s">
        <v>2308</v>
      </c>
      <c r="AA277" s="4" t="s">
        <v>2308</v>
      </c>
      <c r="AB277" s="4" t="s">
        <v>2344</v>
      </c>
      <c r="AC277" s="5" t="s">
        <v>2345</v>
      </c>
      <c r="AD277" s="5" t="s">
        <v>2357</v>
      </c>
    </row>
    <row r="278" spans="1:30" ht="138" customHeight="1">
      <c r="A278" s="12" t="s">
        <v>2347</v>
      </c>
      <c r="B278" s="12" t="s">
        <v>2350</v>
      </c>
      <c r="C278" s="24" t="s">
        <v>24</v>
      </c>
      <c r="D278" s="24" t="s">
        <v>2337</v>
      </c>
      <c r="E278" s="25" t="s">
        <v>116</v>
      </c>
      <c r="F278" s="20" t="s">
        <v>74</v>
      </c>
      <c r="G278" s="12" t="s">
        <v>2308</v>
      </c>
      <c r="H278" s="20" t="s">
        <v>531</v>
      </c>
      <c r="I278" s="4"/>
      <c r="J278" s="22" t="s">
        <v>2308</v>
      </c>
      <c r="K278" s="22" t="s">
        <v>2308</v>
      </c>
      <c r="L278" s="22" t="s">
        <v>2308</v>
      </c>
      <c r="M278" s="22" t="s">
        <v>2308</v>
      </c>
      <c r="N278" s="22" t="s">
        <v>2308</v>
      </c>
      <c r="O278" s="22" t="s">
        <v>2308</v>
      </c>
      <c r="P278" s="22" t="s">
        <v>2308</v>
      </c>
      <c r="Q278" s="22" t="s">
        <v>2308</v>
      </c>
      <c r="R278" s="22" t="s">
        <v>2308</v>
      </c>
      <c r="S278" s="22" t="s">
        <v>2308</v>
      </c>
      <c r="T278" s="22" t="s">
        <v>2308</v>
      </c>
      <c r="U278" s="22" t="s">
        <v>2308</v>
      </c>
      <c r="V278" s="22" t="s">
        <v>2308</v>
      </c>
      <c r="W278" s="22" t="s">
        <v>2308</v>
      </c>
      <c r="X278" s="22" t="s">
        <v>2308</v>
      </c>
      <c r="Y278" s="22" t="s">
        <v>2308</v>
      </c>
      <c r="Z278" s="4" t="s">
        <v>2308</v>
      </c>
      <c r="AA278" s="4" t="s">
        <v>2308</v>
      </c>
      <c r="AB278" s="4" t="s">
        <v>2344</v>
      </c>
      <c r="AC278" s="5" t="s">
        <v>2345</v>
      </c>
      <c r="AD278" s="5" t="s">
        <v>2358</v>
      </c>
    </row>
    <row r="279" spans="1:30" ht="138" customHeight="1">
      <c r="A279" s="12" t="s">
        <v>2347</v>
      </c>
      <c r="B279" s="12" t="s">
        <v>2351</v>
      </c>
      <c r="C279" s="24" t="s">
        <v>24</v>
      </c>
      <c r="D279" s="24" t="s">
        <v>149</v>
      </c>
      <c r="E279" s="25" t="s">
        <v>1125</v>
      </c>
      <c r="F279" s="20" t="s">
        <v>74</v>
      </c>
      <c r="G279" s="12" t="s">
        <v>2308</v>
      </c>
      <c r="H279" s="20" t="s">
        <v>532</v>
      </c>
      <c r="I279" s="4"/>
      <c r="J279" s="22">
        <v>0</v>
      </c>
      <c r="K279" s="22">
        <v>0</v>
      </c>
      <c r="L279" s="22">
        <v>0</v>
      </c>
      <c r="M279" s="22">
        <v>0</v>
      </c>
      <c r="N279" s="22">
        <v>0</v>
      </c>
      <c r="O279" s="22">
        <v>0</v>
      </c>
      <c r="P279" s="22">
        <v>0</v>
      </c>
      <c r="Q279" s="22" t="s">
        <v>2308</v>
      </c>
      <c r="R279" s="22" t="s">
        <v>2308</v>
      </c>
      <c r="S279" s="22">
        <v>0</v>
      </c>
      <c r="T279" s="22">
        <v>0</v>
      </c>
      <c r="U279" s="22">
        <v>0</v>
      </c>
      <c r="V279" s="22">
        <v>0</v>
      </c>
      <c r="W279" s="22">
        <v>0</v>
      </c>
      <c r="X279" s="22">
        <v>0</v>
      </c>
      <c r="Y279" s="22">
        <v>0</v>
      </c>
      <c r="Z279" s="4" t="s">
        <v>2308</v>
      </c>
      <c r="AA279" s="4" t="s">
        <v>2308</v>
      </c>
      <c r="AB279" s="4"/>
      <c r="AC279" s="5" t="s">
        <v>2346</v>
      </c>
      <c r="AD279" s="5"/>
    </row>
    <row r="280" spans="1:30" ht="152" customHeight="1">
      <c r="A280" s="12" t="s">
        <v>2348</v>
      </c>
      <c r="B280" s="12" t="s">
        <v>2352</v>
      </c>
      <c r="C280" s="24" t="s">
        <v>24</v>
      </c>
      <c r="D280" s="24" t="s">
        <v>2337</v>
      </c>
      <c r="E280" s="25" t="s">
        <v>116</v>
      </c>
      <c r="F280" s="20" t="s">
        <v>167</v>
      </c>
      <c r="G280" s="12" t="s">
        <v>2308</v>
      </c>
      <c r="H280" s="20" t="s">
        <v>531</v>
      </c>
      <c r="I280" s="4"/>
      <c r="J280" s="22" t="s">
        <v>2308</v>
      </c>
      <c r="K280" s="22" t="s">
        <v>2308</v>
      </c>
      <c r="L280" s="22" t="s">
        <v>2308</v>
      </c>
      <c r="M280" s="22" t="s">
        <v>2308</v>
      </c>
      <c r="N280" s="22" t="s">
        <v>2308</v>
      </c>
      <c r="O280" s="22" t="s">
        <v>2308</v>
      </c>
      <c r="P280" s="22" t="s">
        <v>2308</v>
      </c>
      <c r="Q280" s="22" t="s">
        <v>2308</v>
      </c>
      <c r="R280" s="22" t="s">
        <v>2308</v>
      </c>
      <c r="S280" s="22" t="s">
        <v>2308</v>
      </c>
      <c r="T280" s="22" t="s">
        <v>2308</v>
      </c>
      <c r="U280" s="22" t="s">
        <v>2308</v>
      </c>
      <c r="V280" s="22" t="s">
        <v>2308</v>
      </c>
      <c r="W280" s="22" t="s">
        <v>2308</v>
      </c>
      <c r="X280" s="22" t="s">
        <v>2308</v>
      </c>
      <c r="Y280" s="22" t="s">
        <v>2308</v>
      </c>
      <c r="Z280" s="4" t="s">
        <v>2308</v>
      </c>
      <c r="AA280" s="4" t="s">
        <v>2308</v>
      </c>
      <c r="AB280" s="4" t="s">
        <v>2344</v>
      </c>
      <c r="AC280" s="5" t="s">
        <v>2345</v>
      </c>
      <c r="AD280" s="5" t="s">
        <v>2359</v>
      </c>
    </row>
    <row r="281" spans="1:30" ht="138" customHeight="1">
      <c r="A281" s="12" t="s">
        <v>2348</v>
      </c>
      <c r="B281" s="12" t="s">
        <v>2353</v>
      </c>
      <c r="C281" s="24" t="s">
        <v>24</v>
      </c>
      <c r="D281" s="24" t="s">
        <v>2337</v>
      </c>
      <c r="E281" s="25" t="s">
        <v>116</v>
      </c>
      <c r="F281" s="20" t="s">
        <v>74</v>
      </c>
      <c r="G281" s="12" t="s">
        <v>2308</v>
      </c>
      <c r="H281" s="20" t="s">
        <v>531</v>
      </c>
      <c r="I281" s="4"/>
      <c r="J281" s="22" t="s">
        <v>2308</v>
      </c>
      <c r="K281" s="22" t="s">
        <v>2308</v>
      </c>
      <c r="L281" s="22" t="s">
        <v>2308</v>
      </c>
      <c r="M281" s="22" t="s">
        <v>2308</v>
      </c>
      <c r="N281" s="22" t="s">
        <v>2308</v>
      </c>
      <c r="O281" s="22" t="s">
        <v>2308</v>
      </c>
      <c r="P281" s="22" t="s">
        <v>2308</v>
      </c>
      <c r="Q281" s="22" t="s">
        <v>2308</v>
      </c>
      <c r="R281" s="22" t="s">
        <v>2308</v>
      </c>
      <c r="S281" s="22" t="s">
        <v>2308</v>
      </c>
      <c r="T281" s="22" t="s">
        <v>2308</v>
      </c>
      <c r="U281" s="22" t="s">
        <v>2308</v>
      </c>
      <c r="V281" s="22" t="s">
        <v>2308</v>
      </c>
      <c r="W281" s="22" t="s">
        <v>2308</v>
      </c>
      <c r="X281" s="22" t="s">
        <v>2308</v>
      </c>
      <c r="Y281" s="22" t="s">
        <v>2308</v>
      </c>
      <c r="Z281" s="4" t="s">
        <v>2308</v>
      </c>
      <c r="AA281" s="4" t="s">
        <v>2308</v>
      </c>
      <c r="AB281" s="4" t="s">
        <v>2344</v>
      </c>
      <c r="AC281" s="5" t="s">
        <v>2345</v>
      </c>
      <c r="AD281" s="5" t="s">
        <v>5074</v>
      </c>
    </row>
    <row r="282" spans="1:30" ht="138" customHeight="1">
      <c r="A282" s="12" t="s">
        <v>2348</v>
      </c>
      <c r="B282" s="12" t="s">
        <v>2354</v>
      </c>
      <c r="C282" s="24" t="s">
        <v>24</v>
      </c>
      <c r="D282" s="24" t="s">
        <v>149</v>
      </c>
      <c r="E282" s="25" t="s">
        <v>1125</v>
      </c>
      <c r="F282" s="20" t="s">
        <v>74</v>
      </c>
      <c r="G282" s="12" t="s">
        <v>2308</v>
      </c>
      <c r="H282" s="20" t="s">
        <v>532</v>
      </c>
      <c r="I282" s="4"/>
      <c r="J282" s="22">
        <v>0</v>
      </c>
      <c r="K282" s="22">
        <v>0</v>
      </c>
      <c r="L282" s="22">
        <v>0</v>
      </c>
      <c r="M282" s="22">
        <v>0</v>
      </c>
      <c r="N282" s="22">
        <v>0</v>
      </c>
      <c r="O282" s="22">
        <v>0</v>
      </c>
      <c r="P282" s="22">
        <v>0</v>
      </c>
      <c r="Q282" s="22" t="s">
        <v>2308</v>
      </c>
      <c r="R282" s="22" t="s">
        <v>2308</v>
      </c>
      <c r="S282" s="22">
        <v>0</v>
      </c>
      <c r="T282" s="22">
        <v>0</v>
      </c>
      <c r="U282" s="22">
        <v>0</v>
      </c>
      <c r="V282" s="22">
        <v>0</v>
      </c>
      <c r="W282" s="22">
        <v>0</v>
      </c>
      <c r="X282" s="22">
        <v>0</v>
      </c>
      <c r="Y282" s="22">
        <v>0</v>
      </c>
      <c r="Z282" s="4" t="s">
        <v>2308</v>
      </c>
      <c r="AA282" s="4" t="s">
        <v>2308</v>
      </c>
      <c r="AB282" s="4"/>
      <c r="AC282" s="5" t="s">
        <v>2346</v>
      </c>
      <c r="AD282" s="5"/>
    </row>
    <row r="283" spans="1:30" ht="75" customHeight="1">
      <c r="A283" s="12" t="s">
        <v>518</v>
      </c>
      <c r="B283" s="12" t="s">
        <v>522</v>
      </c>
      <c r="C283" s="24" t="s">
        <v>24</v>
      </c>
      <c r="D283" s="24" t="s">
        <v>27</v>
      </c>
      <c r="E283" s="25" t="s">
        <v>136</v>
      </c>
      <c r="F283" s="20" t="s">
        <v>167</v>
      </c>
      <c r="G283" s="12" t="s">
        <v>2308</v>
      </c>
      <c r="H283" s="20" t="s">
        <v>531</v>
      </c>
      <c r="I283" s="4"/>
      <c r="J283" s="22" t="s">
        <v>2308</v>
      </c>
      <c r="K283" s="22" t="s">
        <v>2308</v>
      </c>
      <c r="L283" s="22" t="s">
        <v>2308</v>
      </c>
      <c r="M283" s="22" t="s">
        <v>2308</v>
      </c>
      <c r="N283" s="22" t="s">
        <v>2308</v>
      </c>
      <c r="O283" s="22" t="s">
        <v>2308</v>
      </c>
      <c r="P283" s="22" t="s">
        <v>2308</v>
      </c>
      <c r="Q283" s="22" t="s">
        <v>2308</v>
      </c>
      <c r="R283" s="22" t="s">
        <v>2308</v>
      </c>
      <c r="S283" s="22" t="s">
        <v>2308</v>
      </c>
      <c r="T283" s="22" t="s">
        <v>2308</v>
      </c>
      <c r="U283" s="22" t="s">
        <v>2308</v>
      </c>
      <c r="V283" s="22" t="s">
        <v>2308</v>
      </c>
      <c r="W283" s="22" t="s">
        <v>2308</v>
      </c>
      <c r="X283" s="22" t="s">
        <v>2308</v>
      </c>
      <c r="Y283" s="22">
        <v>8</v>
      </c>
      <c r="Z283" s="4" t="s">
        <v>2308</v>
      </c>
      <c r="AA283" s="4" t="s">
        <v>2308</v>
      </c>
      <c r="AB283" s="4" t="s">
        <v>2308</v>
      </c>
      <c r="AC283" s="5" t="s">
        <v>523</v>
      </c>
      <c r="AD283" s="5" t="s">
        <v>1517</v>
      </c>
    </row>
    <row r="284" spans="1:30" ht="109.5" customHeight="1">
      <c r="A284" s="12" t="s">
        <v>518</v>
      </c>
      <c r="B284" s="12" t="s">
        <v>525</v>
      </c>
      <c r="C284" s="24" t="s">
        <v>24</v>
      </c>
      <c r="D284" s="24" t="s">
        <v>27</v>
      </c>
      <c r="E284" s="25" t="s">
        <v>136</v>
      </c>
      <c r="F284" s="20" t="s">
        <v>28</v>
      </c>
      <c r="G284" s="12" t="s">
        <v>2308</v>
      </c>
      <c r="H284" s="20" t="s">
        <v>531</v>
      </c>
      <c r="I284" s="4"/>
      <c r="J284" s="22" t="s">
        <v>2308</v>
      </c>
      <c r="K284" s="22" t="s">
        <v>2308</v>
      </c>
      <c r="L284" s="22" t="s">
        <v>2308</v>
      </c>
      <c r="M284" s="22" t="s">
        <v>2308</v>
      </c>
      <c r="N284" s="22" t="s">
        <v>2308</v>
      </c>
      <c r="O284" s="22" t="s">
        <v>2308</v>
      </c>
      <c r="P284" s="22" t="s">
        <v>2308</v>
      </c>
      <c r="Q284" s="22" t="s">
        <v>2308</v>
      </c>
      <c r="R284" s="22" t="s">
        <v>2308</v>
      </c>
      <c r="S284" s="22" t="s">
        <v>2308</v>
      </c>
      <c r="T284" s="22" t="s">
        <v>2308</v>
      </c>
      <c r="U284" s="22" t="s">
        <v>2308</v>
      </c>
      <c r="V284" s="22" t="s">
        <v>2308</v>
      </c>
      <c r="W284" s="22" t="s">
        <v>2308</v>
      </c>
      <c r="X284" s="22" t="s">
        <v>2308</v>
      </c>
      <c r="Y284" s="22">
        <v>1</v>
      </c>
      <c r="Z284" s="4" t="s">
        <v>2308</v>
      </c>
      <c r="AA284" s="4" t="s">
        <v>2308</v>
      </c>
      <c r="AB284" s="4" t="s">
        <v>2308</v>
      </c>
      <c r="AC284" s="19" t="s">
        <v>524</v>
      </c>
      <c r="AD284" s="4"/>
    </row>
    <row r="285" spans="1:30" ht="79.5" customHeight="1">
      <c r="A285" s="12" t="s">
        <v>518</v>
      </c>
      <c r="B285" s="12" t="s">
        <v>526</v>
      </c>
      <c r="C285" s="24" t="s">
        <v>24</v>
      </c>
      <c r="D285" s="24" t="s">
        <v>27</v>
      </c>
      <c r="E285" s="5" t="s">
        <v>404</v>
      </c>
      <c r="F285" s="20" t="s">
        <v>28</v>
      </c>
      <c r="G285" s="12" t="s">
        <v>2308</v>
      </c>
      <c r="H285" s="20" t="s">
        <v>532</v>
      </c>
      <c r="I285" s="4"/>
      <c r="J285" s="22">
        <v>0</v>
      </c>
      <c r="K285" s="22">
        <v>0</v>
      </c>
      <c r="L285" s="22">
        <v>0</v>
      </c>
      <c r="M285" s="22">
        <v>0</v>
      </c>
      <c r="N285" s="22">
        <v>0</v>
      </c>
      <c r="O285" s="22">
        <v>0</v>
      </c>
      <c r="P285" s="22">
        <v>0</v>
      </c>
      <c r="Q285" s="22" t="s">
        <v>2308</v>
      </c>
      <c r="R285" s="22" t="s">
        <v>2308</v>
      </c>
      <c r="S285" s="22">
        <v>0</v>
      </c>
      <c r="T285" s="22">
        <v>0</v>
      </c>
      <c r="U285" s="22">
        <v>0</v>
      </c>
      <c r="V285" s="22">
        <v>0</v>
      </c>
      <c r="W285" s="22">
        <v>0</v>
      </c>
      <c r="X285" s="22">
        <v>0</v>
      </c>
      <c r="Y285" s="22" t="s">
        <v>2308</v>
      </c>
      <c r="Z285" s="4" t="s">
        <v>2308</v>
      </c>
      <c r="AA285" s="4" t="s">
        <v>2308</v>
      </c>
      <c r="AB285" s="4" t="s">
        <v>2308</v>
      </c>
      <c r="AC285" s="19" t="s">
        <v>527</v>
      </c>
      <c r="AD285" s="4"/>
    </row>
    <row r="286" spans="1:30" ht="135" customHeight="1">
      <c r="A286" s="4" t="s">
        <v>528</v>
      </c>
      <c r="B286" s="4" t="s">
        <v>546</v>
      </c>
      <c r="C286" s="24" t="s">
        <v>24</v>
      </c>
      <c r="D286" s="12" t="s">
        <v>149</v>
      </c>
      <c r="E286" s="25" t="s">
        <v>136</v>
      </c>
      <c r="F286" s="20" t="s">
        <v>74</v>
      </c>
      <c r="G286" s="12" t="s">
        <v>2308</v>
      </c>
      <c r="H286" s="20" t="s">
        <v>531</v>
      </c>
      <c r="I286" s="4"/>
      <c r="J286" s="22" t="s">
        <v>2308</v>
      </c>
      <c r="K286" s="22" t="s">
        <v>2308</v>
      </c>
      <c r="L286" s="22" t="s">
        <v>2308</v>
      </c>
      <c r="M286" s="22" t="s">
        <v>2308</v>
      </c>
      <c r="N286" s="22" t="s">
        <v>2308</v>
      </c>
      <c r="O286" s="22" t="s">
        <v>2308</v>
      </c>
      <c r="P286" s="22" t="s">
        <v>2308</v>
      </c>
      <c r="Q286" s="22" t="s">
        <v>2308</v>
      </c>
      <c r="R286" s="22" t="s">
        <v>2308</v>
      </c>
      <c r="S286" s="22" t="s">
        <v>2308</v>
      </c>
      <c r="T286" s="22" t="s">
        <v>2308</v>
      </c>
      <c r="U286" s="22" t="s">
        <v>2308</v>
      </c>
      <c r="V286" s="22" t="s">
        <v>2308</v>
      </c>
      <c r="W286" s="22" t="s">
        <v>2308</v>
      </c>
      <c r="X286" s="22" t="s">
        <v>2308</v>
      </c>
      <c r="Y286" s="22" t="s">
        <v>2308</v>
      </c>
      <c r="Z286" s="4" t="s">
        <v>2308</v>
      </c>
      <c r="AA286" s="4" t="s">
        <v>2308</v>
      </c>
      <c r="AB286" s="4" t="s">
        <v>2308</v>
      </c>
      <c r="AC286" s="5" t="s">
        <v>548</v>
      </c>
      <c r="AD286" s="5"/>
    </row>
    <row r="287" spans="1:30" ht="75.5" customHeight="1">
      <c r="A287" s="4" t="s">
        <v>528</v>
      </c>
      <c r="B287" s="4" t="s">
        <v>547</v>
      </c>
      <c r="C287" s="24" t="s">
        <v>24</v>
      </c>
      <c r="D287" s="12" t="s">
        <v>149</v>
      </c>
      <c r="E287" s="25" t="s">
        <v>45</v>
      </c>
      <c r="F287" s="20" t="s">
        <v>74</v>
      </c>
      <c r="G287" s="12" t="s">
        <v>2308</v>
      </c>
      <c r="H287" s="20" t="s">
        <v>532</v>
      </c>
      <c r="I287" s="4"/>
      <c r="J287" s="22">
        <v>0</v>
      </c>
      <c r="K287" s="22">
        <v>0</v>
      </c>
      <c r="L287" s="22">
        <v>0</v>
      </c>
      <c r="M287" s="22">
        <v>0</v>
      </c>
      <c r="N287" s="22">
        <v>0</v>
      </c>
      <c r="O287" s="22">
        <v>0</v>
      </c>
      <c r="P287" s="22">
        <v>0</v>
      </c>
      <c r="Q287" s="22" t="s">
        <v>2308</v>
      </c>
      <c r="R287" s="22" t="s">
        <v>2308</v>
      </c>
      <c r="S287" s="22">
        <v>0</v>
      </c>
      <c r="T287" s="22">
        <v>0</v>
      </c>
      <c r="U287" s="22">
        <v>0</v>
      </c>
      <c r="V287" s="22">
        <v>0</v>
      </c>
      <c r="W287" s="22">
        <v>0</v>
      </c>
      <c r="X287" s="22">
        <v>0</v>
      </c>
      <c r="Y287" s="22" t="s">
        <v>2308</v>
      </c>
      <c r="Z287" s="4" t="s">
        <v>2308</v>
      </c>
      <c r="AA287" s="4" t="s">
        <v>2308</v>
      </c>
      <c r="AB287" s="4" t="s">
        <v>2308</v>
      </c>
      <c r="AC287" s="5" t="s">
        <v>550</v>
      </c>
      <c r="AD287" s="5"/>
    </row>
    <row r="288" spans="1:30" ht="132" customHeight="1">
      <c r="A288" s="12" t="s">
        <v>555</v>
      </c>
      <c r="B288" s="12" t="s">
        <v>557</v>
      </c>
      <c r="C288" s="24" t="s">
        <v>24</v>
      </c>
      <c r="D288" s="24" t="s">
        <v>27</v>
      </c>
      <c r="E288" s="27" t="s">
        <v>136</v>
      </c>
      <c r="F288" s="20" t="s">
        <v>2308</v>
      </c>
      <c r="G288" s="20" t="s">
        <v>167</v>
      </c>
      <c r="H288" s="20" t="s">
        <v>531</v>
      </c>
      <c r="I288" s="4">
        <v>1987</v>
      </c>
      <c r="J288" s="22" t="s">
        <v>2308</v>
      </c>
      <c r="K288" s="22" t="s">
        <v>2308</v>
      </c>
      <c r="L288" s="22" t="s">
        <v>2308</v>
      </c>
      <c r="M288" s="22" t="s">
        <v>2308</v>
      </c>
      <c r="N288" s="22" t="s">
        <v>2308</v>
      </c>
      <c r="O288" s="22" t="s">
        <v>2308</v>
      </c>
      <c r="P288" s="22" t="s">
        <v>2308</v>
      </c>
      <c r="Q288" s="22" t="s">
        <v>2308</v>
      </c>
      <c r="R288" s="22" t="s">
        <v>2308</v>
      </c>
      <c r="S288" s="22" t="s">
        <v>2308</v>
      </c>
      <c r="T288" s="22">
        <v>300</v>
      </c>
      <c r="U288" s="22" t="s">
        <v>2308</v>
      </c>
      <c r="V288" s="22">
        <v>17.706738130000002</v>
      </c>
      <c r="W288" s="22" t="s">
        <v>2308</v>
      </c>
      <c r="X288" s="22">
        <v>3.8216561000000003E-2</v>
      </c>
      <c r="Y288" s="22">
        <v>7.4</v>
      </c>
      <c r="Z288" s="4" t="s">
        <v>2308</v>
      </c>
      <c r="AA288" s="4" t="s">
        <v>2308</v>
      </c>
      <c r="AB288" s="4" t="s">
        <v>2308</v>
      </c>
      <c r="AC288" s="5" t="s">
        <v>561</v>
      </c>
      <c r="AD288" s="5" t="s">
        <v>2446</v>
      </c>
    </row>
    <row r="289" spans="1:30" ht="118" customHeight="1">
      <c r="A289" s="12" t="s">
        <v>555</v>
      </c>
      <c r="B289" s="12" t="s">
        <v>558</v>
      </c>
      <c r="C289" s="24" t="s">
        <v>24</v>
      </c>
      <c r="D289" s="12" t="s">
        <v>149</v>
      </c>
      <c r="E289" s="27" t="s">
        <v>136</v>
      </c>
      <c r="F289" s="20" t="s">
        <v>2308</v>
      </c>
      <c r="G289" s="20" t="s">
        <v>74</v>
      </c>
      <c r="H289" s="20" t="s">
        <v>531</v>
      </c>
      <c r="I289" s="4">
        <v>1987</v>
      </c>
      <c r="J289" s="22" t="s">
        <v>2308</v>
      </c>
      <c r="K289" s="22" t="s">
        <v>2308</v>
      </c>
      <c r="L289" s="22" t="s">
        <v>2308</v>
      </c>
      <c r="M289" s="22" t="s">
        <v>2308</v>
      </c>
      <c r="N289" s="22" t="s">
        <v>2308</v>
      </c>
      <c r="O289" s="22" t="s">
        <v>2308</v>
      </c>
      <c r="P289" s="22" t="s">
        <v>2308</v>
      </c>
      <c r="Q289" s="22" t="s">
        <v>2308</v>
      </c>
      <c r="R289" s="22" t="s">
        <v>2308</v>
      </c>
      <c r="S289" s="22" t="s">
        <v>2308</v>
      </c>
      <c r="T289" s="22">
        <v>200</v>
      </c>
      <c r="U289" s="22" t="s">
        <v>2308</v>
      </c>
      <c r="V289" s="22">
        <v>2.5477710000000001E-2</v>
      </c>
      <c r="W289" s="22" t="s">
        <v>2308</v>
      </c>
      <c r="X289" s="22">
        <v>2.5477706999999999E-2</v>
      </c>
      <c r="Y289" s="22" t="s">
        <v>2308</v>
      </c>
      <c r="Z289" s="4" t="s">
        <v>2308</v>
      </c>
      <c r="AA289" s="4" t="s">
        <v>2308</v>
      </c>
      <c r="AB289" s="4" t="s">
        <v>2308</v>
      </c>
      <c r="AC289" s="5" t="s">
        <v>561</v>
      </c>
      <c r="AD289" s="5" t="s">
        <v>2446</v>
      </c>
    </row>
    <row r="290" spans="1:30" ht="121" customHeight="1">
      <c r="A290" s="12" t="s">
        <v>556</v>
      </c>
      <c r="B290" s="12" t="s">
        <v>559</v>
      </c>
      <c r="C290" s="24" t="s">
        <v>24</v>
      </c>
      <c r="D290" s="24" t="s">
        <v>27</v>
      </c>
      <c r="E290" s="27" t="s">
        <v>136</v>
      </c>
      <c r="F290" s="20" t="s">
        <v>2308</v>
      </c>
      <c r="G290" s="20" t="s">
        <v>167</v>
      </c>
      <c r="H290" s="20" t="s">
        <v>531</v>
      </c>
      <c r="I290" s="4">
        <v>2014</v>
      </c>
      <c r="J290" s="22" t="s">
        <v>2308</v>
      </c>
      <c r="K290" s="22" t="s">
        <v>2308</v>
      </c>
      <c r="L290" s="22" t="s">
        <v>2308</v>
      </c>
      <c r="M290" s="22" t="s">
        <v>2308</v>
      </c>
      <c r="N290" s="22" t="s">
        <v>2308</v>
      </c>
      <c r="O290" s="22" t="s">
        <v>2308</v>
      </c>
      <c r="P290" s="22" t="s">
        <v>2308</v>
      </c>
      <c r="Q290" s="22" t="s">
        <v>2308</v>
      </c>
      <c r="R290" s="22" t="s">
        <v>2308</v>
      </c>
      <c r="S290" s="22" t="s">
        <v>2308</v>
      </c>
      <c r="T290" s="22">
        <v>850</v>
      </c>
      <c r="U290" s="22" t="s">
        <v>2308</v>
      </c>
      <c r="V290" s="22">
        <v>12.73699156</v>
      </c>
      <c r="W290" s="22" t="s">
        <v>2308</v>
      </c>
      <c r="X290" s="22">
        <v>0.10828025500000001</v>
      </c>
      <c r="Y290" s="22">
        <v>6.1</v>
      </c>
      <c r="Z290" s="4" t="s">
        <v>2308</v>
      </c>
      <c r="AA290" s="4" t="s">
        <v>2308</v>
      </c>
      <c r="AB290" s="4" t="s">
        <v>2308</v>
      </c>
      <c r="AC290" s="5" t="s">
        <v>561</v>
      </c>
      <c r="AD290" s="5" t="s">
        <v>2446</v>
      </c>
    </row>
    <row r="291" spans="1:30" ht="112" customHeight="1">
      <c r="A291" s="12" t="s">
        <v>556</v>
      </c>
      <c r="B291" s="12" t="s">
        <v>560</v>
      </c>
      <c r="C291" s="24" t="s">
        <v>24</v>
      </c>
      <c r="D291" s="24" t="s">
        <v>27</v>
      </c>
      <c r="E291" s="27" t="s">
        <v>136</v>
      </c>
      <c r="F291" s="20" t="s">
        <v>2308</v>
      </c>
      <c r="G291" s="20" t="s">
        <v>167</v>
      </c>
      <c r="H291" s="20" t="s">
        <v>531</v>
      </c>
      <c r="I291" s="4">
        <v>2014</v>
      </c>
      <c r="J291" s="22" t="s">
        <v>2308</v>
      </c>
      <c r="K291" s="22" t="s">
        <v>2308</v>
      </c>
      <c r="L291" s="22" t="s">
        <v>2308</v>
      </c>
      <c r="M291" s="22" t="s">
        <v>2308</v>
      </c>
      <c r="N291" s="22" t="s">
        <v>2308</v>
      </c>
      <c r="O291" s="22" t="s">
        <v>2308</v>
      </c>
      <c r="P291" s="22" t="s">
        <v>2308</v>
      </c>
      <c r="Q291" s="22" t="s">
        <v>2308</v>
      </c>
      <c r="R291" s="22" t="s">
        <v>2308</v>
      </c>
      <c r="S291" s="22" t="s">
        <v>2308</v>
      </c>
      <c r="T291" s="22">
        <v>150</v>
      </c>
      <c r="U291" s="22" t="s">
        <v>2308</v>
      </c>
      <c r="V291" s="22">
        <v>1.9108279999999998E-2</v>
      </c>
      <c r="W291" s="22" t="s">
        <v>2308</v>
      </c>
      <c r="X291" s="22">
        <v>1.9108279999999998E-2</v>
      </c>
      <c r="Y291" s="22" t="s">
        <v>2308</v>
      </c>
      <c r="Z291" s="4" t="s">
        <v>2308</v>
      </c>
      <c r="AA291" s="4" t="s">
        <v>2308</v>
      </c>
      <c r="AB291" s="4" t="s">
        <v>2308</v>
      </c>
      <c r="AC291" s="5" t="s">
        <v>561</v>
      </c>
      <c r="AD291" s="5" t="s">
        <v>2446</v>
      </c>
    </row>
    <row r="292" spans="1:30" ht="112" customHeight="1">
      <c r="A292" s="12" t="s">
        <v>1751</v>
      </c>
      <c r="B292" s="12" t="s">
        <v>1798</v>
      </c>
      <c r="C292" s="24" t="s">
        <v>24</v>
      </c>
      <c r="D292" s="24" t="s">
        <v>149</v>
      </c>
      <c r="E292" s="27" t="s">
        <v>404</v>
      </c>
      <c r="F292" s="20" t="s">
        <v>74</v>
      </c>
      <c r="G292" s="12" t="s">
        <v>2308</v>
      </c>
      <c r="H292" s="20" t="s">
        <v>531</v>
      </c>
      <c r="I292" s="4"/>
      <c r="J292" s="22" t="s">
        <v>2308</v>
      </c>
      <c r="K292" s="22" t="s">
        <v>2308</v>
      </c>
      <c r="L292" s="22" t="s">
        <v>2308</v>
      </c>
      <c r="M292" s="22" t="s">
        <v>2308</v>
      </c>
      <c r="N292" s="22" t="s">
        <v>2308</v>
      </c>
      <c r="O292" s="22" t="s">
        <v>2308</v>
      </c>
      <c r="P292" s="22" t="s">
        <v>2308</v>
      </c>
      <c r="Q292" s="22" t="s">
        <v>2308</v>
      </c>
      <c r="R292" s="22" t="s">
        <v>2308</v>
      </c>
      <c r="S292" s="22" t="s">
        <v>2308</v>
      </c>
      <c r="T292" s="22" t="s">
        <v>2308</v>
      </c>
      <c r="U292" s="22" t="s">
        <v>2308</v>
      </c>
      <c r="V292" s="22" t="s">
        <v>2308</v>
      </c>
      <c r="W292" s="22" t="s">
        <v>2308</v>
      </c>
      <c r="X292" s="22" t="s">
        <v>2308</v>
      </c>
      <c r="Y292" s="22" t="s">
        <v>2308</v>
      </c>
      <c r="Z292" s="4" t="s">
        <v>2308</v>
      </c>
      <c r="AA292" s="4" t="s">
        <v>2308</v>
      </c>
      <c r="AB292" s="4" t="s">
        <v>2308</v>
      </c>
      <c r="AC292" s="5"/>
      <c r="AD292" s="5"/>
    </row>
    <row r="293" spans="1:30" ht="112" customHeight="1">
      <c r="A293" s="12" t="s">
        <v>1750</v>
      </c>
      <c r="B293" s="12" t="s">
        <v>1799</v>
      </c>
      <c r="C293" s="24" t="s">
        <v>24</v>
      </c>
      <c r="D293" s="24" t="s">
        <v>149</v>
      </c>
      <c r="E293" s="27" t="s">
        <v>404</v>
      </c>
      <c r="F293" s="20" t="s">
        <v>74</v>
      </c>
      <c r="G293" s="12" t="s">
        <v>2308</v>
      </c>
      <c r="H293" s="20" t="s">
        <v>531</v>
      </c>
      <c r="I293" s="4"/>
      <c r="J293" s="22" t="s">
        <v>2308</v>
      </c>
      <c r="K293" s="22" t="s">
        <v>2308</v>
      </c>
      <c r="L293" s="22" t="s">
        <v>2308</v>
      </c>
      <c r="M293" s="22" t="s">
        <v>2308</v>
      </c>
      <c r="N293" s="22" t="s">
        <v>2308</v>
      </c>
      <c r="O293" s="22" t="s">
        <v>2308</v>
      </c>
      <c r="P293" s="22" t="s">
        <v>2308</v>
      </c>
      <c r="Q293" s="22" t="s">
        <v>2308</v>
      </c>
      <c r="R293" s="22" t="s">
        <v>2308</v>
      </c>
      <c r="S293" s="22" t="s">
        <v>2308</v>
      </c>
      <c r="T293" s="22" t="s">
        <v>2308</v>
      </c>
      <c r="U293" s="22" t="s">
        <v>2308</v>
      </c>
      <c r="V293" s="22" t="s">
        <v>2308</v>
      </c>
      <c r="W293" s="22" t="s">
        <v>2308</v>
      </c>
      <c r="X293" s="22" t="s">
        <v>2308</v>
      </c>
      <c r="Y293" s="22" t="s">
        <v>2308</v>
      </c>
      <c r="Z293" s="4" t="s">
        <v>2308</v>
      </c>
      <c r="AA293" s="4" t="s">
        <v>2308</v>
      </c>
      <c r="AB293" s="4" t="s">
        <v>2308</v>
      </c>
      <c r="AC293" s="5"/>
      <c r="AD293" s="5"/>
    </row>
    <row r="294" spans="1:30" ht="112" customHeight="1">
      <c r="A294" s="12" t="s">
        <v>1752</v>
      </c>
      <c r="B294" s="12" t="s">
        <v>1800</v>
      </c>
      <c r="C294" s="24" t="s">
        <v>24</v>
      </c>
      <c r="D294" s="24" t="s">
        <v>149</v>
      </c>
      <c r="E294" s="27" t="s">
        <v>404</v>
      </c>
      <c r="F294" s="20" t="s">
        <v>74</v>
      </c>
      <c r="G294" s="12" t="s">
        <v>2308</v>
      </c>
      <c r="H294" s="20" t="s">
        <v>531</v>
      </c>
      <c r="I294" s="4"/>
      <c r="J294" s="22" t="s">
        <v>2308</v>
      </c>
      <c r="K294" s="22" t="s">
        <v>2308</v>
      </c>
      <c r="L294" s="22" t="s">
        <v>2308</v>
      </c>
      <c r="M294" s="22" t="s">
        <v>2308</v>
      </c>
      <c r="N294" s="22" t="s">
        <v>2308</v>
      </c>
      <c r="O294" s="22" t="s">
        <v>2308</v>
      </c>
      <c r="P294" s="22" t="s">
        <v>2308</v>
      </c>
      <c r="Q294" s="22" t="s">
        <v>2308</v>
      </c>
      <c r="R294" s="22" t="s">
        <v>2308</v>
      </c>
      <c r="S294" s="22" t="s">
        <v>2308</v>
      </c>
      <c r="T294" s="22" t="s">
        <v>2308</v>
      </c>
      <c r="U294" s="22" t="s">
        <v>2308</v>
      </c>
      <c r="V294" s="22" t="s">
        <v>2308</v>
      </c>
      <c r="W294" s="22" t="s">
        <v>2308</v>
      </c>
      <c r="X294" s="22" t="s">
        <v>2308</v>
      </c>
      <c r="Y294" s="22" t="s">
        <v>2308</v>
      </c>
      <c r="Z294" s="4" t="s">
        <v>2308</v>
      </c>
      <c r="AA294" s="4" t="s">
        <v>2308</v>
      </c>
      <c r="AB294" s="4" t="s">
        <v>2308</v>
      </c>
      <c r="AC294" s="5"/>
      <c r="AD294" s="5"/>
    </row>
    <row r="295" spans="1:30" ht="112" customHeight="1">
      <c r="A295" s="12" t="s">
        <v>1753</v>
      </c>
      <c r="B295" s="12" t="s">
        <v>1801</v>
      </c>
      <c r="C295" s="24" t="s">
        <v>24</v>
      </c>
      <c r="D295" s="24" t="s">
        <v>149</v>
      </c>
      <c r="E295" s="27" t="s">
        <v>136</v>
      </c>
      <c r="F295" s="20" t="s">
        <v>74</v>
      </c>
      <c r="G295" s="12" t="s">
        <v>2308</v>
      </c>
      <c r="H295" s="20" t="s">
        <v>531</v>
      </c>
      <c r="I295" s="4"/>
      <c r="J295" s="22" t="s">
        <v>2308</v>
      </c>
      <c r="K295" s="22" t="s">
        <v>2308</v>
      </c>
      <c r="L295" s="22" t="s">
        <v>2308</v>
      </c>
      <c r="M295" s="22" t="s">
        <v>2308</v>
      </c>
      <c r="N295" s="22" t="s">
        <v>2308</v>
      </c>
      <c r="O295" s="22" t="s">
        <v>2308</v>
      </c>
      <c r="P295" s="22" t="s">
        <v>2308</v>
      </c>
      <c r="Q295" s="22" t="s">
        <v>2308</v>
      </c>
      <c r="R295" s="22" t="s">
        <v>2308</v>
      </c>
      <c r="S295" s="22" t="s">
        <v>2308</v>
      </c>
      <c r="T295" s="22" t="s">
        <v>2308</v>
      </c>
      <c r="U295" s="22" t="s">
        <v>2308</v>
      </c>
      <c r="V295" s="22" t="s">
        <v>2308</v>
      </c>
      <c r="W295" s="22" t="s">
        <v>2308</v>
      </c>
      <c r="X295" s="22" t="s">
        <v>2308</v>
      </c>
      <c r="Y295" s="22" t="s">
        <v>2308</v>
      </c>
      <c r="Z295" s="4" t="s">
        <v>2308</v>
      </c>
      <c r="AA295" s="4" t="s">
        <v>2308</v>
      </c>
      <c r="AB295" s="4" t="s">
        <v>2308</v>
      </c>
      <c r="AC295" s="5"/>
      <c r="AD295" s="5"/>
    </row>
    <row r="296" spans="1:30" ht="112" customHeight="1">
      <c r="A296" s="12" t="s">
        <v>1753</v>
      </c>
      <c r="B296" s="12" t="s">
        <v>1802</v>
      </c>
      <c r="C296" s="24" t="s">
        <v>24</v>
      </c>
      <c r="D296" s="24" t="s">
        <v>27</v>
      </c>
      <c r="E296" s="27" t="s">
        <v>136</v>
      </c>
      <c r="F296" s="20" t="s">
        <v>167</v>
      </c>
      <c r="G296" s="12" t="s">
        <v>2308</v>
      </c>
      <c r="H296" s="20" t="s">
        <v>531</v>
      </c>
      <c r="I296" s="4"/>
      <c r="J296" s="22" t="s">
        <v>2308</v>
      </c>
      <c r="K296" s="22" t="s">
        <v>2308</v>
      </c>
      <c r="L296" s="22" t="s">
        <v>2308</v>
      </c>
      <c r="M296" s="22" t="s">
        <v>2308</v>
      </c>
      <c r="N296" s="22" t="s">
        <v>2308</v>
      </c>
      <c r="O296" s="22" t="s">
        <v>2308</v>
      </c>
      <c r="P296" s="22" t="s">
        <v>2308</v>
      </c>
      <c r="Q296" s="22" t="s">
        <v>2308</v>
      </c>
      <c r="R296" s="22" t="s">
        <v>2308</v>
      </c>
      <c r="S296" s="22" t="s">
        <v>2308</v>
      </c>
      <c r="T296" s="22" t="s">
        <v>2308</v>
      </c>
      <c r="U296" s="22" t="s">
        <v>2308</v>
      </c>
      <c r="V296" s="22" t="s">
        <v>2308</v>
      </c>
      <c r="W296" s="22" t="s">
        <v>2308</v>
      </c>
      <c r="X296" s="22" t="s">
        <v>2308</v>
      </c>
      <c r="Y296" s="22" t="s">
        <v>2308</v>
      </c>
      <c r="Z296" s="4" t="s">
        <v>2308</v>
      </c>
      <c r="AA296" s="4" t="s">
        <v>2308</v>
      </c>
      <c r="AB296" s="4" t="s">
        <v>2308</v>
      </c>
      <c r="AC296" s="5"/>
      <c r="AD296" s="5"/>
    </row>
    <row r="297" spans="1:30" ht="112" customHeight="1">
      <c r="A297" s="12" t="s">
        <v>1754</v>
      </c>
      <c r="B297" s="12" t="s">
        <v>1803</v>
      </c>
      <c r="C297" s="24" t="s">
        <v>24</v>
      </c>
      <c r="D297" s="24" t="s">
        <v>149</v>
      </c>
      <c r="E297" s="27" t="s">
        <v>404</v>
      </c>
      <c r="F297" s="20" t="s">
        <v>74</v>
      </c>
      <c r="G297" s="12" t="s">
        <v>2308</v>
      </c>
      <c r="H297" s="20" t="s">
        <v>531</v>
      </c>
      <c r="I297" s="4"/>
      <c r="J297" s="22" t="s">
        <v>2308</v>
      </c>
      <c r="K297" s="22" t="s">
        <v>2308</v>
      </c>
      <c r="L297" s="22" t="s">
        <v>2308</v>
      </c>
      <c r="M297" s="22" t="s">
        <v>2308</v>
      </c>
      <c r="N297" s="22" t="s">
        <v>2308</v>
      </c>
      <c r="O297" s="22" t="s">
        <v>2308</v>
      </c>
      <c r="P297" s="22" t="s">
        <v>2308</v>
      </c>
      <c r="Q297" s="22" t="s">
        <v>2308</v>
      </c>
      <c r="R297" s="22" t="s">
        <v>2308</v>
      </c>
      <c r="S297" s="22" t="s">
        <v>2308</v>
      </c>
      <c r="T297" s="22" t="s">
        <v>2308</v>
      </c>
      <c r="U297" s="22" t="s">
        <v>2308</v>
      </c>
      <c r="V297" s="22" t="s">
        <v>2308</v>
      </c>
      <c r="W297" s="22" t="s">
        <v>2308</v>
      </c>
      <c r="X297" s="22" t="s">
        <v>2308</v>
      </c>
      <c r="Y297" s="22" t="s">
        <v>2308</v>
      </c>
      <c r="Z297" s="4" t="s">
        <v>2308</v>
      </c>
      <c r="AA297" s="4" t="s">
        <v>2308</v>
      </c>
      <c r="AB297" s="4" t="s">
        <v>2308</v>
      </c>
      <c r="AC297" s="5"/>
      <c r="AD297" s="5"/>
    </row>
    <row r="298" spans="1:30" ht="112" customHeight="1">
      <c r="A298" s="12" t="s">
        <v>1757</v>
      </c>
      <c r="B298" s="12" t="s">
        <v>1804</v>
      </c>
      <c r="C298" s="24" t="s">
        <v>24</v>
      </c>
      <c r="D298" s="24" t="s">
        <v>149</v>
      </c>
      <c r="E298" s="27" t="s">
        <v>136</v>
      </c>
      <c r="F298" s="20" t="s">
        <v>74</v>
      </c>
      <c r="G298" s="12" t="s">
        <v>2308</v>
      </c>
      <c r="H298" s="20" t="s">
        <v>531</v>
      </c>
      <c r="I298" s="4"/>
      <c r="J298" s="22" t="s">
        <v>2308</v>
      </c>
      <c r="K298" s="22" t="s">
        <v>2308</v>
      </c>
      <c r="L298" s="22" t="s">
        <v>2308</v>
      </c>
      <c r="M298" s="22" t="s">
        <v>2308</v>
      </c>
      <c r="N298" s="22" t="s">
        <v>2308</v>
      </c>
      <c r="O298" s="22" t="s">
        <v>2308</v>
      </c>
      <c r="P298" s="22" t="s">
        <v>2308</v>
      </c>
      <c r="Q298" s="22" t="s">
        <v>2308</v>
      </c>
      <c r="R298" s="22" t="s">
        <v>2308</v>
      </c>
      <c r="S298" s="22" t="s">
        <v>2308</v>
      </c>
      <c r="T298" s="22" t="s">
        <v>2308</v>
      </c>
      <c r="U298" s="22" t="s">
        <v>2308</v>
      </c>
      <c r="V298" s="22" t="s">
        <v>2308</v>
      </c>
      <c r="W298" s="22" t="s">
        <v>2308</v>
      </c>
      <c r="X298" s="22" t="s">
        <v>2308</v>
      </c>
      <c r="Y298" s="22" t="s">
        <v>2308</v>
      </c>
      <c r="Z298" s="4" t="s">
        <v>2308</v>
      </c>
      <c r="AA298" s="4" t="s">
        <v>2308</v>
      </c>
      <c r="AB298" s="4" t="s">
        <v>2308</v>
      </c>
      <c r="AC298" s="5"/>
      <c r="AD298" s="5"/>
    </row>
    <row r="299" spans="1:30" ht="112" customHeight="1">
      <c r="A299" s="12" t="s">
        <v>1757</v>
      </c>
      <c r="B299" s="12" t="s">
        <v>1805</v>
      </c>
      <c r="C299" s="24" t="s">
        <v>24</v>
      </c>
      <c r="D299" s="24" t="s">
        <v>27</v>
      </c>
      <c r="E299" s="27" t="s">
        <v>136</v>
      </c>
      <c r="F299" s="20" t="s">
        <v>167</v>
      </c>
      <c r="G299" s="12" t="s">
        <v>2308</v>
      </c>
      <c r="H299" s="20" t="s">
        <v>531</v>
      </c>
      <c r="I299" s="4"/>
      <c r="J299" s="22" t="s">
        <v>2308</v>
      </c>
      <c r="K299" s="22" t="s">
        <v>2308</v>
      </c>
      <c r="L299" s="22" t="s">
        <v>2308</v>
      </c>
      <c r="M299" s="22" t="s">
        <v>2308</v>
      </c>
      <c r="N299" s="22" t="s">
        <v>2308</v>
      </c>
      <c r="O299" s="22" t="s">
        <v>2308</v>
      </c>
      <c r="P299" s="22" t="s">
        <v>2308</v>
      </c>
      <c r="Q299" s="22" t="s">
        <v>2308</v>
      </c>
      <c r="R299" s="22" t="s">
        <v>2308</v>
      </c>
      <c r="S299" s="22" t="s">
        <v>2308</v>
      </c>
      <c r="T299" s="22" t="s">
        <v>2308</v>
      </c>
      <c r="U299" s="22" t="s">
        <v>2308</v>
      </c>
      <c r="V299" s="22" t="s">
        <v>2308</v>
      </c>
      <c r="W299" s="22" t="s">
        <v>2308</v>
      </c>
      <c r="X299" s="22" t="s">
        <v>2308</v>
      </c>
      <c r="Y299" s="22" t="s">
        <v>2308</v>
      </c>
      <c r="Z299" s="4" t="s">
        <v>2308</v>
      </c>
      <c r="AA299" s="4" t="s">
        <v>2308</v>
      </c>
      <c r="AB299" s="4" t="s">
        <v>2308</v>
      </c>
      <c r="AC299" s="5"/>
      <c r="AD299" s="5"/>
    </row>
    <row r="300" spans="1:30" ht="112" customHeight="1">
      <c r="A300" s="12" t="s">
        <v>1758</v>
      </c>
      <c r="B300" s="12" t="s">
        <v>1806</v>
      </c>
      <c r="C300" s="24" t="s">
        <v>24</v>
      </c>
      <c r="D300" s="24" t="s">
        <v>149</v>
      </c>
      <c r="E300" s="27" t="s">
        <v>136</v>
      </c>
      <c r="F300" s="20" t="s">
        <v>74</v>
      </c>
      <c r="G300" s="12" t="s">
        <v>2308</v>
      </c>
      <c r="H300" s="20" t="s">
        <v>531</v>
      </c>
      <c r="I300" s="4"/>
      <c r="J300" s="22" t="s">
        <v>2308</v>
      </c>
      <c r="K300" s="22" t="s">
        <v>2308</v>
      </c>
      <c r="L300" s="22" t="s">
        <v>2308</v>
      </c>
      <c r="M300" s="22" t="s">
        <v>2308</v>
      </c>
      <c r="N300" s="22" t="s">
        <v>2308</v>
      </c>
      <c r="O300" s="22" t="s">
        <v>2308</v>
      </c>
      <c r="P300" s="22" t="s">
        <v>2308</v>
      </c>
      <c r="Q300" s="22" t="s">
        <v>2308</v>
      </c>
      <c r="R300" s="22" t="s">
        <v>2308</v>
      </c>
      <c r="S300" s="22" t="s">
        <v>2308</v>
      </c>
      <c r="T300" s="22" t="s">
        <v>2308</v>
      </c>
      <c r="U300" s="22" t="s">
        <v>2308</v>
      </c>
      <c r="V300" s="22" t="s">
        <v>2308</v>
      </c>
      <c r="W300" s="22" t="s">
        <v>2308</v>
      </c>
      <c r="X300" s="22" t="s">
        <v>2308</v>
      </c>
      <c r="Y300" s="22" t="s">
        <v>2308</v>
      </c>
      <c r="Z300" s="4" t="s">
        <v>2308</v>
      </c>
      <c r="AA300" s="4" t="s">
        <v>2308</v>
      </c>
      <c r="AB300" s="4" t="s">
        <v>2308</v>
      </c>
      <c r="AC300" s="5"/>
      <c r="AD300" s="5"/>
    </row>
    <row r="301" spans="1:30" ht="112" customHeight="1">
      <c r="A301" s="12" t="s">
        <v>1758</v>
      </c>
      <c r="B301" s="12" t="s">
        <v>1807</v>
      </c>
      <c r="C301" s="24" t="s">
        <v>24</v>
      </c>
      <c r="D301" s="24" t="s">
        <v>27</v>
      </c>
      <c r="E301" s="27" t="s">
        <v>136</v>
      </c>
      <c r="F301" s="27" t="s">
        <v>167</v>
      </c>
      <c r="G301" s="12" t="s">
        <v>2308</v>
      </c>
      <c r="H301" s="20" t="s">
        <v>531</v>
      </c>
      <c r="I301" s="4"/>
      <c r="J301" s="22" t="s">
        <v>2308</v>
      </c>
      <c r="K301" s="22" t="s">
        <v>2308</v>
      </c>
      <c r="L301" s="22" t="s">
        <v>2308</v>
      </c>
      <c r="M301" s="22" t="s">
        <v>2308</v>
      </c>
      <c r="N301" s="22" t="s">
        <v>2308</v>
      </c>
      <c r="O301" s="22" t="s">
        <v>2308</v>
      </c>
      <c r="P301" s="22" t="s">
        <v>2308</v>
      </c>
      <c r="Q301" s="22" t="s">
        <v>2308</v>
      </c>
      <c r="R301" s="22" t="s">
        <v>2308</v>
      </c>
      <c r="S301" s="22" t="s">
        <v>2308</v>
      </c>
      <c r="T301" s="22" t="s">
        <v>2308</v>
      </c>
      <c r="U301" s="22" t="s">
        <v>2308</v>
      </c>
      <c r="V301" s="22" t="s">
        <v>2308</v>
      </c>
      <c r="W301" s="22" t="s">
        <v>2308</v>
      </c>
      <c r="X301" s="22" t="s">
        <v>2308</v>
      </c>
      <c r="Y301" s="22" t="s">
        <v>2308</v>
      </c>
      <c r="Z301" s="4" t="s">
        <v>2308</v>
      </c>
      <c r="AA301" s="4" t="s">
        <v>2308</v>
      </c>
      <c r="AB301" s="4" t="s">
        <v>2308</v>
      </c>
      <c r="AC301" s="5"/>
      <c r="AD301" s="5"/>
    </row>
    <row r="302" spans="1:30" ht="112" customHeight="1">
      <c r="A302" s="12" t="s">
        <v>1755</v>
      </c>
      <c r="B302" s="12" t="s">
        <v>1808</v>
      </c>
      <c r="C302" s="24" t="s">
        <v>24</v>
      </c>
      <c r="D302" s="24" t="s">
        <v>149</v>
      </c>
      <c r="E302" s="27" t="s">
        <v>136</v>
      </c>
      <c r="F302" s="20" t="s">
        <v>74</v>
      </c>
      <c r="G302" s="12" t="s">
        <v>2308</v>
      </c>
      <c r="H302" s="20" t="s">
        <v>531</v>
      </c>
      <c r="I302" s="4"/>
      <c r="J302" s="22" t="s">
        <v>2308</v>
      </c>
      <c r="K302" s="22" t="s">
        <v>2308</v>
      </c>
      <c r="L302" s="22" t="s">
        <v>2308</v>
      </c>
      <c r="M302" s="22" t="s">
        <v>2308</v>
      </c>
      <c r="N302" s="22" t="s">
        <v>2308</v>
      </c>
      <c r="O302" s="22" t="s">
        <v>2308</v>
      </c>
      <c r="P302" s="22" t="s">
        <v>2308</v>
      </c>
      <c r="Q302" s="22" t="s">
        <v>2308</v>
      </c>
      <c r="R302" s="22" t="s">
        <v>2308</v>
      </c>
      <c r="S302" s="22" t="s">
        <v>2308</v>
      </c>
      <c r="T302" s="22" t="s">
        <v>2308</v>
      </c>
      <c r="U302" s="22" t="s">
        <v>2308</v>
      </c>
      <c r="V302" s="22" t="s">
        <v>2308</v>
      </c>
      <c r="W302" s="22" t="s">
        <v>2308</v>
      </c>
      <c r="X302" s="22" t="s">
        <v>2308</v>
      </c>
      <c r="Y302" s="22" t="s">
        <v>2308</v>
      </c>
      <c r="Z302" s="4" t="s">
        <v>2308</v>
      </c>
      <c r="AA302" s="4" t="s">
        <v>2308</v>
      </c>
      <c r="AB302" s="4" t="s">
        <v>2308</v>
      </c>
      <c r="AC302" s="5"/>
      <c r="AD302" s="5"/>
    </row>
    <row r="303" spans="1:30" ht="112" customHeight="1">
      <c r="A303" s="12" t="s">
        <v>1755</v>
      </c>
      <c r="B303" s="12" t="s">
        <v>1809</v>
      </c>
      <c r="C303" s="24" t="s">
        <v>24</v>
      </c>
      <c r="D303" s="24" t="s">
        <v>27</v>
      </c>
      <c r="E303" s="27" t="s">
        <v>136</v>
      </c>
      <c r="F303" s="27" t="s">
        <v>167</v>
      </c>
      <c r="G303" s="12" t="s">
        <v>2308</v>
      </c>
      <c r="H303" s="20" t="s">
        <v>531</v>
      </c>
      <c r="I303" s="4"/>
      <c r="J303" s="22" t="s">
        <v>2308</v>
      </c>
      <c r="K303" s="22" t="s">
        <v>2308</v>
      </c>
      <c r="L303" s="22" t="s">
        <v>2308</v>
      </c>
      <c r="M303" s="22" t="s">
        <v>2308</v>
      </c>
      <c r="N303" s="22" t="s">
        <v>2308</v>
      </c>
      <c r="O303" s="22" t="s">
        <v>2308</v>
      </c>
      <c r="P303" s="22" t="s">
        <v>2308</v>
      </c>
      <c r="Q303" s="22" t="s">
        <v>2308</v>
      </c>
      <c r="R303" s="22" t="s">
        <v>2308</v>
      </c>
      <c r="S303" s="22" t="s">
        <v>2308</v>
      </c>
      <c r="T303" s="22" t="s">
        <v>2308</v>
      </c>
      <c r="U303" s="22" t="s">
        <v>2308</v>
      </c>
      <c r="V303" s="22" t="s">
        <v>2308</v>
      </c>
      <c r="W303" s="22" t="s">
        <v>2308</v>
      </c>
      <c r="X303" s="22" t="s">
        <v>2308</v>
      </c>
      <c r="Y303" s="22" t="s">
        <v>2308</v>
      </c>
      <c r="Z303" s="4" t="s">
        <v>2308</v>
      </c>
      <c r="AA303" s="4" t="s">
        <v>2308</v>
      </c>
      <c r="AB303" s="4" t="s">
        <v>2308</v>
      </c>
      <c r="AC303" s="5"/>
      <c r="AD303" s="5"/>
    </row>
    <row r="304" spans="1:30" ht="112" customHeight="1">
      <c r="A304" s="12" t="s">
        <v>1756</v>
      </c>
      <c r="B304" s="12" t="s">
        <v>1810</v>
      </c>
      <c r="C304" s="24" t="s">
        <v>24</v>
      </c>
      <c r="D304" s="24" t="s">
        <v>149</v>
      </c>
      <c r="E304" s="27" t="s">
        <v>136</v>
      </c>
      <c r="F304" s="20" t="s">
        <v>74</v>
      </c>
      <c r="G304" s="12" t="s">
        <v>2308</v>
      </c>
      <c r="H304" s="20" t="s">
        <v>531</v>
      </c>
      <c r="I304" s="4"/>
      <c r="J304" s="22" t="s">
        <v>2308</v>
      </c>
      <c r="K304" s="22" t="s">
        <v>2308</v>
      </c>
      <c r="L304" s="22" t="s">
        <v>2308</v>
      </c>
      <c r="M304" s="22" t="s">
        <v>2308</v>
      </c>
      <c r="N304" s="22" t="s">
        <v>2308</v>
      </c>
      <c r="O304" s="22" t="s">
        <v>2308</v>
      </c>
      <c r="P304" s="22" t="s">
        <v>2308</v>
      </c>
      <c r="Q304" s="22" t="s">
        <v>2308</v>
      </c>
      <c r="R304" s="22" t="s">
        <v>2308</v>
      </c>
      <c r="S304" s="22" t="s">
        <v>2308</v>
      </c>
      <c r="T304" s="22" t="s">
        <v>2308</v>
      </c>
      <c r="U304" s="22" t="s">
        <v>2308</v>
      </c>
      <c r="V304" s="22" t="s">
        <v>2308</v>
      </c>
      <c r="W304" s="22" t="s">
        <v>2308</v>
      </c>
      <c r="X304" s="22" t="s">
        <v>2308</v>
      </c>
      <c r="Y304" s="22" t="s">
        <v>2308</v>
      </c>
      <c r="Z304" s="4" t="s">
        <v>2308</v>
      </c>
      <c r="AA304" s="4" t="s">
        <v>2308</v>
      </c>
      <c r="AB304" s="4" t="s">
        <v>2308</v>
      </c>
      <c r="AC304" s="5"/>
      <c r="AD304" s="5"/>
    </row>
    <row r="305" spans="1:30" ht="112" customHeight="1">
      <c r="A305" s="12" t="s">
        <v>1756</v>
      </c>
      <c r="B305" s="12" t="s">
        <v>1811</v>
      </c>
      <c r="C305" s="24" t="s">
        <v>24</v>
      </c>
      <c r="D305" s="24" t="s">
        <v>27</v>
      </c>
      <c r="E305" s="27" t="s">
        <v>136</v>
      </c>
      <c r="F305" s="20" t="s">
        <v>167</v>
      </c>
      <c r="G305" s="12" t="s">
        <v>2308</v>
      </c>
      <c r="H305" s="20" t="s">
        <v>531</v>
      </c>
      <c r="I305" s="4"/>
      <c r="J305" s="22" t="s">
        <v>2308</v>
      </c>
      <c r="K305" s="22" t="s">
        <v>2308</v>
      </c>
      <c r="L305" s="22" t="s">
        <v>2308</v>
      </c>
      <c r="M305" s="22" t="s">
        <v>2308</v>
      </c>
      <c r="N305" s="22" t="s">
        <v>2308</v>
      </c>
      <c r="O305" s="22" t="s">
        <v>2308</v>
      </c>
      <c r="P305" s="22" t="s">
        <v>2308</v>
      </c>
      <c r="Q305" s="22" t="s">
        <v>2308</v>
      </c>
      <c r="R305" s="22" t="s">
        <v>2308</v>
      </c>
      <c r="S305" s="22" t="s">
        <v>2308</v>
      </c>
      <c r="T305" s="22" t="s">
        <v>2308</v>
      </c>
      <c r="U305" s="22" t="s">
        <v>2308</v>
      </c>
      <c r="V305" s="22" t="s">
        <v>2308</v>
      </c>
      <c r="W305" s="22" t="s">
        <v>2308</v>
      </c>
      <c r="X305" s="22" t="s">
        <v>2308</v>
      </c>
      <c r="Y305" s="22" t="s">
        <v>2308</v>
      </c>
      <c r="Z305" s="4" t="s">
        <v>2308</v>
      </c>
      <c r="AA305" s="4" t="s">
        <v>2308</v>
      </c>
      <c r="AB305" s="4" t="s">
        <v>2308</v>
      </c>
      <c r="AC305" s="5"/>
      <c r="AD305" s="5"/>
    </row>
    <row r="306" spans="1:30" ht="112" customHeight="1">
      <c r="A306" s="12" t="s">
        <v>1759</v>
      </c>
      <c r="B306" s="12" t="s">
        <v>1812</v>
      </c>
      <c r="C306" s="24" t="s">
        <v>24</v>
      </c>
      <c r="D306" s="24" t="s">
        <v>149</v>
      </c>
      <c r="E306" s="27" t="s">
        <v>136</v>
      </c>
      <c r="F306" s="20" t="s">
        <v>74</v>
      </c>
      <c r="G306" s="12" t="s">
        <v>2308</v>
      </c>
      <c r="H306" s="20" t="s">
        <v>531</v>
      </c>
      <c r="I306" s="4"/>
      <c r="J306" s="22" t="s">
        <v>2308</v>
      </c>
      <c r="K306" s="22" t="s">
        <v>2308</v>
      </c>
      <c r="L306" s="22" t="s">
        <v>2308</v>
      </c>
      <c r="M306" s="22" t="s">
        <v>2308</v>
      </c>
      <c r="N306" s="22" t="s">
        <v>2308</v>
      </c>
      <c r="O306" s="22" t="s">
        <v>2308</v>
      </c>
      <c r="P306" s="22" t="s">
        <v>2308</v>
      </c>
      <c r="Q306" s="22" t="s">
        <v>2308</v>
      </c>
      <c r="R306" s="22" t="s">
        <v>2308</v>
      </c>
      <c r="S306" s="22" t="s">
        <v>2308</v>
      </c>
      <c r="T306" s="22" t="s">
        <v>2308</v>
      </c>
      <c r="U306" s="22" t="s">
        <v>2308</v>
      </c>
      <c r="V306" s="22" t="s">
        <v>2308</v>
      </c>
      <c r="W306" s="22" t="s">
        <v>2308</v>
      </c>
      <c r="X306" s="22" t="s">
        <v>2308</v>
      </c>
      <c r="Y306" s="22" t="s">
        <v>2308</v>
      </c>
      <c r="Z306" s="4" t="s">
        <v>2308</v>
      </c>
      <c r="AA306" s="4" t="s">
        <v>2308</v>
      </c>
      <c r="AB306" s="4" t="s">
        <v>2308</v>
      </c>
      <c r="AC306" s="5"/>
      <c r="AD306" s="5"/>
    </row>
    <row r="307" spans="1:30" ht="112" customHeight="1">
      <c r="A307" s="12" t="s">
        <v>1759</v>
      </c>
      <c r="B307" s="12" t="s">
        <v>1813</v>
      </c>
      <c r="C307" s="24" t="s">
        <v>24</v>
      </c>
      <c r="D307" s="24" t="s">
        <v>27</v>
      </c>
      <c r="E307" s="27" t="s">
        <v>136</v>
      </c>
      <c r="F307" s="20" t="s">
        <v>167</v>
      </c>
      <c r="G307" s="12" t="s">
        <v>2308</v>
      </c>
      <c r="H307" s="20" t="s">
        <v>531</v>
      </c>
      <c r="I307" s="4"/>
      <c r="J307" s="22" t="s">
        <v>2308</v>
      </c>
      <c r="K307" s="22" t="s">
        <v>2308</v>
      </c>
      <c r="L307" s="22" t="s">
        <v>2308</v>
      </c>
      <c r="M307" s="22" t="s">
        <v>2308</v>
      </c>
      <c r="N307" s="22" t="s">
        <v>2308</v>
      </c>
      <c r="O307" s="22" t="s">
        <v>2308</v>
      </c>
      <c r="P307" s="22" t="s">
        <v>2308</v>
      </c>
      <c r="Q307" s="22" t="s">
        <v>2308</v>
      </c>
      <c r="R307" s="22" t="s">
        <v>2308</v>
      </c>
      <c r="S307" s="22" t="s">
        <v>2308</v>
      </c>
      <c r="T307" s="22" t="s">
        <v>2308</v>
      </c>
      <c r="U307" s="22" t="s">
        <v>2308</v>
      </c>
      <c r="V307" s="22" t="s">
        <v>2308</v>
      </c>
      <c r="W307" s="22" t="s">
        <v>2308</v>
      </c>
      <c r="X307" s="22" t="s">
        <v>2308</v>
      </c>
      <c r="Y307" s="22" t="s">
        <v>2308</v>
      </c>
      <c r="Z307" s="4" t="s">
        <v>2308</v>
      </c>
      <c r="AA307" s="4" t="s">
        <v>2308</v>
      </c>
      <c r="AB307" s="4" t="s">
        <v>2308</v>
      </c>
      <c r="AC307" s="5"/>
      <c r="AD307" s="5"/>
    </row>
    <row r="308" spans="1:30" ht="112" customHeight="1">
      <c r="A308" s="12" t="s">
        <v>1760</v>
      </c>
      <c r="B308" s="12" t="s">
        <v>1814</v>
      </c>
      <c r="C308" s="24" t="s">
        <v>24</v>
      </c>
      <c r="D308" s="24" t="s">
        <v>149</v>
      </c>
      <c r="E308" s="27" t="s">
        <v>404</v>
      </c>
      <c r="F308" s="20" t="s">
        <v>74</v>
      </c>
      <c r="G308" s="12" t="s">
        <v>2308</v>
      </c>
      <c r="H308" s="20" t="s">
        <v>531</v>
      </c>
      <c r="I308" s="4"/>
      <c r="J308" s="22" t="s">
        <v>2308</v>
      </c>
      <c r="K308" s="22" t="s">
        <v>2308</v>
      </c>
      <c r="L308" s="22" t="s">
        <v>2308</v>
      </c>
      <c r="M308" s="22" t="s">
        <v>2308</v>
      </c>
      <c r="N308" s="22" t="s">
        <v>2308</v>
      </c>
      <c r="O308" s="22" t="s">
        <v>2308</v>
      </c>
      <c r="P308" s="22" t="s">
        <v>2308</v>
      </c>
      <c r="Q308" s="22" t="s">
        <v>2308</v>
      </c>
      <c r="R308" s="22" t="s">
        <v>2308</v>
      </c>
      <c r="S308" s="22" t="s">
        <v>2308</v>
      </c>
      <c r="T308" s="22" t="s">
        <v>2308</v>
      </c>
      <c r="U308" s="22" t="s">
        <v>2308</v>
      </c>
      <c r="V308" s="22" t="s">
        <v>2308</v>
      </c>
      <c r="W308" s="22" t="s">
        <v>2308</v>
      </c>
      <c r="X308" s="22" t="s">
        <v>2308</v>
      </c>
      <c r="Y308" s="22" t="s">
        <v>2308</v>
      </c>
      <c r="Z308" s="4" t="s">
        <v>2308</v>
      </c>
      <c r="AA308" s="4" t="s">
        <v>2308</v>
      </c>
      <c r="AB308" s="4" t="s">
        <v>2308</v>
      </c>
      <c r="AC308" s="5"/>
      <c r="AD308" s="5"/>
    </row>
    <row r="309" spans="1:30" ht="112" customHeight="1">
      <c r="A309" s="12" t="s">
        <v>1761</v>
      </c>
      <c r="B309" s="12" t="s">
        <v>1815</v>
      </c>
      <c r="C309" s="24" t="s">
        <v>24</v>
      </c>
      <c r="D309" s="24" t="s">
        <v>149</v>
      </c>
      <c r="E309" s="27" t="s">
        <v>136</v>
      </c>
      <c r="F309" s="20" t="s">
        <v>74</v>
      </c>
      <c r="G309" s="12" t="s">
        <v>2308</v>
      </c>
      <c r="H309" s="20" t="s">
        <v>531</v>
      </c>
      <c r="I309" s="4"/>
      <c r="J309" s="22" t="s">
        <v>2308</v>
      </c>
      <c r="K309" s="22" t="s">
        <v>2308</v>
      </c>
      <c r="L309" s="22" t="s">
        <v>2308</v>
      </c>
      <c r="M309" s="22" t="s">
        <v>2308</v>
      </c>
      <c r="N309" s="22" t="s">
        <v>2308</v>
      </c>
      <c r="O309" s="22" t="s">
        <v>2308</v>
      </c>
      <c r="P309" s="22" t="s">
        <v>2308</v>
      </c>
      <c r="Q309" s="22" t="s">
        <v>2308</v>
      </c>
      <c r="R309" s="22" t="s">
        <v>2308</v>
      </c>
      <c r="S309" s="22" t="s">
        <v>2308</v>
      </c>
      <c r="T309" s="22" t="s">
        <v>2308</v>
      </c>
      <c r="U309" s="22" t="s">
        <v>2308</v>
      </c>
      <c r="V309" s="22" t="s">
        <v>2308</v>
      </c>
      <c r="W309" s="22" t="s">
        <v>2308</v>
      </c>
      <c r="X309" s="22" t="s">
        <v>2308</v>
      </c>
      <c r="Y309" s="22" t="s">
        <v>2308</v>
      </c>
      <c r="Z309" s="4" t="s">
        <v>2308</v>
      </c>
      <c r="AA309" s="4" t="s">
        <v>2308</v>
      </c>
      <c r="AB309" s="4" t="s">
        <v>2308</v>
      </c>
      <c r="AC309" s="5"/>
      <c r="AD309" s="5"/>
    </row>
    <row r="310" spans="1:30" ht="112" customHeight="1">
      <c r="A310" s="12" t="s">
        <v>1761</v>
      </c>
      <c r="B310" s="12" t="s">
        <v>1816</v>
      </c>
      <c r="C310" s="24" t="s">
        <v>24</v>
      </c>
      <c r="D310" s="24" t="s">
        <v>27</v>
      </c>
      <c r="E310" s="27" t="s">
        <v>136</v>
      </c>
      <c r="F310" s="20" t="s">
        <v>167</v>
      </c>
      <c r="G310" s="12" t="s">
        <v>2308</v>
      </c>
      <c r="H310" s="20" t="s">
        <v>531</v>
      </c>
      <c r="I310" s="4"/>
      <c r="J310" s="22" t="s">
        <v>2308</v>
      </c>
      <c r="K310" s="22" t="s">
        <v>2308</v>
      </c>
      <c r="L310" s="22" t="s">
        <v>2308</v>
      </c>
      <c r="M310" s="22" t="s">
        <v>2308</v>
      </c>
      <c r="N310" s="22" t="s">
        <v>2308</v>
      </c>
      <c r="O310" s="22" t="s">
        <v>2308</v>
      </c>
      <c r="P310" s="22" t="s">
        <v>2308</v>
      </c>
      <c r="Q310" s="22" t="s">
        <v>2308</v>
      </c>
      <c r="R310" s="22" t="s">
        <v>2308</v>
      </c>
      <c r="S310" s="22" t="s">
        <v>2308</v>
      </c>
      <c r="T310" s="22" t="s">
        <v>2308</v>
      </c>
      <c r="U310" s="22" t="s">
        <v>2308</v>
      </c>
      <c r="V310" s="22" t="s">
        <v>2308</v>
      </c>
      <c r="W310" s="22" t="s">
        <v>2308</v>
      </c>
      <c r="X310" s="22" t="s">
        <v>2308</v>
      </c>
      <c r="Y310" s="22" t="s">
        <v>2308</v>
      </c>
      <c r="Z310" s="4" t="s">
        <v>2308</v>
      </c>
      <c r="AA310" s="4" t="s">
        <v>2308</v>
      </c>
      <c r="AB310" s="4" t="s">
        <v>2308</v>
      </c>
      <c r="AC310" s="5"/>
      <c r="AD310" s="5"/>
    </row>
    <row r="311" spans="1:30" ht="112" customHeight="1">
      <c r="A311" s="12" t="s">
        <v>1762</v>
      </c>
      <c r="B311" s="12" t="s">
        <v>1817</v>
      </c>
      <c r="C311" s="24" t="s">
        <v>24</v>
      </c>
      <c r="D311" s="24" t="s">
        <v>149</v>
      </c>
      <c r="E311" s="27" t="s">
        <v>404</v>
      </c>
      <c r="F311" s="20" t="s">
        <v>74</v>
      </c>
      <c r="G311" s="12" t="s">
        <v>2308</v>
      </c>
      <c r="H311" s="20" t="s">
        <v>531</v>
      </c>
      <c r="I311" s="4"/>
      <c r="J311" s="22" t="s">
        <v>2308</v>
      </c>
      <c r="K311" s="22" t="s">
        <v>2308</v>
      </c>
      <c r="L311" s="22" t="s">
        <v>2308</v>
      </c>
      <c r="M311" s="22" t="s">
        <v>2308</v>
      </c>
      <c r="N311" s="22" t="s">
        <v>2308</v>
      </c>
      <c r="O311" s="22" t="s">
        <v>2308</v>
      </c>
      <c r="P311" s="22" t="s">
        <v>2308</v>
      </c>
      <c r="Q311" s="22" t="s">
        <v>2308</v>
      </c>
      <c r="R311" s="22" t="s">
        <v>2308</v>
      </c>
      <c r="S311" s="22" t="s">
        <v>2308</v>
      </c>
      <c r="T311" s="22" t="s">
        <v>2308</v>
      </c>
      <c r="U311" s="22" t="s">
        <v>2308</v>
      </c>
      <c r="V311" s="22" t="s">
        <v>2308</v>
      </c>
      <c r="W311" s="22" t="s">
        <v>2308</v>
      </c>
      <c r="X311" s="22" t="s">
        <v>2308</v>
      </c>
      <c r="Y311" s="22" t="s">
        <v>2308</v>
      </c>
      <c r="Z311" s="4" t="s">
        <v>2308</v>
      </c>
      <c r="AA311" s="4" t="s">
        <v>2308</v>
      </c>
      <c r="AB311" s="4" t="s">
        <v>2308</v>
      </c>
      <c r="AC311" s="5"/>
      <c r="AD311" s="5"/>
    </row>
    <row r="312" spans="1:30" ht="112" customHeight="1">
      <c r="A312" s="12" t="s">
        <v>1762</v>
      </c>
      <c r="B312" s="12" t="s">
        <v>1818</v>
      </c>
      <c r="C312" s="24" t="s">
        <v>24</v>
      </c>
      <c r="D312" s="24" t="s">
        <v>149</v>
      </c>
      <c r="E312" s="27" t="s">
        <v>136</v>
      </c>
      <c r="F312" s="20" t="s">
        <v>74</v>
      </c>
      <c r="G312" s="12" t="s">
        <v>2308</v>
      </c>
      <c r="H312" s="20" t="s">
        <v>531</v>
      </c>
      <c r="I312" s="4"/>
      <c r="J312" s="22" t="s">
        <v>2308</v>
      </c>
      <c r="K312" s="22" t="s">
        <v>2308</v>
      </c>
      <c r="L312" s="22" t="s">
        <v>2308</v>
      </c>
      <c r="M312" s="22" t="s">
        <v>2308</v>
      </c>
      <c r="N312" s="22" t="s">
        <v>2308</v>
      </c>
      <c r="O312" s="22" t="s">
        <v>2308</v>
      </c>
      <c r="P312" s="22" t="s">
        <v>2308</v>
      </c>
      <c r="Q312" s="22" t="s">
        <v>2308</v>
      </c>
      <c r="R312" s="22" t="s">
        <v>2308</v>
      </c>
      <c r="S312" s="22" t="s">
        <v>2308</v>
      </c>
      <c r="T312" s="22" t="s">
        <v>2308</v>
      </c>
      <c r="U312" s="22" t="s">
        <v>2308</v>
      </c>
      <c r="V312" s="22" t="s">
        <v>2308</v>
      </c>
      <c r="W312" s="22" t="s">
        <v>2308</v>
      </c>
      <c r="X312" s="22" t="s">
        <v>2308</v>
      </c>
      <c r="Y312" s="22" t="s">
        <v>2308</v>
      </c>
      <c r="Z312" s="4" t="s">
        <v>2308</v>
      </c>
      <c r="AA312" s="4" t="s">
        <v>2308</v>
      </c>
      <c r="AB312" s="4" t="s">
        <v>2308</v>
      </c>
      <c r="AC312" s="5"/>
      <c r="AD312" s="5"/>
    </row>
    <row r="313" spans="1:30" ht="112" customHeight="1">
      <c r="A313" s="12" t="s">
        <v>1762</v>
      </c>
      <c r="B313" s="12" t="s">
        <v>1819</v>
      </c>
      <c r="C313" s="24" t="s">
        <v>24</v>
      </c>
      <c r="D313" s="24" t="s">
        <v>27</v>
      </c>
      <c r="E313" s="27" t="s">
        <v>136</v>
      </c>
      <c r="F313" s="20" t="s">
        <v>167</v>
      </c>
      <c r="G313" s="12" t="s">
        <v>2308</v>
      </c>
      <c r="H313" s="20" t="s">
        <v>531</v>
      </c>
      <c r="I313" s="4"/>
      <c r="J313" s="22" t="s">
        <v>2308</v>
      </c>
      <c r="K313" s="22" t="s">
        <v>2308</v>
      </c>
      <c r="L313" s="22" t="s">
        <v>2308</v>
      </c>
      <c r="M313" s="22" t="s">
        <v>2308</v>
      </c>
      <c r="N313" s="22" t="s">
        <v>2308</v>
      </c>
      <c r="O313" s="22" t="s">
        <v>2308</v>
      </c>
      <c r="P313" s="22" t="s">
        <v>2308</v>
      </c>
      <c r="Q313" s="22" t="s">
        <v>2308</v>
      </c>
      <c r="R313" s="22" t="s">
        <v>2308</v>
      </c>
      <c r="S313" s="22" t="s">
        <v>2308</v>
      </c>
      <c r="T313" s="22" t="s">
        <v>2308</v>
      </c>
      <c r="U313" s="22" t="s">
        <v>2308</v>
      </c>
      <c r="V313" s="22" t="s">
        <v>2308</v>
      </c>
      <c r="W313" s="22" t="s">
        <v>2308</v>
      </c>
      <c r="X313" s="22" t="s">
        <v>2308</v>
      </c>
      <c r="Y313" s="22" t="s">
        <v>2308</v>
      </c>
      <c r="Z313" s="4" t="s">
        <v>2308</v>
      </c>
      <c r="AA313" s="4" t="s">
        <v>2308</v>
      </c>
      <c r="AB313" s="4" t="s">
        <v>2308</v>
      </c>
      <c r="AC313" s="5"/>
      <c r="AD313" s="5"/>
    </row>
    <row r="314" spans="1:30" ht="112" customHeight="1">
      <c r="A314" s="12" t="s">
        <v>1763</v>
      </c>
      <c r="B314" s="12" t="s">
        <v>1820</v>
      </c>
      <c r="C314" s="24" t="s">
        <v>24</v>
      </c>
      <c r="D314" s="24" t="s">
        <v>149</v>
      </c>
      <c r="E314" s="27" t="s">
        <v>404</v>
      </c>
      <c r="F314" s="20" t="s">
        <v>74</v>
      </c>
      <c r="G314" s="12" t="s">
        <v>2308</v>
      </c>
      <c r="H314" s="20" t="s">
        <v>531</v>
      </c>
      <c r="I314" s="4"/>
      <c r="J314" s="22" t="s">
        <v>2308</v>
      </c>
      <c r="K314" s="22" t="s">
        <v>2308</v>
      </c>
      <c r="L314" s="22" t="s">
        <v>2308</v>
      </c>
      <c r="M314" s="22" t="s">
        <v>2308</v>
      </c>
      <c r="N314" s="22" t="s">
        <v>2308</v>
      </c>
      <c r="O314" s="22" t="s">
        <v>2308</v>
      </c>
      <c r="P314" s="22" t="s">
        <v>2308</v>
      </c>
      <c r="Q314" s="22" t="s">
        <v>2308</v>
      </c>
      <c r="R314" s="22" t="s">
        <v>2308</v>
      </c>
      <c r="S314" s="22" t="s">
        <v>2308</v>
      </c>
      <c r="T314" s="22" t="s">
        <v>2308</v>
      </c>
      <c r="U314" s="22" t="s">
        <v>2308</v>
      </c>
      <c r="V314" s="22" t="s">
        <v>2308</v>
      </c>
      <c r="W314" s="22" t="s">
        <v>2308</v>
      </c>
      <c r="X314" s="22" t="s">
        <v>2308</v>
      </c>
      <c r="Y314" s="22" t="s">
        <v>2308</v>
      </c>
      <c r="Z314" s="4" t="s">
        <v>2308</v>
      </c>
      <c r="AA314" s="4" t="s">
        <v>2308</v>
      </c>
      <c r="AB314" s="4" t="s">
        <v>2308</v>
      </c>
      <c r="AC314" s="5"/>
      <c r="AD314" s="5"/>
    </row>
    <row r="315" spans="1:30" ht="112" customHeight="1">
      <c r="A315" s="12" t="s">
        <v>1764</v>
      </c>
      <c r="B315" s="12" t="s">
        <v>1821</v>
      </c>
      <c r="C315" s="24" t="s">
        <v>24</v>
      </c>
      <c r="D315" s="24" t="s">
        <v>149</v>
      </c>
      <c r="E315" s="27" t="s">
        <v>136</v>
      </c>
      <c r="F315" s="20" t="s">
        <v>74</v>
      </c>
      <c r="G315" s="12" t="s">
        <v>2308</v>
      </c>
      <c r="H315" s="20" t="s">
        <v>531</v>
      </c>
      <c r="I315" s="4"/>
      <c r="J315" s="22" t="s">
        <v>2308</v>
      </c>
      <c r="K315" s="22" t="s">
        <v>2308</v>
      </c>
      <c r="L315" s="22" t="s">
        <v>2308</v>
      </c>
      <c r="M315" s="22" t="s">
        <v>2308</v>
      </c>
      <c r="N315" s="22" t="s">
        <v>2308</v>
      </c>
      <c r="O315" s="22" t="s">
        <v>2308</v>
      </c>
      <c r="P315" s="22" t="s">
        <v>2308</v>
      </c>
      <c r="Q315" s="22" t="s">
        <v>2308</v>
      </c>
      <c r="R315" s="22" t="s">
        <v>2308</v>
      </c>
      <c r="S315" s="22" t="s">
        <v>2308</v>
      </c>
      <c r="T315" s="22" t="s">
        <v>2308</v>
      </c>
      <c r="U315" s="22" t="s">
        <v>2308</v>
      </c>
      <c r="V315" s="22" t="s">
        <v>2308</v>
      </c>
      <c r="W315" s="22" t="s">
        <v>2308</v>
      </c>
      <c r="X315" s="22" t="s">
        <v>2308</v>
      </c>
      <c r="Y315" s="22" t="s">
        <v>2308</v>
      </c>
      <c r="Z315" s="4" t="s">
        <v>2308</v>
      </c>
      <c r="AA315" s="4" t="s">
        <v>2308</v>
      </c>
      <c r="AB315" s="4" t="s">
        <v>2308</v>
      </c>
      <c r="AC315" s="5"/>
      <c r="AD315" s="5"/>
    </row>
    <row r="316" spans="1:30" ht="112" customHeight="1">
      <c r="A316" s="12" t="s">
        <v>1764</v>
      </c>
      <c r="B316" s="12" t="s">
        <v>1822</v>
      </c>
      <c r="C316" s="24" t="s">
        <v>24</v>
      </c>
      <c r="D316" s="24" t="s">
        <v>27</v>
      </c>
      <c r="E316" s="27" t="s">
        <v>136</v>
      </c>
      <c r="F316" s="20" t="s">
        <v>167</v>
      </c>
      <c r="G316" s="12" t="s">
        <v>2308</v>
      </c>
      <c r="H316" s="20" t="s">
        <v>531</v>
      </c>
      <c r="I316" s="4"/>
      <c r="J316" s="22" t="s">
        <v>2308</v>
      </c>
      <c r="K316" s="22" t="s">
        <v>2308</v>
      </c>
      <c r="L316" s="22" t="s">
        <v>2308</v>
      </c>
      <c r="M316" s="22" t="s">
        <v>2308</v>
      </c>
      <c r="N316" s="22" t="s">
        <v>2308</v>
      </c>
      <c r="O316" s="22" t="s">
        <v>2308</v>
      </c>
      <c r="P316" s="22" t="s">
        <v>2308</v>
      </c>
      <c r="Q316" s="22" t="s">
        <v>2308</v>
      </c>
      <c r="R316" s="22" t="s">
        <v>2308</v>
      </c>
      <c r="S316" s="22" t="s">
        <v>2308</v>
      </c>
      <c r="T316" s="22" t="s">
        <v>2308</v>
      </c>
      <c r="U316" s="22" t="s">
        <v>2308</v>
      </c>
      <c r="V316" s="22" t="s">
        <v>2308</v>
      </c>
      <c r="W316" s="22" t="s">
        <v>2308</v>
      </c>
      <c r="X316" s="22" t="s">
        <v>2308</v>
      </c>
      <c r="Y316" s="22" t="s">
        <v>2308</v>
      </c>
      <c r="Z316" s="4" t="s">
        <v>2308</v>
      </c>
      <c r="AA316" s="4" t="s">
        <v>2308</v>
      </c>
      <c r="AB316" s="4" t="s">
        <v>2308</v>
      </c>
      <c r="AC316" s="5"/>
      <c r="AD316" s="5"/>
    </row>
    <row r="317" spans="1:30" ht="112" customHeight="1">
      <c r="A317" s="12" t="s">
        <v>1765</v>
      </c>
      <c r="B317" s="12" t="s">
        <v>1823</v>
      </c>
      <c r="C317" s="24" t="s">
        <v>24</v>
      </c>
      <c r="D317" s="24" t="s">
        <v>149</v>
      </c>
      <c r="E317" s="27" t="s">
        <v>136</v>
      </c>
      <c r="F317" s="20" t="s">
        <v>74</v>
      </c>
      <c r="G317" s="12" t="s">
        <v>2308</v>
      </c>
      <c r="H317" s="20" t="s">
        <v>531</v>
      </c>
      <c r="I317" s="4"/>
      <c r="J317" s="22" t="s">
        <v>2308</v>
      </c>
      <c r="K317" s="22" t="s">
        <v>2308</v>
      </c>
      <c r="L317" s="22" t="s">
        <v>2308</v>
      </c>
      <c r="M317" s="22" t="s">
        <v>2308</v>
      </c>
      <c r="N317" s="22" t="s">
        <v>2308</v>
      </c>
      <c r="O317" s="22" t="s">
        <v>2308</v>
      </c>
      <c r="P317" s="22" t="s">
        <v>2308</v>
      </c>
      <c r="Q317" s="22" t="s">
        <v>2308</v>
      </c>
      <c r="R317" s="22" t="s">
        <v>2308</v>
      </c>
      <c r="S317" s="22" t="s">
        <v>2308</v>
      </c>
      <c r="T317" s="22" t="s">
        <v>2308</v>
      </c>
      <c r="U317" s="22" t="s">
        <v>2308</v>
      </c>
      <c r="V317" s="22" t="s">
        <v>2308</v>
      </c>
      <c r="W317" s="22" t="s">
        <v>2308</v>
      </c>
      <c r="X317" s="22" t="s">
        <v>2308</v>
      </c>
      <c r="Y317" s="22" t="s">
        <v>2308</v>
      </c>
      <c r="Z317" s="4" t="s">
        <v>2308</v>
      </c>
      <c r="AA317" s="4" t="s">
        <v>2308</v>
      </c>
      <c r="AB317" s="4" t="s">
        <v>2308</v>
      </c>
      <c r="AC317" s="5"/>
      <c r="AD317" s="5"/>
    </row>
    <row r="318" spans="1:30" ht="112" customHeight="1">
      <c r="A318" s="12" t="s">
        <v>1765</v>
      </c>
      <c r="B318" s="12" t="s">
        <v>1824</v>
      </c>
      <c r="C318" s="24" t="s">
        <v>24</v>
      </c>
      <c r="D318" s="24" t="s">
        <v>27</v>
      </c>
      <c r="E318" s="27" t="s">
        <v>136</v>
      </c>
      <c r="F318" s="20" t="s">
        <v>167</v>
      </c>
      <c r="G318" s="12" t="s">
        <v>2308</v>
      </c>
      <c r="H318" s="20" t="s">
        <v>531</v>
      </c>
      <c r="I318" s="4"/>
      <c r="J318" s="22" t="s">
        <v>2308</v>
      </c>
      <c r="K318" s="22" t="s">
        <v>2308</v>
      </c>
      <c r="L318" s="22" t="s">
        <v>2308</v>
      </c>
      <c r="M318" s="22" t="s">
        <v>2308</v>
      </c>
      <c r="N318" s="22" t="s">
        <v>2308</v>
      </c>
      <c r="O318" s="22" t="s">
        <v>2308</v>
      </c>
      <c r="P318" s="22" t="s">
        <v>2308</v>
      </c>
      <c r="Q318" s="22" t="s">
        <v>2308</v>
      </c>
      <c r="R318" s="22" t="s">
        <v>2308</v>
      </c>
      <c r="S318" s="22" t="s">
        <v>2308</v>
      </c>
      <c r="T318" s="22" t="s">
        <v>2308</v>
      </c>
      <c r="U318" s="22" t="s">
        <v>2308</v>
      </c>
      <c r="V318" s="22" t="s">
        <v>2308</v>
      </c>
      <c r="W318" s="22" t="s">
        <v>2308</v>
      </c>
      <c r="X318" s="22" t="s">
        <v>2308</v>
      </c>
      <c r="Y318" s="22" t="s">
        <v>2308</v>
      </c>
      <c r="Z318" s="4" t="s">
        <v>2308</v>
      </c>
      <c r="AA318" s="4" t="s">
        <v>2308</v>
      </c>
      <c r="AB318" s="4" t="s">
        <v>2308</v>
      </c>
      <c r="AC318" s="5"/>
      <c r="AD318" s="5"/>
    </row>
    <row r="319" spans="1:30" ht="112" customHeight="1">
      <c r="A319" s="12" t="s">
        <v>1766</v>
      </c>
      <c r="B319" s="12" t="s">
        <v>1825</v>
      </c>
      <c r="C319" s="24" t="s">
        <v>24</v>
      </c>
      <c r="D319" s="24" t="s">
        <v>149</v>
      </c>
      <c r="E319" s="27" t="s">
        <v>136</v>
      </c>
      <c r="F319" s="20" t="s">
        <v>74</v>
      </c>
      <c r="G319" s="12" t="s">
        <v>2308</v>
      </c>
      <c r="H319" s="20" t="s">
        <v>531</v>
      </c>
      <c r="I319" s="4"/>
      <c r="J319" s="22" t="s">
        <v>2308</v>
      </c>
      <c r="K319" s="22" t="s">
        <v>2308</v>
      </c>
      <c r="L319" s="22" t="s">
        <v>2308</v>
      </c>
      <c r="M319" s="22" t="s">
        <v>2308</v>
      </c>
      <c r="N319" s="22" t="s">
        <v>2308</v>
      </c>
      <c r="O319" s="22" t="s">
        <v>2308</v>
      </c>
      <c r="P319" s="22" t="s">
        <v>2308</v>
      </c>
      <c r="Q319" s="22" t="s">
        <v>2308</v>
      </c>
      <c r="R319" s="22" t="s">
        <v>2308</v>
      </c>
      <c r="S319" s="22" t="s">
        <v>2308</v>
      </c>
      <c r="T319" s="22" t="s">
        <v>2308</v>
      </c>
      <c r="U319" s="22" t="s">
        <v>2308</v>
      </c>
      <c r="V319" s="22" t="s">
        <v>2308</v>
      </c>
      <c r="W319" s="22" t="s">
        <v>2308</v>
      </c>
      <c r="X319" s="22" t="s">
        <v>2308</v>
      </c>
      <c r="Y319" s="22" t="s">
        <v>2308</v>
      </c>
      <c r="Z319" s="4" t="s">
        <v>2308</v>
      </c>
      <c r="AA319" s="4" t="s">
        <v>2308</v>
      </c>
      <c r="AB319" s="4" t="s">
        <v>2308</v>
      </c>
      <c r="AC319" s="5"/>
      <c r="AD319" s="5"/>
    </row>
    <row r="320" spans="1:30" ht="112" customHeight="1">
      <c r="A320" s="12" t="s">
        <v>1766</v>
      </c>
      <c r="B320" s="12" t="s">
        <v>1826</v>
      </c>
      <c r="C320" s="24" t="s">
        <v>24</v>
      </c>
      <c r="D320" s="24" t="s">
        <v>27</v>
      </c>
      <c r="E320" s="27" t="s">
        <v>136</v>
      </c>
      <c r="F320" s="20" t="s">
        <v>167</v>
      </c>
      <c r="G320" s="12" t="s">
        <v>2308</v>
      </c>
      <c r="H320" s="20" t="s">
        <v>531</v>
      </c>
      <c r="I320" s="4"/>
      <c r="J320" s="22" t="s">
        <v>2308</v>
      </c>
      <c r="K320" s="22" t="s">
        <v>2308</v>
      </c>
      <c r="L320" s="22" t="s">
        <v>2308</v>
      </c>
      <c r="M320" s="22" t="s">
        <v>2308</v>
      </c>
      <c r="N320" s="22" t="s">
        <v>2308</v>
      </c>
      <c r="O320" s="22" t="s">
        <v>2308</v>
      </c>
      <c r="P320" s="22" t="s">
        <v>2308</v>
      </c>
      <c r="Q320" s="22" t="s">
        <v>2308</v>
      </c>
      <c r="R320" s="22" t="s">
        <v>2308</v>
      </c>
      <c r="S320" s="22" t="s">
        <v>2308</v>
      </c>
      <c r="T320" s="22" t="s">
        <v>2308</v>
      </c>
      <c r="U320" s="22" t="s">
        <v>2308</v>
      </c>
      <c r="V320" s="22" t="s">
        <v>2308</v>
      </c>
      <c r="W320" s="22" t="s">
        <v>2308</v>
      </c>
      <c r="X320" s="22" t="s">
        <v>2308</v>
      </c>
      <c r="Y320" s="22" t="s">
        <v>2308</v>
      </c>
      <c r="Z320" s="4" t="s">
        <v>2308</v>
      </c>
      <c r="AA320" s="4" t="s">
        <v>2308</v>
      </c>
      <c r="AB320" s="4" t="s">
        <v>2308</v>
      </c>
      <c r="AC320" s="5"/>
      <c r="AD320" s="5"/>
    </row>
    <row r="321" spans="1:30" ht="112" customHeight="1">
      <c r="A321" s="12" t="s">
        <v>1766</v>
      </c>
      <c r="B321" s="12" t="s">
        <v>1827</v>
      </c>
      <c r="C321" s="24" t="s">
        <v>24</v>
      </c>
      <c r="D321" s="24" t="s">
        <v>149</v>
      </c>
      <c r="E321" s="27" t="s">
        <v>404</v>
      </c>
      <c r="F321" s="20" t="s">
        <v>74</v>
      </c>
      <c r="G321" s="12" t="s">
        <v>2308</v>
      </c>
      <c r="H321" s="20" t="s">
        <v>531</v>
      </c>
      <c r="I321" s="4"/>
      <c r="J321" s="22" t="s">
        <v>2308</v>
      </c>
      <c r="K321" s="22" t="s">
        <v>2308</v>
      </c>
      <c r="L321" s="22" t="s">
        <v>2308</v>
      </c>
      <c r="M321" s="22" t="s">
        <v>2308</v>
      </c>
      <c r="N321" s="22" t="s">
        <v>2308</v>
      </c>
      <c r="O321" s="22" t="s">
        <v>2308</v>
      </c>
      <c r="P321" s="22" t="s">
        <v>2308</v>
      </c>
      <c r="Q321" s="22" t="s">
        <v>2308</v>
      </c>
      <c r="R321" s="22" t="s">
        <v>2308</v>
      </c>
      <c r="S321" s="22" t="s">
        <v>2308</v>
      </c>
      <c r="T321" s="22" t="s">
        <v>2308</v>
      </c>
      <c r="U321" s="22" t="s">
        <v>2308</v>
      </c>
      <c r="V321" s="22" t="s">
        <v>2308</v>
      </c>
      <c r="W321" s="22" t="s">
        <v>2308</v>
      </c>
      <c r="X321" s="22" t="s">
        <v>2308</v>
      </c>
      <c r="Y321" s="22" t="s">
        <v>2308</v>
      </c>
      <c r="Z321" s="4" t="s">
        <v>2308</v>
      </c>
      <c r="AA321" s="4" t="s">
        <v>2308</v>
      </c>
      <c r="AB321" s="4" t="s">
        <v>2308</v>
      </c>
      <c r="AC321" s="5"/>
      <c r="AD321" s="5"/>
    </row>
    <row r="322" spans="1:30" ht="112" customHeight="1">
      <c r="A322" s="12" t="s">
        <v>1767</v>
      </c>
      <c r="B322" s="12" t="s">
        <v>1828</v>
      </c>
      <c r="C322" s="24" t="s">
        <v>24</v>
      </c>
      <c r="D322" s="24" t="s">
        <v>149</v>
      </c>
      <c r="E322" s="27" t="s">
        <v>136</v>
      </c>
      <c r="F322" s="20" t="s">
        <v>74</v>
      </c>
      <c r="G322" s="12" t="s">
        <v>2308</v>
      </c>
      <c r="H322" s="20" t="s">
        <v>531</v>
      </c>
      <c r="I322" s="4"/>
      <c r="J322" s="22" t="s">
        <v>2308</v>
      </c>
      <c r="K322" s="22" t="s">
        <v>2308</v>
      </c>
      <c r="L322" s="22" t="s">
        <v>2308</v>
      </c>
      <c r="M322" s="22" t="s">
        <v>2308</v>
      </c>
      <c r="N322" s="22" t="s">
        <v>2308</v>
      </c>
      <c r="O322" s="22" t="s">
        <v>2308</v>
      </c>
      <c r="P322" s="22" t="s">
        <v>2308</v>
      </c>
      <c r="Q322" s="22" t="s">
        <v>2308</v>
      </c>
      <c r="R322" s="22" t="s">
        <v>2308</v>
      </c>
      <c r="S322" s="22" t="s">
        <v>2308</v>
      </c>
      <c r="T322" s="22" t="s">
        <v>2308</v>
      </c>
      <c r="U322" s="22" t="s">
        <v>2308</v>
      </c>
      <c r="V322" s="22" t="s">
        <v>2308</v>
      </c>
      <c r="W322" s="22" t="s">
        <v>2308</v>
      </c>
      <c r="X322" s="22" t="s">
        <v>2308</v>
      </c>
      <c r="Y322" s="22" t="s">
        <v>2308</v>
      </c>
      <c r="Z322" s="4" t="s">
        <v>2308</v>
      </c>
      <c r="AA322" s="4" t="s">
        <v>2308</v>
      </c>
      <c r="AB322" s="4" t="s">
        <v>2308</v>
      </c>
      <c r="AC322" s="5"/>
      <c r="AD322" s="5"/>
    </row>
    <row r="323" spans="1:30" ht="112" customHeight="1">
      <c r="A323" s="12" t="s">
        <v>1767</v>
      </c>
      <c r="B323" s="12" t="s">
        <v>1829</v>
      </c>
      <c r="C323" s="24" t="s">
        <v>24</v>
      </c>
      <c r="D323" s="24" t="s">
        <v>27</v>
      </c>
      <c r="E323" s="27" t="s">
        <v>136</v>
      </c>
      <c r="F323" s="20" t="s">
        <v>167</v>
      </c>
      <c r="G323" s="12" t="s">
        <v>2308</v>
      </c>
      <c r="H323" s="20" t="s">
        <v>531</v>
      </c>
      <c r="I323" s="4"/>
      <c r="J323" s="22" t="s">
        <v>2308</v>
      </c>
      <c r="K323" s="22" t="s">
        <v>2308</v>
      </c>
      <c r="L323" s="22" t="s">
        <v>2308</v>
      </c>
      <c r="M323" s="22" t="s">
        <v>2308</v>
      </c>
      <c r="N323" s="22" t="s">
        <v>2308</v>
      </c>
      <c r="O323" s="22" t="s">
        <v>2308</v>
      </c>
      <c r="P323" s="22" t="s">
        <v>2308</v>
      </c>
      <c r="Q323" s="22" t="s">
        <v>2308</v>
      </c>
      <c r="R323" s="22" t="s">
        <v>2308</v>
      </c>
      <c r="S323" s="22" t="s">
        <v>2308</v>
      </c>
      <c r="T323" s="22" t="s">
        <v>2308</v>
      </c>
      <c r="U323" s="22" t="s">
        <v>2308</v>
      </c>
      <c r="V323" s="22" t="s">
        <v>2308</v>
      </c>
      <c r="W323" s="22" t="s">
        <v>2308</v>
      </c>
      <c r="X323" s="22" t="s">
        <v>2308</v>
      </c>
      <c r="Y323" s="22" t="s">
        <v>2308</v>
      </c>
      <c r="Z323" s="4" t="s">
        <v>2308</v>
      </c>
      <c r="AA323" s="4" t="s">
        <v>2308</v>
      </c>
      <c r="AB323" s="4" t="s">
        <v>2308</v>
      </c>
      <c r="AC323" s="5"/>
      <c r="AD323" s="5"/>
    </row>
    <row r="324" spans="1:30" ht="112" customHeight="1">
      <c r="A324" s="12" t="s">
        <v>1767</v>
      </c>
      <c r="B324" s="12" t="s">
        <v>1830</v>
      </c>
      <c r="C324" s="24" t="s">
        <v>24</v>
      </c>
      <c r="D324" s="24" t="s">
        <v>149</v>
      </c>
      <c r="E324" s="27" t="s">
        <v>404</v>
      </c>
      <c r="F324" s="20" t="s">
        <v>74</v>
      </c>
      <c r="G324" s="12" t="s">
        <v>2308</v>
      </c>
      <c r="H324" s="20" t="s">
        <v>531</v>
      </c>
      <c r="I324" s="4"/>
      <c r="J324" s="22" t="s">
        <v>2308</v>
      </c>
      <c r="K324" s="22" t="s">
        <v>2308</v>
      </c>
      <c r="L324" s="22" t="s">
        <v>2308</v>
      </c>
      <c r="M324" s="22" t="s">
        <v>2308</v>
      </c>
      <c r="N324" s="22" t="s">
        <v>2308</v>
      </c>
      <c r="O324" s="22" t="s">
        <v>2308</v>
      </c>
      <c r="P324" s="22" t="s">
        <v>2308</v>
      </c>
      <c r="Q324" s="22" t="s">
        <v>2308</v>
      </c>
      <c r="R324" s="22" t="s">
        <v>2308</v>
      </c>
      <c r="S324" s="22" t="s">
        <v>2308</v>
      </c>
      <c r="T324" s="22" t="s">
        <v>2308</v>
      </c>
      <c r="U324" s="22" t="s">
        <v>2308</v>
      </c>
      <c r="V324" s="22" t="s">
        <v>2308</v>
      </c>
      <c r="W324" s="22" t="s">
        <v>2308</v>
      </c>
      <c r="X324" s="22" t="s">
        <v>2308</v>
      </c>
      <c r="Y324" s="22" t="s">
        <v>2308</v>
      </c>
      <c r="Z324" s="4" t="s">
        <v>2308</v>
      </c>
      <c r="AA324" s="4" t="s">
        <v>2308</v>
      </c>
      <c r="AB324" s="4" t="s">
        <v>2308</v>
      </c>
      <c r="AC324" s="5"/>
      <c r="AD324" s="5"/>
    </row>
    <row r="325" spans="1:30" ht="112" customHeight="1">
      <c r="A325" s="12" t="s">
        <v>1768</v>
      </c>
      <c r="B325" s="12" t="s">
        <v>1831</v>
      </c>
      <c r="C325" s="24" t="s">
        <v>24</v>
      </c>
      <c r="D325" s="24" t="s">
        <v>149</v>
      </c>
      <c r="E325" s="27" t="s">
        <v>404</v>
      </c>
      <c r="F325" s="20" t="s">
        <v>74</v>
      </c>
      <c r="G325" s="12" t="s">
        <v>2308</v>
      </c>
      <c r="H325" s="20" t="s">
        <v>531</v>
      </c>
      <c r="I325" s="4"/>
      <c r="J325" s="22" t="s">
        <v>2308</v>
      </c>
      <c r="K325" s="22" t="s">
        <v>2308</v>
      </c>
      <c r="L325" s="22" t="s">
        <v>2308</v>
      </c>
      <c r="M325" s="22" t="s">
        <v>2308</v>
      </c>
      <c r="N325" s="22" t="s">
        <v>2308</v>
      </c>
      <c r="O325" s="22" t="s">
        <v>2308</v>
      </c>
      <c r="P325" s="22" t="s">
        <v>2308</v>
      </c>
      <c r="Q325" s="22" t="s">
        <v>2308</v>
      </c>
      <c r="R325" s="22" t="s">
        <v>2308</v>
      </c>
      <c r="S325" s="22" t="s">
        <v>2308</v>
      </c>
      <c r="T325" s="22" t="s">
        <v>2308</v>
      </c>
      <c r="U325" s="22" t="s">
        <v>2308</v>
      </c>
      <c r="V325" s="22" t="s">
        <v>2308</v>
      </c>
      <c r="W325" s="22" t="s">
        <v>2308</v>
      </c>
      <c r="X325" s="22" t="s">
        <v>2308</v>
      </c>
      <c r="Y325" s="22" t="s">
        <v>2308</v>
      </c>
      <c r="Z325" s="4" t="s">
        <v>2308</v>
      </c>
      <c r="AA325" s="4" t="s">
        <v>2308</v>
      </c>
      <c r="AB325" s="4" t="s">
        <v>2308</v>
      </c>
      <c r="AC325" s="5"/>
      <c r="AD325" s="5"/>
    </row>
    <row r="326" spans="1:30" ht="112" customHeight="1">
      <c r="A326" s="12" t="s">
        <v>1769</v>
      </c>
      <c r="B326" s="12" t="s">
        <v>1832</v>
      </c>
      <c r="C326" s="24" t="s">
        <v>24</v>
      </c>
      <c r="D326" s="24" t="s">
        <v>149</v>
      </c>
      <c r="E326" s="27" t="s">
        <v>136</v>
      </c>
      <c r="F326" s="20" t="s">
        <v>74</v>
      </c>
      <c r="G326" s="12" t="s">
        <v>2308</v>
      </c>
      <c r="H326" s="20" t="s">
        <v>531</v>
      </c>
      <c r="I326" s="4"/>
      <c r="J326" s="22" t="s">
        <v>2308</v>
      </c>
      <c r="K326" s="22" t="s">
        <v>2308</v>
      </c>
      <c r="L326" s="22" t="s">
        <v>2308</v>
      </c>
      <c r="M326" s="22" t="s">
        <v>2308</v>
      </c>
      <c r="N326" s="22" t="s">
        <v>2308</v>
      </c>
      <c r="O326" s="22" t="s">
        <v>2308</v>
      </c>
      <c r="P326" s="22" t="s">
        <v>2308</v>
      </c>
      <c r="Q326" s="22" t="s">
        <v>2308</v>
      </c>
      <c r="R326" s="22" t="s">
        <v>2308</v>
      </c>
      <c r="S326" s="22" t="s">
        <v>2308</v>
      </c>
      <c r="T326" s="22" t="s">
        <v>2308</v>
      </c>
      <c r="U326" s="22" t="s">
        <v>2308</v>
      </c>
      <c r="V326" s="22" t="s">
        <v>2308</v>
      </c>
      <c r="W326" s="22" t="s">
        <v>2308</v>
      </c>
      <c r="X326" s="22" t="s">
        <v>2308</v>
      </c>
      <c r="Y326" s="22" t="s">
        <v>2308</v>
      </c>
      <c r="Z326" s="4" t="s">
        <v>2308</v>
      </c>
      <c r="AA326" s="4" t="s">
        <v>2308</v>
      </c>
      <c r="AB326" s="4" t="s">
        <v>2308</v>
      </c>
      <c r="AC326" s="5"/>
      <c r="AD326" s="5"/>
    </row>
    <row r="327" spans="1:30" ht="112" customHeight="1">
      <c r="A327" s="12" t="s">
        <v>1769</v>
      </c>
      <c r="B327" s="12" t="s">
        <v>1833</v>
      </c>
      <c r="C327" s="24" t="s">
        <v>24</v>
      </c>
      <c r="D327" s="24" t="s">
        <v>27</v>
      </c>
      <c r="E327" s="27" t="s">
        <v>136</v>
      </c>
      <c r="F327" s="20" t="s">
        <v>167</v>
      </c>
      <c r="G327" s="12" t="s">
        <v>2308</v>
      </c>
      <c r="H327" s="20" t="s">
        <v>531</v>
      </c>
      <c r="I327" s="4"/>
      <c r="J327" s="22" t="s">
        <v>2308</v>
      </c>
      <c r="K327" s="22" t="s">
        <v>2308</v>
      </c>
      <c r="L327" s="22" t="s">
        <v>2308</v>
      </c>
      <c r="M327" s="22" t="s">
        <v>2308</v>
      </c>
      <c r="N327" s="22" t="s">
        <v>2308</v>
      </c>
      <c r="O327" s="22" t="s">
        <v>2308</v>
      </c>
      <c r="P327" s="22" t="s">
        <v>2308</v>
      </c>
      <c r="Q327" s="22" t="s">
        <v>2308</v>
      </c>
      <c r="R327" s="22" t="s">
        <v>2308</v>
      </c>
      <c r="S327" s="22" t="s">
        <v>2308</v>
      </c>
      <c r="T327" s="22" t="s">
        <v>2308</v>
      </c>
      <c r="U327" s="22" t="s">
        <v>2308</v>
      </c>
      <c r="V327" s="22" t="s">
        <v>2308</v>
      </c>
      <c r="W327" s="22" t="s">
        <v>2308</v>
      </c>
      <c r="X327" s="22" t="s">
        <v>2308</v>
      </c>
      <c r="Y327" s="22" t="s">
        <v>2308</v>
      </c>
      <c r="Z327" s="4" t="s">
        <v>2308</v>
      </c>
      <c r="AA327" s="4" t="s">
        <v>2308</v>
      </c>
      <c r="AB327" s="4" t="s">
        <v>2308</v>
      </c>
      <c r="AC327" s="5"/>
      <c r="AD327" s="5"/>
    </row>
    <row r="328" spans="1:30" ht="112" customHeight="1">
      <c r="A328" s="12" t="s">
        <v>1769</v>
      </c>
      <c r="B328" s="12" t="s">
        <v>1834</v>
      </c>
      <c r="C328" s="24" t="s">
        <v>24</v>
      </c>
      <c r="D328" s="24" t="s">
        <v>149</v>
      </c>
      <c r="E328" s="27" t="s">
        <v>404</v>
      </c>
      <c r="F328" s="20" t="s">
        <v>74</v>
      </c>
      <c r="G328" s="12" t="s">
        <v>2308</v>
      </c>
      <c r="H328" s="20" t="s">
        <v>531</v>
      </c>
      <c r="I328" s="4"/>
      <c r="J328" s="22" t="s">
        <v>2308</v>
      </c>
      <c r="K328" s="22" t="s">
        <v>2308</v>
      </c>
      <c r="L328" s="22" t="s">
        <v>2308</v>
      </c>
      <c r="M328" s="22" t="s">
        <v>2308</v>
      </c>
      <c r="N328" s="22" t="s">
        <v>2308</v>
      </c>
      <c r="O328" s="22" t="s">
        <v>2308</v>
      </c>
      <c r="P328" s="22" t="s">
        <v>2308</v>
      </c>
      <c r="Q328" s="22" t="s">
        <v>2308</v>
      </c>
      <c r="R328" s="22" t="s">
        <v>2308</v>
      </c>
      <c r="S328" s="22" t="s">
        <v>2308</v>
      </c>
      <c r="T328" s="22" t="s">
        <v>2308</v>
      </c>
      <c r="U328" s="22" t="s">
        <v>2308</v>
      </c>
      <c r="V328" s="22" t="s">
        <v>2308</v>
      </c>
      <c r="W328" s="22" t="s">
        <v>2308</v>
      </c>
      <c r="X328" s="22" t="s">
        <v>2308</v>
      </c>
      <c r="Y328" s="22" t="s">
        <v>2308</v>
      </c>
      <c r="Z328" s="4" t="s">
        <v>2308</v>
      </c>
      <c r="AA328" s="4" t="s">
        <v>2308</v>
      </c>
      <c r="AB328" s="4" t="s">
        <v>2308</v>
      </c>
      <c r="AC328" s="5"/>
      <c r="AD328" s="5"/>
    </row>
    <row r="329" spans="1:30" ht="112" customHeight="1">
      <c r="A329" s="12" t="s">
        <v>1770</v>
      </c>
      <c r="B329" s="12" t="s">
        <v>1835</v>
      </c>
      <c r="C329" s="24" t="s">
        <v>24</v>
      </c>
      <c r="D329" s="24" t="s">
        <v>149</v>
      </c>
      <c r="E329" s="27" t="s">
        <v>404</v>
      </c>
      <c r="F329" s="20" t="s">
        <v>74</v>
      </c>
      <c r="G329" s="12" t="s">
        <v>2308</v>
      </c>
      <c r="H329" s="20" t="s">
        <v>531</v>
      </c>
      <c r="I329" s="4"/>
      <c r="J329" s="22" t="s">
        <v>2308</v>
      </c>
      <c r="K329" s="22" t="s">
        <v>2308</v>
      </c>
      <c r="L329" s="22" t="s">
        <v>2308</v>
      </c>
      <c r="M329" s="22" t="s">
        <v>2308</v>
      </c>
      <c r="N329" s="22" t="s">
        <v>2308</v>
      </c>
      <c r="O329" s="22" t="s">
        <v>2308</v>
      </c>
      <c r="P329" s="22" t="s">
        <v>2308</v>
      </c>
      <c r="Q329" s="22" t="s">
        <v>2308</v>
      </c>
      <c r="R329" s="22" t="s">
        <v>2308</v>
      </c>
      <c r="S329" s="22" t="s">
        <v>2308</v>
      </c>
      <c r="T329" s="22" t="s">
        <v>2308</v>
      </c>
      <c r="U329" s="22" t="s">
        <v>2308</v>
      </c>
      <c r="V329" s="22" t="s">
        <v>2308</v>
      </c>
      <c r="W329" s="22" t="s">
        <v>2308</v>
      </c>
      <c r="X329" s="22" t="s">
        <v>2308</v>
      </c>
      <c r="Y329" s="22" t="s">
        <v>2308</v>
      </c>
      <c r="Z329" s="4" t="s">
        <v>2308</v>
      </c>
      <c r="AA329" s="4" t="s">
        <v>2308</v>
      </c>
      <c r="AB329" s="4" t="s">
        <v>2308</v>
      </c>
      <c r="AC329" s="5"/>
      <c r="AD329" s="5"/>
    </row>
    <row r="330" spans="1:30" ht="112" customHeight="1">
      <c r="A330" s="12" t="s">
        <v>1771</v>
      </c>
      <c r="B330" s="12" t="s">
        <v>1836</v>
      </c>
      <c r="C330" s="24" t="s">
        <v>24</v>
      </c>
      <c r="D330" s="24" t="s">
        <v>149</v>
      </c>
      <c r="E330" s="27" t="s">
        <v>404</v>
      </c>
      <c r="F330" s="20" t="s">
        <v>74</v>
      </c>
      <c r="G330" s="12" t="s">
        <v>2308</v>
      </c>
      <c r="H330" s="20" t="s">
        <v>531</v>
      </c>
      <c r="I330" s="4"/>
      <c r="J330" s="22" t="s">
        <v>2308</v>
      </c>
      <c r="K330" s="22" t="s">
        <v>2308</v>
      </c>
      <c r="L330" s="22" t="s">
        <v>2308</v>
      </c>
      <c r="M330" s="22" t="s">
        <v>2308</v>
      </c>
      <c r="N330" s="22" t="s">
        <v>2308</v>
      </c>
      <c r="O330" s="22" t="s">
        <v>2308</v>
      </c>
      <c r="P330" s="22" t="s">
        <v>2308</v>
      </c>
      <c r="Q330" s="22" t="s">
        <v>2308</v>
      </c>
      <c r="R330" s="22" t="s">
        <v>2308</v>
      </c>
      <c r="S330" s="22" t="s">
        <v>2308</v>
      </c>
      <c r="T330" s="22" t="s">
        <v>2308</v>
      </c>
      <c r="U330" s="22" t="s">
        <v>2308</v>
      </c>
      <c r="V330" s="22" t="s">
        <v>2308</v>
      </c>
      <c r="W330" s="22" t="s">
        <v>2308</v>
      </c>
      <c r="X330" s="22" t="s">
        <v>2308</v>
      </c>
      <c r="Y330" s="22" t="s">
        <v>2308</v>
      </c>
      <c r="Z330" s="4" t="s">
        <v>2308</v>
      </c>
      <c r="AA330" s="4" t="s">
        <v>2308</v>
      </c>
      <c r="AB330" s="4" t="s">
        <v>2308</v>
      </c>
      <c r="AC330" s="5"/>
      <c r="AD330" s="5"/>
    </row>
    <row r="331" spans="1:30" ht="112" customHeight="1">
      <c r="A331" s="12" t="s">
        <v>1772</v>
      </c>
      <c r="B331" s="12" t="s">
        <v>1837</v>
      </c>
      <c r="C331" s="24" t="s">
        <v>24</v>
      </c>
      <c r="D331" s="24" t="s">
        <v>149</v>
      </c>
      <c r="E331" s="27" t="s">
        <v>404</v>
      </c>
      <c r="F331" s="20" t="s">
        <v>74</v>
      </c>
      <c r="G331" s="12" t="s">
        <v>2308</v>
      </c>
      <c r="H331" s="20" t="s">
        <v>531</v>
      </c>
      <c r="I331" s="4"/>
      <c r="J331" s="22" t="s">
        <v>2308</v>
      </c>
      <c r="K331" s="22" t="s">
        <v>2308</v>
      </c>
      <c r="L331" s="22" t="s">
        <v>2308</v>
      </c>
      <c r="M331" s="22" t="s">
        <v>2308</v>
      </c>
      <c r="N331" s="22" t="s">
        <v>2308</v>
      </c>
      <c r="O331" s="22" t="s">
        <v>2308</v>
      </c>
      <c r="P331" s="22" t="s">
        <v>2308</v>
      </c>
      <c r="Q331" s="22" t="s">
        <v>2308</v>
      </c>
      <c r="R331" s="22" t="s">
        <v>2308</v>
      </c>
      <c r="S331" s="22" t="s">
        <v>2308</v>
      </c>
      <c r="T331" s="22" t="s">
        <v>2308</v>
      </c>
      <c r="U331" s="22" t="s">
        <v>2308</v>
      </c>
      <c r="V331" s="22" t="s">
        <v>2308</v>
      </c>
      <c r="W331" s="22" t="s">
        <v>2308</v>
      </c>
      <c r="X331" s="22" t="s">
        <v>2308</v>
      </c>
      <c r="Y331" s="22" t="s">
        <v>2308</v>
      </c>
      <c r="Z331" s="4" t="s">
        <v>2308</v>
      </c>
      <c r="AA331" s="4" t="s">
        <v>2308</v>
      </c>
      <c r="AB331" s="4" t="s">
        <v>2308</v>
      </c>
      <c r="AC331" s="5"/>
      <c r="AD331" s="5"/>
    </row>
    <row r="332" spans="1:30" ht="112" customHeight="1">
      <c r="A332" s="12" t="s">
        <v>1772</v>
      </c>
      <c r="B332" s="12" t="s">
        <v>1838</v>
      </c>
      <c r="C332" s="24" t="s">
        <v>24</v>
      </c>
      <c r="D332" s="24" t="s">
        <v>149</v>
      </c>
      <c r="E332" s="27" t="s">
        <v>136</v>
      </c>
      <c r="F332" s="20" t="s">
        <v>74</v>
      </c>
      <c r="G332" s="12" t="s">
        <v>2308</v>
      </c>
      <c r="H332" s="20" t="s">
        <v>531</v>
      </c>
      <c r="I332" s="4"/>
      <c r="J332" s="22" t="s">
        <v>2308</v>
      </c>
      <c r="K332" s="22" t="s">
        <v>2308</v>
      </c>
      <c r="L332" s="22" t="s">
        <v>2308</v>
      </c>
      <c r="M332" s="22" t="s">
        <v>2308</v>
      </c>
      <c r="N332" s="22" t="s">
        <v>2308</v>
      </c>
      <c r="O332" s="22" t="s">
        <v>2308</v>
      </c>
      <c r="P332" s="22" t="s">
        <v>2308</v>
      </c>
      <c r="Q332" s="22" t="s">
        <v>2308</v>
      </c>
      <c r="R332" s="22" t="s">
        <v>2308</v>
      </c>
      <c r="S332" s="22" t="s">
        <v>2308</v>
      </c>
      <c r="T332" s="22" t="s">
        <v>2308</v>
      </c>
      <c r="U332" s="22" t="s">
        <v>2308</v>
      </c>
      <c r="V332" s="22" t="s">
        <v>2308</v>
      </c>
      <c r="W332" s="22" t="s">
        <v>2308</v>
      </c>
      <c r="X332" s="22" t="s">
        <v>2308</v>
      </c>
      <c r="Y332" s="22" t="s">
        <v>2308</v>
      </c>
      <c r="Z332" s="4" t="s">
        <v>2308</v>
      </c>
      <c r="AA332" s="4" t="s">
        <v>2308</v>
      </c>
      <c r="AB332" s="4" t="s">
        <v>2308</v>
      </c>
      <c r="AC332" s="5"/>
      <c r="AD332" s="5"/>
    </row>
    <row r="333" spans="1:30" ht="112" customHeight="1">
      <c r="A333" s="12" t="s">
        <v>1772</v>
      </c>
      <c r="B333" s="12" t="s">
        <v>1839</v>
      </c>
      <c r="C333" s="24" t="s">
        <v>24</v>
      </c>
      <c r="D333" s="24" t="s">
        <v>27</v>
      </c>
      <c r="E333" s="27" t="s">
        <v>136</v>
      </c>
      <c r="F333" s="20" t="s">
        <v>167</v>
      </c>
      <c r="G333" s="12" t="s">
        <v>2308</v>
      </c>
      <c r="H333" s="20" t="s">
        <v>531</v>
      </c>
      <c r="I333" s="4"/>
      <c r="J333" s="22" t="s">
        <v>2308</v>
      </c>
      <c r="K333" s="22" t="s">
        <v>2308</v>
      </c>
      <c r="L333" s="22" t="s">
        <v>2308</v>
      </c>
      <c r="M333" s="22" t="s">
        <v>2308</v>
      </c>
      <c r="N333" s="22" t="s">
        <v>2308</v>
      </c>
      <c r="O333" s="22" t="s">
        <v>2308</v>
      </c>
      <c r="P333" s="22" t="s">
        <v>2308</v>
      </c>
      <c r="Q333" s="22" t="s">
        <v>2308</v>
      </c>
      <c r="R333" s="22" t="s">
        <v>2308</v>
      </c>
      <c r="S333" s="22" t="s">
        <v>2308</v>
      </c>
      <c r="T333" s="22" t="s">
        <v>2308</v>
      </c>
      <c r="U333" s="22" t="s">
        <v>2308</v>
      </c>
      <c r="V333" s="22" t="s">
        <v>2308</v>
      </c>
      <c r="W333" s="22" t="s">
        <v>2308</v>
      </c>
      <c r="X333" s="22" t="s">
        <v>2308</v>
      </c>
      <c r="Y333" s="22" t="s">
        <v>2308</v>
      </c>
      <c r="Z333" s="4" t="s">
        <v>2308</v>
      </c>
      <c r="AA333" s="4" t="s">
        <v>2308</v>
      </c>
      <c r="AB333" s="4" t="s">
        <v>2308</v>
      </c>
      <c r="AC333" s="5"/>
      <c r="AD333" s="5"/>
    </row>
    <row r="334" spans="1:30" ht="112" customHeight="1">
      <c r="A334" s="12" t="s">
        <v>1773</v>
      </c>
      <c r="B334" s="12" t="s">
        <v>1840</v>
      </c>
      <c r="C334" s="24" t="s">
        <v>24</v>
      </c>
      <c r="D334" s="24" t="s">
        <v>149</v>
      </c>
      <c r="E334" s="27" t="s">
        <v>404</v>
      </c>
      <c r="F334" s="20" t="s">
        <v>74</v>
      </c>
      <c r="G334" s="12" t="s">
        <v>2308</v>
      </c>
      <c r="H334" s="20" t="s">
        <v>531</v>
      </c>
      <c r="I334" s="4"/>
      <c r="J334" s="22" t="s">
        <v>2308</v>
      </c>
      <c r="K334" s="22" t="s">
        <v>2308</v>
      </c>
      <c r="L334" s="22" t="s">
        <v>2308</v>
      </c>
      <c r="M334" s="22" t="s">
        <v>2308</v>
      </c>
      <c r="N334" s="22" t="s">
        <v>2308</v>
      </c>
      <c r="O334" s="22" t="s">
        <v>2308</v>
      </c>
      <c r="P334" s="22" t="s">
        <v>2308</v>
      </c>
      <c r="Q334" s="22" t="s">
        <v>2308</v>
      </c>
      <c r="R334" s="22" t="s">
        <v>2308</v>
      </c>
      <c r="S334" s="22" t="s">
        <v>2308</v>
      </c>
      <c r="T334" s="22" t="s">
        <v>2308</v>
      </c>
      <c r="U334" s="22" t="s">
        <v>2308</v>
      </c>
      <c r="V334" s="22" t="s">
        <v>2308</v>
      </c>
      <c r="W334" s="22" t="s">
        <v>2308</v>
      </c>
      <c r="X334" s="22" t="s">
        <v>2308</v>
      </c>
      <c r="Y334" s="22" t="s">
        <v>2308</v>
      </c>
      <c r="Z334" s="4" t="s">
        <v>2308</v>
      </c>
      <c r="AA334" s="4" t="s">
        <v>2308</v>
      </c>
      <c r="AB334" s="4" t="s">
        <v>2308</v>
      </c>
      <c r="AC334" s="5"/>
      <c r="AD334" s="5"/>
    </row>
    <row r="335" spans="1:30" ht="112" customHeight="1">
      <c r="A335" s="12" t="s">
        <v>1774</v>
      </c>
      <c r="B335" s="12" t="s">
        <v>1841</v>
      </c>
      <c r="C335" s="24" t="s">
        <v>24</v>
      </c>
      <c r="D335" s="24" t="s">
        <v>149</v>
      </c>
      <c r="E335" s="27" t="s">
        <v>404</v>
      </c>
      <c r="F335" s="20" t="s">
        <v>74</v>
      </c>
      <c r="G335" s="12" t="s">
        <v>2308</v>
      </c>
      <c r="H335" s="20" t="s">
        <v>531</v>
      </c>
      <c r="I335" s="4"/>
      <c r="J335" s="22" t="s">
        <v>2308</v>
      </c>
      <c r="K335" s="22" t="s">
        <v>2308</v>
      </c>
      <c r="L335" s="22" t="s">
        <v>2308</v>
      </c>
      <c r="M335" s="22" t="s">
        <v>2308</v>
      </c>
      <c r="N335" s="22" t="s">
        <v>2308</v>
      </c>
      <c r="O335" s="22" t="s">
        <v>2308</v>
      </c>
      <c r="P335" s="22" t="s">
        <v>2308</v>
      </c>
      <c r="Q335" s="22" t="s">
        <v>2308</v>
      </c>
      <c r="R335" s="22" t="s">
        <v>2308</v>
      </c>
      <c r="S335" s="22" t="s">
        <v>2308</v>
      </c>
      <c r="T335" s="22" t="s">
        <v>2308</v>
      </c>
      <c r="U335" s="22" t="s">
        <v>2308</v>
      </c>
      <c r="V335" s="22" t="s">
        <v>2308</v>
      </c>
      <c r="W335" s="22" t="s">
        <v>2308</v>
      </c>
      <c r="X335" s="22" t="s">
        <v>2308</v>
      </c>
      <c r="Y335" s="22" t="s">
        <v>2308</v>
      </c>
      <c r="Z335" s="4" t="s">
        <v>2308</v>
      </c>
      <c r="AA335" s="4" t="s">
        <v>2308</v>
      </c>
      <c r="AB335" s="4" t="s">
        <v>2308</v>
      </c>
      <c r="AC335" s="5"/>
      <c r="AD335" s="5"/>
    </row>
    <row r="336" spans="1:30" ht="112" customHeight="1">
      <c r="A336" s="12" t="s">
        <v>1775</v>
      </c>
      <c r="B336" s="12" t="s">
        <v>1842</v>
      </c>
      <c r="C336" s="24" t="s">
        <v>24</v>
      </c>
      <c r="D336" s="24" t="s">
        <v>149</v>
      </c>
      <c r="E336" s="27" t="s">
        <v>404</v>
      </c>
      <c r="F336" s="20" t="s">
        <v>74</v>
      </c>
      <c r="G336" s="12" t="s">
        <v>2308</v>
      </c>
      <c r="H336" s="20" t="s">
        <v>531</v>
      </c>
      <c r="I336" s="4"/>
      <c r="J336" s="22" t="s">
        <v>2308</v>
      </c>
      <c r="K336" s="22" t="s">
        <v>2308</v>
      </c>
      <c r="L336" s="22" t="s">
        <v>2308</v>
      </c>
      <c r="M336" s="22" t="s">
        <v>2308</v>
      </c>
      <c r="N336" s="22" t="s">
        <v>2308</v>
      </c>
      <c r="O336" s="22" t="s">
        <v>2308</v>
      </c>
      <c r="P336" s="22" t="s">
        <v>2308</v>
      </c>
      <c r="Q336" s="22" t="s">
        <v>2308</v>
      </c>
      <c r="R336" s="22" t="s">
        <v>2308</v>
      </c>
      <c r="S336" s="22" t="s">
        <v>2308</v>
      </c>
      <c r="T336" s="22" t="s">
        <v>2308</v>
      </c>
      <c r="U336" s="22" t="s">
        <v>2308</v>
      </c>
      <c r="V336" s="22" t="s">
        <v>2308</v>
      </c>
      <c r="W336" s="22" t="s">
        <v>2308</v>
      </c>
      <c r="X336" s="22" t="s">
        <v>2308</v>
      </c>
      <c r="Y336" s="22" t="s">
        <v>2308</v>
      </c>
      <c r="Z336" s="4" t="s">
        <v>2308</v>
      </c>
      <c r="AA336" s="4" t="s">
        <v>2308</v>
      </c>
      <c r="AB336" s="4" t="s">
        <v>2308</v>
      </c>
      <c r="AC336" s="5"/>
      <c r="AD336" s="5"/>
    </row>
    <row r="337" spans="1:30" ht="112" customHeight="1">
      <c r="A337" s="12" t="s">
        <v>1775</v>
      </c>
      <c r="B337" s="12" t="s">
        <v>1843</v>
      </c>
      <c r="C337" s="24" t="s">
        <v>24</v>
      </c>
      <c r="D337" s="24" t="s">
        <v>149</v>
      </c>
      <c r="E337" s="27" t="s">
        <v>136</v>
      </c>
      <c r="F337" s="20" t="s">
        <v>74</v>
      </c>
      <c r="G337" s="12" t="s">
        <v>2308</v>
      </c>
      <c r="H337" s="20" t="s">
        <v>531</v>
      </c>
      <c r="I337" s="4"/>
      <c r="J337" s="22" t="s">
        <v>2308</v>
      </c>
      <c r="K337" s="22" t="s">
        <v>2308</v>
      </c>
      <c r="L337" s="22" t="s">
        <v>2308</v>
      </c>
      <c r="M337" s="22" t="s">
        <v>2308</v>
      </c>
      <c r="N337" s="22" t="s">
        <v>2308</v>
      </c>
      <c r="O337" s="22" t="s">
        <v>2308</v>
      </c>
      <c r="P337" s="22" t="s">
        <v>2308</v>
      </c>
      <c r="Q337" s="22" t="s">
        <v>2308</v>
      </c>
      <c r="R337" s="22" t="s">
        <v>2308</v>
      </c>
      <c r="S337" s="22" t="s">
        <v>2308</v>
      </c>
      <c r="T337" s="22" t="s">
        <v>2308</v>
      </c>
      <c r="U337" s="22" t="s">
        <v>2308</v>
      </c>
      <c r="V337" s="22" t="s">
        <v>2308</v>
      </c>
      <c r="W337" s="22" t="s">
        <v>2308</v>
      </c>
      <c r="X337" s="22" t="s">
        <v>2308</v>
      </c>
      <c r="Y337" s="22" t="s">
        <v>2308</v>
      </c>
      <c r="Z337" s="4" t="s">
        <v>2308</v>
      </c>
      <c r="AA337" s="4" t="s">
        <v>2308</v>
      </c>
      <c r="AB337" s="4" t="s">
        <v>2308</v>
      </c>
      <c r="AC337" s="5"/>
      <c r="AD337" s="5"/>
    </row>
    <row r="338" spans="1:30" ht="112" customHeight="1">
      <c r="A338" s="12" t="s">
        <v>1775</v>
      </c>
      <c r="B338" s="12" t="s">
        <v>1844</v>
      </c>
      <c r="C338" s="24" t="s">
        <v>24</v>
      </c>
      <c r="D338" s="24" t="s">
        <v>27</v>
      </c>
      <c r="E338" s="27" t="s">
        <v>136</v>
      </c>
      <c r="F338" s="20" t="s">
        <v>167</v>
      </c>
      <c r="G338" s="12" t="s">
        <v>2308</v>
      </c>
      <c r="H338" s="20" t="s">
        <v>531</v>
      </c>
      <c r="I338" s="4"/>
      <c r="J338" s="22" t="s">
        <v>2308</v>
      </c>
      <c r="K338" s="22" t="s">
        <v>2308</v>
      </c>
      <c r="L338" s="22" t="s">
        <v>2308</v>
      </c>
      <c r="M338" s="22" t="s">
        <v>2308</v>
      </c>
      <c r="N338" s="22" t="s">
        <v>2308</v>
      </c>
      <c r="O338" s="22" t="s">
        <v>2308</v>
      </c>
      <c r="P338" s="22" t="s">
        <v>2308</v>
      </c>
      <c r="Q338" s="22" t="s">
        <v>2308</v>
      </c>
      <c r="R338" s="22" t="s">
        <v>2308</v>
      </c>
      <c r="S338" s="22" t="s">
        <v>2308</v>
      </c>
      <c r="T338" s="22" t="s">
        <v>2308</v>
      </c>
      <c r="U338" s="22" t="s">
        <v>2308</v>
      </c>
      <c r="V338" s="22" t="s">
        <v>2308</v>
      </c>
      <c r="W338" s="22" t="s">
        <v>2308</v>
      </c>
      <c r="X338" s="22" t="s">
        <v>2308</v>
      </c>
      <c r="Y338" s="22" t="s">
        <v>2308</v>
      </c>
      <c r="Z338" s="4" t="s">
        <v>2308</v>
      </c>
      <c r="AA338" s="4" t="s">
        <v>2308</v>
      </c>
      <c r="AB338" s="4" t="s">
        <v>2308</v>
      </c>
      <c r="AC338" s="5"/>
      <c r="AD338" s="5"/>
    </row>
    <row r="339" spans="1:30" ht="112" customHeight="1">
      <c r="A339" s="12" t="s">
        <v>1776</v>
      </c>
      <c r="B339" s="12" t="s">
        <v>1845</v>
      </c>
      <c r="C339" s="24" t="s">
        <v>24</v>
      </c>
      <c r="D339" s="24" t="s">
        <v>149</v>
      </c>
      <c r="E339" s="27" t="s">
        <v>136</v>
      </c>
      <c r="F339" s="20" t="s">
        <v>74</v>
      </c>
      <c r="G339" s="12" t="s">
        <v>2308</v>
      </c>
      <c r="H339" s="20" t="s">
        <v>531</v>
      </c>
      <c r="I339" s="4"/>
      <c r="J339" s="22" t="s">
        <v>2308</v>
      </c>
      <c r="K339" s="22" t="s">
        <v>2308</v>
      </c>
      <c r="L339" s="22" t="s">
        <v>2308</v>
      </c>
      <c r="M339" s="22" t="s">
        <v>2308</v>
      </c>
      <c r="N339" s="22" t="s">
        <v>2308</v>
      </c>
      <c r="O339" s="22" t="s">
        <v>2308</v>
      </c>
      <c r="P339" s="22" t="s">
        <v>2308</v>
      </c>
      <c r="Q339" s="22" t="s">
        <v>2308</v>
      </c>
      <c r="R339" s="22" t="s">
        <v>2308</v>
      </c>
      <c r="S339" s="22" t="s">
        <v>2308</v>
      </c>
      <c r="T339" s="22" t="s">
        <v>2308</v>
      </c>
      <c r="U339" s="22" t="s">
        <v>2308</v>
      </c>
      <c r="V339" s="22" t="s">
        <v>2308</v>
      </c>
      <c r="W339" s="22" t="s">
        <v>2308</v>
      </c>
      <c r="X339" s="22" t="s">
        <v>2308</v>
      </c>
      <c r="Y339" s="22" t="s">
        <v>2308</v>
      </c>
      <c r="Z339" s="4" t="s">
        <v>2308</v>
      </c>
      <c r="AA339" s="4" t="s">
        <v>2308</v>
      </c>
      <c r="AB339" s="4" t="s">
        <v>2308</v>
      </c>
      <c r="AC339" s="5"/>
      <c r="AD339" s="5"/>
    </row>
    <row r="340" spans="1:30" ht="112" customHeight="1">
      <c r="A340" s="12" t="s">
        <v>1776</v>
      </c>
      <c r="B340" s="12" t="s">
        <v>1846</v>
      </c>
      <c r="C340" s="24" t="s">
        <v>24</v>
      </c>
      <c r="D340" s="24" t="s">
        <v>27</v>
      </c>
      <c r="E340" s="27" t="s">
        <v>136</v>
      </c>
      <c r="F340" s="20" t="s">
        <v>167</v>
      </c>
      <c r="G340" s="12" t="s">
        <v>2308</v>
      </c>
      <c r="H340" s="20" t="s">
        <v>531</v>
      </c>
      <c r="I340" s="4"/>
      <c r="J340" s="22" t="s">
        <v>2308</v>
      </c>
      <c r="K340" s="22" t="s">
        <v>2308</v>
      </c>
      <c r="L340" s="22" t="s">
        <v>2308</v>
      </c>
      <c r="M340" s="22" t="s">
        <v>2308</v>
      </c>
      <c r="N340" s="22" t="s">
        <v>2308</v>
      </c>
      <c r="O340" s="22" t="s">
        <v>2308</v>
      </c>
      <c r="P340" s="22" t="s">
        <v>2308</v>
      </c>
      <c r="Q340" s="22" t="s">
        <v>2308</v>
      </c>
      <c r="R340" s="22" t="s">
        <v>2308</v>
      </c>
      <c r="S340" s="22" t="s">
        <v>2308</v>
      </c>
      <c r="T340" s="22" t="s">
        <v>2308</v>
      </c>
      <c r="U340" s="22" t="s">
        <v>2308</v>
      </c>
      <c r="V340" s="22" t="s">
        <v>2308</v>
      </c>
      <c r="W340" s="22" t="s">
        <v>2308</v>
      </c>
      <c r="X340" s="22" t="s">
        <v>2308</v>
      </c>
      <c r="Y340" s="22" t="s">
        <v>2308</v>
      </c>
      <c r="Z340" s="4" t="s">
        <v>2308</v>
      </c>
      <c r="AA340" s="4" t="s">
        <v>2308</v>
      </c>
      <c r="AB340" s="4" t="s">
        <v>2308</v>
      </c>
      <c r="AC340" s="5"/>
      <c r="AD340" s="5"/>
    </row>
    <row r="341" spans="1:30" ht="112" customHeight="1">
      <c r="A341" s="12" t="s">
        <v>1777</v>
      </c>
      <c r="B341" s="12" t="s">
        <v>1847</v>
      </c>
      <c r="C341" s="24" t="s">
        <v>24</v>
      </c>
      <c r="D341" s="24" t="s">
        <v>149</v>
      </c>
      <c r="E341" s="27" t="s">
        <v>404</v>
      </c>
      <c r="F341" s="20" t="s">
        <v>74</v>
      </c>
      <c r="G341" s="12" t="s">
        <v>2308</v>
      </c>
      <c r="H341" s="20" t="s">
        <v>531</v>
      </c>
      <c r="I341" s="4"/>
      <c r="J341" s="22" t="s">
        <v>2308</v>
      </c>
      <c r="K341" s="22" t="s">
        <v>2308</v>
      </c>
      <c r="L341" s="22" t="s">
        <v>2308</v>
      </c>
      <c r="M341" s="22" t="s">
        <v>2308</v>
      </c>
      <c r="N341" s="22" t="s">
        <v>2308</v>
      </c>
      <c r="O341" s="22" t="s">
        <v>2308</v>
      </c>
      <c r="P341" s="22" t="s">
        <v>2308</v>
      </c>
      <c r="Q341" s="22" t="s">
        <v>2308</v>
      </c>
      <c r="R341" s="22" t="s">
        <v>2308</v>
      </c>
      <c r="S341" s="22" t="s">
        <v>2308</v>
      </c>
      <c r="T341" s="22" t="s">
        <v>2308</v>
      </c>
      <c r="U341" s="22" t="s">
        <v>2308</v>
      </c>
      <c r="V341" s="22" t="s">
        <v>2308</v>
      </c>
      <c r="W341" s="22" t="s">
        <v>2308</v>
      </c>
      <c r="X341" s="22" t="s">
        <v>2308</v>
      </c>
      <c r="Y341" s="22" t="s">
        <v>2308</v>
      </c>
      <c r="Z341" s="4" t="s">
        <v>2308</v>
      </c>
      <c r="AA341" s="4" t="s">
        <v>2308</v>
      </c>
      <c r="AB341" s="4" t="s">
        <v>2308</v>
      </c>
      <c r="AC341" s="5"/>
      <c r="AD341" s="5"/>
    </row>
    <row r="342" spans="1:30" ht="112" customHeight="1">
      <c r="A342" s="12" t="s">
        <v>1778</v>
      </c>
      <c r="B342" s="12" t="s">
        <v>1848</v>
      </c>
      <c r="C342" s="24" t="s">
        <v>24</v>
      </c>
      <c r="D342" s="24" t="s">
        <v>149</v>
      </c>
      <c r="E342" s="27" t="s">
        <v>136</v>
      </c>
      <c r="F342" s="20" t="s">
        <v>74</v>
      </c>
      <c r="G342" s="12" t="s">
        <v>2308</v>
      </c>
      <c r="H342" s="20" t="s">
        <v>531</v>
      </c>
      <c r="I342" s="4"/>
      <c r="J342" s="22" t="s">
        <v>2308</v>
      </c>
      <c r="K342" s="22" t="s">
        <v>2308</v>
      </c>
      <c r="L342" s="22" t="s">
        <v>2308</v>
      </c>
      <c r="M342" s="22" t="s">
        <v>2308</v>
      </c>
      <c r="N342" s="22" t="s">
        <v>2308</v>
      </c>
      <c r="O342" s="22" t="s">
        <v>2308</v>
      </c>
      <c r="P342" s="22" t="s">
        <v>2308</v>
      </c>
      <c r="Q342" s="22" t="s">
        <v>2308</v>
      </c>
      <c r="R342" s="22" t="s">
        <v>2308</v>
      </c>
      <c r="S342" s="22" t="s">
        <v>2308</v>
      </c>
      <c r="T342" s="22" t="s">
        <v>2308</v>
      </c>
      <c r="U342" s="22" t="s">
        <v>2308</v>
      </c>
      <c r="V342" s="22" t="s">
        <v>2308</v>
      </c>
      <c r="W342" s="22" t="s">
        <v>2308</v>
      </c>
      <c r="X342" s="22" t="s">
        <v>2308</v>
      </c>
      <c r="Y342" s="22" t="s">
        <v>2308</v>
      </c>
      <c r="Z342" s="4" t="s">
        <v>2308</v>
      </c>
      <c r="AA342" s="4" t="s">
        <v>2308</v>
      </c>
      <c r="AB342" s="4" t="s">
        <v>2308</v>
      </c>
      <c r="AC342" s="5"/>
      <c r="AD342" s="5"/>
    </row>
    <row r="343" spans="1:30" ht="112" customHeight="1">
      <c r="A343" s="12" t="s">
        <v>1778</v>
      </c>
      <c r="B343" s="12" t="s">
        <v>1848</v>
      </c>
      <c r="C343" s="24" t="s">
        <v>24</v>
      </c>
      <c r="D343" s="24" t="s">
        <v>27</v>
      </c>
      <c r="E343" s="27" t="s">
        <v>136</v>
      </c>
      <c r="F343" s="20" t="s">
        <v>167</v>
      </c>
      <c r="G343" s="12" t="s">
        <v>2308</v>
      </c>
      <c r="H343" s="20" t="s">
        <v>531</v>
      </c>
      <c r="I343" s="4"/>
      <c r="J343" s="22" t="s">
        <v>2308</v>
      </c>
      <c r="K343" s="22" t="s">
        <v>2308</v>
      </c>
      <c r="L343" s="22" t="s">
        <v>2308</v>
      </c>
      <c r="M343" s="22" t="s">
        <v>2308</v>
      </c>
      <c r="N343" s="22" t="s">
        <v>2308</v>
      </c>
      <c r="O343" s="22" t="s">
        <v>2308</v>
      </c>
      <c r="P343" s="22" t="s">
        <v>2308</v>
      </c>
      <c r="Q343" s="22" t="s">
        <v>2308</v>
      </c>
      <c r="R343" s="22" t="s">
        <v>2308</v>
      </c>
      <c r="S343" s="22" t="s">
        <v>2308</v>
      </c>
      <c r="T343" s="22" t="s">
        <v>2308</v>
      </c>
      <c r="U343" s="22" t="s">
        <v>2308</v>
      </c>
      <c r="V343" s="22" t="s">
        <v>2308</v>
      </c>
      <c r="W343" s="22" t="s">
        <v>2308</v>
      </c>
      <c r="X343" s="22" t="s">
        <v>2308</v>
      </c>
      <c r="Y343" s="22" t="s">
        <v>2308</v>
      </c>
      <c r="Z343" s="4" t="s">
        <v>2308</v>
      </c>
      <c r="AA343" s="4" t="s">
        <v>2308</v>
      </c>
      <c r="AB343" s="4" t="s">
        <v>2308</v>
      </c>
      <c r="AC343" s="5"/>
      <c r="AD343" s="5"/>
    </row>
    <row r="344" spans="1:30" ht="112" customHeight="1">
      <c r="A344" s="12" t="s">
        <v>1779</v>
      </c>
      <c r="B344" s="12" t="s">
        <v>1849</v>
      </c>
      <c r="C344" s="24" t="s">
        <v>24</v>
      </c>
      <c r="D344" s="24" t="s">
        <v>149</v>
      </c>
      <c r="E344" s="27" t="s">
        <v>136</v>
      </c>
      <c r="F344" s="20" t="s">
        <v>74</v>
      </c>
      <c r="G344" s="12" t="s">
        <v>2308</v>
      </c>
      <c r="H344" s="20" t="s">
        <v>531</v>
      </c>
      <c r="I344" s="4"/>
      <c r="J344" s="22" t="s">
        <v>2308</v>
      </c>
      <c r="K344" s="22" t="s">
        <v>2308</v>
      </c>
      <c r="L344" s="22" t="s">
        <v>2308</v>
      </c>
      <c r="M344" s="22" t="s">
        <v>2308</v>
      </c>
      <c r="N344" s="22" t="s">
        <v>2308</v>
      </c>
      <c r="O344" s="22" t="s">
        <v>2308</v>
      </c>
      <c r="P344" s="22" t="s">
        <v>2308</v>
      </c>
      <c r="Q344" s="22" t="s">
        <v>2308</v>
      </c>
      <c r="R344" s="22" t="s">
        <v>2308</v>
      </c>
      <c r="S344" s="22" t="s">
        <v>2308</v>
      </c>
      <c r="T344" s="22" t="s">
        <v>2308</v>
      </c>
      <c r="U344" s="22" t="s">
        <v>2308</v>
      </c>
      <c r="V344" s="22" t="s">
        <v>2308</v>
      </c>
      <c r="W344" s="22" t="s">
        <v>2308</v>
      </c>
      <c r="X344" s="22" t="s">
        <v>2308</v>
      </c>
      <c r="Y344" s="22" t="s">
        <v>2308</v>
      </c>
      <c r="Z344" s="4" t="s">
        <v>2308</v>
      </c>
      <c r="AA344" s="4" t="s">
        <v>2308</v>
      </c>
      <c r="AB344" s="4" t="s">
        <v>2308</v>
      </c>
      <c r="AC344" s="5"/>
      <c r="AD344" s="5"/>
    </row>
    <row r="345" spans="1:30" ht="112" customHeight="1">
      <c r="A345" s="12" t="s">
        <v>1779</v>
      </c>
      <c r="B345" s="12" t="s">
        <v>1849</v>
      </c>
      <c r="C345" s="24" t="s">
        <v>24</v>
      </c>
      <c r="D345" s="24" t="s">
        <v>27</v>
      </c>
      <c r="E345" s="27" t="s">
        <v>136</v>
      </c>
      <c r="F345" s="20" t="s">
        <v>167</v>
      </c>
      <c r="G345" s="12" t="s">
        <v>2308</v>
      </c>
      <c r="H345" s="20" t="s">
        <v>531</v>
      </c>
      <c r="I345" s="4"/>
      <c r="J345" s="22" t="s">
        <v>2308</v>
      </c>
      <c r="K345" s="22" t="s">
        <v>2308</v>
      </c>
      <c r="L345" s="22" t="s">
        <v>2308</v>
      </c>
      <c r="M345" s="22" t="s">
        <v>2308</v>
      </c>
      <c r="N345" s="22" t="s">
        <v>2308</v>
      </c>
      <c r="O345" s="22" t="s">
        <v>2308</v>
      </c>
      <c r="P345" s="22" t="s">
        <v>2308</v>
      </c>
      <c r="Q345" s="22" t="s">
        <v>2308</v>
      </c>
      <c r="R345" s="22" t="s">
        <v>2308</v>
      </c>
      <c r="S345" s="22" t="s">
        <v>2308</v>
      </c>
      <c r="T345" s="22" t="s">
        <v>2308</v>
      </c>
      <c r="U345" s="22" t="s">
        <v>2308</v>
      </c>
      <c r="V345" s="22" t="s">
        <v>2308</v>
      </c>
      <c r="W345" s="22" t="s">
        <v>2308</v>
      </c>
      <c r="X345" s="22" t="s">
        <v>2308</v>
      </c>
      <c r="Y345" s="22" t="s">
        <v>2308</v>
      </c>
      <c r="Z345" s="4" t="s">
        <v>2308</v>
      </c>
      <c r="AA345" s="4" t="s">
        <v>2308</v>
      </c>
      <c r="AB345" s="4" t="s">
        <v>2308</v>
      </c>
      <c r="AC345" s="5"/>
      <c r="AD345" s="5"/>
    </row>
    <row r="346" spans="1:30" ht="112" customHeight="1">
      <c r="A346" s="12" t="s">
        <v>1780</v>
      </c>
      <c r="B346" s="12" t="s">
        <v>1850</v>
      </c>
      <c r="C346" s="24" t="s">
        <v>24</v>
      </c>
      <c r="D346" s="24" t="s">
        <v>149</v>
      </c>
      <c r="E346" s="27" t="s">
        <v>136</v>
      </c>
      <c r="F346" s="20" t="s">
        <v>74</v>
      </c>
      <c r="G346" s="12" t="s">
        <v>2308</v>
      </c>
      <c r="H346" s="20" t="s">
        <v>531</v>
      </c>
      <c r="I346" s="4"/>
      <c r="J346" s="22" t="s">
        <v>2308</v>
      </c>
      <c r="K346" s="22" t="s">
        <v>2308</v>
      </c>
      <c r="L346" s="22" t="s">
        <v>2308</v>
      </c>
      <c r="M346" s="22" t="s">
        <v>2308</v>
      </c>
      <c r="N346" s="22" t="s">
        <v>2308</v>
      </c>
      <c r="O346" s="22" t="s">
        <v>2308</v>
      </c>
      <c r="P346" s="22" t="s">
        <v>2308</v>
      </c>
      <c r="Q346" s="22" t="s">
        <v>2308</v>
      </c>
      <c r="R346" s="22" t="s">
        <v>2308</v>
      </c>
      <c r="S346" s="22" t="s">
        <v>2308</v>
      </c>
      <c r="T346" s="22" t="s">
        <v>2308</v>
      </c>
      <c r="U346" s="22" t="s">
        <v>2308</v>
      </c>
      <c r="V346" s="22" t="s">
        <v>2308</v>
      </c>
      <c r="W346" s="22" t="s">
        <v>2308</v>
      </c>
      <c r="X346" s="22" t="s">
        <v>2308</v>
      </c>
      <c r="Y346" s="22" t="s">
        <v>2308</v>
      </c>
      <c r="Z346" s="4" t="s">
        <v>2308</v>
      </c>
      <c r="AA346" s="4" t="s">
        <v>2308</v>
      </c>
      <c r="AB346" s="4" t="s">
        <v>2308</v>
      </c>
      <c r="AC346" s="5"/>
      <c r="AD346" s="5"/>
    </row>
    <row r="347" spans="1:30" ht="112" customHeight="1">
      <c r="A347" s="12" t="s">
        <v>1780</v>
      </c>
      <c r="B347" s="12" t="s">
        <v>1851</v>
      </c>
      <c r="C347" s="24" t="s">
        <v>24</v>
      </c>
      <c r="D347" s="24" t="s">
        <v>27</v>
      </c>
      <c r="E347" s="27" t="s">
        <v>136</v>
      </c>
      <c r="F347" s="20" t="s">
        <v>167</v>
      </c>
      <c r="G347" s="12" t="s">
        <v>2308</v>
      </c>
      <c r="H347" s="20" t="s">
        <v>531</v>
      </c>
      <c r="I347" s="4"/>
      <c r="J347" s="22" t="s">
        <v>2308</v>
      </c>
      <c r="K347" s="22" t="s">
        <v>2308</v>
      </c>
      <c r="L347" s="22" t="s">
        <v>2308</v>
      </c>
      <c r="M347" s="22" t="s">
        <v>2308</v>
      </c>
      <c r="N347" s="22" t="s">
        <v>2308</v>
      </c>
      <c r="O347" s="22" t="s">
        <v>2308</v>
      </c>
      <c r="P347" s="22" t="s">
        <v>2308</v>
      </c>
      <c r="Q347" s="22" t="s">
        <v>2308</v>
      </c>
      <c r="R347" s="22" t="s">
        <v>2308</v>
      </c>
      <c r="S347" s="22" t="s">
        <v>2308</v>
      </c>
      <c r="T347" s="22" t="s">
        <v>2308</v>
      </c>
      <c r="U347" s="22" t="s">
        <v>2308</v>
      </c>
      <c r="V347" s="22" t="s">
        <v>2308</v>
      </c>
      <c r="W347" s="22" t="s">
        <v>2308</v>
      </c>
      <c r="X347" s="22" t="s">
        <v>2308</v>
      </c>
      <c r="Y347" s="22" t="s">
        <v>2308</v>
      </c>
      <c r="Z347" s="4" t="s">
        <v>2308</v>
      </c>
      <c r="AA347" s="4" t="s">
        <v>2308</v>
      </c>
      <c r="AB347" s="4" t="s">
        <v>2308</v>
      </c>
      <c r="AC347" s="5"/>
      <c r="AD347" s="5"/>
    </row>
    <row r="348" spans="1:30" ht="112" customHeight="1">
      <c r="A348" s="12" t="s">
        <v>1780</v>
      </c>
      <c r="B348" s="12" t="s">
        <v>1852</v>
      </c>
      <c r="C348" s="24" t="s">
        <v>24</v>
      </c>
      <c r="D348" s="24" t="s">
        <v>149</v>
      </c>
      <c r="E348" s="27" t="s">
        <v>404</v>
      </c>
      <c r="F348" s="20" t="s">
        <v>74</v>
      </c>
      <c r="G348" s="12" t="s">
        <v>2308</v>
      </c>
      <c r="H348" s="20" t="s">
        <v>531</v>
      </c>
      <c r="I348" s="4"/>
      <c r="J348" s="22" t="s">
        <v>2308</v>
      </c>
      <c r="K348" s="22" t="s">
        <v>2308</v>
      </c>
      <c r="L348" s="22" t="s">
        <v>2308</v>
      </c>
      <c r="M348" s="22" t="s">
        <v>2308</v>
      </c>
      <c r="N348" s="22" t="s">
        <v>2308</v>
      </c>
      <c r="O348" s="22" t="s">
        <v>2308</v>
      </c>
      <c r="P348" s="22" t="s">
        <v>2308</v>
      </c>
      <c r="Q348" s="22" t="s">
        <v>2308</v>
      </c>
      <c r="R348" s="22" t="s">
        <v>2308</v>
      </c>
      <c r="S348" s="22" t="s">
        <v>2308</v>
      </c>
      <c r="T348" s="22" t="s">
        <v>2308</v>
      </c>
      <c r="U348" s="22" t="s">
        <v>2308</v>
      </c>
      <c r="V348" s="22" t="s">
        <v>2308</v>
      </c>
      <c r="W348" s="22" t="s">
        <v>2308</v>
      </c>
      <c r="X348" s="22" t="s">
        <v>2308</v>
      </c>
      <c r="Y348" s="22" t="s">
        <v>2308</v>
      </c>
      <c r="Z348" s="4" t="s">
        <v>2308</v>
      </c>
      <c r="AA348" s="4" t="s">
        <v>2308</v>
      </c>
      <c r="AB348" s="4" t="s">
        <v>2308</v>
      </c>
      <c r="AC348" s="5"/>
      <c r="AD348" s="5"/>
    </row>
    <row r="349" spans="1:30" ht="112" customHeight="1">
      <c r="A349" s="12" t="s">
        <v>1781</v>
      </c>
      <c r="B349" s="12" t="s">
        <v>1853</v>
      </c>
      <c r="C349" s="24" t="s">
        <v>24</v>
      </c>
      <c r="D349" s="24" t="s">
        <v>149</v>
      </c>
      <c r="E349" s="27" t="s">
        <v>136</v>
      </c>
      <c r="F349" s="20" t="s">
        <v>74</v>
      </c>
      <c r="G349" s="12" t="s">
        <v>2308</v>
      </c>
      <c r="H349" s="20" t="s">
        <v>531</v>
      </c>
      <c r="I349" s="4"/>
      <c r="J349" s="22" t="s">
        <v>2308</v>
      </c>
      <c r="K349" s="22" t="s">
        <v>2308</v>
      </c>
      <c r="L349" s="22" t="s">
        <v>2308</v>
      </c>
      <c r="M349" s="22" t="s">
        <v>2308</v>
      </c>
      <c r="N349" s="22" t="s">
        <v>2308</v>
      </c>
      <c r="O349" s="22" t="s">
        <v>2308</v>
      </c>
      <c r="P349" s="22" t="s">
        <v>2308</v>
      </c>
      <c r="Q349" s="22" t="s">
        <v>2308</v>
      </c>
      <c r="R349" s="22" t="s">
        <v>2308</v>
      </c>
      <c r="S349" s="22" t="s">
        <v>2308</v>
      </c>
      <c r="T349" s="22" t="s">
        <v>2308</v>
      </c>
      <c r="U349" s="22" t="s">
        <v>2308</v>
      </c>
      <c r="V349" s="22" t="s">
        <v>2308</v>
      </c>
      <c r="W349" s="22" t="s">
        <v>2308</v>
      </c>
      <c r="X349" s="22" t="s">
        <v>2308</v>
      </c>
      <c r="Y349" s="22" t="s">
        <v>2308</v>
      </c>
      <c r="Z349" s="4" t="s">
        <v>2308</v>
      </c>
      <c r="AA349" s="4" t="s">
        <v>2308</v>
      </c>
      <c r="AB349" s="4" t="s">
        <v>2308</v>
      </c>
      <c r="AC349" s="5"/>
      <c r="AD349" s="5"/>
    </row>
    <row r="350" spans="1:30" ht="112" customHeight="1">
      <c r="A350" s="12" t="s">
        <v>1781</v>
      </c>
      <c r="B350" s="12" t="s">
        <v>1854</v>
      </c>
      <c r="C350" s="24" t="s">
        <v>24</v>
      </c>
      <c r="D350" s="24" t="s">
        <v>27</v>
      </c>
      <c r="E350" s="27" t="s">
        <v>136</v>
      </c>
      <c r="F350" s="20" t="s">
        <v>167</v>
      </c>
      <c r="G350" s="12" t="s">
        <v>2308</v>
      </c>
      <c r="H350" s="20" t="s">
        <v>531</v>
      </c>
      <c r="I350" s="4"/>
      <c r="J350" s="22" t="s">
        <v>2308</v>
      </c>
      <c r="K350" s="22" t="s">
        <v>2308</v>
      </c>
      <c r="L350" s="22" t="s">
        <v>2308</v>
      </c>
      <c r="M350" s="22" t="s">
        <v>2308</v>
      </c>
      <c r="N350" s="22" t="s">
        <v>2308</v>
      </c>
      <c r="O350" s="22" t="s">
        <v>2308</v>
      </c>
      <c r="P350" s="22" t="s">
        <v>2308</v>
      </c>
      <c r="Q350" s="22" t="s">
        <v>2308</v>
      </c>
      <c r="R350" s="22" t="s">
        <v>2308</v>
      </c>
      <c r="S350" s="22" t="s">
        <v>2308</v>
      </c>
      <c r="T350" s="22" t="s">
        <v>2308</v>
      </c>
      <c r="U350" s="22" t="s">
        <v>2308</v>
      </c>
      <c r="V350" s="22" t="s">
        <v>2308</v>
      </c>
      <c r="W350" s="22" t="s">
        <v>2308</v>
      </c>
      <c r="X350" s="22" t="s">
        <v>2308</v>
      </c>
      <c r="Y350" s="22" t="s">
        <v>2308</v>
      </c>
      <c r="Z350" s="4" t="s">
        <v>2308</v>
      </c>
      <c r="AA350" s="4" t="s">
        <v>2308</v>
      </c>
      <c r="AB350" s="4" t="s">
        <v>2308</v>
      </c>
      <c r="AC350" s="5"/>
      <c r="AD350" s="5"/>
    </row>
    <row r="351" spans="1:30" ht="112" customHeight="1">
      <c r="A351" s="12" t="s">
        <v>1781</v>
      </c>
      <c r="B351" s="12" t="s">
        <v>1855</v>
      </c>
      <c r="C351" s="24" t="s">
        <v>24</v>
      </c>
      <c r="D351" s="24" t="s">
        <v>149</v>
      </c>
      <c r="E351" s="27" t="s">
        <v>404</v>
      </c>
      <c r="F351" s="20" t="s">
        <v>74</v>
      </c>
      <c r="G351" s="12" t="s">
        <v>2308</v>
      </c>
      <c r="H351" s="20" t="s">
        <v>531</v>
      </c>
      <c r="I351" s="4"/>
      <c r="J351" s="22" t="s">
        <v>2308</v>
      </c>
      <c r="K351" s="22" t="s">
        <v>2308</v>
      </c>
      <c r="L351" s="22" t="s">
        <v>2308</v>
      </c>
      <c r="M351" s="22" t="s">
        <v>2308</v>
      </c>
      <c r="N351" s="22" t="s">
        <v>2308</v>
      </c>
      <c r="O351" s="22" t="s">
        <v>2308</v>
      </c>
      <c r="P351" s="22" t="s">
        <v>2308</v>
      </c>
      <c r="Q351" s="22" t="s">
        <v>2308</v>
      </c>
      <c r="R351" s="22" t="s">
        <v>2308</v>
      </c>
      <c r="S351" s="22" t="s">
        <v>2308</v>
      </c>
      <c r="T351" s="22" t="s">
        <v>2308</v>
      </c>
      <c r="U351" s="22" t="s">
        <v>2308</v>
      </c>
      <c r="V351" s="22" t="s">
        <v>2308</v>
      </c>
      <c r="W351" s="22" t="s">
        <v>2308</v>
      </c>
      <c r="X351" s="22" t="s">
        <v>2308</v>
      </c>
      <c r="Y351" s="22" t="s">
        <v>2308</v>
      </c>
      <c r="Z351" s="4" t="s">
        <v>2308</v>
      </c>
      <c r="AA351" s="4" t="s">
        <v>2308</v>
      </c>
      <c r="AB351" s="4" t="s">
        <v>2308</v>
      </c>
      <c r="AC351" s="5"/>
      <c r="AD351" s="5"/>
    </row>
    <row r="352" spans="1:30" ht="112" customHeight="1">
      <c r="A352" s="12" t="s">
        <v>1782</v>
      </c>
      <c r="B352" s="12" t="s">
        <v>1856</v>
      </c>
      <c r="C352" s="24" t="s">
        <v>24</v>
      </c>
      <c r="D352" s="24" t="s">
        <v>149</v>
      </c>
      <c r="E352" s="27" t="s">
        <v>136</v>
      </c>
      <c r="F352" s="20" t="s">
        <v>74</v>
      </c>
      <c r="G352" s="12" t="s">
        <v>2308</v>
      </c>
      <c r="H352" s="20" t="s">
        <v>531</v>
      </c>
      <c r="I352" s="4"/>
      <c r="J352" s="22" t="s">
        <v>2308</v>
      </c>
      <c r="K352" s="22" t="s">
        <v>2308</v>
      </c>
      <c r="L352" s="22" t="s">
        <v>2308</v>
      </c>
      <c r="M352" s="22" t="s">
        <v>2308</v>
      </c>
      <c r="N352" s="22" t="s">
        <v>2308</v>
      </c>
      <c r="O352" s="22" t="s">
        <v>2308</v>
      </c>
      <c r="P352" s="22" t="s">
        <v>2308</v>
      </c>
      <c r="Q352" s="22" t="s">
        <v>2308</v>
      </c>
      <c r="R352" s="22" t="s">
        <v>2308</v>
      </c>
      <c r="S352" s="22" t="s">
        <v>2308</v>
      </c>
      <c r="T352" s="22" t="s">
        <v>2308</v>
      </c>
      <c r="U352" s="22" t="s">
        <v>2308</v>
      </c>
      <c r="V352" s="22" t="s">
        <v>2308</v>
      </c>
      <c r="W352" s="22" t="s">
        <v>2308</v>
      </c>
      <c r="X352" s="22" t="s">
        <v>2308</v>
      </c>
      <c r="Y352" s="22" t="s">
        <v>2308</v>
      </c>
      <c r="Z352" s="4" t="s">
        <v>2308</v>
      </c>
      <c r="AA352" s="4" t="s">
        <v>2308</v>
      </c>
      <c r="AB352" s="4" t="s">
        <v>2308</v>
      </c>
      <c r="AC352" s="5"/>
      <c r="AD352" s="5"/>
    </row>
    <row r="353" spans="1:30" ht="112" customHeight="1">
      <c r="A353" s="12" t="s">
        <v>1782</v>
      </c>
      <c r="B353" s="12" t="s">
        <v>1857</v>
      </c>
      <c r="C353" s="24" t="s">
        <v>24</v>
      </c>
      <c r="D353" s="24" t="s">
        <v>27</v>
      </c>
      <c r="E353" s="27" t="s">
        <v>136</v>
      </c>
      <c r="F353" s="20" t="s">
        <v>167</v>
      </c>
      <c r="G353" s="12" t="s">
        <v>2308</v>
      </c>
      <c r="H353" s="20" t="s">
        <v>531</v>
      </c>
      <c r="I353" s="4"/>
      <c r="J353" s="22" t="s">
        <v>2308</v>
      </c>
      <c r="K353" s="22" t="s">
        <v>2308</v>
      </c>
      <c r="L353" s="22" t="s">
        <v>2308</v>
      </c>
      <c r="M353" s="22" t="s">
        <v>2308</v>
      </c>
      <c r="N353" s="22" t="s">
        <v>2308</v>
      </c>
      <c r="O353" s="22" t="s">
        <v>2308</v>
      </c>
      <c r="P353" s="22" t="s">
        <v>2308</v>
      </c>
      <c r="Q353" s="22" t="s">
        <v>2308</v>
      </c>
      <c r="R353" s="22" t="s">
        <v>2308</v>
      </c>
      <c r="S353" s="22" t="s">
        <v>2308</v>
      </c>
      <c r="T353" s="22" t="s">
        <v>2308</v>
      </c>
      <c r="U353" s="22" t="s">
        <v>2308</v>
      </c>
      <c r="V353" s="22" t="s">
        <v>2308</v>
      </c>
      <c r="W353" s="22" t="s">
        <v>2308</v>
      </c>
      <c r="X353" s="22" t="s">
        <v>2308</v>
      </c>
      <c r="Y353" s="22" t="s">
        <v>2308</v>
      </c>
      <c r="Z353" s="4" t="s">
        <v>2308</v>
      </c>
      <c r="AA353" s="4" t="s">
        <v>2308</v>
      </c>
      <c r="AB353" s="4" t="s">
        <v>2308</v>
      </c>
      <c r="AC353" s="5"/>
      <c r="AD353" s="5"/>
    </row>
    <row r="354" spans="1:30" ht="112" customHeight="1">
      <c r="A354" s="12" t="s">
        <v>1783</v>
      </c>
      <c r="B354" s="12" t="s">
        <v>1858</v>
      </c>
      <c r="C354" s="24" t="s">
        <v>24</v>
      </c>
      <c r="D354" s="24" t="s">
        <v>149</v>
      </c>
      <c r="E354" s="27" t="s">
        <v>136</v>
      </c>
      <c r="F354" s="20" t="s">
        <v>74</v>
      </c>
      <c r="G354" s="12" t="s">
        <v>2308</v>
      </c>
      <c r="H354" s="20" t="s">
        <v>531</v>
      </c>
      <c r="I354" s="4"/>
      <c r="J354" s="22" t="s">
        <v>2308</v>
      </c>
      <c r="K354" s="22" t="s">
        <v>2308</v>
      </c>
      <c r="L354" s="22" t="s">
        <v>2308</v>
      </c>
      <c r="M354" s="22" t="s">
        <v>2308</v>
      </c>
      <c r="N354" s="22" t="s">
        <v>2308</v>
      </c>
      <c r="O354" s="22" t="s">
        <v>2308</v>
      </c>
      <c r="P354" s="22" t="s">
        <v>2308</v>
      </c>
      <c r="Q354" s="22" t="s">
        <v>2308</v>
      </c>
      <c r="R354" s="22" t="s">
        <v>2308</v>
      </c>
      <c r="S354" s="22" t="s">
        <v>2308</v>
      </c>
      <c r="T354" s="22" t="s">
        <v>2308</v>
      </c>
      <c r="U354" s="22" t="s">
        <v>2308</v>
      </c>
      <c r="V354" s="22" t="s">
        <v>2308</v>
      </c>
      <c r="W354" s="22" t="s">
        <v>2308</v>
      </c>
      <c r="X354" s="22" t="s">
        <v>2308</v>
      </c>
      <c r="Y354" s="22" t="s">
        <v>2308</v>
      </c>
      <c r="Z354" s="4" t="s">
        <v>2308</v>
      </c>
      <c r="AA354" s="4" t="s">
        <v>2308</v>
      </c>
      <c r="AB354" s="4" t="s">
        <v>2308</v>
      </c>
      <c r="AC354" s="5"/>
      <c r="AD354" s="5"/>
    </row>
    <row r="355" spans="1:30" ht="112" customHeight="1">
      <c r="A355" s="12" t="s">
        <v>1783</v>
      </c>
      <c r="B355" s="12" t="s">
        <v>1859</v>
      </c>
      <c r="C355" s="24" t="s">
        <v>24</v>
      </c>
      <c r="D355" s="24" t="s">
        <v>27</v>
      </c>
      <c r="E355" s="27" t="s">
        <v>136</v>
      </c>
      <c r="F355" s="20" t="s">
        <v>167</v>
      </c>
      <c r="G355" s="12" t="s">
        <v>2308</v>
      </c>
      <c r="H355" s="20" t="s">
        <v>531</v>
      </c>
      <c r="I355" s="4"/>
      <c r="J355" s="22" t="s">
        <v>2308</v>
      </c>
      <c r="K355" s="22" t="s">
        <v>2308</v>
      </c>
      <c r="L355" s="22" t="s">
        <v>2308</v>
      </c>
      <c r="M355" s="22" t="s">
        <v>2308</v>
      </c>
      <c r="N355" s="22" t="s">
        <v>2308</v>
      </c>
      <c r="O355" s="22" t="s">
        <v>2308</v>
      </c>
      <c r="P355" s="22" t="s">
        <v>2308</v>
      </c>
      <c r="Q355" s="22" t="s">
        <v>2308</v>
      </c>
      <c r="R355" s="22" t="s">
        <v>2308</v>
      </c>
      <c r="S355" s="22" t="s">
        <v>2308</v>
      </c>
      <c r="T355" s="22" t="s">
        <v>2308</v>
      </c>
      <c r="U355" s="22" t="s">
        <v>2308</v>
      </c>
      <c r="V355" s="22" t="s">
        <v>2308</v>
      </c>
      <c r="W355" s="22" t="s">
        <v>2308</v>
      </c>
      <c r="X355" s="22" t="s">
        <v>2308</v>
      </c>
      <c r="Y355" s="22" t="s">
        <v>2308</v>
      </c>
      <c r="Z355" s="4" t="s">
        <v>2308</v>
      </c>
      <c r="AA355" s="4" t="s">
        <v>2308</v>
      </c>
      <c r="AB355" s="4" t="s">
        <v>2308</v>
      </c>
      <c r="AC355" s="5"/>
      <c r="AD355" s="5"/>
    </row>
    <row r="356" spans="1:30" ht="112" customHeight="1">
      <c r="A356" s="12" t="s">
        <v>1783</v>
      </c>
      <c r="B356" s="12" t="s">
        <v>1860</v>
      </c>
      <c r="C356" s="24" t="s">
        <v>24</v>
      </c>
      <c r="D356" s="24" t="s">
        <v>149</v>
      </c>
      <c r="E356" s="27" t="s">
        <v>404</v>
      </c>
      <c r="F356" s="20" t="s">
        <v>74</v>
      </c>
      <c r="G356" s="12" t="s">
        <v>2308</v>
      </c>
      <c r="H356" s="20" t="s">
        <v>531</v>
      </c>
      <c r="I356" s="4"/>
      <c r="J356" s="22" t="s">
        <v>2308</v>
      </c>
      <c r="K356" s="22" t="s">
        <v>2308</v>
      </c>
      <c r="L356" s="22" t="s">
        <v>2308</v>
      </c>
      <c r="M356" s="22" t="s">
        <v>2308</v>
      </c>
      <c r="N356" s="22" t="s">
        <v>2308</v>
      </c>
      <c r="O356" s="22" t="s">
        <v>2308</v>
      </c>
      <c r="P356" s="22" t="s">
        <v>2308</v>
      </c>
      <c r="Q356" s="22" t="s">
        <v>2308</v>
      </c>
      <c r="R356" s="22" t="s">
        <v>2308</v>
      </c>
      <c r="S356" s="22" t="s">
        <v>2308</v>
      </c>
      <c r="T356" s="22" t="s">
        <v>2308</v>
      </c>
      <c r="U356" s="22" t="s">
        <v>2308</v>
      </c>
      <c r="V356" s="22" t="s">
        <v>2308</v>
      </c>
      <c r="W356" s="22" t="s">
        <v>2308</v>
      </c>
      <c r="X356" s="22" t="s">
        <v>2308</v>
      </c>
      <c r="Y356" s="22" t="s">
        <v>2308</v>
      </c>
      <c r="Z356" s="4" t="s">
        <v>2308</v>
      </c>
      <c r="AA356" s="4" t="s">
        <v>2308</v>
      </c>
      <c r="AB356" s="4" t="s">
        <v>2308</v>
      </c>
      <c r="AC356" s="5"/>
      <c r="AD356" s="5"/>
    </row>
    <row r="357" spans="1:30" ht="112" customHeight="1">
      <c r="A357" s="12" t="s">
        <v>1784</v>
      </c>
      <c r="B357" s="12" t="s">
        <v>1861</v>
      </c>
      <c r="C357" s="24" t="s">
        <v>24</v>
      </c>
      <c r="D357" s="24" t="s">
        <v>149</v>
      </c>
      <c r="E357" s="27" t="s">
        <v>136</v>
      </c>
      <c r="F357" s="20" t="s">
        <v>74</v>
      </c>
      <c r="G357" s="12" t="s">
        <v>2308</v>
      </c>
      <c r="H357" s="20" t="s">
        <v>531</v>
      </c>
      <c r="I357" s="4"/>
      <c r="J357" s="22" t="s">
        <v>2308</v>
      </c>
      <c r="K357" s="22" t="s">
        <v>2308</v>
      </c>
      <c r="L357" s="22" t="s">
        <v>2308</v>
      </c>
      <c r="M357" s="22" t="s">
        <v>2308</v>
      </c>
      <c r="N357" s="22" t="s">
        <v>2308</v>
      </c>
      <c r="O357" s="22" t="s">
        <v>2308</v>
      </c>
      <c r="P357" s="22" t="s">
        <v>2308</v>
      </c>
      <c r="Q357" s="22" t="s">
        <v>2308</v>
      </c>
      <c r="R357" s="22" t="s">
        <v>2308</v>
      </c>
      <c r="S357" s="22" t="s">
        <v>2308</v>
      </c>
      <c r="T357" s="22" t="s">
        <v>2308</v>
      </c>
      <c r="U357" s="22" t="s">
        <v>2308</v>
      </c>
      <c r="V357" s="22" t="s">
        <v>2308</v>
      </c>
      <c r="W357" s="22" t="s">
        <v>2308</v>
      </c>
      <c r="X357" s="22" t="s">
        <v>2308</v>
      </c>
      <c r="Y357" s="22" t="s">
        <v>2308</v>
      </c>
      <c r="Z357" s="4" t="s">
        <v>2308</v>
      </c>
      <c r="AA357" s="4" t="s">
        <v>2308</v>
      </c>
      <c r="AB357" s="4" t="s">
        <v>2308</v>
      </c>
      <c r="AC357" s="5"/>
      <c r="AD357" s="5"/>
    </row>
    <row r="358" spans="1:30" ht="112" customHeight="1">
      <c r="A358" s="12" t="s">
        <v>1784</v>
      </c>
      <c r="B358" s="12" t="s">
        <v>1862</v>
      </c>
      <c r="C358" s="24" t="s">
        <v>24</v>
      </c>
      <c r="D358" s="24" t="s">
        <v>27</v>
      </c>
      <c r="E358" s="27" t="s">
        <v>136</v>
      </c>
      <c r="F358" s="20" t="s">
        <v>167</v>
      </c>
      <c r="G358" s="12" t="s">
        <v>2308</v>
      </c>
      <c r="H358" s="20" t="s">
        <v>531</v>
      </c>
      <c r="I358" s="4"/>
      <c r="J358" s="22" t="s">
        <v>2308</v>
      </c>
      <c r="K358" s="22" t="s">
        <v>2308</v>
      </c>
      <c r="L358" s="22" t="s">
        <v>2308</v>
      </c>
      <c r="M358" s="22" t="s">
        <v>2308</v>
      </c>
      <c r="N358" s="22" t="s">
        <v>2308</v>
      </c>
      <c r="O358" s="22" t="s">
        <v>2308</v>
      </c>
      <c r="P358" s="22" t="s">
        <v>2308</v>
      </c>
      <c r="Q358" s="22" t="s">
        <v>2308</v>
      </c>
      <c r="R358" s="22" t="s">
        <v>2308</v>
      </c>
      <c r="S358" s="22" t="s">
        <v>2308</v>
      </c>
      <c r="T358" s="22" t="s">
        <v>2308</v>
      </c>
      <c r="U358" s="22" t="s">
        <v>2308</v>
      </c>
      <c r="V358" s="22" t="s">
        <v>2308</v>
      </c>
      <c r="W358" s="22" t="s">
        <v>2308</v>
      </c>
      <c r="X358" s="22" t="s">
        <v>2308</v>
      </c>
      <c r="Y358" s="22" t="s">
        <v>2308</v>
      </c>
      <c r="Z358" s="4" t="s">
        <v>2308</v>
      </c>
      <c r="AA358" s="4" t="s">
        <v>2308</v>
      </c>
      <c r="AB358" s="4" t="s">
        <v>2308</v>
      </c>
      <c r="AC358" s="5"/>
      <c r="AD358" s="5"/>
    </row>
    <row r="359" spans="1:30" ht="112" customHeight="1">
      <c r="A359" s="12" t="s">
        <v>1784</v>
      </c>
      <c r="B359" s="12" t="s">
        <v>1863</v>
      </c>
      <c r="C359" s="24" t="s">
        <v>24</v>
      </c>
      <c r="D359" s="24" t="s">
        <v>149</v>
      </c>
      <c r="E359" s="27" t="s">
        <v>404</v>
      </c>
      <c r="F359" s="20" t="s">
        <v>74</v>
      </c>
      <c r="G359" s="12" t="s">
        <v>2308</v>
      </c>
      <c r="H359" s="20" t="s">
        <v>531</v>
      </c>
      <c r="I359" s="4"/>
      <c r="J359" s="22" t="s">
        <v>2308</v>
      </c>
      <c r="K359" s="22" t="s">
        <v>2308</v>
      </c>
      <c r="L359" s="22" t="s">
        <v>2308</v>
      </c>
      <c r="M359" s="22" t="s">
        <v>2308</v>
      </c>
      <c r="N359" s="22" t="s">
        <v>2308</v>
      </c>
      <c r="O359" s="22" t="s">
        <v>2308</v>
      </c>
      <c r="P359" s="22" t="s">
        <v>2308</v>
      </c>
      <c r="Q359" s="22" t="s">
        <v>2308</v>
      </c>
      <c r="R359" s="22" t="s">
        <v>2308</v>
      </c>
      <c r="S359" s="22" t="s">
        <v>2308</v>
      </c>
      <c r="T359" s="22" t="s">
        <v>2308</v>
      </c>
      <c r="U359" s="22" t="s">
        <v>2308</v>
      </c>
      <c r="V359" s="22" t="s">
        <v>2308</v>
      </c>
      <c r="W359" s="22" t="s">
        <v>2308</v>
      </c>
      <c r="X359" s="22" t="s">
        <v>2308</v>
      </c>
      <c r="Y359" s="22" t="s">
        <v>2308</v>
      </c>
      <c r="Z359" s="4" t="s">
        <v>2308</v>
      </c>
      <c r="AA359" s="4" t="s">
        <v>2308</v>
      </c>
      <c r="AB359" s="4" t="s">
        <v>2308</v>
      </c>
      <c r="AC359" s="5"/>
      <c r="AD359" s="5"/>
    </row>
    <row r="360" spans="1:30" ht="112" customHeight="1">
      <c r="A360" s="12" t="s">
        <v>1785</v>
      </c>
      <c r="B360" s="12" t="s">
        <v>1864</v>
      </c>
      <c r="C360" s="24" t="s">
        <v>24</v>
      </c>
      <c r="D360" s="24" t="s">
        <v>149</v>
      </c>
      <c r="E360" s="27" t="s">
        <v>136</v>
      </c>
      <c r="F360" s="20" t="s">
        <v>74</v>
      </c>
      <c r="G360" s="12" t="s">
        <v>2308</v>
      </c>
      <c r="H360" s="20" t="s">
        <v>531</v>
      </c>
      <c r="I360" s="4"/>
      <c r="J360" s="22" t="s">
        <v>2308</v>
      </c>
      <c r="K360" s="22" t="s">
        <v>2308</v>
      </c>
      <c r="L360" s="22" t="s">
        <v>2308</v>
      </c>
      <c r="M360" s="22" t="s">
        <v>2308</v>
      </c>
      <c r="N360" s="22" t="s">
        <v>2308</v>
      </c>
      <c r="O360" s="22" t="s">
        <v>2308</v>
      </c>
      <c r="P360" s="22" t="s">
        <v>2308</v>
      </c>
      <c r="Q360" s="22" t="s">
        <v>2308</v>
      </c>
      <c r="R360" s="22" t="s">
        <v>2308</v>
      </c>
      <c r="S360" s="22" t="s">
        <v>2308</v>
      </c>
      <c r="T360" s="22" t="s">
        <v>2308</v>
      </c>
      <c r="U360" s="22" t="s">
        <v>2308</v>
      </c>
      <c r="V360" s="22" t="s">
        <v>2308</v>
      </c>
      <c r="W360" s="22" t="s">
        <v>2308</v>
      </c>
      <c r="X360" s="22" t="s">
        <v>2308</v>
      </c>
      <c r="Y360" s="22" t="s">
        <v>2308</v>
      </c>
      <c r="Z360" s="4" t="s">
        <v>2308</v>
      </c>
      <c r="AA360" s="4" t="s">
        <v>2308</v>
      </c>
      <c r="AB360" s="4" t="s">
        <v>2308</v>
      </c>
      <c r="AC360" s="5"/>
      <c r="AD360" s="5"/>
    </row>
    <row r="361" spans="1:30" ht="112" customHeight="1">
      <c r="A361" s="12" t="s">
        <v>1785</v>
      </c>
      <c r="B361" s="12" t="s">
        <v>1865</v>
      </c>
      <c r="C361" s="24" t="s">
        <v>24</v>
      </c>
      <c r="D361" s="24" t="s">
        <v>27</v>
      </c>
      <c r="E361" s="27" t="s">
        <v>136</v>
      </c>
      <c r="F361" s="20" t="s">
        <v>167</v>
      </c>
      <c r="G361" s="12" t="s">
        <v>2308</v>
      </c>
      <c r="H361" s="20" t="s">
        <v>531</v>
      </c>
      <c r="I361" s="4"/>
      <c r="J361" s="22" t="s">
        <v>2308</v>
      </c>
      <c r="K361" s="22" t="s">
        <v>2308</v>
      </c>
      <c r="L361" s="22" t="s">
        <v>2308</v>
      </c>
      <c r="M361" s="22" t="s">
        <v>2308</v>
      </c>
      <c r="N361" s="22" t="s">
        <v>2308</v>
      </c>
      <c r="O361" s="22" t="s">
        <v>2308</v>
      </c>
      <c r="P361" s="22" t="s">
        <v>2308</v>
      </c>
      <c r="Q361" s="22" t="s">
        <v>2308</v>
      </c>
      <c r="R361" s="22" t="s">
        <v>2308</v>
      </c>
      <c r="S361" s="22" t="s">
        <v>2308</v>
      </c>
      <c r="T361" s="22" t="s">
        <v>2308</v>
      </c>
      <c r="U361" s="22" t="s">
        <v>2308</v>
      </c>
      <c r="V361" s="22" t="s">
        <v>2308</v>
      </c>
      <c r="W361" s="22" t="s">
        <v>2308</v>
      </c>
      <c r="X361" s="22" t="s">
        <v>2308</v>
      </c>
      <c r="Y361" s="22" t="s">
        <v>2308</v>
      </c>
      <c r="Z361" s="4" t="s">
        <v>2308</v>
      </c>
      <c r="AA361" s="4" t="s">
        <v>2308</v>
      </c>
      <c r="AB361" s="4" t="s">
        <v>2308</v>
      </c>
      <c r="AC361" s="5"/>
      <c r="AD361" s="5"/>
    </row>
    <row r="362" spans="1:30" ht="112" customHeight="1">
      <c r="A362" s="12" t="s">
        <v>1785</v>
      </c>
      <c r="B362" s="12" t="s">
        <v>1866</v>
      </c>
      <c r="C362" s="24" t="s">
        <v>24</v>
      </c>
      <c r="D362" s="24" t="s">
        <v>149</v>
      </c>
      <c r="E362" s="27" t="s">
        <v>404</v>
      </c>
      <c r="F362" s="20" t="s">
        <v>74</v>
      </c>
      <c r="G362" s="12" t="s">
        <v>2308</v>
      </c>
      <c r="H362" s="20" t="s">
        <v>531</v>
      </c>
      <c r="I362" s="4"/>
      <c r="J362" s="22" t="s">
        <v>2308</v>
      </c>
      <c r="K362" s="22" t="s">
        <v>2308</v>
      </c>
      <c r="L362" s="22" t="s">
        <v>2308</v>
      </c>
      <c r="M362" s="22" t="s">
        <v>2308</v>
      </c>
      <c r="N362" s="22" t="s">
        <v>2308</v>
      </c>
      <c r="O362" s="22" t="s">
        <v>2308</v>
      </c>
      <c r="P362" s="22" t="s">
        <v>2308</v>
      </c>
      <c r="Q362" s="22" t="s">
        <v>2308</v>
      </c>
      <c r="R362" s="22" t="s">
        <v>2308</v>
      </c>
      <c r="S362" s="22" t="s">
        <v>2308</v>
      </c>
      <c r="T362" s="22" t="s">
        <v>2308</v>
      </c>
      <c r="U362" s="22" t="s">
        <v>2308</v>
      </c>
      <c r="V362" s="22" t="s">
        <v>2308</v>
      </c>
      <c r="W362" s="22" t="s">
        <v>2308</v>
      </c>
      <c r="X362" s="22" t="s">
        <v>2308</v>
      </c>
      <c r="Y362" s="22" t="s">
        <v>2308</v>
      </c>
      <c r="Z362" s="4" t="s">
        <v>2308</v>
      </c>
      <c r="AA362" s="4" t="s">
        <v>2308</v>
      </c>
      <c r="AB362" s="4" t="s">
        <v>2308</v>
      </c>
      <c r="AC362" s="5"/>
      <c r="AD362" s="5"/>
    </row>
    <row r="363" spans="1:30" ht="112" customHeight="1">
      <c r="A363" s="12" t="s">
        <v>1786</v>
      </c>
      <c r="B363" s="12" t="s">
        <v>1867</v>
      </c>
      <c r="C363" s="24" t="s">
        <v>24</v>
      </c>
      <c r="D363" s="24" t="s">
        <v>149</v>
      </c>
      <c r="E363" s="27" t="s">
        <v>136</v>
      </c>
      <c r="F363" s="20" t="s">
        <v>74</v>
      </c>
      <c r="G363" s="12" t="s">
        <v>2308</v>
      </c>
      <c r="H363" s="20" t="s">
        <v>531</v>
      </c>
      <c r="I363" s="4"/>
      <c r="J363" s="22" t="s">
        <v>2308</v>
      </c>
      <c r="K363" s="22" t="s">
        <v>2308</v>
      </c>
      <c r="L363" s="22" t="s">
        <v>2308</v>
      </c>
      <c r="M363" s="22" t="s">
        <v>2308</v>
      </c>
      <c r="N363" s="22" t="s">
        <v>2308</v>
      </c>
      <c r="O363" s="22" t="s">
        <v>2308</v>
      </c>
      <c r="P363" s="22" t="s">
        <v>2308</v>
      </c>
      <c r="Q363" s="22" t="s">
        <v>2308</v>
      </c>
      <c r="R363" s="22" t="s">
        <v>2308</v>
      </c>
      <c r="S363" s="22" t="s">
        <v>2308</v>
      </c>
      <c r="T363" s="22" t="s">
        <v>2308</v>
      </c>
      <c r="U363" s="22" t="s">
        <v>2308</v>
      </c>
      <c r="V363" s="22" t="s">
        <v>2308</v>
      </c>
      <c r="W363" s="22" t="s">
        <v>2308</v>
      </c>
      <c r="X363" s="22" t="s">
        <v>2308</v>
      </c>
      <c r="Y363" s="22" t="s">
        <v>2308</v>
      </c>
      <c r="Z363" s="4" t="s">
        <v>2308</v>
      </c>
      <c r="AA363" s="4" t="s">
        <v>2308</v>
      </c>
      <c r="AB363" s="4" t="s">
        <v>2308</v>
      </c>
      <c r="AC363" s="5"/>
      <c r="AD363" s="5"/>
    </row>
    <row r="364" spans="1:30" ht="112" customHeight="1">
      <c r="A364" s="12" t="s">
        <v>1786</v>
      </c>
      <c r="B364" s="12" t="s">
        <v>1868</v>
      </c>
      <c r="C364" s="24" t="s">
        <v>24</v>
      </c>
      <c r="D364" s="24" t="s">
        <v>27</v>
      </c>
      <c r="E364" s="27" t="s">
        <v>136</v>
      </c>
      <c r="F364" s="20" t="s">
        <v>167</v>
      </c>
      <c r="G364" s="12" t="s">
        <v>2308</v>
      </c>
      <c r="H364" s="20" t="s">
        <v>531</v>
      </c>
      <c r="I364" s="4"/>
      <c r="J364" s="22" t="s">
        <v>2308</v>
      </c>
      <c r="K364" s="22" t="s">
        <v>2308</v>
      </c>
      <c r="L364" s="22" t="s">
        <v>2308</v>
      </c>
      <c r="M364" s="22" t="s">
        <v>2308</v>
      </c>
      <c r="N364" s="22" t="s">
        <v>2308</v>
      </c>
      <c r="O364" s="22" t="s">
        <v>2308</v>
      </c>
      <c r="P364" s="22" t="s">
        <v>2308</v>
      </c>
      <c r="Q364" s="22" t="s">
        <v>2308</v>
      </c>
      <c r="R364" s="22" t="s">
        <v>2308</v>
      </c>
      <c r="S364" s="22" t="s">
        <v>2308</v>
      </c>
      <c r="T364" s="22" t="s">
        <v>2308</v>
      </c>
      <c r="U364" s="22" t="s">
        <v>2308</v>
      </c>
      <c r="V364" s="22" t="s">
        <v>2308</v>
      </c>
      <c r="W364" s="22" t="s">
        <v>2308</v>
      </c>
      <c r="X364" s="22" t="s">
        <v>2308</v>
      </c>
      <c r="Y364" s="22" t="s">
        <v>2308</v>
      </c>
      <c r="Z364" s="4" t="s">
        <v>2308</v>
      </c>
      <c r="AA364" s="4" t="s">
        <v>2308</v>
      </c>
      <c r="AB364" s="4" t="s">
        <v>2308</v>
      </c>
      <c r="AC364" s="5"/>
      <c r="AD364" s="5"/>
    </row>
    <row r="365" spans="1:30" ht="112" customHeight="1">
      <c r="A365" s="12" t="s">
        <v>1786</v>
      </c>
      <c r="B365" s="12" t="s">
        <v>1869</v>
      </c>
      <c r="C365" s="24" t="s">
        <v>24</v>
      </c>
      <c r="D365" s="24" t="s">
        <v>149</v>
      </c>
      <c r="E365" s="27" t="s">
        <v>404</v>
      </c>
      <c r="F365" s="20" t="s">
        <v>74</v>
      </c>
      <c r="G365" s="12" t="s">
        <v>2308</v>
      </c>
      <c r="H365" s="20" t="s">
        <v>531</v>
      </c>
      <c r="I365" s="4"/>
      <c r="J365" s="22" t="s">
        <v>2308</v>
      </c>
      <c r="K365" s="22" t="s">
        <v>2308</v>
      </c>
      <c r="L365" s="22" t="s">
        <v>2308</v>
      </c>
      <c r="M365" s="22" t="s">
        <v>2308</v>
      </c>
      <c r="N365" s="22" t="s">
        <v>2308</v>
      </c>
      <c r="O365" s="22" t="s">
        <v>2308</v>
      </c>
      <c r="P365" s="22" t="s">
        <v>2308</v>
      </c>
      <c r="Q365" s="22" t="s">
        <v>2308</v>
      </c>
      <c r="R365" s="22" t="s">
        <v>2308</v>
      </c>
      <c r="S365" s="22" t="s">
        <v>2308</v>
      </c>
      <c r="T365" s="22" t="s">
        <v>2308</v>
      </c>
      <c r="U365" s="22" t="s">
        <v>2308</v>
      </c>
      <c r="V365" s="22" t="s">
        <v>2308</v>
      </c>
      <c r="W365" s="22" t="s">
        <v>2308</v>
      </c>
      <c r="X365" s="22" t="s">
        <v>2308</v>
      </c>
      <c r="Y365" s="22" t="s">
        <v>2308</v>
      </c>
      <c r="Z365" s="4" t="s">
        <v>2308</v>
      </c>
      <c r="AA365" s="4" t="s">
        <v>2308</v>
      </c>
      <c r="AB365" s="4" t="s">
        <v>2308</v>
      </c>
      <c r="AC365" s="5"/>
      <c r="AD365" s="5"/>
    </row>
    <row r="366" spans="1:30" ht="112" customHeight="1">
      <c r="A366" s="12" t="s">
        <v>1787</v>
      </c>
      <c r="B366" s="12" t="s">
        <v>1870</v>
      </c>
      <c r="C366" s="24" t="s">
        <v>24</v>
      </c>
      <c r="D366" s="24" t="s">
        <v>149</v>
      </c>
      <c r="E366" s="27" t="s">
        <v>136</v>
      </c>
      <c r="F366" s="20" t="s">
        <v>74</v>
      </c>
      <c r="G366" s="12" t="s">
        <v>2308</v>
      </c>
      <c r="H366" s="20" t="s">
        <v>531</v>
      </c>
      <c r="I366" s="4"/>
      <c r="J366" s="22" t="s">
        <v>2308</v>
      </c>
      <c r="K366" s="22" t="s">
        <v>2308</v>
      </c>
      <c r="L366" s="22" t="s">
        <v>2308</v>
      </c>
      <c r="M366" s="22" t="s">
        <v>2308</v>
      </c>
      <c r="N366" s="22" t="s">
        <v>2308</v>
      </c>
      <c r="O366" s="22" t="s">
        <v>2308</v>
      </c>
      <c r="P366" s="22" t="s">
        <v>2308</v>
      </c>
      <c r="Q366" s="22" t="s">
        <v>2308</v>
      </c>
      <c r="R366" s="22" t="s">
        <v>2308</v>
      </c>
      <c r="S366" s="22" t="s">
        <v>2308</v>
      </c>
      <c r="T366" s="22" t="s">
        <v>2308</v>
      </c>
      <c r="U366" s="22" t="s">
        <v>2308</v>
      </c>
      <c r="V366" s="22" t="s">
        <v>2308</v>
      </c>
      <c r="W366" s="22" t="s">
        <v>2308</v>
      </c>
      <c r="X366" s="22" t="s">
        <v>2308</v>
      </c>
      <c r="Y366" s="22" t="s">
        <v>2308</v>
      </c>
      <c r="Z366" s="4" t="s">
        <v>2308</v>
      </c>
      <c r="AA366" s="4" t="s">
        <v>2308</v>
      </c>
      <c r="AB366" s="4" t="s">
        <v>2308</v>
      </c>
      <c r="AC366" s="5"/>
      <c r="AD366" s="5"/>
    </row>
    <row r="367" spans="1:30" ht="112" customHeight="1">
      <c r="A367" s="12" t="s">
        <v>1787</v>
      </c>
      <c r="B367" s="12" t="s">
        <v>1871</v>
      </c>
      <c r="C367" s="24" t="s">
        <v>24</v>
      </c>
      <c r="D367" s="24" t="s">
        <v>27</v>
      </c>
      <c r="E367" s="27" t="s">
        <v>136</v>
      </c>
      <c r="F367" s="20" t="s">
        <v>167</v>
      </c>
      <c r="G367" s="12" t="s">
        <v>2308</v>
      </c>
      <c r="H367" s="20" t="s">
        <v>531</v>
      </c>
      <c r="I367" s="4"/>
      <c r="J367" s="22" t="s">
        <v>2308</v>
      </c>
      <c r="K367" s="22" t="s">
        <v>2308</v>
      </c>
      <c r="L367" s="22" t="s">
        <v>2308</v>
      </c>
      <c r="M367" s="22" t="s">
        <v>2308</v>
      </c>
      <c r="N367" s="22" t="s">
        <v>2308</v>
      </c>
      <c r="O367" s="22" t="s">
        <v>2308</v>
      </c>
      <c r="P367" s="22" t="s">
        <v>2308</v>
      </c>
      <c r="Q367" s="22" t="s">
        <v>2308</v>
      </c>
      <c r="R367" s="22" t="s">
        <v>2308</v>
      </c>
      <c r="S367" s="22" t="s">
        <v>2308</v>
      </c>
      <c r="T367" s="22" t="s">
        <v>2308</v>
      </c>
      <c r="U367" s="22" t="s">
        <v>2308</v>
      </c>
      <c r="V367" s="22" t="s">
        <v>2308</v>
      </c>
      <c r="W367" s="22" t="s">
        <v>2308</v>
      </c>
      <c r="X367" s="22" t="s">
        <v>2308</v>
      </c>
      <c r="Y367" s="22" t="s">
        <v>2308</v>
      </c>
      <c r="Z367" s="4" t="s">
        <v>2308</v>
      </c>
      <c r="AA367" s="4" t="s">
        <v>2308</v>
      </c>
      <c r="AB367" s="4" t="s">
        <v>2308</v>
      </c>
      <c r="AC367" s="5"/>
      <c r="AD367" s="5"/>
    </row>
    <row r="368" spans="1:30" ht="112" customHeight="1">
      <c r="A368" s="12" t="s">
        <v>1788</v>
      </c>
      <c r="B368" s="12" t="s">
        <v>1872</v>
      </c>
      <c r="C368" s="24" t="s">
        <v>24</v>
      </c>
      <c r="D368" s="24" t="s">
        <v>149</v>
      </c>
      <c r="E368" s="27" t="s">
        <v>136</v>
      </c>
      <c r="F368" s="20" t="s">
        <v>74</v>
      </c>
      <c r="G368" s="12" t="s">
        <v>2308</v>
      </c>
      <c r="H368" s="20" t="s">
        <v>531</v>
      </c>
      <c r="I368" s="4"/>
      <c r="J368" s="22" t="s">
        <v>2308</v>
      </c>
      <c r="K368" s="22" t="s">
        <v>2308</v>
      </c>
      <c r="L368" s="22" t="s">
        <v>2308</v>
      </c>
      <c r="M368" s="22" t="s">
        <v>2308</v>
      </c>
      <c r="N368" s="22" t="s">
        <v>2308</v>
      </c>
      <c r="O368" s="22" t="s">
        <v>2308</v>
      </c>
      <c r="P368" s="22" t="s">
        <v>2308</v>
      </c>
      <c r="Q368" s="22" t="s">
        <v>2308</v>
      </c>
      <c r="R368" s="22" t="s">
        <v>2308</v>
      </c>
      <c r="S368" s="22" t="s">
        <v>2308</v>
      </c>
      <c r="T368" s="22" t="s">
        <v>2308</v>
      </c>
      <c r="U368" s="22" t="s">
        <v>2308</v>
      </c>
      <c r="V368" s="22" t="s">
        <v>2308</v>
      </c>
      <c r="W368" s="22" t="s">
        <v>2308</v>
      </c>
      <c r="X368" s="22" t="s">
        <v>2308</v>
      </c>
      <c r="Y368" s="22" t="s">
        <v>2308</v>
      </c>
      <c r="Z368" s="4" t="s">
        <v>2308</v>
      </c>
      <c r="AA368" s="4" t="s">
        <v>2308</v>
      </c>
      <c r="AB368" s="4" t="s">
        <v>2308</v>
      </c>
      <c r="AC368" s="5"/>
      <c r="AD368" s="5"/>
    </row>
    <row r="369" spans="1:30" ht="112" customHeight="1">
      <c r="A369" s="12" t="s">
        <v>1788</v>
      </c>
      <c r="B369" s="12" t="s">
        <v>1873</v>
      </c>
      <c r="C369" s="24" t="s">
        <v>24</v>
      </c>
      <c r="D369" s="24" t="s">
        <v>27</v>
      </c>
      <c r="E369" s="27" t="s">
        <v>136</v>
      </c>
      <c r="F369" s="20" t="s">
        <v>167</v>
      </c>
      <c r="G369" s="12" t="s">
        <v>2308</v>
      </c>
      <c r="H369" s="20" t="s">
        <v>531</v>
      </c>
      <c r="I369" s="4"/>
      <c r="J369" s="22" t="s">
        <v>2308</v>
      </c>
      <c r="K369" s="22" t="s">
        <v>2308</v>
      </c>
      <c r="L369" s="22" t="s">
        <v>2308</v>
      </c>
      <c r="M369" s="22" t="s">
        <v>2308</v>
      </c>
      <c r="N369" s="22" t="s">
        <v>2308</v>
      </c>
      <c r="O369" s="22" t="s">
        <v>2308</v>
      </c>
      <c r="P369" s="22" t="s">
        <v>2308</v>
      </c>
      <c r="Q369" s="22" t="s">
        <v>2308</v>
      </c>
      <c r="R369" s="22" t="s">
        <v>2308</v>
      </c>
      <c r="S369" s="22" t="s">
        <v>2308</v>
      </c>
      <c r="T369" s="22" t="s">
        <v>2308</v>
      </c>
      <c r="U369" s="22" t="s">
        <v>2308</v>
      </c>
      <c r="V369" s="22" t="s">
        <v>2308</v>
      </c>
      <c r="W369" s="22" t="s">
        <v>2308</v>
      </c>
      <c r="X369" s="22" t="s">
        <v>2308</v>
      </c>
      <c r="Y369" s="22" t="s">
        <v>2308</v>
      </c>
      <c r="Z369" s="4" t="s">
        <v>2308</v>
      </c>
      <c r="AA369" s="4" t="s">
        <v>2308</v>
      </c>
      <c r="AB369" s="4" t="s">
        <v>2308</v>
      </c>
      <c r="AC369" s="5"/>
      <c r="AD369" s="5"/>
    </row>
    <row r="370" spans="1:30" ht="112" customHeight="1">
      <c r="A370" s="12" t="s">
        <v>1788</v>
      </c>
      <c r="B370" s="12" t="s">
        <v>1874</v>
      </c>
      <c r="C370" s="24" t="s">
        <v>24</v>
      </c>
      <c r="D370" s="24" t="s">
        <v>149</v>
      </c>
      <c r="E370" s="27" t="s">
        <v>404</v>
      </c>
      <c r="F370" s="20" t="s">
        <v>74</v>
      </c>
      <c r="G370" s="12" t="s">
        <v>2308</v>
      </c>
      <c r="H370" s="20" t="s">
        <v>531</v>
      </c>
      <c r="I370" s="4"/>
      <c r="J370" s="22" t="s">
        <v>2308</v>
      </c>
      <c r="K370" s="22" t="s">
        <v>2308</v>
      </c>
      <c r="L370" s="22" t="s">
        <v>2308</v>
      </c>
      <c r="M370" s="22" t="s">
        <v>2308</v>
      </c>
      <c r="N370" s="22" t="s">
        <v>2308</v>
      </c>
      <c r="O370" s="22" t="s">
        <v>2308</v>
      </c>
      <c r="P370" s="22" t="s">
        <v>2308</v>
      </c>
      <c r="Q370" s="22" t="s">
        <v>2308</v>
      </c>
      <c r="R370" s="22" t="s">
        <v>2308</v>
      </c>
      <c r="S370" s="22" t="s">
        <v>2308</v>
      </c>
      <c r="T370" s="22" t="s">
        <v>2308</v>
      </c>
      <c r="U370" s="22" t="s">
        <v>2308</v>
      </c>
      <c r="V370" s="22" t="s">
        <v>2308</v>
      </c>
      <c r="W370" s="22" t="s">
        <v>2308</v>
      </c>
      <c r="X370" s="22" t="s">
        <v>2308</v>
      </c>
      <c r="Y370" s="22" t="s">
        <v>2308</v>
      </c>
      <c r="Z370" s="4" t="s">
        <v>2308</v>
      </c>
      <c r="AA370" s="4" t="s">
        <v>2308</v>
      </c>
      <c r="AB370" s="4" t="s">
        <v>2308</v>
      </c>
      <c r="AC370" s="5"/>
      <c r="AD370" s="5"/>
    </row>
    <row r="371" spans="1:30" ht="112" customHeight="1">
      <c r="A371" s="12" t="s">
        <v>1789</v>
      </c>
      <c r="B371" s="12" t="s">
        <v>1875</v>
      </c>
      <c r="C371" s="24" t="s">
        <v>24</v>
      </c>
      <c r="D371" s="24" t="s">
        <v>149</v>
      </c>
      <c r="E371" s="27" t="s">
        <v>136</v>
      </c>
      <c r="F371" s="20" t="s">
        <v>74</v>
      </c>
      <c r="G371" s="12" t="s">
        <v>2308</v>
      </c>
      <c r="H371" s="20" t="s">
        <v>531</v>
      </c>
      <c r="I371" s="4"/>
      <c r="J371" s="22" t="s">
        <v>2308</v>
      </c>
      <c r="K371" s="22" t="s">
        <v>2308</v>
      </c>
      <c r="L371" s="22" t="s">
        <v>2308</v>
      </c>
      <c r="M371" s="22" t="s">
        <v>2308</v>
      </c>
      <c r="N371" s="22" t="s">
        <v>2308</v>
      </c>
      <c r="O371" s="22" t="s">
        <v>2308</v>
      </c>
      <c r="P371" s="22" t="s">
        <v>2308</v>
      </c>
      <c r="Q371" s="22" t="s">
        <v>2308</v>
      </c>
      <c r="R371" s="22" t="s">
        <v>2308</v>
      </c>
      <c r="S371" s="22" t="s">
        <v>2308</v>
      </c>
      <c r="T371" s="22" t="s">
        <v>2308</v>
      </c>
      <c r="U371" s="22" t="s">
        <v>2308</v>
      </c>
      <c r="V371" s="22" t="s">
        <v>2308</v>
      </c>
      <c r="W371" s="22" t="s">
        <v>2308</v>
      </c>
      <c r="X371" s="22" t="s">
        <v>2308</v>
      </c>
      <c r="Y371" s="22" t="s">
        <v>2308</v>
      </c>
      <c r="Z371" s="4" t="s">
        <v>2308</v>
      </c>
      <c r="AA371" s="4" t="s">
        <v>2308</v>
      </c>
      <c r="AB371" s="4" t="s">
        <v>2308</v>
      </c>
      <c r="AC371" s="5"/>
      <c r="AD371" s="5"/>
    </row>
    <row r="372" spans="1:30" ht="112" customHeight="1">
      <c r="A372" s="12" t="s">
        <v>1789</v>
      </c>
      <c r="B372" s="12" t="s">
        <v>1876</v>
      </c>
      <c r="C372" s="24" t="s">
        <v>24</v>
      </c>
      <c r="D372" s="24" t="s">
        <v>27</v>
      </c>
      <c r="E372" s="27" t="s">
        <v>136</v>
      </c>
      <c r="F372" s="20" t="s">
        <v>167</v>
      </c>
      <c r="G372" s="12" t="s">
        <v>2308</v>
      </c>
      <c r="H372" s="20" t="s">
        <v>531</v>
      </c>
      <c r="I372" s="4"/>
      <c r="J372" s="22" t="s">
        <v>2308</v>
      </c>
      <c r="K372" s="22" t="s">
        <v>2308</v>
      </c>
      <c r="L372" s="22" t="s">
        <v>2308</v>
      </c>
      <c r="M372" s="22" t="s">
        <v>2308</v>
      </c>
      <c r="N372" s="22" t="s">
        <v>2308</v>
      </c>
      <c r="O372" s="22" t="s">
        <v>2308</v>
      </c>
      <c r="P372" s="22" t="s">
        <v>2308</v>
      </c>
      <c r="Q372" s="22" t="s">
        <v>2308</v>
      </c>
      <c r="R372" s="22" t="s">
        <v>2308</v>
      </c>
      <c r="S372" s="22" t="s">
        <v>2308</v>
      </c>
      <c r="T372" s="22" t="s">
        <v>2308</v>
      </c>
      <c r="U372" s="22" t="s">
        <v>2308</v>
      </c>
      <c r="V372" s="22" t="s">
        <v>2308</v>
      </c>
      <c r="W372" s="22" t="s">
        <v>2308</v>
      </c>
      <c r="X372" s="22" t="s">
        <v>2308</v>
      </c>
      <c r="Y372" s="22" t="s">
        <v>2308</v>
      </c>
      <c r="Z372" s="4" t="s">
        <v>2308</v>
      </c>
      <c r="AA372" s="4" t="s">
        <v>2308</v>
      </c>
      <c r="AB372" s="4" t="s">
        <v>2308</v>
      </c>
      <c r="AC372" s="5"/>
      <c r="AD372" s="5"/>
    </row>
    <row r="373" spans="1:30" ht="112" customHeight="1">
      <c r="A373" s="12" t="s">
        <v>1790</v>
      </c>
      <c r="B373" s="12" t="s">
        <v>1877</v>
      </c>
      <c r="C373" s="24" t="s">
        <v>24</v>
      </c>
      <c r="D373" s="24" t="s">
        <v>149</v>
      </c>
      <c r="E373" s="27" t="s">
        <v>404</v>
      </c>
      <c r="F373" s="20" t="s">
        <v>74</v>
      </c>
      <c r="G373" s="12" t="s">
        <v>2308</v>
      </c>
      <c r="H373" s="20" t="s">
        <v>531</v>
      </c>
      <c r="I373" s="4"/>
      <c r="J373" s="22" t="s">
        <v>2308</v>
      </c>
      <c r="K373" s="22" t="s">
        <v>2308</v>
      </c>
      <c r="L373" s="22" t="s">
        <v>2308</v>
      </c>
      <c r="M373" s="22" t="s">
        <v>2308</v>
      </c>
      <c r="N373" s="22" t="s">
        <v>2308</v>
      </c>
      <c r="O373" s="22" t="s">
        <v>2308</v>
      </c>
      <c r="P373" s="22" t="s">
        <v>2308</v>
      </c>
      <c r="Q373" s="22" t="s">
        <v>2308</v>
      </c>
      <c r="R373" s="22" t="s">
        <v>2308</v>
      </c>
      <c r="S373" s="22" t="s">
        <v>2308</v>
      </c>
      <c r="T373" s="22" t="s">
        <v>2308</v>
      </c>
      <c r="U373" s="22" t="s">
        <v>2308</v>
      </c>
      <c r="V373" s="22" t="s">
        <v>2308</v>
      </c>
      <c r="W373" s="22" t="s">
        <v>2308</v>
      </c>
      <c r="X373" s="22" t="s">
        <v>2308</v>
      </c>
      <c r="Y373" s="22" t="s">
        <v>2308</v>
      </c>
      <c r="Z373" s="4" t="s">
        <v>2308</v>
      </c>
      <c r="AA373" s="4" t="s">
        <v>2308</v>
      </c>
      <c r="AB373" s="4" t="s">
        <v>2308</v>
      </c>
      <c r="AC373" s="5"/>
      <c r="AD373" s="5"/>
    </row>
    <row r="374" spans="1:30" ht="112" customHeight="1">
      <c r="A374" s="12" t="s">
        <v>1791</v>
      </c>
      <c r="B374" s="12" t="s">
        <v>1878</v>
      </c>
      <c r="C374" s="24" t="s">
        <v>24</v>
      </c>
      <c r="D374" s="24" t="s">
        <v>149</v>
      </c>
      <c r="E374" s="27" t="s">
        <v>404</v>
      </c>
      <c r="F374" s="20" t="s">
        <v>74</v>
      </c>
      <c r="G374" s="12" t="s">
        <v>2308</v>
      </c>
      <c r="H374" s="20" t="s">
        <v>531</v>
      </c>
      <c r="I374" s="4"/>
      <c r="J374" s="22" t="s">
        <v>2308</v>
      </c>
      <c r="K374" s="22" t="s">
        <v>2308</v>
      </c>
      <c r="L374" s="22" t="s">
        <v>2308</v>
      </c>
      <c r="M374" s="22" t="s">
        <v>2308</v>
      </c>
      <c r="N374" s="22" t="s">
        <v>2308</v>
      </c>
      <c r="O374" s="22" t="s">
        <v>2308</v>
      </c>
      <c r="P374" s="22" t="s">
        <v>2308</v>
      </c>
      <c r="Q374" s="22" t="s">
        <v>2308</v>
      </c>
      <c r="R374" s="22" t="s">
        <v>2308</v>
      </c>
      <c r="S374" s="22" t="s">
        <v>2308</v>
      </c>
      <c r="T374" s="22" t="s">
        <v>2308</v>
      </c>
      <c r="U374" s="22" t="s">
        <v>2308</v>
      </c>
      <c r="V374" s="22" t="s">
        <v>2308</v>
      </c>
      <c r="W374" s="22" t="s">
        <v>2308</v>
      </c>
      <c r="X374" s="22" t="s">
        <v>2308</v>
      </c>
      <c r="Y374" s="22" t="s">
        <v>2308</v>
      </c>
      <c r="Z374" s="4" t="s">
        <v>2308</v>
      </c>
      <c r="AA374" s="4" t="s">
        <v>2308</v>
      </c>
      <c r="AB374" s="4" t="s">
        <v>2308</v>
      </c>
      <c r="AC374" s="5"/>
      <c r="AD374" s="5"/>
    </row>
    <row r="375" spans="1:30" ht="112" customHeight="1">
      <c r="A375" s="12" t="s">
        <v>1792</v>
      </c>
      <c r="B375" s="12" t="s">
        <v>1879</v>
      </c>
      <c r="C375" s="24" t="s">
        <v>24</v>
      </c>
      <c r="D375" s="24" t="s">
        <v>149</v>
      </c>
      <c r="E375" s="27" t="s">
        <v>136</v>
      </c>
      <c r="F375" s="20" t="s">
        <v>74</v>
      </c>
      <c r="G375" s="12" t="s">
        <v>2308</v>
      </c>
      <c r="H375" s="20" t="s">
        <v>531</v>
      </c>
      <c r="I375" s="4"/>
      <c r="J375" s="22" t="s">
        <v>2308</v>
      </c>
      <c r="K375" s="22" t="s">
        <v>2308</v>
      </c>
      <c r="L375" s="22" t="s">
        <v>2308</v>
      </c>
      <c r="M375" s="22" t="s">
        <v>2308</v>
      </c>
      <c r="N375" s="22" t="s">
        <v>2308</v>
      </c>
      <c r="O375" s="22" t="s">
        <v>2308</v>
      </c>
      <c r="P375" s="22" t="s">
        <v>2308</v>
      </c>
      <c r="Q375" s="22" t="s">
        <v>2308</v>
      </c>
      <c r="R375" s="22" t="s">
        <v>2308</v>
      </c>
      <c r="S375" s="22" t="s">
        <v>2308</v>
      </c>
      <c r="T375" s="22" t="s">
        <v>2308</v>
      </c>
      <c r="U375" s="22" t="s">
        <v>2308</v>
      </c>
      <c r="V375" s="22" t="s">
        <v>2308</v>
      </c>
      <c r="W375" s="22" t="s">
        <v>2308</v>
      </c>
      <c r="X375" s="22" t="s">
        <v>2308</v>
      </c>
      <c r="Y375" s="22" t="s">
        <v>2308</v>
      </c>
      <c r="Z375" s="4" t="s">
        <v>2308</v>
      </c>
      <c r="AA375" s="4" t="s">
        <v>2308</v>
      </c>
      <c r="AB375" s="4" t="s">
        <v>2308</v>
      </c>
      <c r="AC375" s="5"/>
      <c r="AD375" s="5"/>
    </row>
    <row r="376" spans="1:30" ht="112" customHeight="1">
      <c r="A376" s="12" t="s">
        <v>1792</v>
      </c>
      <c r="B376" s="12" t="s">
        <v>1880</v>
      </c>
      <c r="C376" s="24" t="s">
        <v>24</v>
      </c>
      <c r="D376" s="24" t="s">
        <v>27</v>
      </c>
      <c r="E376" s="27" t="s">
        <v>136</v>
      </c>
      <c r="F376" s="20" t="s">
        <v>167</v>
      </c>
      <c r="G376" s="12" t="s">
        <v>2308</v>
      </c>
      <c r="H376" s="20" t="s">
        <v>531</v>
      </c>
      <c r="I376" s="4"/>
      <c r="J376" s="22" t="s">
        <v>2308</v>
      </c>
      <c r="K376" s="22" t="s">
        <v>2308</v>
      </c>
      <c r="L376" s="22" t="s">
        <v>2308</v>
      </c>
      <c r="M376" s="22" t="s">
        <v>2308</v>
      </c>
      <c r="N376" s="22" t="s">
        <v>2308</v>
      </c>
      <c r="O376" s="22" t="s">
        <v>2308</v>
      </c>
      <c r="P376" s="22" t="s">
        <v>2308</v>
      </c>
      <c r="Q376" s="22" t="s">
        <v>2308</v>
      </c>
      <c r="R376" s="22" t="s">
        <v>2308</v>
      </c>
      <c r="S376" s="22" t="s">
        <v>2308</v>
      </c>
      <c r="T376" s="22" t="s">
        <v>2308</v>
      </c>
      <c r="U376" s="22" t="s">
        <v>2308</v>
      </c>
      <c r="V376" s="22" t="s">
        <v>2308</v>
      </c>
      <c r="W376" s="22" t="s">
        <v>2308</v>
      </c>
      <c r="X376" s="22" t="s">
        <v>2308</v>
      </c>
      <c r="Y376" s="22" t="s">
        <v>2308</v>
      </c>
      <c r="Z376" s="4" t="s">
        <v>2308</v>
      </c>
      <c r="AA376" s="4" t="s">
        <v>2308</v>
      </c>
      <c r="AB376" s="4" t="s">
        <v>2308</v>
      </c>
      <c r="AC376" s="5"/>
      <c r="AD376" s="5"/>
    </row>
    <row r="377" spans="1:30" ht="112" customHeight="1">
      <c r="A377" s="12" t="s">
        <v>1792</v>
      </c>
      <c r="B377" s="12" t="s">
        <v>1881</v>
      </c>
      <c r="C377" s="24" t="s">
        <v>24</v>
      </c>
      <c r="D377" s="24" t="s">
        <v>149</v>
      </c>
      <c r="E377" s="27" t="s">
        <v>404</v>
      </c>
      <c r="F377" s="20" t="s">
        <v>74</v>
      </c>
      <c r="G377" s="12" t="s">
        <v>2308</v>
      </c>
      <c r="H377" s="20" t="s">
        <v>531</v>
      </c>
      <c r="I377" s="4"/>
      <c r="J377" s="22" t="s">
        <v>2308</v>
      </c>
      <c r="K377" s="22" t="s">
        <v>2308</v>
      </c>
      <c r="L377" s="22" t="s">
        <v>2308</v>
      </c>
      <c r="M377" s="22" t="s">
        <v>2308</v>
      </c>
      <c r="N377" s="22" t="s">
        <v>2308</v>
      </c>
      <c r="O377" s="22" t="s">
        <v>2308</v>
      </c>
      <c r="P377" s="22" t="s">
        <v>2308</v>
      </c>
      <c r="Q377" s="22" t="s">
        <v>2308</v>
      </c>
      <c r="R377" s="22" t="s">
        <v>2308</v>
      </c>
      <c r="S377" s="22" t="s">
        <v>2308</v>
      </c>
      <c r="T377" s="22" t="s">
        <v>2308</v>
      </c>
      <c r="U377" s="22" t="s">
        <v>2308</v>
      </c>
      <c r="V377" s="22" t="s">
        <v>2308</v>
      </c>
      <c r="W377" s="22" t="s">
        <v>2308</v>
      </c>
      <c r="X377" s="22" t="s">
        <v>2308</v>
      </c>
      <c r="Y377" s="22" t="s">
        <v>2308</v>
      </c>
      <c r="Z377" s="4" t="s">
        <v>2308</v>
      </c>
      <c r="AA377" s="4" t="s">
        <v>2308</v>
      </c>
      <c r="AB377" s="4" t="s">
        <v>2308</v>
      </c>
      <c r="AC377" s="5"/>
      <c r="AD377" s="5"/>
    </row>
    <row r="378" spans="1:30" ht="112" customHeight="1">
      <c r="A378" s="12" t="s">
        <v>1793</v>
      </c>
      <c r="B378" s="12" t="s">
        <v>1882</v>
      </c>
      <c r="C378" s="24" t="s">
        <v>24</v>
      </c>
      <c r="D378" s="24" t="s">
        <v>149</v>
      </c>
      <c r="E378" s="27" t="s">
        <v>136</v>
      </c>
      <c r="F378" s="20" t="s">
        <v>74</v>
      </c>
      <c r="G378" s="12" t="s">
        <v>2308</v>
      </c>
      <c r="H378" s="20" t="s">
        <v>531</v>
      </c>
      <c r="I378" s="4"/>
      <c r="J378" s="22" t="s">
        <v>2308</v>
      </c>
      <c r="K378" s="22" t="s">
        <v>2308</v>
      </c>
      <c r="L378" s="22" t="s">
        <v>2308</v>
      </c>
      <c r="M378" s="22" t="s">
        <v>2308</v>
      </c>
      <c r="N378" s="22" t="s">
        <v>2308</v>
      </c>
      <c r="O378" s="22" t="s">
        <v>2308</v>
      </c>
      <c r="P378" s="22" t="s">
        <v>2308</v>
      </c>
      <c r="Q378" s="22" t="s">
        <v>2308</v>
      </c>
      <c r="R378" s="22" t="s">
        <v>2308</v>
      </c>
      <c r="S378" s="22" t="s">
        <v>2308</v>
      </c>
      <c r="T378" s="22" t="s">
        <v>2308</v>
      </c>
      <c r="U378" s="22" t="s">
        <v>2308</v>
      </c>
      <c r="V378" s="22" t="s">
        <v>2308</v>
      </c>
      <c r="W378" s="22" t="s">
        <v>2308</v>
      </c>
      <c r="X378" s="22" t="s">
        <v>2308</v>
      </c>
      <c r="Y378" s="22" t="s">
        <v>2308</v>
      </c>
      <c r="Z378" s="4" t="s">
        <v>2308</v>
      </c>
      <c r="AA378" s="4" t="s">
        <v>2308</v>
      </c>
      <c r="AB378" s="4" t="s">
        <v>2308</v>
      </c>
      <c r="AC378" s="5"/>
      <c r="AD378" s="5"/>
    </row>
    <row r="379" spans="1:30" ht="112" customHeight="1">
      <c r="A379" s="12" t="s">
        <v>1793</v>
      </c>
      <c r="B379" s="12" t="s">
        <v>1883</v>
      </c>
      <c r="C379" s="24" t="s">
        <v>24</v>
      </c>
      <c r="D379" s="24" t="s">
        <v>27</v>
      </c>
      <c r="E379" s="27" t="s">
        <v>136</v>
      </c>
      <c r="F379" s="20" t="s">
        <v>167</v>
      </c>
      <c r="G379" s="12" t="s">
        <v>2308</v>
      </c>
      <c r="H379" s="20" t="s">
        <v>531</v>
      </c>
      <c r="I379" s="4"/>
      <c r="J379" s="22" t="s">
        <v>2308</v>
      </c>
      <c r="K379" s="22" t="s">
        <v>2308</v>
      </c>
      <c r="L379" s="22" t="s">
        <v>2308</v>
      </c>
      <c r="M379" s="22" t="s">
        <v>2308</v>
      </c>
      <c r="N379" s="22" t="s">
        <v>2308</v>
      </c>
      <c r="O379" s="22" t="s">
        <v>2308</v>
      </c>
      <c r="P379" s="22" t="s">
        <v>2308</v>
      </c>
      <c r="Q379" s="22" t="s">
        <v>2308</v>
      </c>
      <c r="R379" s="22" t="s">
        <v>2308</v>
      </c>
      <c r="S379" s="22" t="s">
        <v>2308</v>
      </c>
      <c r="T379" s="22" t="s">
        <v>2308</v>
      </c>
      <c r="U379" s="22" t="s">
        <v>2308</v>
      </c>
      <c r="V379" s="22" t="s">
        <v>2308</v>
      </c>
      <c r="W379" s="22" t="s">
        <v>2308</v>
      </c>
      <c r="X379" s="22" t="s">
        <v>2308</v>
      </c>
      <c r="Y379" s="22" t="s">
        <v>2308</v>
      </c>
      <c r="Z379" s="4" t="s">
        <v>2308</v>
      </c>
      <c r="AA379" s="4" t="s">
        <v>2308</v>
      </c>
      <c r="AB379" s="4" t="s">
        <v>2308</v>
      </c>
      <c r="AC379" s="5"/>
      <c r="AD379" s="5"/>
    </row>
    <row r="380" spans="1:30" ht="112" customHeight="1">
      <c r="A380" s="12" t="s">
        <v>1793</v>
      </c>
      <c r="B380" s="12" t="s">
        <v>1884</v>
      </c>
      <c r="C380" s="24" t="s">
        <v>24</v>
      </c>
      <c r="D380" s="24" t="s">
        <v>149</v>
      </c>
      <c r="E380" s="27" t="s">
        <v>404</v>
      </c>
      <c r="F380" s="20" t="s">
        <v>74</v>
      </c>
      <c r="G380" s="12" t="s">
        <v>2308</v>
      </c>
      <c r="H380" s="20" t="s">
        <v>531</v>
      </c>
      <c r="I380" s="4"/>
      <c r="J380" s="22" t="s">
        <v>2308</v>
      </c>
      <c r="K380" s="22" t="s">
        <v>2308</v>
      </c>
      <c r="L380" s="22" t="s">
        <v>2308</v>
      </c>
      <c r="M380" s="22" t="s">
        <v>2308</v>
      </c>
      <c r="N380" s="22" t="s">
        <v>2308</v>
      </c>
      <c r="O380" s="22" t="s">
        <v>2308</v>
      </c>
      <c r="P380" s="22" t="s">
        <v>2308</v>
      </c>
      <c r="Q380" s="22" t="s">
        <v>2308</v>
      </c>
      <c r="R380" s="22" t="s">
        <v>2308</v>
      </c>
      <c r="S380" s="22" t="s">
        <v>2308</v>
      </c>
      <c r="T380" s="22" t="s">
        <v>2308</v>
      </c>
      <c r="U380" s="22" t="s">
        <v>2308</v>
      </c>
      <c r="V380" s="22" t="s">
        <v>2308</v>
      </c>
      <c r="W380" s="22" t="s">
        <v>2308</v>
      </c>
      <c r="X380" s="22" t="s">
        <v>2308</v>
      </c>
      <c r="Y380" s="22" t="s">
        <v>2308</v>
      </c>
      <c r="Z380" s="4" t="s">
        <v>2308</v>
      </c>
      <c r="AA380" s="4" t="s">
        <v>2308</v>
      </c>
      <c r="AB380" s="4" t="s">
        <v>2308</v>
      </c>
      <c r="AC380" s="5"/>
      <c r="AD380" s="5"/>
    </row>
    <row r="381" spans="1:30" ht="112" customHeight="1">
      <c r="A381" s="12" t="s">
        <v>1794</v>
      </c>
      <c r="B381" s="12" t="s">
        <v>1885</v>
      </c>
      <c r="C381" s="24" t="s">
        <v>24</v>
      </c>
      <c r="D381" s="24" t="s">
        <v>149</v>
      </c>
      <c r="E381" s="27" t="s">
        <v>136</v>
      </c>
      <c r="F381" s="20" t="s">
        <v>74</v>
      </c>
      <c r="G381" s="12" t="s">
        <v>2308</v>
      </c>
      <c r="H381" s="20" t="s">
        <v>531</v>
      </c>
      <c r="I381" s="4"/>
      <c r="J381" s="22" t="s">
        <v>2308</v>
      </c>
      <c r="K381" s="22" t="s">
        <v>2308</v>
      </c>
      <c r="L381" s="22" t="s">
        <v>2308</v>
      </c>
      <c r="M381" s="22" t="s">
        <v>2308</v>
      </c>
      <c r="N381" s="22" t="s">
        <v>2308</v>
      </c>
      <c r="O381" s="22" t="s">
        <v>2308</v>
      </c>
      <c r="P381" s="22" t="s">
        <v>2308</v>
      </c>
      <c r="Q381" s="22" t="s">
        <v>2308</v>
      </c>
      <c r="R381" s="22" t="s">
        <v>2308</v>
      </c>
      <c r="S381" s="22" t="s">
        <v>2308</v>
      </c>
      <c r="T381" s="22" t="s">
        <v>2308</v>
      </c>
      <c r="U381" s="22" t="s">
        <v>2308</v>
      </c>
      <c r="V381" s="22" t="s">
        <v>2308</v>
      </c>
      <c r="W381" s="22" t="s">
        <v>2308</v>
      </c>
      <c r="X381" s="22" t="s">
        <v>2308</v>
      </c>
      <c r="Y381" s="22" t="s">
        <v>2308</v>
      </c>
      <c r="Z381" s="4" t="s">
        <v>2308</v>
      </c>
      <c r="AA381" s="4" t="s">
        <v>2308</v>
      </c>
      <c r="AB381" s="4" t="s">
        <v>2308</v>
      </c>
      <c r="AC381" s="5"/>
      <c r="AD381" s="5"/>
    </row>
    <row r="382" spans="1:30" ht="112" customHeight="1">
      <c r="A382" s="12" t="s">
        <v>1794</v>
      </c>
      <c r="B382" s="12" t="s">
        <v>1886</v>
      </c>
      <c r="C382" s="24" t="s">
        <v>24</v>
      </c>
      <c r="D382" s="24" t="s">
        <v>27</v>
      </c>
      <c r="E382" s="27" t="s">
        <v>136</v>
      </c>
      <c r="F382" s="27" t="s">
        <v>167</v>
      </c>
      <c r="G382" s="12" t="s">
        <v>2308</v>
      </c>
      <c r="H382" s="20" t="s">
        <v>531</v>
      </c>
      <c r="I382" s="4"/>
      <c r="J382" s="22" t="s">
        <v>2308</v>
      </c>
      <c r="K382" s="22" t="s">
        <v>2308</v>
      </c>
      <c r="L382" s="22" t="s">
        <v>2308</v>
      </c>
      <c r="M382" s="22" t="s">
        <v>2308</v>
      </c>
      <c r="N382" s="22" t="s">
        <v>2308</v>
      </c>
      <c r="O382" s="22" t="s">
        <v>2308</v>
      </c>
      <c r="P382" s="22" t="s">
        <v>2308</v>
      </c>
      <c r="Q382" s="22" t="s">
        <v>2308</v>
      </c>
      <c r="R382" s="22" t="s">
        <v>2308</v>
      </c>
      <c r="S382" s="22" t="s">
        <v>2308</v>
      </c>
      <c r="T382" s="22" t="s">
        <v>2308</v>
      </c>
      <c r="U382" s="22" t="s">
        <v>2308</v>
      </c>
      <c r="V382" s="22" t="s">
        <v>2308</v>
      </c>
      <c r="W382" s="22" t="s">
        <v>2308</v>
      </c>
      <c r="X382" s="22" t="s">
        <v>2308</v>
      </c>
      <c r="Y382" s="22" t="s">
        <v>2308</v>
      </c>
      <c r="Z382" s="4" t="s">
        <v>2308</v>
      </c>
      <c r="AA382" s="4" t="s">
        <v>2308</v>
      </c>
      <c r="AB382" s="4" t="s">
        <v>2308</v>
      </c>
      <c r="AC382" s="5"/>
      <c r="AD382" s="5"/>
    </row>
    <row r="383" spans="1:30" ht="112" customHeight="1">
      <c r="A383" s="12" t="s">
        <v>1795</v>
      </c>
      <c r="B383" s="12" t="s">
        <v>1887</v>
      </c>
      <c r="C383" s="24" t="s">
        <v>24</v>
      </c>
      <c r="D383" s="24" t="s">
        <v>149</v>
      </c>
      <c r="E383" s="27" t="s">
        <v>136</v>
      </c>
      <c r="F383" s="20" t="s">
        <v>74</v>
      </c>
      <c r="G383" s="12" t="s">
        <v>2308</v>
      </c>
      <c r="H383" s="20" t="s">
        <v>531</v>
      </c>
      <c r="I383" s="4"/>
      <c r="J383" s="22" t="s">
        <v>2308</v>
      </c>
      <c r="K383" s="22" t="s">
        <v>2308</v>
      </c>
      <c r="L383" s="22" t="s">
        <v>2308</v>
      </c>
      <c r="M383" s="22" t="s">
        <v>2308</v>
      </c>
      <c r="N383" s="22" t="s">
        <v>2308</v>
      </c>
      <c r="O383" s="22" t="s">
        <v>2308</v>
      </c>
      <c r="P383" s="22" t="s">
        <v>2308</v>
      </c>
      <c r="Q383" s="22" t="s">
        <v>2308</v>
      </c>
      <c r="R383" s="22" t="s">
        <v>2308</v>
      </c>
      <c r="S383" s="22" t="s">
        <v>2308</v>
      </c>
      <c r="T383" s="22" t="s">
        <v>2308</v>
      </c>
      <c r="U383" s="22" t="s">
        <v>2308</v>
      </c>
      <c r="V383" s="22" t="s">
        <v>2308</v>
      </c>
      <c r="W383" s="22" t="s">
        <v>2308</v>
      </c>
      <c r="X383" s="22" t="s">
        <v>2308</v>
      </c>
      <c r="Y383" s="22" t="s">
        <v>2308</v>
      </c>
      <c r="Z383" s="4" t="s">
        <v>2308</v>
      </c>
      <c r="AA383" s="4" t="s">
        <v>2308</v>
      </c>
      <c r="AB383" s="4" t="s">
        <v>2308</v>
      </c>
      <c r="AC383" s="5"/>
      <c r="AD383" s="5"/>
    </row>
    <row r="384" spans="1:30" ht="112" customHeight="1">
      <c r="A384" s="12" t="s">
        <v>1795</v>
      </c>
      <c r="B384" s="12" t="s">
        <v>1888</v>
      </c>
      <c r="C384" s="24" t="s">
        <v>24</v>
      </c>
      <c r="D384" s="24" t="s">
        <v>27</v>
      </c>
      <c r="E384" s="27" t="s">
        <v>136</v>
      </c>
      <c r="F384" s="27" t="s">
        <v>167</v>
      </c>
      <c r="G384" s="12" t="s">
        <v>2308</v>
      </c>
      <c r="H384" s="20" t="s">
        <v>531</v>
      </c>
      <c r="I384" s="4"/>
      <c r="J384" s="22" t="s">
        <v>2308</v>
      </c>
      <c r="K384" s="22" t="s">
        <v>2308</v>
      </c>
      <c r="L384" s="22" t="s">
        <v>2308</v>
      </c>
      <c r="M384" s="22" t="s">
        <v>2308</v>
      </c>
      <c r="N384" s="22" t="s">
        <v>2308</v>
      </c>
      <c r="O384" s="22" t="s">
        <v>2308</v>
      </c>
      <c r="P384" s="22" t="s">
        <v>2308</v>
      </c>
      <c r="Q384" s="22" t="s">
        <v>2308</v>
      </c>
      <c r="R384" s="22" t="s">
        <v>2308</v>
      </c>
      <c r="S384" s="22" t="s">
        <v>2308</v>
      </c>
      <c r="T384" s="22" t="s">
        <v>2308</v>
      </c>
      <c r="U384" s="22" t="s">
        <v>2308</v>
      </c>
      <c r="V384" s="22" t="s">
        <v>2308</v>
      </c>
      <c r="W384" s="22" t="s">
        <v>2308</v>
      </c>
      <c r="X384" s="22" t="s">
        <v>2308</v>
      </c>
      <c r="Y384" s="22" t="s">
        <v>2308</v>
      </c>
      <c r="Z384" s="4" t="s">
        <v>2308</v>
      </c>
      <c r="AA384" s="4" t="s">
        <v>2308</v>
      </c>
      <c r="AB384" s="4" t="s">
        <v>2308</v>
      </c>
      <c r="AC384" s="5"/>
      <c r="AD384" s="5"/>
    </row>
    <row r="385" spans="1:30" ht="112" customHeight="1">
      <c r="A385" s="12" t="s">
        <v>1796</v>
      </c>
      <c r="B385" s="12" t="s">
        <v>1889</v>
      </c>
      <c r="C385" s="24" t="s">
        <v>24</v>
      </c>
      <c r="D385" s="24" t="s">
        <v>149</v>
      </c>
      <c r="E385" s="27" t="s">
        <v>404</v>
      </c>
      <c r="F385" s="20" t="s">
        <v>74</v>
      </c>
      <c r="G385" s="12" t="s">
        <v>2308</v>
      </c>
      <c r="H385" s="20" t="s">
        <v>531</v>
      </c>
      <c r="I385" s="4"/>
      <c r="J385" s="22" t="s">
        <v>2308</v>
      </c>
      <c r="K385" s="22" t="s">
        <v>2308</v>
      </c>
      <c r="L385" s="22" t="s">
        <v>2308</v>
      </c>
      <c r="M385" s="22" t="s">
        <v>2308</v>
      </c>
      <c r="N385" s="22" t="s">
        <v>2308</v>
      </c>
      <c r="O385" s="22" t="s">
        <v>2308</v>
      </c>
      <c r="P385" s="22" t="s">
        <v>2308</v>
      </c>
      <c r="Q385" s="22" t="s">
        <v>2308</v>
      </c>
      <c r="R385" s="22" t="s">
        <v>2308</v>
      </c>
      <c r="S385" s="22" t="s">
        <v>2308</v>
      </c>
      <c r="T385" s="22" t="s">
        <v>2308</v>
      </c>
      <c r="U385" s="22" t="s">
        <v>2308</v>
      </c>
      <c r="V385" s="22" t="s">
        <v>2308</v>
      </c>
      <c r="W385" s="22" t="s">
        <v>2308</v>
      </c>
      <c r="X385" s="22" t="s">
        <v>2308</v>
      </c>
      <c r="Y385" s="22" t="s">
        <v>2308</v>
      </c>
      <c r="Z385" s="4" t="s">
        <v>2308</v>
      </c>
      <c r="AA385" s="4" t="s">
        <v>2308</v>
      </c>
      <c r="AB385" s="4" t="s">
        <v>2308</v>
      </c>
      <c r="AC385" s="5"/>
      <c r="AD385" s="5"/>
    </row>
    <row r="386" spans="1:30" ht="112" customHeight="1">
      <c r="A386" s="12" t="s">
        <v>1797</v>
      </c>
      <c r="B386" s="12" t="s">
        <v>1890</v>
      </c>
      <c r="C386" s="24" t="s">
        <v>24</v>
      </c>
      <c r="D386" s="24" t="s">
        <v>149</v>
      </c>
      <c r="E386" s="27" t="s">
        <v>404</v>
      </c>
      <c r="F386" s="20" t="s">
        <v>74</v>
      </c>
      <c r="G386" s="12" t="s">
        <v>2308</v>
      </c>
      <c r="H386" s="20" t="s">
        <v>531</v>
      </c>
      <c r="I386" s="4"/>
      <c r="J386" s="22" t="s">
        <v>2308</v>
      </c>
      <c r="K386" s="22" t="s">
        <v>2308</v>
      </c>
      <c r="L386" s="22" t="s">
        <v>2308</v>
      </c>
      <c r="M386" s="22" t="s">
        <v>2308</v>
      </c>
      <c r="N386" s="22" t="s">
        <v>2308</v>
      </c>
      <c r="O386" s="22" t="s">
        <v>2308</v>
      </c>
      <c r="P386" s="22" t="s">
        <v>2308</v>
      </c>
      <c r="Q386" s="22" t="s">
        <v>2308</v>
      </c>
      <c r="R386" s="22" t="s">
        <v>2308</v>
      </c>
      <c r="S386" s="22" t="s">
        <v>2308</v>
      </c>
      <c r="T386" s="22" t="s">
        <v>2308</v>
      </c>
      <c r="U386" s="22" t="s">
        <v>2308</v>
      </c>
      <c r="V386" s="22" t="s">
        <v>2308</v>
      </c>
      <c r="W386" s="22" t="s">
        <v>2308</v>
      </c>
      <c r="X386" s="22" t="s">
        <v>2308</v>
      </c>
      <c r="Y386" s="22" t="s">
        <v>2308</v>
      </c>
      <c r="Z386" s="4" t="s">
        <v>2308</v>
      </c>
      <c r="AA386" s="4" t="s">
        <v>2308</v>
      </c>
      <c r="AB386" s="4" t="s">
        <v>2308</v>
      </c>
      <c r="AC386" s="5"/>
      <c r="AD386" s="5"/>
    </row>
    <row r="387" spans="1:30" ht="67" customHeight="1">
      <c r="A387" s="12" t="s">
        <v>564</v>
      </c>
      <c r="B387" s="12" t="s">
        <v>573</v>
      </c>
      <c r="C387" s="24" t="s">
        <v>24</v>
      </c>
      <c r="D387" s="24" t="s">
        <v>27</v>
      </c>
      <c r="E387" s="27" t="s">
        <v>136</v>
      </c>
      <c r="F387" s="20" t="s">
        <v>167</v>
      </c>
      <c r="G387" s="12" t="s">
        <v>2308</v>
      </c>
      <c r="H387" s="20" t="s">
        <v>531</v>
      </c>
      <c r="I387" s="4"/>
      <c r="J387" s="22" t="s">
        <v>2308</v>
      </c>
      <c r="K387" s="22" t="s">
        <v>2308</v>
      </c>
      <c r="L387" s="22" t="s">
        <v>2308</v>
      </c>
      <c r="M387" s="22" t="s">
        <v>2308</v>
      </c>
      <c r="N387" s="22" t="s">
        <v>2308</v>
      </c>
      <c r="O387" s="22" t="s">
        <v>2308</v>
      </c>
      <c r="P387" s="22" t="s">
        <v>2308</v>
      </c>
      <c r="Q387" s="22" t="s">
        <v>2308</v>
      </c>
      <c r="R387" s="22" t="s">
        <v>2308</v>
      </c>
      <c r="S387" s="22" t="s">
        <v>2308</v>
      </c>
      <c r="T387" s="22" t="s">
        <v>2308</v>
      </c>
      <c r="U387" s="22" t="s">
        <v>2308</v>
      </c>
      <c r="V387" s="22" t="s">
        <v>2308</v>
      </c>
      <c r="W387" s="22" t="s">
        <v>2308</v>
      </c>
      <c r="X387" s="22" t="s">
        <v>2308</v>
      </c>
      <c r="Y387" s="22">
        <v>5</v>
      </c>
      <c r="Z387" s="4" t="s">
        <v>412</v>
      </c>
      <c r="AA387" s="4" t="s">
        <v>432</v>
      </c>
      <c r="AB387" s="4" t="s">
        <v>2308</v>
      </c>
      <c r="AC387" s="5" t="s">
        <v>1897</v>
      </c>
      <c r="AD387" s="5" t="s">
        <v>5075</v>
      </c>
    </row>
    <row r="388" spans="1:30" ht="67" customHeight="1">
      <c r="A388" s="12" t="s">
        <v>564</v>
      </c>
      <c r="B388" s="12" t="s">
        <v>574</v>
      </c>
      <c r="C388" s="24" t="s">
        <v>24</v>
      </c>
      <c r="D388" s="24" t="s">
        <v>149</v>
      </c>
      <c r="E388" s="27" t="s">
        <v>136</v>
      </c>
      <c r="F388" s="20" t="s">
        <v>74</v>
      </c>
      <c r="G388" s="20" t="s">
        <v>74</v>
      </c>
      <c r="H388" s="20" t="s">
        <v>531</v>
      </c>
      <c r="I388" s="4"/>
      <c r="J388" s="22" t="s">
        <v>2308</v>
      </c>
      <c r="K388" s="22" t="s">
        <v>2308</v>
      </c>
      <c r="L388" s="22" t="s">
        <v>2308</v>
      </c>
      <c r="M388" s="22" t="s">
        <v>2308</v>
      </c>
      <c r="N388" s="22" t="s">
        <v>2308</v>
      </c>
      <c r="O388" s="22" t="s">
        <v>2308</v>
      </c>
      <c r="P388" s="22" t="s">
        <v>2308</v>
      </c>
      <c r="Q388" s="22" t="s">
        <v>2308</v>
      </c>
      <c r="R388" s="22" t="s">
        <v>2308</v>
      </c>
      <c r="S388" s="22" t="s">
        <v>2308</v>
      </c>
      <c r="T388" s="22" t="s">
        <v>2308</v>
      </c>
      <c r="U388" s="22" t="s">
        <v>2308</v>
      </c>
      <c r="V388" s="22" t="s">
        <v>2308</v>
      </c>
      <c r="W388" s="22" t="s">
        <v>2308</v>
      </c>
      <c r="X388" s="22" t="s">
        <v>2308</v>
      </c>
      <c r="Y388" s="22" t="s">
        <v>2308</v>
      </c>
      <c r="Z388" s="4" t="s">
        <v>412</v>
      </c>
      <c r="AA388" s="4" t="s">
        <v>432</v>
      </c>
      <c r="AB388" s="4" t="s">
        <v>2308</v>
      </c>
      <c r="AC388" s="5" t="s">
        <v>1893</v>
      </c>
      <c r="AD388" s="5" t="s">
        <v>1895</v>
      </c>
    </row>
    <row r="389" spans="1:30" ht="67" customHeight="1">
      <c r="A389" s="12" t="s">
        <v>564</v>
      </c>
      <c r="B389" s="12" t="s">
        <v>576</v>
      </c>
      <c r="C389" s="24" t="s">
        <v>24</v>
      </c>
      <c r="D389" s="24" t="s">
        <v>149</v>
      </c>
      <c r="E389" s="27" t="s">
        <v>403</v>
      </c>
      <c r="F389" s="20" t="s">
        <v>74</v>
      </c>
      <c r="G389" s="20" t="s">
        <v>74</v>
      </c>
      <c r="H389" s="20" t="s">
        <v>531</v>
      </c>
      <c r="I389" s="4"/>
      <c r="J389" s="22" t="s">
        <v>2308</v>
      </c>
      <c r="K389" s="22" t="s">
        <v>2308</v>
      </c>
      <c r="L389" s="22" t="s">
        <v>2308</v>
      </c>
      <c r="M389" s="22" t="s">
        <v>2308</v>
      </c>
      <c r="N389" s="22" t="s">
        <v>2308</v>
      </c>
      <c r="O389" s="22" t="s">
        <v>2308</v>
      </c>
      <c r="P389" s="22" t="s">
        <v>2308</v>
      </c>
      <c r="Q389" s="22" t="s">
        <v>2308</v>
      </c>
      <c r="R389" s="22" t="s">
        <v>2308</v>
      </c>
      <c r="S389" s="22" t="s">
        <v>2308</v>
      </c>
      <c r="T389" s="22" t="s">
        <v>2308</v>
      </c>
      <c r="U389" s="22" t="s">
        <v>2308</v>
      </c>
      <c r="V389" s="22" t="s">
        <v>2308</v>
      </c>
      <c r="W389" s="22" t="s">
        <v>2308</v>
      </c>
      <c r="X389" s="22" t="s">
        <v>2308</v>
      </c>
      <c r="Y389" s="22" t="s">
        <v>2308</v>
      </c>
      <c r="Z389" s="4" t="s">
        <v>412</v>
      </c>
      <c r="AA389" s="4" t="s">
        <v>432</v>
      </c>
      <c r="AB389" s="4" t="s">
        <v>2308</v>
      </c>
      <c r="AC389" s="5" t="s">
        <v>1893</v>
      </c>
      <c r="AD389" s="5" t="s">
        <v>1895</v>
      </c>
    </row>
    <row r="390" spans="1:30" ht="98.5" customHeight="1">
      <c r="A390" s="12" t="s">
        <v>564</v>
      </c>
      <c r="B390" s="12" t="s">
        <v>1894</v>
      </c>
      <c r="C390" s="24" t="s">
        <v>24</v>
      </c>
      <c r="D390" s="24" t="s">
        <v>25</v>
      </c>
      <c r="E390" s="27" t="s">
        <v>45</v>
      </c>
      <c r="F390" s="20" t="s">
        <v>29</v>
      </c>
      <c r="G390" s="12" t="s">
        <v>2308</v>
      </c>
      <c r="H390" s="20" t="s">
        <v>531</v>
      </c>
      <c r="I390" s="4"/>
      <c r="J390" s="22" t="s">
        <v>2308</v>
      </c>
      <c r="K390" s="22" t="s">
        <v>2308</v>
      </c>
      <c r="L390" s="22" t="s">
        <v>2308</v>
      </c>
      <c r="M390" s="22" t="s">
        <v>2308</v>
      </c>
      <c r="N390" s="22" t="s">
        <v>2308</v>
      </c>
      <c r="O390" s="22" t="s">
        <v>2308</v>
      </c>
      <c r="P390" s="22" t="s">
        <v>2308</v>
      </c>
      <c r="Q390" s="22" t="s">
        <v>2308</v>
      </c>
      <c r="R390" s="22" t="s">
        <v>2308</v>
      </c>
      <c r="S390" s="22" t="s">
        <v>2308</v>
      </c>
      <c r="T390" s="22" t="s">
        <v>2308</v>
      </c>
      <c r="U390" s="22" t="s">
        <v>2308</v>
      </c>
      <c r="V390" s="22">
        <v>84</v>
      </c>
      <c r="W390" s="22" t="s">
        <v>2308</v>
      </c>
      <c r="X390" s="22">
        <v>22.68</v>
      </c>
      <c r="Y390" s="22">
        <v>1</v>
      </c>
      <c r="Z390" s="4" t="s">
        <v>412</v>
      </c>
      <c r="AA390" s="4" t="s">
        <v>432</v>
      </c>
      <c r="AB390" s="4" t="s">
        <v>2308</v>
      </c>
      <c r="AC390" s="5" t="s">
        <v>1896</v>
      </c>
      <c r="AD390" s="5" t="s">
        <v>579</v>
      </c>
    </row>
    <row r="391" spans="1:30" ht="59.5" customHeight="1">
      <c r="A391" s="12" t="s">
        <v>565</v>
      </c>
      <c r="B391" s="12" t="s">
        <v>571</v>
      </c>
      <c r="C391" s="24" t="s">
        <v>24</v>
      </c>
      <c r="D391" s="24" t="s">
        <v>27</v>
      </c>
      <c r="E391" s="27" t="s">
        <v>136</v>
      </c>
      <c r="F391" s="20" t="s">
        <v>167</v>
      </c>
      <c r="G391" s="12" t="s">
        <v>2308</v>
      </c>
      <c r="H391" s="20" t="s">
        <v>531</v>
      </c>
      <c r="I391" s="4"/>
      <c r="J391" s="22" t="s">
        <v>2308</v>
      </c>
      <c r="K391" s="22" t="s">
        <v>2308</v>
      </c>
      <c r="L391" s="22" t="s">
        <v>2308</v>
      </c>
      <c r="M391" s="22" t="s">
        <v>2308</v>
      </c>
      <c r="N391" s="22" t="s">
        <v>2308</v>
      </c>
      <c r="O391" s="22" t="s">
        <v>2308</v>
      </c>
      <c r="P391" s="22" t="s">
        <v>2308</v>
      </c>
      <c r="Q391" s="22" t="s">
        <v>2308</v>
      </c>
      <c r="R391" s="22" t="s">
        <v>2308</v>
      </c>
      <c r="S391" s="22" t="s">
        <v>2308</v>
      </c>
      <c r="T391" s="22" t="s">
        <v>2308</v>
      </c>
      <c r="U391" s="22" t="s">
        <v>2308</v>
      </c>
      <c r="V391" s="22" t="s">
        <v>2308</v>
      </c>
      <c r="W391" s="22" t="s">
        <v>2308</v>
      </c>
      <c r="X391" s="22" t="s">
        <v>2308</v>
      </c>
      <c r="Y391" s="22">
        <v>5</v>
      </c>
      <c r="Z391" s="4" t="s">
        <v>412</v>
      </c>
      <c r="AA391" s="4" t="s">
        <v>432</v>
      </c>
      <c r="AB391" s="4" t="s">
        <v>2308</v>
      </c>
      <c r="AC391" s="5" t="s">
        <v>1897</v>
      </c>
      <c r="AD391" s="5" t="s">
        <v>5075</v>
      </c>
    </row>
    <row r="392" spans="1:30" ht="62" customHeight="1">
      <c r="A392" s="12" t="s">
        <v>565</v>
      </c>
      <c r="B392" s="12" t="s">
        <v>572</v>
      </c>
      <c r="C392" s="24" t="s">
        <v>24</v>
      </c>
      <c r="D392" s="24" t="s">
        <v>149</v>
      </c>
      <c r="E392" s="27" t="s">
        <v>136</v>
      </c>
      <c r="F392" s="20" t="s">
        <v>74</v>
      </c>
      <c r="G392" s="20" t="s">
        <v>74</v>
      </c>
      <c r="H392" s="20" t="s">
        <v>531</v>
      </c>
      <c r="I392" s="4"/>
      <c r="J392" s="22" t="s">
        <v>2308</v>
      </c>
      <c r="K392" s="22" t="s">
        <v>2308</v>
      </c>
      <c r="L392" s="22" t="s">
        <v>2308</v>
      </c>
      <c r="M392" s="22" t="s">
        <v>2308</v>
      </c>
      <c r="N392" s="22" t="s">
        <v>2308</v>
      </c>
      <c r="O392" s="22" t="s">
        <v>2308</v>
      </c>
      <c r="P392" s="22" t="s">
        <v>2308</v>
      </c>
      <c r="Q392" s="22" t="s">
        <v>2308</v>
      </c>
      <c r="R392" s="22" t="s">
        <v>2308</v>
      </c>
      <c r="S392" s="22" t="s">
        <v>2308</v>
      </c>
      <c r="T392" s="22" t="s">
        <v>2308</v>
      </c>
      <c r="U392" s="22" t="s">
        <v>2308</v>
      </c>
      <c r="V392" s="22" t="s">
        <v>2308</v>
      </c>
      <c r="W392" s="22" t="s">
        <v>2308</v>
      </c>
      <c r="X392" s="22" t="s">
        <v>2308</v>
      </c>
      <c r="Y392" s="22" t="s">
        <v>2308</v>
      </c>
      <c r="Z392" s="4" t="s">
        <v>412</v>
      </c>
      <c r="AA392" s="4" t="s">
        <v>432</v>
      </c>
      <c r="AB392" s="4" t="s">
        <v>2308</v>
      </c>
      <c r="AC392" s="5" t="s">
        <v>1893</v>
      </c>
      <c r="AD392" s="5" t="s">
        <v>1895</v>
      </c>
    </row>
    <row r="393" spans="1:30" ht="62" customHeight="1">
      <c r="A393" s="12" t="s">
        <v>565</v>
      </c>
      <c r="B393" s="12" t="s">
        <v>577</v>
      </c>
      <c r="C393" s="24" t="s">
        <v>24</v>
      </c>
      <c r="D393" s="24" t="s">
        <v>149</v>
      </c>
      <c r="E393" s="27" t="s">
        <v>403</v>
      </c>
      <c r="F393" s="20" t="s">
        <v>74</v>
      </c>
      <c r="G393" s="12" t="s">
        <v>2308</v>
      </c>
      <c r="H393" s="20" t="s">
        <v>531</v>
      </c>
      <c r="I393" s="4"/>
      <c r="J393" s="22" t="s">
        <v>2308</v>
      </c>
      <c r="K393" s="22" t="s">
        <v>2308</v>
      </c>
      <c r="L393" s="22" t="s">
        <v>2308</v>
      </c>
      <c r="M393" s="22" t="s">
        <v>2308</v>
      </c>
      <c r="N393" s="22" t="s">
        <v>2308</v>
      </c>
      <c r="O393" s="22" t="s">
        <v>2308</v>
      </c>
      <c r="P393" s="22" t="s">
        <v>2308</v>
      </c>
      <c r="Q393" s="22" t="s">
        <v>2308</v>
      </c>
      <c r="R393" s="22" t="s">
        <v>2308</v>
      </c>
      <c r="S393" s="22" t="s">
        <v>2308</v>
      </c>
      <c r="T393" s="22" t="s">
        <v>2308</v>
      </c>
      <c r="U393" s="22" t="s">
        <v>2308</v>
      </c>
      <c r="V393" s="22" t="s">
        <v>2308</v>
      </c>
      <c r="W393" s="22" t="s">
        <v>2308</v>
      </c>
      <c r="X393" s="22" t="s">
        <v>2308</v>
      </c>
      <c r="Y393" s="22" t="s">
        <v>2308</v>
      </c>
      <c r="Z393" s="4" t="s">
        <v>412</v>
      </c>
      <c r="AA393" s="4" t="s">
        <v>432</v>
      </c>
      <c r="AB393" s="4" t="s">
        <v>2308</v>
      </c>
      <c r="AC393" s="5" t="s">
        <v>1893</v>
      </c>
      <c r="AD393" s="5" t="s">
        <v>1895</v>
      </c>
    </row>
    <row r="394" spans="1:30" ht="96" customHeight="1">
      <c r="A394" s="12" t="s">
        <v>565</v>
      </c>
      <c r="B394" s="12" t="s">
        <v>577</v>
      </c>
      <c r="C394" s="24" t="s">
        <v>24</v>
      </c>
      <c r="D394" s="24" t="s">
        <v>25</v>
      </c>
      <c r="E394" s="27" t="s">
        <v>45</v>
      </c>
      <c r="F394" s="20" t="s">
        <v>29</v>
      </c>
      <c r="G394" s="12" t="s">
        <v>2308</v>
      </c>
      <c r="H394" s="20" t="s">
        <v>531</v>
      </c>
      <c r="I394" s="4"/>
      <c r="J394" s="22" t="s">
        <v>2308</v>
      </c>
      <c r="K394" s="22" t="s">
        <v>2308</v>
      </c>
      <c r="L394" s="22" t="s">
        <v>2308</v>
      </c>
      <c r="M394" s="22" t="s">
        <v>2308</v>
      </c>
      <c r="N394" s="22" t="s">
        <v>2308</v>
      </c>
      <c r="O394" s="22" t="s">
        <v>2308</v>
      </c>
      <c r="P394" s="22" t="s">
        <v>2308</v>
      </c>
      <c r="Q394" s="22" t="s">
        <v>2308</v>
      </c>
      <c r="R394" s="22" t="s">
        <v>2308</v>
      </c>
      <c r="S394" s="22" t="s">
        <v>2308</v>
      </c>
      <c r="T394" s="22" t="s">
        <v>2308</v>
      </c>
      <c r="U394" s="22" t="s">
        <v>2308</v>
      </c>
      <c r="V394" s="22">
        <v>84</v>
      </c>
      <c r="W394" s="22" t="s">
        <v>2308</v>
      </c>
      <c r="X394" s="22">
        <v>22.68</v>
      </c>
      <c r="Y394" s="22">
        <v>1</v>
      </c>
      <c r="Z394" s="4" t="s">
        <v>412</v>
      </c>
      <c r="AA394" s="4" t="s">
        <v>432</v>
      </c>
      <c r="AB394" s="4" t="s">
        <v>2308</v>
      </c>
      <c r="AC394" s="5" t="s">
        <v>1896</v>
      </c>
      <c r="AD394" s="5" t="s">
        <v>579</v>
      </c>
    </row>
    <row r="395" spans="1:30" ht="56" customHeight="1">
      <c r="A395" s="12" t="s">
        <v>580</v>
      </c>
      <c r="B395" s="12" t="s">
        <v>590</v>
      </c>
      <c r="C395" s="24" t="s">
        <v>24</v>
      </c>
      <c r="D395" s="24" t="s">
        <v>27</v>
      </c>
      <c r="E395" s="27" t="s">
        <v>136</v>
      </c>
      <c r="F395" s="20" t="s">
        <v>167</v>
      </c>
      <c r="G395" s="12" t="s">
        <v>2308</v>
      </c>
      <c r="H395" s="20" t="s">
        <v>532</v>
      </c>
      <c r="I395" s="4"/>
      <c r="J395" s="22">
        <v>0</v>
      </c>
      <c r="K395" s="22">
        <v>0</v>
      </c>
      <c r="L395" s="22">
        <v>0</v>
      </c>
      <c r="M395" s="22">
        <v>0</v>
      </c>
      <c r="N395" s="22">
        <v>0</v>
      </c>
      <c r="O395" s="22">
        <v>0</v>
      </c>
      <c r="P395" s="22">
        <v>0</v>
      </c>
      <c r="Q395" s="22" t="s">
        <v>2308</v>
      </c>
      <c r="R395" s="22" t="s">
        <v>2308</v>
      </c>
      <c r="S395" s="22">
        <v>0</v>
      </c>
      <c r="T395" s="22">
        <v>0</v>
      </c>
      <c r="U395" s="22">
        <v>0</v>
      </c>
      <c r="V395" s="22">
        <v>0</v>
      </c>
      <c r="W395" s="22">
        <v>0</v>
      </c>
      <c r="X395" s="22">
        <v>0</v>
      </c>
      <c r="Y395" s="22" t="s">
        <v>2308</v>
      </c>
      <c r="Z395" s="4" t="s">
        <v>2308</v>
      </c>
      <c r="AA395" s="4" t="s">
        <v>2308</v>
      </c>
      <c r="AB395" s="4" t="s">
        <v>2308</v>
      </c>
      <c r="AC395" s="5" t="s">
        <v>1983</v>
      </c>
      <c r="AD395" s="5"/>
    </row>
    <row r="396" spans="1:30" ht="56" customHeight="1">
      <c r="A396" s="12" t="s">
        <v>581</v>
      </c>
      <c r="B396" s="12" t="s">
        <v>595</v>
      </c>
      <c r="C396" s="24" t="s">
        <v>24</v>
      </c>
      <c r="D396" s="24" t="s">
        <v>27</v>
      </c>
      <c r="E396" s="27" t="s">
        <v>136</v>
      </c>
      <c r="F396" s="20" t="s">
        <v>167</v>
      </c>
      <c r="G396" s="12" t="s">
        <v>2308</v>
      </c>
      <c r="H396" s="20" t="s">
        <v>532</v>
      </c>
      <c r="I396" s="4"/>
      <c r="J396" s="22">
        <v>0</v>
      </c>
      <c r="K396" s="22">
        <v>0</v>
      </c>
      <c r="L396" s="22">
        <v>0</v>
      </c>
      <c r="M396" s="22">
        <v>0</v>
      </c>
      <c r="N396" s="22">
        <v>0</v>
      </c>
      <c r="O396" s="22">
        <v>0</v>
      </c>
      <c r="P396" s="22">
        <v>0</v>
      </c>
      <c r="Q396" s="22" t="s">
        <v>2308</v>
      </c>
      <c r="R396" s="22" t="s">
        <v>2308</v>
      </c>
      <c r="S396" s="22">
        <v>0</v>
      </c>
      <c r="T396" s="22">
        <v>0</v>
      </c>
      <c r="U396" s="22">
        <v>0</v>
      </c>
      <c r="V396" s="22">
        <v>0</v>
      </c>
      <c r="W396" s="22">
        <v>0</v>
      </c>
      <c r="X396" s="22">
        <v>0</v>
      </c>
      <c r="Y396" s="22" t="s">
        <v>2308</v>
      </c>
      <c r="Z396" s="4" t="s">
        <v>2308</v>
      </c>
      <c r="AA396" s="4" t="s">
        <v>2308</v>
      </c>
      <c r="AB396" s="4" t="s">
        <v>2308</v>
      </c>
      <c r="AC396" s="5" t="s">
        <v>1983</v>
      </c>
      <c r="AD396" s="5"/>
    </row>
    <row r="397" spans="1:30" ht="56" customHeight="1">
      <c r="A397" s="12" t="s">
        <v>582</v>
      </c>
      <c r="B397" s="12" t="s">
        <v>637</v>
      </c>
      <c r="C397" s="24" t="s">
        <v>24</v>
      </c>
      <c r="D397" s="24" t="s">
        <v>27</v>
      </c>
      <c r="E397" s="27" t="s">
        <v>136</v>
      </c>
      <c r="F397" s="20" t="s">
        <v>167</v>
      </c>
      <c r="G397" s="12" t="s">
        <v>2308</v>
      </c>
      <c r="H397" s="20" t="s">
        <v>532</v>
      </c>
      <c r="I397" s="4"/>
      <c r="J397" s="22">
        <v>0</v>
      </c>
      <c r="K397" s="22">
        <v>0</v>
      </c>
      <c r="L397" s="22">
        <v>0</v>
      </c>
      <c r="M397" s="22">
        <v>0</v>
      </c>
      <c r="N397" s="22">
        <v>0</v>
      </c>
      <c r="O397" s="22">
        <v>0</v>
      </c>
      <c r="P397" s="22">
        <v>0</v>
      </c>
      <c r="Q397" s="22" t="s">
        <v>2308</v>
      </c>
      <c r="R397" s="22" t="s">
        <v>2308</v>
      </c>
      <c r="S397" s="22">
        <v>0</v>
      </c>
      <c r="T397" s="22">
        <v>0</v>
      </c>
      <c r="U397" s="22">
        <v>0</v>
      </c>
      <c r="V397" s="22">
        <v>0</v>
      </c>
      <c r="W397" s="22">
        <v>0</v>
      </c>
      <c r="X397" s="22">
        <v>0</v>
      </c>
      <c r="Y397" s="22" t="s">
        <v>2308</v>
      </c>
      <c r="Z397" s="4" t="s">
        <v>2308</v>
      </c>
      <c r="AA397" s="4" t="s">
        <v>2308</v>
      </c>
      <c r="AB397" s="4" t="s">
        <v>2308</v>
      </c>
      <c r="AC397" s="5" t="s">
        <v>1983</v>
      </c>
      <c r="AD397" s="5"/>
    </row>
    <row r="398" spans="1:30" ht="56" customHeight="1">
      <c r="A398" s="12" t="s">
        <v>583</v>
      </c>
      <c r="B398" s="12" t="s">
        <v>638</v>
      </c>
      <c r="C398" s="24" t="s">
        <v>24</v>
      </c>
      <c r="D398" s="24" t="s">
        <v>27</v>
      </c>
      <c r="E398" s="27" t="s">
        <v>136</v>
      </c>
      <c r="F398" s="20" t="s">
        <v>167</v>
      </c>
      <c r="G398" s="12" t="s">
        <v>2308</v>
      </c>
      <c r="H398" s="20" t="s">
        <v>532</v>
      </c>
      <c r="I398" s="4"/>
      <c r="J398" s="22">
        <v>0</v>
      </c>
      <c r="K398" s="22">
        <v>0</v>
      </c>
      <c r="L398" s="22">
        <v>0</v>
      </c>
      <c r="M398" s="22">
        <v>0</v>
      </c>
      <c r="N398" s="22">
        <v>0</v>
      </c>
      <c r="O398" s="22">
        <v>0</v>
      </c>
      <c r="P398" s="22">
        <v>0</v>
      </c>
      <c r="Q398" s="22" t="s">
        <v>2308</v>
      </c>
      <c r="R398" s="22" t="s">
        <v>2308</v>
      </c>
      <c r="S398" s="22">
        <v>0</v>
      </c>
      <c r="T398" s="22">
        <v>0</v>
      </c>
      <c r="U398" s="22">
        <v>0</v>
      </c>
      <c r="V398" s="22">
        <v>0</v>
      </c>
      <c r="W398" s="22">
        <v>0</v>
      </c>
      <c r="X398" s="22">
        <v>0</v>
      </c>
      <c r="Y398" s="22" t="s">
        <v>2308</v>
      </c>
      <c r="Z398" s="4" t="s">
        <v>2308</v>
      </c>
      <c r="AA398" s="4" t="s">
        <v>2308</v>
      </c>
      <c r="AB398" s="4" t="s">
        <v>2308</v>
      </c>
      <c r="AC398" s="5" t="s">
        <v>1983</v>
      </c>
      <c r="AD398" s="5"/>
    </row>
    <row r="399" spans="1:30" ht="56" customHeight="1">
      <c r="A399" s="12" t="s">
        <v>584</v>
      </c>
      <c r="B399" s="12" t="s">
        <v>639</v>
      </c>
      <c r="C399" s="24" t="s">
        <v>24</v>
      </c>
      <c r="D399" s="24" t="s">
        <v>27</v>
      </c>
      <c r="E399" s="27" t="s">
        <v>136</v>
      </c>
      <c r="F399" s="20" t="s">
        <v>167</v>
      </c>
      <c r="G399" s="12" t="s">
        <v>2308</v>
      </c>
      <c r="H399" s="20" t="s">
        <v>532</v>
      </c>
      <c r="I399" s="4"/>
      <c r="J399" s="22">
        <v>0</v>
      </c>
      <c r="K399" s="22">
        <v>0</v>
      </c>
      <c r="L399" s="22">
        <v>0</v>
      </c>
      <c r="M399" s="22">
        <v>0</v>
      </c>
      <c r="N399" s="22">
        <v>0</v>
      </c>
      <c r="O399" s="22">
        <v>0</v>
      </c>
      <c r="P399" s="22">
        <v>0</v>
      </c>
      <c r="Q399" s="22" t="s">
        <v>2308</v>
      </c>
      <c r="R399" s="22" t="s">
        <v>2308</v>
      </c>
      <c r="S399" s="22">
        <v>0</v>
      </c>
      <c r="T399" s="22">
        <v>0</v>
      </c>
      <c r="U399" s="22">
        <v>0</v>
      </c>
      <c r="V399" s="22">
        <v>0</v>
      </c>
      <c r="W399" s="22">
        <v>0</v>
      </c>
      <c r="X399" s="22">
        <v>0</v>
      </c>
      <c r="Y399" s="22" t="s">
        <v>2308</v>
      </c>
      <c r="Z399" s="4" t="s">
        <v>2308</v>
      </c>
      <c r="AA399" s="4" t="s">
        <v>2308</v>
      </c>
      <c r="AB399" s="4" t="s">
        <v>2308</v>
      </c>
      <c r="AC399" s="5" t="s">
        <v>1983</v>
      </c>
      <c r="AD399" s="5"/>
    </row>
    <row r="400" spans="1:30" ht="56" customHeight="1">
      <c r="A400" s="12" t="s">
        <v>585</v>
      </c>
      <c r="B400" s="12" t="s">
        <v>640</v>
      </c>
      <c r="C400" s="24" t="s">
        <v>24</v>
      </c>
      <c r="D400" s="24" t="s">
        <v>27</v>
      </c>
      <c r="E400" s="27" t="s">
        <v>136</v>
      </c>
      <c r="F400" s="20" t="s">
        <v>167</v>
      </c>
      <c r="G400" s="12" t="s">
        <v>2308</v>
      </c>
      <c r="H400" s="20" t="s">
        <v>532</v>
      </c>
      <c r="I400" s="4"/>
      <c r="J400" s="22">
        <v>0</v>
      </c>
      <c r="K400" s="22">
        <v>0</v>
      </c>
      <c r="L400" s="22">
        <v>0</v>
      </c>
      <c r="M400" s="22">
        <v>0</v>
      </c>
      <c r="N400" s="22">
        <v>0</v>
      </c>
      <c r="O400" s="22">
        <v>0</v>
      </c>
      <c r="P400" s="22">
        <v>0</v>
      </c>
      <c r="Q400" s="22" t="s">
        <v>2308</v>
      </c>
      <c r="R400" s="22" t="s">
        <v>2308</v>
      </c>
      <c r="S400" s="22">
        <v>0</v>
      </c>
      <c r="T400" s="22">
        <v>0</v>
      </c>
      <c r="U400" s="22">
        <v>0</v>
      </c>
      <c r="V400" s="22">
        <v>0</v>
      </c>
      <c r="W400" s="22">
        <v>0</v>
      </c>
      <c r="X400" s="22">
        <v>0</v>
      </c>
      <c r="Y400" s="22" t="s">
        <v>2308</v>
      </c>
      <c r="Z400" s="4" t="s">
        <v>2308</v>
      </c>
      <c r="AA400" s="4" t="s">
        <v>2308</v>
      </c>
      <c r="AB400" s="4" t="s">
        <v>2308</v>
      </c>
      <c r="AC400" s="5" t="s">
        <v>1983</v>
      </c>
      <c r="AD400" s="5"/>
    </row>
    <row r="401" spans="1:30" ht="67.5" customHeight="1">
      <c r="A401" s="12" t="s">
        <v>586</v>
      </c>
      <c r="B401" s="12" t="s">
        <v>641</v>
      </c>
      <c r="C401" s="24" t="s">
        <v>24</v>
      </c>
      <c r="D401" s="24" t="s">
        <v>27</v>
      </c>
      <c r="E401" s="27" t="s">
        <v>404</v>
      </c>
      <c r="F401" s="20" t="s">
        <v>28</v>
      </c>
      <c r="G401" s="12" t="s">
        <v>2308</v>
      </c>
      <c r="H401" s="20" t="s">
        <v>532</v>
      </c>
      <c r="I401" s="4"/>
      <c r="J401" s="22">
        <v>0</v>
      </c>
      <c r="K401" s="22">
        <v>0</v>
      </c>
      <c r="L401" s="22">
        <v>0</v>
      </c>
      <c r="M401" s="22">
        <v>0</v>
      </c>
      <c r="N401" s="22">
        <v>0</v>
      </c>
      <c r="O401" s="22">
        <v>0</v>
      </c>
      <c r="P401" s="22">
        <v>0</v>
      </c>
      <c r="Q401" s="22" t="s">
        <v>2308</v>
      </c>
      <c r="R401" s="22" t="s">
        <v>2308</v>
      </c>
      <c r="S401" s="22">
        <v>0</v>
      </c>
      <c r="T401" s="22">
        <v>0</v>
      </c>
      <c r="U401" s="22">
        <v>0</v>
      </c>
      <c r="V401" s="22">
        <v>0</v>
      </c>
      <c r="W401" s="22">
        <v>0</v>
      </c>
      <c r="X401" s="22">
        <v>0</v>
      </c>
      <c r="Y401" s="22" t="s">
        <v>2308</v>
      </c>
      <c r="Z401" s="4" t="s">
        <v>2308</v>
      </c>
      <c r="AA401" s="4" t="s">
        <v>2308</v>
      </c>
      <c r="AB401" s="4" t="s">
        <v>2308</v>
      </c>
      <c r="AC401" s="19" t="s">
        <v>2001</v>
      </c>
      <c r="AD401" s="5"/>
    </row>
    <row r="402" spans="1:30" ht="68.5" customHeight="1">
      <c r="A402" s="12" t="s">
        <v>587</v>
      </c>
      <c r="B402" s="12" t="s">
        <v>642</v>
      </c>
      <c r="C402" s="24" t="s">
        <v>24</v>
      </c>
      <c r="D402" s="24" t="s">
        <v>27</v>
      </c>
      <c r="E402" s="27" t="s">
        <v>404</v>
      </c>
      <c r="F402" s="20" t="s">
        <v>28</v>
      </c>
      <c r="G402" s="12" t="s">
        <v>2308</v>
      </c>
      <c r="H402" s="20" t="s">
        <v>532</v>
      </c>
      <c r="I402" s="4"/>
      <c r="J402" s="22">
        <v>0</v>
      </c>
      <c r="K402" s="22">
        <v>0</v>
      </c>
      <c r="L402" s="22">
        <v>0</v>
      </c>
      <c r="M402" s="22">
        <v>0</v>
      </c>
      <c r="N402" s="22">
        <v>0</v>
      </c>
      <c r="O402" s="22">
        <v>0</v>
      </c>
      <c r="P402" s="22">
        <v>0</v>
      </c>
      <c r="Q402" s="22" t="s">
        <v>2308</v>
      </c>
      <c r="R402" s="22" t="s">
        <v>2308</v>
      </c>
      <c r="S402" s="22">
        <v>0</v>
      </c>
      <c r="T402" s="22">
        <v>0</v>
      </c>
      <c r="U402" s="22">
        <v>0</v>
      </c>
      <c r="V402" s="22">
        <v>0</v>
      </c>
      <c r="W402" s="22">
        <v>0</v>
      </c>
      <c r="X402" s="22">
        <v>0</v>
      </c>
      <c r="Y402" s="22" t="s">
        <v>2308</v>
      </c>
      <c r="Z402" s="4" t="s">
        <v>2308</v>
      </c>
      <c r="AA402" s="4" t="s">
        <v>2308</v>
      </c>
      <c r="AB402" s="4" t="s">
        <v>2308</v>
      </c>
      <c r="AC402" s="19" t="s">
        <v>1984</v>
      </c>
      <c r="AD402" s="5"/>
    </row>
    <row r="403" spans="1:30" ht="56" customHeight="1">
      <c r="A403" s="12" t="s">
        <v>588</v>
      </c>
      <c r="B403" s="12" t="s">
        <v>643</v>
      </c>
      <c r="C403" s="24" t="s">
        <v>24</v>
      </c>
      <c r="D403" s="24" t="s">
        <v>27</v>
      </c>
      <c r="E403" s="27" t="s">
        <v>136</v>
      </c>
      <c r="F403" s="20" t="s">
        <v>167</v>
      </c>
      <c r="G403" s="12" t="s">
        <v>2308</v>
      </c>
      <c r="H403" s="20" t="s">
        <v>532</v>
      </c>
      <c r="I403" s="4"/>
      <c r="J403" s="22">
        <v>0</v>
      </c>
      <c r="K403" s="22">
        <v>0</v>
      </c>
      <c r="L403" s="22">
        <v>0</v>
      </c>
      <c r="M403" s="22">
        <v>0</v>
      </c>
      <c r="N403" s="22">
        <v>0</v>
      </c>
      <c r="O403" s="22">
        <v>0</v>
      </c>
      <c r="P403" s="22">
        <v>0</v>
      </c>
      <c r="Q403" s="22" t="s">
        <v>2308</v>
      </c>
      <c r="R403" s="22" t="s">
        <v>2308</v>
      </c>
      <c r="S403" s="22">
        <v>0</v>
      </c>
      <c r="T403" s="22">
        <v>0</v>
      </c>
      <c r="U403" s="22">
        <v>0</v>
      </c>
      <c r="V403" s="22">
        <v>0</v>
      </c>
      <c r="W403" s="22">
        <v>0</v>
      </c>
      <c r="X403" s="22">
        <v>0</v>
      </c>
      <c r="Y403" s="22" t="s">
        <v>2308</v>
      </c>
      <c r="Z403" s="4" t="s">
        <v>2308</v>
      </c>
      <c r="AA403" s="4" t="s">
        <v>2308</v>
      </c>
      <c r="AB403" s="4" t="s">
        <v>2308</v>
      </c>
      <c r="AC403" s="5" t="s">
        <v>1983</v>
      </c>
      <c r="AD403" s="5"/>
    </row>
    <row r="404" spans="1:30" ht="56" customHeight="1">
      <c r="A404" s="12" t="s">
        <v>1898</v>
      </c>
      <c r="B404" s="12" t="s">
        <v>1985</v>
      </c>
      <c r="C404" s="24" t="s">
        <v>24</v>
      </c>
      <c r="D404" s="24" t="s">
        <v>27</v>
      </c>
      <c r="E404" s="27" t="s">
        <v>136</v>
      </c>
      <c r="F404" s="20" t="s">
        <v>167</v>
      </c>
      <c r="G404" s="12" t="s">
        <v>2308</v>
      </c>
      <c r="H404" s="20" t="s">
        <v>532</v>
      </c>
      <c r="I404" s="4"/>
      <c r="J404" s="22">
        <v>0</v>
      </c>
      <c r="K404" s="22">
        <v>0</v>
      </c>
      <c r="L404" s="22">
        <v>0</v>
      </c>
      <c r="M404" s="22">
        <v>0</v>
      </c>
      <c r="N404" s="22">
        <v>0</v>
      </c>
      <c r="O404" s="22">
        <v>0</v>
      </c>
      <c r="P404" s="22">
        <v>0</v>
      </c>
      <c r="Q404" s="22" t="s">
        <v>2308</v>
      </c>
      <c r="R404" s="22" t="s">
        <v>2308</v>
      </c>
      <c r="S404" s="22">
        <v>0</v>
      </c>
      <c r="T404" s="22">
        <v>0</v>
      </c>
      <c r="U404" s="22">
        <v>0</v>
      </c>
      <c r="V404" s="22">
        <v>0</v>
      </c>
      <c r="W404" s="22">
        <v>0</v>
      </c>
      <c r="X404" s="22">
        <v>0</v>
      </c>
      <c r="Y404" s="22" t="s">
        <v>2308</v>
      </c>
      <c r="Z404" s="4" t="s">
        <v>2308</v>
      </c>
      <c r="AA404" s="4" t="s">
        <v>2308</v>
      </c>
      <c r="AB404" s="4" t="s">
        <v>2308</v>
      </c>
      <c r="AC404" s="5" t="s">
        <v>1983</v>
      </c>
      <c r="AD404" s="5"/>
    </row>
    <row r="405" spans="1:30" ht="56" customHeight="1">
      <c r="A405" s="12" t="s">
        <v>1899</v>
      </c>
      <c r="B405" s="12" t="s">
        <v>1986</v>
      </c>
      <c r="C405" s="24" t="s">
        <v>24</v>
      </c>
      <c r="D405" s="24" t="s">
        <v>27</v>
      </c>
      <c r="E405" s="27" t="s">
        <v>136</v>
      </c>
      <c r="F405" s="20" t="s">
        <v>167</v>
      </c>
      <c r="G405" s="12" t="s">
        <v>2308</v>
      </c>
      <c r="H405" s="20" t="s">
        <v>532</v>
      </c>
      <c r="I405" s="4"/>
      <c r="J405" s="22">
        <v>0</v>
      </c>
      <c r="K405" s="22">
        <v>0</v>
      </c>
      <c r="L405" s="22">
        <v>0</v>
      </c>
      <c r="M405" s="22">
        <v>0</v>
      </c>
      <c r="N405" s="22">
        <v>0</v>
      </c>
      <c r="O405" s="22">
        <v>0</v>
      </c>
      <c r="P405" s="22">
        <v>0</v>
      </c>
      <c r="Q405" s="22" t="s">
        <v>2308</v>
      </c>
      <c r="R405" s="22" t="s">
        <v>2308</v>
      </c>
      <c r="S405" s="22">
        <v>0</v>
      </c>
      <c r="T405" s="22">
        <v>0</v>
      </c>
      <c r="U405" s="22">
        <v>0</v>
      </c>
      <c r="V405" s="22">
        <v>0</v>
      </c>
      <c r="W405" s="22">
        <v>0</v>
      </c>
      <c r="X405" s="22">
        <v>0</v>
      </c>
      <c r="Y405" s="22" t="s">
        <v>2308</v>
      </c>
      <c r="Z405" s="4" t="s">
        <v>2308</v>
      </c>
      <c r="AA405" s="4" t="s">
        <v>2308</v>
      </c>
      <c r="AB405" s="4" t="s">
        <v>2308</v>
      </c>
      <c r="AC405" s="5" t="s">
        <v>1983</v>
      </c>
      <c r="AD405" s="5"/>
    </row>
    <row r="406" spans="1:30" ht="56" customHeight="1">
      <c r="A406" s="12" t="s">
        <v>1900</v>
      </c>
      <c r="B406" s="12" t="s">
        <v>1987</v>
      </c>
      <c r="C406" s="24" t="s">
        <v>24</v>
      </c>
      <c r="D406" s="24" t="s">
        <v>27</v>
      </c>
      <c r="E406" s="27" t="s">
        <v>404</v>
      </c>
      <c r="F406" s="20" t="s">
        <v>28</v>
      </c>
      <c r="G406" s="12" t="s">
        <v>2308</v>
      </c>
      <c r="H406" s="20" t="s">
        <v>532</v>
      </c>
      <c r="I406" s="4"/>
      <c r="J406" s="22">
        <v>0</v>
      </c>
      <c r="K406" s="22">
        <v>0</v>
      </c>
      <c r="L406" s="22">
        <v>0</v>
      </c>
      <c r="M406" s="22">
        <v>0</v>
      </c>
      <c r="N406" s="22">
        <v>0</v>
      </c>
      <c r="O406" s="22">
        <v>0</v>
      </c>
      <c r="P406" s="22">
        <v>0</v>
      </c>
      <c r="Q406" s="22" t="s">
        <v>2308</v>
      </c>
      <c r="R406" s="22" t="s">
        <v>2308</v>
      </c>
      <c r="S406" s="22">
        <v>0</v>
      </c>
      <c r="T406" s="22">
        <v>0</v>
      </c>
      <c r="U406" s="22">
        <v>0</v>
      </c>
      <c r="V406" s="22">
        <v>0</v>
      </c>
      <c r="W406" s="22">
        <v>0</v>
      </c>
      <c r="X406" s="22">
        <v>0</v>
      </c>
      <c r="Y406" s="22" t="s">
        <v>2308</v>
      </c>
      <c r="Z406" s="4" t="s">
        <v>2308</v>
      </c>
      <c r="AA406" s="4" t="s">
        <v>2308</v>
      </c>
      <c r="AB406" s="4" t="s">
        <v>2308</v>
      </c>
      <c r="AC406" s="4" t="s">
        <v>1989</v>
      </c>
      <c r="AD406" s="5"/>
    </row>
    <row r="407" spans="1:30" ht="56" customHeight="1">
      <c r="A407" s="12" t="s">
        <v>1901</v>
      </c>
      <c r="B407" s="12" t="s">
        <v>1988</v>
      </c>
      <c r="C407" s="24" t="s">
        <v>24</v>
      </c>
      <c r="D407" s="24" t="s">
        <v>27</v>
      </c>
      <c r="E407" s="27" t="s">
        <v>136</v>
      </c>
      <c r="F407" s="20" t="s">
        <v>167</v>
      </c>
      <c r="G407" s="12" t="s">
        <v>2308</v>
      </c>
      <c r="H407" s="20" t="s">
        <v>532</v>
      </c>
      <c r="I407" s="4"/>
      <c r="J407" s="22">
        <v>0</v>
      </c>
      <c r="K407" s="22">
        <v>0</v>
      </c>
      <c r="L407" s="22">
        <v>0</v>
      </c>
      <c r="M407" s="22">
        <v>0</v>
      </c>
      <c r="N407" s="22">
        <v>0</v>
      </c>
      <c r="O407" s="22">
        <v>0</v>
      </c>
      <c r="P407" s="22">
        <v>0</v>
      </c>
      <c r="Q407" s="22" t="s">
        <v>2308</v>
      </c>
      <c r="R407" s="22" t="s">
        <v>2308</v>
      </c>
      <c r="S407" s="22">
        <v>0</v>
      </c>
      <c r="T407" s="22">
        <v>0</v>
      </c>
      <c r="U407" s="22">
        <v>0</v>
      </c>
      <c r="V407" s="22">
        <v>0</v>
      </c>
      <c r="W407" s="22">
        <v>0</v>
      </c>
      <c r="X407" s="22">
        <v>0</v>
      </c>
      <c r="Y407" s="22" t="s">
        <v>2308</v>
      </c>
      <c r="Z407" s="4" t="s">
        <v>2308</v>
      </c>
      <c r="AA407" s="4" t="s">
        <v>2308</v>
      </c>
      <c r="AB407" s="4" t="s">
        <v>2308</v>
      </c>
      <c r="AC407" s="5" t="s">
        <v>1983</v>
      </c>
      <c r="AD407" s="5"/>
    </row>
    <row r="408" spans="1:30" ht="56" customHeight="1">
      <c r="A408" s="12" t="s">
        <v>1902</v>
      </c>
      <c r="B408" s="12" t="s">
        <v>1990</v>
      </c>
      <c r="C408" s="24" t="s">
        <v>24</v>
      </c>
      <c r="D408" s="24" t="s">
        <v>27</v>
      </c>
      <c r="E408" s="27" t="s">
        <v>136</v>
      </c>
      <c r="F408" s="20" t="s">
        <v>167</v>
      </c>
      <c r="G408" s="12" t="s">
        <v>2308</v>
      </c>
      <c r="H408" s="20" t="s">
        <v>532</v>
      </c>
      <c r="I408" s="4"/>
      <c r="J408" s="22">
        <v>0</v>
      </c>
      <c r="K408" s="22">
        <v>0</v>
      </c>
      <c r="L408" s="22">
        <v>0</v>
      </c>
      <c r="M408" s="22">
        <v>0</v>
      </c>
      <c r="N408" s="22">
        <v>0</v>
      </c>
      <c r="O408" s="22">
        <v>0</v>
      </c>
      <c r="P408" s="22">
        <v>0</v>
      </c>
      <c r="Q408" s="22" t="s">
        <v>2308</v>
      </c>
      <c r="R408" s="22" t="s">
        <v>2308</v>
      </c>
      <c r="S408" s="22">
        <v>0</v>
      </c>
      <c r="T408" s="22">
        <v>0</v>
      </c>
      <c r="U408" s="22">
        <v>0</v>
      </c>
      <c r="V408" s="22">
        <v>0</v>
      </c>
      <c r="W408" s="22">
        <v>0</v>
      </c>
      <c r="X408" s="22">
        <v>0</v>
      </c>
      <c r="Y408" s="22" t="s">
        <v>2308</v>
      </c>
      <c r="Z408" s="4" t="s">
        <v>2308</v>
      </c>
      <c r="AA408" s="4" t="s">
        <v>2308</v>
      </c>
      <c r="AB408" s="4" t="s">
        <v>2308</v>
      </c>
      <c r="AC408" s="5" t="s">
        <v>1983</v>
      </c>
      <c r="AD408" s="5"/>
    </row>
    <row r="409" spans="1:30" ht="56" customHeight="1">
      <c r="A409" s="12" t="s">
        <v>1903</v>
      </c>
      <c r="B409" s="12" t="s">
        <v>1991</v>
      </c>
      <c r="C409" s="24" t="s">
        <v>24</v>
      </c>
      <c r="D409" s="24" t="s">
        <v>27</v>
      </c>
      <c r="E409" s="27" t="s">
        <v>136</v>
      </c>
      <c r="F409" s="20" t="s">
        <v>74</v>
      </c>
      <c r="G409" s="12" t="s">
        <v>2308</v>
      </c>
      <c r="H409" s="20" t="s">
        <v>531</v>
      </c>
      <c r="I409" s="4"/>
      <c r="J409" s="22" t="s">
        <v>2308</v>
      </c>
      <c r="K409" s="22" t="s">
        <v>2308</v>
      </c>
      <c r="L409" s="22" t="s">
        <v>2308</v>
      </c>
      <c r="M409" s="22" t="s">
        <v>2308</v>
      </c>
      <c r="N409" s="22" t="s">
        <v>2308</v>
      </c>
      <c r="O409" s="22" t="s">
        <v>2308</v>
      </c>
      <c r="P409" s="22" t="s">
        <v>2308</v>
      </c>
      <c r="Q409" s="22" t="s">
        <v>2308</v>
      </c>
      <c r="R409" s="22" t="s">
        <v>2308</v>
      </c>
      <c r="S409" s="22" t="s">
        <v>2308</v>
      </c>
      <c r="T409" s="22" t="s">
        <v>2308</v>
      </c>
      <c r="U409" s="22" t="s">
        <v>2308</v>
      </c>
      <c r="V409" s="22" t="s">
        <v>2308</v>
      </c>
      <c r="W409" s="22" t="s">
        <v>2308</v>
      </c>
      <c r="X409" s="22" t="s">
        <v>2308</v>
      </c>
      <c r="Y409" s="22" t="s">
        <v>2308</v>
      </c>
      <c r="Z409" s="4" t="s">
        <v>2308</v>
      </c>
      <c r="AA409" s="4" t="s">
        <v>2308</v>
      </c>
      <c r="AB409" s="4" t="s">
        <v>2308</v>
      </c>
      <c r="AC409" s="5" t="s">
        <v>1993</v>
      </c>
      <c r="AD409" s="5"/>
    </row>
    <row r="410" spans="1:30" ht="56" customHeight="1">
      <c r="A410" s="12" t="s">
        <v>1903</v>
      </c>
      <c r="B410" s="12" t="s">
        <v>1992</v>
      </c>
      <c r="C410" s="24" t="s">
        <v>24</v>
      </c>
      <c r="D410" s="24" t="s">
        <v>27</v>
      </c>
      <c r="E410" s="27" t="s">
        <v>136</v>
      </c>
      <c r="F410" s="20" t="s">
        <v>167</v>
      </c>
      <c r="G410" s="12" t="s">
        <v>2308</v>
      </c>
      <c r="H410" s="20" t="s">
        <v>531</v>
      </c>
      <c r="I410" s="4"/>
      <c r="J410" s="22" t="s">
        <v>2308</v>
      </c>
      <c r="K410" s="22" t="s">
        <v>2308</v>
      </c>
      <c r="L410" s="22" t="s">
        <v>2308</v>
      </c>
      <c r="M410" s="22" t="s">
        <v>2308</v>
      </c>
      <c r="N410" s="22" t="s">
        <v>2308</v>
      </c>
      <c r="O410" s="22" t="s">
        <v>2308</v>
      </c>
      <c r="P410" s="22" t="s">
        <v>2308</v>
      </c>
      <c r="Q410" s="22" t="s">
        <v>2308</v>
      </c>
      <c r="R410" s="22" t="s">
        <v>2308</v>
      </c>
      <c r="S410" s="22" t="s">
        <v>2308</v>
      </c>
      <c r="T410" s="22" t="s">
        <v>2308</v>
      </c>
      <c r="U410" s="22" t="s">
        <v>2308</v>
      </c>
      <c r="V410" s="22" t="s">
        <v>2308</v>
      </c>
      <c r="W410" s="22" t="s">
        <v>2308</v>
      </c>
      <c r="X410" s="22" t="s">
        <v>2308</v>
      </c>
      <c r="Y410" s="22" t="s">
        <v>2308</v>
      </c>
      <c r="Z410" s="4" t="s">
        <v>2308</v>
      </c>
      <c r="AA410" s="4" t="s">
        <v>2308</v>
      </c>
      <c r="AB410" s="4" t="s">
        <v>2308</v>
      </c>
      <c r="AC410" s="5" t="s">
        <v>1993</v>
      </c>
      <c r="AD410" s="5"/>
    </row>
    <row r="411" spans="1:30" ht="56" customHeight="1">
      <c r="A411" s="12" t="s">
        <v>1906</v>
      </c>
      <c r="B411" s="12" t="s">
        <v>1995</v>
      </c>
      <c r="C411" s="24" t="s">
        <v>24</v>
      </c>
      <c r="D411" s="24" t="s">
        <v>27</v>
      </c>
      <c r="E411" s="27" t="s">
        <v>136</v>
      </c>
      <c r="F411" s="20" t="s">
        <v>167</v>
      </c>
      <c r="G411" s="12" t="s">
        <v>2308</v>
      </c>
      <c r="H411" s="20" t="s">
        <v>531</v>
      </c>
      <c r="I411" s="4"/>
      <c r="J411" s="22" t="s">
        <v>2308</v>
      </c>
      <c r="K411" s="22" t="s">
        <v>2308</v>
      </c>
      <c r="L411" s="22" t="s">
        <v>2308</v>
      </c>
      <c r="M411" s="22" t="s">
        <v>2308</v>
      </c>
      <c r="N411" s="22" t="s">
        <v>2308</v>
      </c>
      <c r="O411" s="22" t="s">
        <v>2308</v>
      </c>
      <c r="P411" s="22" t="s">
        <v>2308</v>
      </c>
      <c r="Q411" s="22" t="s">
        <v>2308</v>
      </c>
      <c r="R411" s="22" t="s">
        <v>2308</v>
      </c>
      <c r="S411" s="22" t="s">
        <v>2308</v>
      </c>
      <c r="T411" s="22" t="s">
        <v>2308</v>
      </c>
      <c r="U411" s="22" t="s">
        <v>2308</v>
      </c>
      <c r="V411" s="22" t="s">
        <v>2308</v>
      </c>
      <c r="W411" s="22" t="s">
        <v>2308</v>
      </c>
      <c r="X411" s="22" t="s">
        <v>2308</v>
      </c>
      <c r="Y411" s="22" t="s">
        <v>2308</v>
      </c>
      <c r="Z411" s="4" t="s">
        <v>2308</v>
      </c>
      <c r="AA411" s="4" t="s">
        <v>2308</v>
      </c>
      <c r="AB411" s="4" t="s">
        <v>2308</v>
      </c>
      <c r="AC411" s="5" t="s">
        <v>1994</v>
      </c>
      <c r="AD411" s="5"/>
    </row>
    <row r="412" spans="1:30" ht="71" customHeight="1">
      <c r="A412" s="12" t="s">
        <v>1907</v>
      </c>
      <c r="B412" s="12" t="s">
        <v>1996</v>
      </c>
      <c r="C412" s="24" t="s">
        <v>24</v>
      </c>
      <c r="D412" s="24" t="s">
        <v>27</v>
      </c>
      <c r="E412" s="27" t="s">
        <v>404</v>
      </c>
      <c r="F412" s="20" t="s">
        <v>28</v>
      </c>
      <c r="G412" s="12" t="s">
        <v>2308</v>
      </c>
      <c r="H412" s="20" t="s">
        <v>532</v>
      </c>
      <c r="I412" s="4"/>
      <c r="J412" s="22">
        <v>0</v>
      </c>
      <c r="K412" s="22">
        <v>0</v>
      </c>
      <c r="L412" s="22">
        <v>0</v>
      </c>
      <c r="M412" s="22">
        <v>0</v>
      </c>
      <c r="N412" s="22">
        <v>0</v>
      </c>
      <c r="O412" s="22">
        <v>0</v>
      </c>
      <c r="P412" s="22">
        <v>0</v>
      </c>
      <c r="Q412" s="22" t="s">
        <v>2308</v>
      </c>
      <c r="R412" s="22" t="s">
        <v>2308</v>
      </c>
      <c r="S412" s="22">
        <v>0</v>
      </c>
      <c r="T412" s="22">
        <v>0</v>
      </c>
      <c r="U412" s="22">
        <v>0</v>
      </c>
      <c r="V412" s="22">
        <v>0</v>
      </c>
      <c r="W412" s="22">
        <v>0</v>
      </c>
      <c r="X412" s="22">
        <v>0</v>
      </c>
      <c r="Y412" s="22" t="s">
        <v>2308</v>
      </c>
      <c r="Z412" s="4" t="s">
        <v>2308</v>
      </c>
      <c r="AA412" s="4" t="s">
        <v>2308</v>
      </c>
      <c r="AB412" s="4" t="s">
        <v>2308</v>
      </c>
      <c r="AC412" s="19" t="s">
        <v>2001</v>
      </c>
      <c r="AD412" s="5"/>
    </row>
    <row r="413" spans="1:30" ht="56" customHeight="1">
      <c r="A413" s="12" t="s">
        <v>1904</v>
      </c>
      <c r="B413" s="12" t="s">
        <v>1997</v>
      </c>
      <c r="C413" s="24" t="s">
        <v>24</v>
      </c>
      <c r="D413" s="24" t="s">
        <v>27</v>
      </c>
      <c r="E413" s="27" t="s">
        <v>404</v>
      </c>
      <c r="F413" s="20" t="s">
        <v>28</v>
      </c>
      <c r="G413" s="12" t="s">
        <v>2308</v>
      </c>
      <c r="H413" s="20" t="s">
        <v>532</v>
      </c>
      <c r="I413" s="4"/>
      <c r="J413" s="22">
        <v>0</v>
      </c>
      <c r="K413" s="22">
        <v>0</v>
      </c>
      <c r="L413" s="22">
        <v>0</v>
      </c>
      <c r="M413" s="22">
        <v>0</v>
      </c>
      <c r="N413" s="22">
        <v>0</v>
      </c>
      <c r="O413" s="22">
        <v>0</v>
      </c>
      <c r="P413" s="22">
        <v>0</v>
      </c>
      <c r="Q413" s="22" t="s">
        <v>2308</v>
      </c>
      <c r="R413" s="22" t="s">
        <v>2308</v>
      </c>
      <c r="S413" s="22">
        <v>0</v>
      </c>
      <c r="T413" s="22">
        <v>0</v>
      </c>
      <c r="U413" s="22">
        <v>0</v>
      </c>
      <c r="V413" s="22">
        <v>0</v>
      </c>
      <c r="W413" s="22">
        <v>0</v>
      </c>
      <c r="X413" s="22">
        <v>0</v>
      </c>
      <c r="Y413" s="22" t="s">
        <v>2308</v>
      </c>
      <c r="Z413" s="4" t="s">
        <v>2308</v>
      </c>
      <c r="AA413" s="4" t="s">
        <v>2308</v>
      </c>
      <c r="AB413" s="4" t="s">
        <v>2308</v>
      </c>
      <c r="AC413" s="4" t="s">
        <v>1989</v>
      </c>
      <c r="AD413" s="5"/>
    </row>
    <row r="414" spans="1:30" ht="56" customHeight="1">
      <c r="A414" s="12" t="s">
        <v>1905</v>
      </c>
      <c r="B414" s="12" t="s">
        <v>1998</v>
      </c>
      <c r="C414" s="24" t="s">
        <v>24</v>
      </c>
      <c r="D414" s="24" t="s">
        <v>27</v>
      </c>
      <c r="E414" s="27" t="s">
        <v>404</v>
      </c>
      <c r="F414" s="20" t="s">
        <v>28</v>
      </c>
      <c r="G414" s="12" t="s">
        <v>2308</v>
      </c>
      <c r="H414" s="20" t="s">
        <v>532</v>
      </c>
      <c r="I414" s="4"/>
      <c r="J414" s="22">
        <v>0</v>
      </c>
      <c r="K414" s="22">
        <v>0</v>
      </c>
      <c r="L414" s="22">
        <v>0</v>
      </c>
      <c r="M414" s="22">
        <v>0</v>
      </c>
      <c r="N414" s="22">
        <v>0</v>
      </c>
      <c r="O414" s="22">
        <v>0</v>
      </c>
      <c r="P414" s="22">
        <v>0</v>
      </c>
      <c r="Q414" s="22" t="s">
        <v>2308</v>
      </c>
      <c r="R414" s="22" t="s">
        <v>2308</v>
      </c>
      <c r="S414" s="22">
        <v>0</v>
      </c>
      <c r="T414" s="22">
        <v>0</v>
      </c>
      <c r="U414" s="22">
        <v>0</v>
      </c>
      <c r="V414" s="22">
        <v>0</v>
      </c>
      <c r="W414" s="22">
        <v>0</v>
      </c>
      <c r="X414" s="22">
        <v>0</v>
      </c>
      <c r="Y414" s="22" t="s">
        <v>2308</v>
      </c>
      <c r="Z414" s="4" t="s">
        <v>2308</v>
      </c>
      <c r="AA414" s="4" t="s">
        <v>2308</v>
      </c>
      <c r="AB414" s="4" t="s">
        <v>2308</v>
      </c>
      <c r="AC414" s="4" t="s">
        <v>1989</v>
      </c>
      <c r="AD414" s="5"/>
    </row>
    <row r="415" spans="1:30" ht="56" customHeight="1">
      <c r="A415" s="12" t="s">
        <v>1908</v>
      </c>
      <c r="B415" s="12" t="s">
        <v>1999</v>
      </c>
      <c r="C415" s="24" t="s">
        <v>24</v>
      </c>
      <c r="D415" s="24" t="s">
        <v>27</v>
      </c>
      <c r="E415" s="27" t="s">
        <v>404</v>
      </c>
      <c r="F415" s="20" t="s">
        <v>28</v>
      </c>
      <c r="G415" s="12" t="s">
        <v>2308</v>
      </c>
      <c r="H415" s="20" t="s">
        <v>532</v>
      </c>
      <c r="I415" s="4"/>
      <c r="J415" s="22">
        <v>0</v>
      </c>
      <c r="K415" s="22">
        <v>0</v>
      </c>
      <c r="L415" s="22">
        <v>0</v>
      </c>
      <c r="M415" s="22">
        <v>0</v>
      </c>
      <c r="N415" s="22">
        <v>0</v>
      </c>
      <c r="O415" s="22">
        <v>0</v>
      </c>
      <c r="P415" s="22">
        <v>0</v>
      </c>
      <c r="Q415" s="22" t="s">
        <v>2308</v>
      </c>
      <c r="R415" s="22" t="s">
        <v>2308</v>
      </c>
      <c r="S415" s="22">
        <v>0</v>
      </c>
      <c r="T415" s="22">
        <v>0</v>
      </c>
      <c r="U415" s="22">
        <v>0</v>
      </c>
      <c r="V415" s="22">
        <v>0</v>
      </c>
      <c r="W415" s="22">
        <v>0</v>
      </c>
      <c r="X415" s="22">
        <v>0</v>
      </c>
      <c r="Y415" s="22" t="s">
        <v>2308</v>
      </c>
      <c r="Z415" s="4" t="s">
        <v>2308</v>
      </c>
      <c r="AA415" s="4" t="s">
        <v>2308</v>
      </c>
      <c r="AB415" s="4" t="s">
        <v>2308</v>
      </c>
      <c r="AC415" s="4" t="s">
        <v>1989</v>
      </c>
      <c r="AD415" s="5"/>
    </row>
    <row r="416" spans="1:30" ht="73.5" customHeight="1">
      <c r="A416" s="12" t="s">
        <v>1909</v>
      </c>
      <c r="B416" s="12" t="s">
        <v>2000</v>
      </c>
      <c r="C416" s="24" t="s">
        <v>24</v>
      </c>
      <c r="D416" s="24" t="s">
        <v>27</v>
      </c>
      <c r="E416" s="27" t="s">
        <v>404</v>
      </c>
      <c r="F416" s="20" t="s">
        <v>28</v>
      </c>
      <c r="G416" s="12" t="s">
        <v>2308</v>
      </c>
      <c r="H416" s="20" t="s">
        <v>532</v>
      </c>
      <c r="I416" s="4"/>
      <c r="J416" s="22">
        <v>0</v>
      </c>
      <c r="K416" s="22">
        <v>0</v>
      </c>
      <c r="L416" s="22">
        <v>0</v>
      </c>
      <c r="M416" s="22">
        <v>0</v>
      </c>
      <c r="N416" s="22">
        <v>0</v>
      </c>
      <c r="O416" s="22">
        <v>0</v>
      </c>
      <c r="P416" s="22">
        <v>0</v>
      </c>
      <c r="Q416" s="22" t="s">
        <v>2308</v>
      </c>
      <c r="R416" s="22" t="s">
        <v>2308</v>
      </c>
      <c r="S416" s="22">
        <v>0</v>
      </c>
      <c r="T416" s="22">
        <v>0</v>
      </c>
      <c r="U416" s="22">
        <v>0</v>
      </c>
      <c r="V416" s="22">
        <v>0</v>
      </c>
      <c r="W416" s="22">
        <v>0</v>
      </c>
      <c r="X416" s="22">
        <v>0</v>
      </c>
      <c r="Y416" s="22" t="s">
        <v>2308</v>
      </c>
      <c r="Z416" s="4" t="s">
        <v>2308</v>
      </c>
      <c r="AA416" s="4" t="s">
        <v>2308</v>
      </c>
      <c r="AB416" s="4" t="s">
        <v>2308</v>
      </c>
      <c r="AC416" s="19" t="s">
        <v>2001</v>
      </c>
      <c r="AD416" s="5"/>
    </row>
    <row r="417" spans="1:30" ht="56" customHeight="1">
      <c r="A417" s="12" t="s">
        <v>1910</v>
      </c>
      <c r="B417" s="12" t="s">
        <v>2002</v>
      </c>
      <c r="C417" s="24" t="s">
        <v>24</v>
      </c>
      <c r="D417" s="24" t="s">
        <v>27</v>
      </c>
      <c r="E417" s="27" t="s">
        <v>136</v>
      </c>
      <c r="F417" s="20" t="s">
        <v>167</v>
      </c>
      <c r="G417" s="12" t="s">
        <v>2308</v>
      </c>
      <c r="H417" s="20" t="s">
        <v>531</v>
      </c>
      <c r="I417" s="4"/>
      <c r="J417" s="22" t="s">
        <v>2308</v>
      </c>
      <c r="K417" s="22" t="s">
        <v>2308</v>
      </c>
      <c r="L417" s="22" t="s">
        <v>2308</v>
      </c>
      <c r="M417" s="22" t="s">
        <v>2308</v>
      </c>
      <c r="N417" s="22" t="s">
        <v>2308</v>
      </c>
      <c r="O417" s="22" t="s">
        <v>2308</v>
      </c>
      <c r="P417" s="22" t="s">
        <v>2308</v>
      </c>
      <c r="Q417" s="22" t="s">
        <v>2308</v>
      </c>
      <c r="R417" s="22" t="s">
        <v>2308</v>
      </c>
      <c r="S417" s="22" t="s">
        <v>2308</v>
      </c>
      <c r="T417" s="22" t="s">
        <v>2308</v>
      </c>
      <c r="U417" s="22" t="s">
        <v>2308</v>
      </c>
      <c r="V417" s="22" t="s">
        <v>2308</v>
      </c>
      <c r="W417" s="22" t="s">
        <v>2308</v>
      </c>
      <c r="X417" s="22" t="s">
        <v>2308</v>
      </c>
      <c r="Y417" s="22" t="s">
        <v>2308</v>
      </c>
      <c r="Z417" s="4" t="s">
        <v>2308</v>
      </c>
      <c r="AA417" s="4" t="s">
        <v>2308</v>
      </c>
      <c r="AB417" s="4" t="s">
        <v>2308</v>
      </c>
      <c r="AC417" s="5" t="s">
        <v>1994</v>
      </c>
      <c r="AD417" s="5"/>
    </row>
    <row r="418" spans="1:30" ht="56" customHeight="1">
      <c r="A418" s="12" t="s">
        <v>1911</v>
      </c>
      <c r="B418" s="12" t="s">
        <v>2003</v>
      </c>
      <c r="C418" s="24" t="s">
        <v>24</v>
      </c>
      <c r="D418" s="24" t="s">
        <v>27</v>
      </c>
      <c r="E418" s="27" t="s">
        <v>136</v>
      </c>
      <c r="F418" s="20" t="s">
        <v>74</v>
      </c>
      <c r="G418" s="12" t="s">
        <v>2308</v>
      </c>
      <c r="H418" s="20" t="s">
        <v>531</v>
      </c>
      <c r="I418" s="4"/>
      <c r="J418" s="22" t="s">
        <v>2308</v>
      </c>
      <c r="K418" s="22" t="s">
        <v>2308</v>
      </c>
      <c r="L418" s="22" t="s">
        <v>2308</v>
      </c>
      <c r="M418" s="22" t="s">
        <v>2308</v>
      </c>
      <c r="N418" s="22" t="s">
        <v>2308</v>
      </c>
      <c r="O418" s="22" t="s">
        <v>2308</v>
      </c>
      <c r="P418" s="22" t="s">
        <v>2308</v>
      </c>
      <c r="Q418" s="22" t="s">
        <v>2308</v>
      </c>
      <c r="R418" s="22" t="s">
        <v>2308</v>
      </c>
      <c r="S418" s="22" t="s">
        <v>2308</v>
      </c>
      <c r="T418" s="22" t="s">
        <v>2308</v>
      </c>
      <c r="U418" s="22" t="s">
        <v>2308</v>
      </c>
      <c r="V418" s="22" t="s">
        <v>2308</v>
      </c>
      <c r="W418" s="22" t="s">
        <v>2308</v>
      </c>
      <c r="X418" s="22" t="s">
        <v>2308</v>
      </c>
      <c r="Y418" s="22" t="s">
        <v>2308</v>
      </c>
      <c r="Z418" s="4" t="s">
        <v>2308</v>
      </c>
      <c r="AA418" s="4" t="s">
        <v>2308</v>
      </c>
      <c r="AB418" s="4" t="s">
        <v>2308</v>
      </c>
      <c r="AC418" s="5" t="s">
        <v>1993</v>
      </c>
      <c r="AD418" s="5"/>
    </row>
    <row r="419" spans="1:30" ht="56" customHeight="1">
      <c r="A419" s="12" t="s">
        <v>1911</v>
      </c>
      <c r="B419" s="12" t="s">
        <v>2004</v>
      </c>
      <c r="C419" s="24" t="s">
        <v>24</v>
      </c>
      <c r="D419" s="24" t="s">
        <v>27</v>
      </c>
      <c r="E419" s="27" t="s">
        <v>136</v>
      </c>
      <c r="F419" s="20" t="s">
        <v>167</v>
      </c>
      <c r="G419" s="12" t="s">
        <v>2308</v>
      </c>
      <c r="H419" s="20" t="s">
        <v>531</v>
      </c>
      <c r="I419" s="4"/>
      <c r="J419" s="22" t="s">
        <v>2308</v>
      </c>
      <c r="K419" s="22" t="s">
        <v>2308</v>
      </c>
      <c r="L419" s="22" t="s">
        <v>2308</v>
      </c>
      <c r="M419" s="22" t="s">
        <v>2308</v>
      </c>
      <c r="N419" s="22" t="s">
        <v>2308</v>
      </c>
      <c r="O419" s="22" t="s">
        <v>2308</v>
      </c>
      <c r="P419" s="22" t="s">
        <v>2308</v>
      </c>
      <c r="Q419" s="22" t="s">
        <v>2308</v>
      </c>
      <c r="R419" s="22" t="s">
        <v>2308</v>
      </c>
      <c r="S419" s="22" t="s">
        <v>2308</v>
      </c>
      <c r="T419" s="22" t="s">
        <v>2308</v>
      </c>
      <c r="U419" s="22" t="s">
        <v>2308</v>
      </c>
      <c r="V419" s="22" t="s">
        <v>2308</v>
      </c>
      <c r="W419" s="22" t="s">
        <v>2308</v>
      </c>
      <c r="X419" s="22" t="s">
        <v>2308</v>
      </c>
      <c r="Y419" s="22" t="s">
        <v>2308</v>
      </c>
      <c r="Z419" s="4" t="s">
        <v>2308</v>
      </c>
      <c r="AA419" s="4" t="s">
        <v>2308</v>
      </c>
      <c r="AB419" s="4" t="s">
        <v>2308</v>
      </c>
      <c r="AC419" s="5" t="s">
        <v>1993</v>
      </c>
      <c r="AD419" s="5"/>
    </row>
    <row r="420" spans="1:30" ht="56" customHeight="1">
      <c r="A420" s="12" t="s">
        <v>1912</v>
      </c>
      <c r="B420" s="12" t="s">
        <v>2005</v>
      </c>
      <c r="C420" s="24" t="s">
        <v>24</v>
      </c>
      <c r="D420" s="24" t="s">
        <v>27</v>
      </c>
      <c r="E420" s="27" t="s">
        <v>136</v>
      </c>
      <c r="F420" s="20" t="s">
        <v>167</v>
      </c>
      <c r="G420" s="12" t="s">
        <v>2308</v>
      </c>
      <c r="H420" s="20" t="s">
        <v>531</v>
      </c>
      <c r="I420" s="4"/>
      <c r="J420" s="22" t="s">
        <v>2308</v>
      </c>
      <c r="K420" s="22" t="s">
        <v>2308</v>
      </c>
      <c r="L420" s="22" t="s">
        <v>2308</v>
      </c>
      <c r="M420" s="22" t="s">
        <v>2308</v>
      </c>
      <c r="N420" s="22" t="s">
        <v>2308</v>
      </c>
      <c r="O420" s="22" t="s">
        <v>2308</v>
      </c>
      <c r="P420" s="22" t="s">
        <v>2308</v>
      </c>
      <c r="Q420" s="22" t="s">
        <v>2308</v>
      </c>
      <c r="R420" s="22" t="s">
        <v>2308</v>
      </c>
      <c r="S420" s="22" t="s">
        <v>2308</v>
      </c>
      <c r="T420" s="22" t="s">
        <v>2308</v>
      </c>
      <c r="U420" s="22" t="s">
        <v>2308</v>
      </c>
      <c r="V420" s="22" t="s">
        <v>2308</v>
      </c>
      <c r="W420" s="22" t="s">
        <v>2308</v>
      </c>
      <c r="X420" s="22" t="s">
        <v>2308</v>
      </c>
      <c r="Y420" s="22" t="s">
        <v>2308</v>
      </c>
      <c r="Z420" s="4" t="s">
        <v>2308</v>
      </c>
      <c r="AA420" s="4" t="s">
        <v>2308</v>
      </c>
      <c r="AB420" s="4" t="s">
        <v>2308</v>
      </c>
      <c r="AC420" s="5" t="s">
        <v>1994</v>
      </c>
      <c r="AD420" s="5"/>
    </row>
    <row r="421" spans="1:30" ht="56" customHeight="1">
      <c r="A421" s="12" t="s">
        <v>1913</v>
      </c>
      <c r="B421" s="12" t="s">
        <v>2006</v>
      </c>
      <c r="C421" s="24" t="s">
        <v>24</v>
      </c>
      <c r="D421" s="24" t="s">
        <v>27</v>
      </c>
      <c r="E421" s="27" t="s">
        <v>136</v>
      </c>
      <c r="F421" s="20" t="s">
        <v>167</v>
      </c>
      <c r="G421" s="12" t="s">
        <v>2308</v>
      </c>
      <c r="H421" s="20" t="s">
        <v>531</v>
      </c>
      <c r="I421" s="4"/>
      <c r="J421" s="22" t="s">
        <v>2308</v>
      </c>
      <c r="K421" s="22" t="s">
        <v>2308</v>
      </c>
      <c r="L421" s="22" t="s">
        <v>2308</v>
      </c>
      <c r="M421" s="22" t="s">
        <v>2308</v>
      </c>
      <c r="N421" s="22" t="s">
        <v>2308</v>
      </c>
      <c r="O421" s="22" t="s">
        <v>2308</v>
      </c>
      <c r="P421" s="22" t="s">
        <v>2308</v>
      </c>
      <c r="Q421" s="22" t="s">
        <v>2308</v>
      </c>
      <c r="R421" s="22" t="s">
        <v>2308</v>
      </c>
      <c r="S421" s="22" t="s">
        <v>2308</v>
      </c>
      <c r="T421" s="22" t="s">
        <v>2308</v>
      </c>
      <c r="U421" s="22" t="s">
        <v>2308</v>
      </c>
      <c r="V421" s="22" t="s">
        <v>2308</v>
      </c>
      <c r="W421" s="22" t="s">
        <v>2308</v>
      </c>
      <c r="X421" s="22" t="s">
        <v>2308</v>
      </c>
      <c r="Y421" s="22" t="s">
        <v>2308</v>
      </c>
      <c r="Z421" s="4" t="s">
        <v>2308</v>
      </c>
      <c r="AA421" s="4" t="s">
        <v>2308</v>
      </c>
      <c r="AB421" s="4" t="s">
        <v>2308</v>
      </c>
      <c r="AC421" s="5" t="s">
        <v>1994</v>
      </c>
      <c r="AD421" s="5"/>
    </row>
    <row r="422" spans="1:30" ht="56" customHeight="1">
      <c r="A422" s="12" t="s">
        <v>1914</v>
      </c>
      <c r="B422" s="12" t="s">
        <v>2007</v>
      </c>
      <c r="C422" s="24" t="s">
        <v>24</v>
      </c>
      <c r="D422" s="24" t="s">
        <v>27</v>
      </c>
      <c r="E422" s="27" t="s">
        <v>404</v>
      </c>
      <c r="F422" s="20" t="s">
        <v>28</v>
      </c>
      <c r="G422" s="12" t="s">
        <v>2308</v>
      </c>
      <c r="H422" s="20" t="s">
        <v>532</v>
      </c>
      <c r="I422" s="4"/>
      <c r="J422" s="22">
        <v>0</v>
      </c>
      <c r="K422" s="22">
        <v>0</v>
      </c>
      <c r="L422" s="22">
        <v>0</v>
      </c>
      <c r="M422" s="22">
        <v>0</v>
      </c>
      <c r="N422" s="22">
        <v>0</v>
      </c>
      <c r="O422" s="22">
        <v>0</v>
      </c>
      <c r="P422" s="22">
        <v>0</v>
      </c>
      <c r="Q422" s="22" t="s">
        <v>2308</v>
      </c>
      <c r="R422" s="22" t="s">
        <v>2308</v>
      </c>
      <c r="S422" s="22">
        <v>0</v>
      </c>
      <c r="T422" s="22">
        <v>0</v>
      </c>
      <c r="U422" s="22">
        <v>0</v>
      </c>
      <c r="V422" s="22">
        <v>0</v>
      </c>
      <c r="W422" s="22">
        <v>0</v>
      </c>
      <c r="X422" s="22">
        <v>0</v>
      </c>
      <c r="Y422" s="22" t="s">
        <v>2308</v>
      </c>
      <c r="Z422" s="4" t="s">
        <v>2308</v>
      </c>
      <c r="AA422" s="4" t="s">
        <v>2308</v>
      </c>
      <c r="AB422" s="4" t="s">
        <v>2308</v>
      </c>
      <c r="AC422" s="4" t="s">
        <v>1989</v>
      </c>
      <c r="AD422" s="5"/>
    </row>
    <row r="423" spans="1:30" ht="73.5" customHeight="1">
      <c r="A423" s="12" t="s">
        <v>1915</v>
      </c>
      <c r="B423" s="12" t="s">
        <v>2008</v>
      </c>
      <c r="C423" s="24" t="s">
        <v>24</v>
      </c>
      <c r="D423" s="24" t="s">
        <v>27</v>
      </c>
      <c r="E423" s="27" t="s">
        <v>404</v>
      </c>
      <c r="F423" s="20" t="s">
        <v>28</v>
      </c>
      <c r="G423" s="12" t="s">
        <v>2308</v>
      </c>
      <c r="H423" s="20" t="s">
        <v>532</v>
      </c>
      <c r="I423" s="4"/>
      <c r="J423" s="22">
        <v>0</v>
      </c>
      <c r="K423" s="22">
        <v>0</v>
      </c>
      <c r="L423" s="22">
        <v>0</v>
      </c>
      <c r="M423" s="22">
        <v>0</v>
      </c>
      <c r="N423" s="22">
        <v>0</v>
      </c>
      <c r="O423" s="22">
        <v>0</v>
      </c>
      <c r="P423" s="22">
        <v>0</v>
      </c>
      <c r="Q423" s="22" t="s">
        <v>2308</v>
      </c>
      <c r="R423" s="22" t="s">
        <v>2308</v>
      </c>
      <c r="S423" s="22">
        <v>0</v>
      </c>
      <c r="T423" s="22">
        <v>0</v>
      </c>
      <c r="U423" s="22">
        <v>0</v>
      </c>
      <c r="V423" s="22">
        <v>0</v>
      </c>
      <c r="W423" s="22">
        <v>0</v>
      </c>
      <c r="X423" s="22">
        <v>0</v>
      </c>
      <c r="Y423" s="22" t="s">
        <v>2308</v>
      </c>
      <c r="Z423" s="4" t="s">
        <v>2308</v>
      </c>
      <c r="AA423" s="4" t="s">
        <v>2308</v>
      </c>
      <c r="AB423" s="4" t="s">
        <v>2308</v>
      </c>
      <c r="AC423" s="19" t="s">
        <v>2001</v>
      </c>
      <c r="AD423" s="5"/>
    </row>
    <row r="424" spans="1:30" ht="56" customHeight="1">
      <c r="A424" s="12" t="s">
        <v>1916</v>
      </c>
      <c r="B424" s="12" t="s">
        <v>2009</v>
      </c>
      <c r="C424" s="24" t="s">
        <v>24</v>
      </c>
      <c r="D424" s="24" t="s">
        <v>27</v>
      </c>
      <c r="E424" s="27" t="s">
        <v>404</v>
      </c>
      <c r="F424" s="20" t="s">
        <v>28</v>
      </c>
      <c r="G424" s="12" t="s">
        <v>2308</v>
      </c>
      <c r="H424" s="20" t="s">
        <v>532</v>
      </c>
      <c r="I424" s="4"/>
      <c r="J424" s="22">
        <v>0</v>
      </c>
      <c r="K424" s="22">
        <v>0</v>
      </c>
      <c r="L424" s="22">
        <v>0</v>
      </c>
      <c r="M424" s="22">
        <v>0</v>
      </c>
      <c r="N424" s="22">
        <v>0</v>
      </c>
      <c r="O424" s="22">
        <v>0</v>
      </c>
      <c r="P424" s="22">
        <v>0</v>
      </c>
      <c r="Q424" s="22" t="s">
        <v>2308</v>
      </c>
      <c r="R424" s="22" t="s">
        <v>2308</v>
      </c>
      <c r="S424" s="22">
        <v>0</v>
      </c>
      <c r="T424" s="22">
        <v>0</v>
      </c>
      <c r="U424" s="22">
        <v>0</v>
      </c>
      <c r="V424" s="22">
        <v>0</v>
      </c>
      <c r="W424" s="22">
        <v>0</v>
      </c>
      <c r="X424" s="22">
        <v>0</v>
      </c>
      <c r="Y424" s="22" t="s">
        <v>2308</v>
      </c>
      <c r="Z424" s="4" t="s">
        <v>2308</v>
      </c>
      <c r="AA424" s="4" t="s">
        <v>2308</v>
      </c>
      <c r="AB424" s="4" t="s">
        <v>2308</v>
      </c>
      <c r="AC424" s="4" t="s">
        <v>1989</v>
      </c>
      <c r="AD424" s="5"/>
    </row>
    <row r="425" spans="1:30" ht="56" customHeight="1">
      <c r="A425" s="12" t="s">
        <v>1917</v>
      </c>
      <c r="B425" s="12" t="s">
        <v>2010</v>
      </c>
      <c r="C425" s="24" t="s">
        <v>24</v>
      </c>
      <c r="D425" s="24" t="s">
        <v>27</v>
      </c>
      <c r="E425" s="27" t="s">
        <v>404</v>
      </c>
      <c r="F425" s="20" t="s">
        <v>28</v>
      </c>
      <c r="G425" s="12" t="s">
        <v>2308</v>
      </c>
      <c r="H425" s="20" t="s">
        <v>532</v>
      </c>
      <c r="I425" s="4"/>
      <c r="J425" s="22">
        <v>0</v>
      </c>
      <c r="K425" s="22">
        <v>0</v>
      </c>
      <c r="L425" s="22">
        <v>0</v>
      </c>
      <c r="M425" s="22">
        <v>0</v>
      </c>
      <c r="N425" s="22">
        <v>0</v>
      </c>
      <c r="O425" s="22">
        <v>0</v>
      </c>
      <c r="P425" s="22">
        <v>0</v>
      </c>
      <c r="Q425" s="22" t="s">
        <v>2308</v>
      </c>
      <c r="R425" s="22" t="s">
        <v>2308</v>
      </c>
      <c r="S425" s="22">
        <v>0</v>
      </c>
      <c r="T425" s="22">
        <v>0</v>
      </c>
      <c r="U425" s="22">
        <v>0</v>
      </c>
      <c r="V425" s="22">
        <v>0</v>
      </c>
      <c r="W425" s="22">
        <v>0</v>
      </c>
      <c r="X425" s="22">
        <v>0</v>
      </c>
      <c r="Y425" s="22" t="s">
        <v>2308</v>
      </c>
      <c r="Z425" s="4" t="s">
        <v>2308</v>
      </c>
      <c r="AA425" s="4" t="s">
        <v>2308</v>
      </c>
      <c r="AB425" s="4" t="s">
        <v>2308</v>
      </c>
      <c r="AC425" s="4" t="s">
        <v>1989</v>
      </c>
      <c r="AD425" s="5"/>
    </row>
    <row r="426" spans="1:30" ht="56" customHeight="1">
      <c r="A426" s="12" t="s">
        <v>1918</v>
      </c>
      <c r="B426" s="12" t="s">
        <v>2011</v>
      </c>
      <c r="C426" s="24" t="s">
        <v>24</v>
      </c>
      <c r="D426" s="24" t="s">
        <v>27</v>
      </c>
      <c r="E426" s="27" t="s">
        <v>404</v>
      </c>
      <c r="F426" s="20" t="s">
        <v>28</v>
      </c>
      <c r="G426" s="12" t="s">
        <v>2308</v>
      </c>
      <c r="H426" s="20" t="s">
        <v>532</v>
      </c>
      <c r="I426" s="4"/>
      <c r="J426" s="22">
        <v>0</v>
      </c>
      <c r="K426" s="22">
        <v>0</v>
      </c>
      <c r="L426" s="22">
        <v>0</v>
      </c>
      <c r="M426" s="22">
        <v>0</v>
      </c>
      <c r="N426" s="22">
        <v>0</v>
      </c>
      <c r="O426" s="22">
        <v>0</v>
      </c>
      <c r="P426" s="22">
        <v>0</v>
      </c>
      <c r="Q426" s="22" t="s">
        <v>2308</v>
      </c>
      <c r="R426" s="22" t="s">
        <v>2308</v>
      </c>
      <c r="S426" s="22">
        <v>0</v>
      </c>
      <c r="T426" s="22">
        <v>0</v>
      </c>
      <c r="U426" s="22">
        <v>0</v>
      </c>
      <c r="V426" s="22">
        <v>0</v>
      </c>
      <c r="W426" s="22">
        <v>0</v>
      </c>
      <c r="X426" s="22">
        <v>0</v>
      </c>
      <c r="Y426" s="22" t="s">
        <v>2308</v>
      </c>
      <c r="Z426" s="4" t="s">
        <v>2308</v>
      </c>
      <c r="AA426" s="4" t="s">
        <v>2308</v>
      </c>
      <c r="AB426" s="4" t="s">
        <v>2308</v>
      </c>
      <c r="AC426" s="4" t="s">
        <v>1989</v>
      </c>
      <c r="AD426" s="5"/>
    </row>
    <row r="427" spans="1:30" ht="56" customHeight="1">
      <c r="A427" s="12" t="s">
        <v>1919</v>
      </c>
      <c r="B427" s="12" t="s">
        <v>2012</v>
      </c>
      <c r="C427" s="24" t="s">
        <v>24</v>
      </c>
      <c r="D427" s="24" t="s">
        <v>27</v>
      </c>
      <c r="E427" s="27" t="s">
        <v>136</v>
      </c>
      <c r="F427" s="20" t="s">
        <v>167</v>
      </c>
      <c r="G427" s="12" t="s">
        <v>2308</v>
      </c>
      <c r="H427" s="20" t="s">
        <v>532</v>
      </c>
      <c r="I427" s="4"/>
      <c r="J427" s="22">
        <v>0</v>
      </c>
      <c r="K427" s="22">
        <v>0</v>
      </c>
      <c r="L427" s="22">
        <v>0</v>
      </c>
      <c r="M427" s="22">
        <v>0</v>
      </c>
      <c r="N427" s="22">
        <v>0</v>
      </c>
      <c r="O427" s="22">
        <v>0</v>
      </c>
      <c r="P427" s="22">
        <v>0</v>
      </c>
      <c r="Q427" s="22" t="s">
        <v>2308</v>
      </c>
      <c r="R427" s="22" t="s">
        <v>2308</v>
      </c>
      <c r="S427" s="22">
        <v>0</v>
      </c>
      <c r="T427" s="22">
        <v>0</v>
      </c>
      <c r="U427" s="22">
        <v>0</v>
      </c>
      <c r="V427" s="22">
        <v>0</v>
      </c>
      <c r="W427" s="22">
        <v>0</v>
      </c>
      <c r="X427" s="22">
        <v>0</v>
      </c>
      <c r="Y427" s="22" t="s">
        <v>2308</v>
      </c>
      <c r="Z427" s="4" t="s">
        <v>2308</v>
      </c>
      <c r="AA427" s="4" t="s">
        <v>2308</v>
      </c>
      <c r="AB427" s="4" t="s">
        <v>2308</v>
      </c>
      <c r="AC427" s="5" t="s">
        <v>1983</v>
      </c>
      <c r="AD427" s="5"/>
    </row>
    <row r="428" spans="1:30" ht="70" customHeight="1">
      <c r="A428" s="12" t="s">
        <v>1920</v>
      </c>
      <c r="B428" s="12" t="s">
        <v>2013</v>
      </c>
      <c r="C428" s="24" t="s">
        <v>24</v>
      </c>
      <c r="D428" s="24" t="s">
        <v>27</v>
      </c>
      <c r="E428" s="27" t="s">
        <v>404</v>
      </c>
      <c r="F428" s="20" t="s">
        <v>28</v>
      </c>
      <c r="G428" s="12" t="s">
        <v>2308</v>
      </c>
      <c r="H428" s="20" t="s">
        <v>532</v>
      </c>
      <c r="I428" s="4"/>
      <c r="J428" s="22">
        <v>0</v>
      </c>
      <c r="K428" s="22">
        <v>0</v>
      </c>
      <c r="L428" s="22">
        <v>0</v>
      </c>
      <c r="M428" s="22">
        <v>0</v>
      </c>
      <c r="N428" s="22">
        <v>0</v>
      </c>
      <c r="O428" s="22">
        <v>0</v>
      </c>
      <c r="P428" s="22">
        <v>0</v>
      </c>
      <c r="Q428" s="22" t="s">
        <v>2308</v>
      </c>
      <c r="R428" s="22" t="s">
        <v>2308</v>
      </c>
      <c r="S428" s="22">
        <v>0</v>
      </c>
      <c r="T428" s="22">
        <v>0</v>
      </c>
      <c r="U428" s="22">
        <v>0</v>
      </c>
      <c r="V428" s="22">
        <v>0</v>
      </c>
      <c r="W428" s="22">
        <v>0</v>
      </c>
      <c r="X428" s="22">
        <v>0</v>
      </c>
      <c r="Y428" s="22" t="s">
        <v>2308</v>
      </c>
      <c r="Z428" s="4" t="s">
        <v>2308</v>
      </c>
      <c r="AA428" s="4" t="s">
        <v>2308</v>
      </c>
      <c r="AB428" s="4" t="s">
        <v>2308</v>
      </c>
      <c r="AC428" s="19" t="s">
        <v>2001</v>
      </c>
      <c r="AD428" s="5"/>
    </row>
    <row r="429" spans="1:30" ht="63.5" customHeight="1">
      <c r="A429" s="12" t="s">
        <v>1921</v>
      </c>
      <c r="B429" s="12" t="s">
        <v>2014</v>
      </c>
      <c r="C429" s="24" t="s">
        <v>24</v>
      </c>
      <c r="D429" s="24" t="s">
        <v>27</v>
      </c>
      <c r="E429" s="27" t="s">
        <v>404</v>
      </c>
      <c r="F429" s="20" t="s">
        <v>28</v>
      </c>
      <c r="G429" s="12" t="s">
        <v>2308</v>
      </c>
      <c r="H429" s="20" t="s">
        <v>532</v>
      </c>
      <c r="I429" s="4"/>
      <c r="J429" s="22">
        <v>0</v>
      </c>
      <c r="K429" s="22">
        <v>0</v>
      </c>
      <c r="L429" s="22">
        <v>0</v>
      </c>
      <c r="M429" s="22">
        <v>0</v>
      </c>
      <c r="N429" s="22">
        <v>0</v>
      </c>
      <c r="O429" s="22">
        <v>0</v>
      </c>
      <c r="P429" s="22">
        <v>0</v>
      </c>
      <c r="Q429" s="22" t="s">
        <v>2308</v>
      </c>
      <c r="R429" s="22" t="s">
        <v>2308</v>
      </c>
      <c r="S429" s="22">
        <v>0</v>
      </c>
      <c r="T429" s="22">
        <v>0</v>
      </c>
      <c r="U429" s="22">
        <v>0</v>
      </c>
      <c r="V429" s="22">
        <v>0</v>
      </c>
      <c r="W429" s="22">
        <v>0</v>
      </c>
      <c r="X429" s="22">
        <v>0</v>
      </c>
      <c r="Y429" s="22" t="s">
        <v>2308</v>
      </c>
      <c r="Z429" s="4" t="s">
        <v>2308</v>
      </c>
      <c r="AA429" s="4" t="s">
        <v>2308</v>
      </c>
      <c r="AB429" s="4" t="s">
        <v>2308</v>
      </c>
      <c r="AC429" s="19" t="s">
        <v>2001</v>
      </c>
      <c r="AD429" s="5"/>
    </row>
    <row r="430" spans="1:30" ht="56" customHeight="1">
      <c r="A430" s="12" t="s">
        <v>1922</v>
      </c>
      <c r="B430" s="12" t="s">
        <v>2015</v>
      </c>
      <c r="C430" s="24" t="s">
        <v>24</v>
      </c>
      <c r="D430" s="24" t="s">
        <v>27</v>
      </c>
      <c r="E430" s="27" t="s">
        <v>404</v>
      </c>
      <c r="F430" s="20" t="s">
        <v>28</v>
      </c>
      <c r="G430" s="12" t="s">
        <v>2308</v>
      </c>
      <c r="H430" s="20" t="s">
        <v>532</v>
      </c>
      <c r="I430" s="4"/>
      <c r="J430" s="22">
        <v>0</v>
      </c>
      <c r="K430" s="22">
        <v>0</v>
      </c>
      <c r="L430" s="22">
        <v>0</v>
      </c>
      <c r="M430" s="22">
        <v>0</v>
      </c>
      <c r="N430" s="22">
        <v>0</v>
      </c>
      <c r="O430" s="22">
        <v>0</v>
      </c>
      <c r="P430" s="22">
        <v>0</v>
      </c>
      <c r="Q430" s="22" t="s">
        <v>2308</v>
      </c>
      <c r="R430" s="22" t="s">
        <v>2308</v>
      </c>
      <c r="S430" s="22">
        <v>0</v>
      </c>
      <c r="T430" s="22">
        <v>0</v>
      </c>
      <c r="U430" s="22">
        <v>0</v>
      </c>
      <c r="V430" s="22">
        <v>0</v>
      </c>
      <c r="W430" s="22">
        <v>0</v>
      </c>
      <c r="X430" s="22">
        <v>0</v>
      </c>
      <c r="Y430" s="22" t="s">
        <v>2308</v>
      </c>
      <c r="Z430" s="4" t="s">
        <v>2308</v>
      </c>
      <c r="AA430" s="4" t="s">
        <v>2308</v>
      </c>
      <c r="AB430" s="4" t="s">
        <v>2308</v>
      </c>
      <c r="AC430" s="4" t="s">
        <v>1989</v>
      </c>
      <c r="AD430" s="5"/>
    </row>
    <row r="431" spans="1:30" ht="56" customHeight="1">
      <c r="A431" s="12" t="s">
        <v>1923</v>
      </c>
      <c r="B431" s="12" t="s">
        <v>2015</v>
      </c>
      <c r="C431" s="24" t="s">
        <v>24</v>
      </c>
      <c r="D431" s="24" t="s">
        <v>27</v>
      </c>
      <c r="E431" s="27" t="s">
        <v>404</v>
      </c>
      <c r="F431" s="20" t="s">
        <v>28</v>
      </c>
      <c r="G431" s="12" t="s">
        <v>2308</v>
      </c>
      <c r="H431" s="20" t="s">
        <v>532</v>
      </c>
      <c r="I431" s="4"/>
      <c r="J431" s="22">
        <v>0</v>
      </c>
      <c r="K431" s="22">
        <v>0</v>
      </c>
      <c r="L431" s="22">
        <v>0</v>
      </c>
      <c r="M431" s="22">
        <v>0</v>
      </c>
      <c r="N431" s="22">
        <v>0</v>
      </c>
      <c r="O431" s="22">
        <v>0</v>
      </c>
      <c r="P431" s="22">
        <v>0</v>
      </c>
      <c r="Q431" s="22" t="s">
        <v>2308</v>
      </c>
      <c r="R431" s="22" t="s">
        <v>2308</v>
      </c>
      <c r="S431" s="22">
        <v>0</v>
      </c>
      <c r="T431" s="22">
        <v>0</v>
      </c>
      <c r="U431" s="22">
        <v>0</v>
      </c>
      <c r="V431" s="22">
        <v>0</v>
      </c>
      <c r="W431" s="22">
        <v>0</v>
      </c>
      <c r="X431" s="22">
        <v>0</v>
      </c>
      <c r="Y431" s="22" t="s">
        <v>2308</v>
      </c>
      <c r="Z431" s="4" t="s">
        <v>2308</v>
      </c>
      <c r="AA431" s="4" t="s">
        <v>2308</v>
      </c>
      <c r="AB431" s="4" t="s">
        <v>2308</v>
      </c>
      <c r="AC431" s="4" t="s">
        <v>1989</v>
      </c>
      <c r="AD431" s="5"/>
    </row>
    <row r="432" spans="1:30" ht="56" customHeight="1">
      <c r="A432" s="12" t="s">
        <v>1925</v>
      </c>
      <c r="B432" s="12" t="s">
        <v>2016</v>
      </c>
      <c r="C432" s="24" t="s">
        <v>24</v>
      </c>
      <c r="D432" s="24" t="s">
        <v>27</v>
      </c>
      <c r="E432" s="27" t="s">
        <v>136</v>
      </c>
      <c r="F432" s="20" t="s">
        <v>167</v>
      </c>
      <c r="G432" s="12" t="s">
        <v>2308</v>
      </c>
      <c r="H432" s="20" t="s">
        <v>532</v>
      </c>
      <c r="I432" s="4"/>
      <c r="J432" s="22">
        <v>0</v>
      </c>
      <c r="K432" s="22">
        <v>0</v>
      </c>
      <c r="L432" s="22">
        <v>0</v>
      </c>
      <c r="M432" s="22">
        <v>0</v>
      </c>
      <c r="N432" s="22">
        <v>0</v>
      </c>
      <c r="O432" s="22">
        <v>0</v>
      </c>
      <c r="P432" s="22">
        <v>0</v>
      </c>
      <c r="Q432" s="22" t="s">
        <v>2308</v>
      </c>
      <c r="R432" s="22" t="s">
        <v>2308</v>
      </c>
      <c r="S432" s="22">
        <v>0</v>
      </c>
      <c r="T432" s="22">
        <v>0</v>
      </c>
      <c r="U432" s="22">
        <v>0</v>
      </c>
      <c r="V432" s="22">
        <v>0</v>
      </c>
      <c r="W432" s="22">
        <v>0</v>
      </c>
      <c r="X432" s="22">
        <v>0</v>
      </c>
      <c r="Y432" s="22" t="s">
        <v>2308</v>
      </c>
      <c r="Z432" s="4" t="s">
        <v>2308</v>
      </c>
      <c r="AA432" s="4" t="s">
        <v>2308</v>
      </c>
      <c r="AB432" s="4" t="s">
        <v>2308</v>
      </c>
      <c r="AC432" s="5" t="s">
        <v>1983</v>
      </c>
      <c r="AD432" s="5"/>
    </row>
    <row r="433" spans="1:30" ht="56" customHeight="1">
      <c r="A433" s="12" t="s">
        <v>1924</v>
      </c>
      <c r="B433" s="12" t="s">
        <v>2017</v>
      </c>
      <c r="C433" s="24" t="s">
        <v>24</v>
      </c>
      <c r="D433" s="24" t="s">
        <v>27</v>
      </c>
      <c r="E433" s="27" t="s">
        <v>404</v>
      </c>
      <c r="F433" s="20" t="s">
        <v>28</v>
      </c>
      <c r="G433" s="12" t="s">
        <v>2308</v>
      </c>
      <c r="H433" s="20" t="s">
        <v>532</v>
      </c>
      <c r="I433" s="4"/>
      <c r="J433" s="22">
        <v>0</v>
      </c>
      <c r="K433" s="22">
        <v>0</v>
      </c>
      <c r="L433" s="22">
        <v>0</v>
      </c>
      <c r="M433" s="22">
        <v>0</v>
      </c>
      <c r="N433" s="22">
        <v>0</v>
      </c>
      <c r="O433" s="22">
        <v>0</v>
      </c>
      <c r="P433" s="22">
        <v>0</v>
      </c>
      <c r="Q433" s="22" t="s">
        <v>2308</v>
      </c>
      <c r="R433" s="22" t="s">
        <v>2308</v>
      </c>
      <c r="S433" s="22">
        <v>0</v>
      </c>
      <c r="T433" s="22">
        <v>0</v>
      </c>
      <c r="U433" s="22">
        <v>0</v>
      </c>
      <c r="V433" s="22">
        <v>0</v>
      </c>
      <c r="W433" s="22">
        <v>0</v>
      </c>
      <c r="X433" s="22">
        <v>0</v>
      </c>
      <c r="Y433" s="22" t="s">
        <v>2308</v>
      </c>
      <c r="Z433" s="4" t="s">
        <v>2308</v>
      </c>
      <c r="AA433" s="4" t="s">
        <v>2308</v>
      </c>
      <c r="AB433" s="4" t="s">
        <v>2308</v>
      </c>
      <c r="AC433" s="4" t="s">
        <v>1989</v>
      </c>
      <c r="AD433" s="5"/>
    </row>
    <row r="434" spans="1:30" ht="56" customHeight="1">
      <c r="A434" s="12" t="s">
        <v>1926</v>
      </c>
      <c r="B434" s="12" t="s">
        <v>2018</v>
      </c>
      <c r="C434" s="24" t="s">
        <v>24</v>
      </c>
      <c r="D434" s="24" t="s">
        <v>27</v>
      </c>
      <c r="E434" s="27" t="s">
        <v>404</v>
      </c>
      <c r="F434" s="20" t="s">
        <v>28</v>
      </c>
      <c r="G434" s="12" t="s">
        <v>2308</v>
      </c>
      <c r="H434" s="20" t="s">
        <v>532</v>
      </c>
      <c r="I434" s="4"/>
      <c r="J434" s="22">
        <v>0</v>
      </c>
      <c r="K434" s="22">
        <v>0</v>
      </c>
      <c r="L434" s="22">
        <v>0</v>
      </c>
      <c r="M434" s="22">
        <v>0</v>
      </c>
      <c r="N434" s="22">
        <v>0</v>
      </c>
      <c r="O434" s="22">
        <v>0</v>
      </c>
      <c r="P434" s="22">
        <v>0</v>
      </c>
      <c r="Q434" s="22" t="s">
        <v>2308</v>
      </c>
      <c r="R434" s="22" t="s">
        <v>2308</v>
      </c>
      <c r="S434" s="22">
        <v>0</v>
      </c>
      <c r="T434" s="22">
        <v>0</v>
      </c>
      <c r="U434" s="22">
        <v>0</v>
      </c>
      <c r="V434" s="22">
        <v>0</v>
      </c>
      <c r="W434" s="22">
        <v>0</v>
      </c>
      <c r="X434" s="22">
        <v>0</v>
      </c>
      <c r="Y434" s="22" t="s">
        <v>2308</v>
      </c>
      <c r="Z434" s="4" t="s">
        <v>2308</v>
      </c>
      <c r="AA434" s="4" t="s">
        <v>2308</v>
      </c>
      <c r="AB434" s="4" t="s">
        <v>2308</v>
      </c>
      <c r="AC434" s="4" t="s">
        <v>1989</v>
      </c>
      <c r="AD434" s="5"/>
    </row>
    <row r="435" spans="1:30" ht="56" customHeight="1">
      <c r="A435" s="12" t="s">
        <v>1927</v>
      </c>
      <c r="B435" s="12" t="s">
        <v>2019</v>
      </c>
      <c r="C435" s="24" t="s">
        <v>24</v>
      </c>
      <c r="D435" s="24" t="s">
        <v>27</v>
      </c>
      <c r="E435" s="27" t="s">
        <v>404</v>
      </c>
      <c r="F435" s="20" t="s">
        <v>28</v>
      </c>
      <c r="G435" s="12" t="s">
        <v>2308</v>
      </c>
      <c r="H435" s="20" t="s">
        <v>532</v>
      </c>
      <c r="I435" s="4"/>
      <c r="J435" s="22">
        <v>0</v>
      </c>
      <c r="K435" s="22">
        <v>0</v>
      </c>
      <c r="L435" s="22">
        <v>0</v>
      </c>
      <c r="M435" s="22">
        <v>0</v>
      </c>
      <c r="N435" s="22">
        <v>0</v>
      </c>
      <c r="O435" s="22">
        <v>0</v>
      </c>
      <c r="P435" s="22">
        <v>0</v>
      </c>
      <c r="Q435" s="22" t="s">
        <v>2308</v>
      </c>
      <c r="R435" s="22" t="s">
        <v>2308</v>
      </c>
      <c r="S435" s="22">
        <v>0</v>
      </c>
      <c r="T435" s="22">
        <v>0</v>
      </c>
      <c r="U435" s="22">
        <v>0</v>
      </c>
      <c r="V435" s="22">
        <v>0</v>
      </c>
      <c r="W435" s="22">
        <v>0</v>
      </c>
      <c r="X435" s="22">
        <v>0</v>
      </c>
      <c r="Y435" s="22" t="s">
        <v>2308</v>
      </c>
      <c r="Z435" s="4" t="s">
        <v>2308</v>
      </c>
      <c r="AA435" s="4" t="s">
        <v>2308</v>
      </c>
      <c r="AB435" s="4" t="s">
        <v>2308</v>
      </c>
      <c r="AC435" s="4" t="s">
        <v>1989</v>
      </c>
      <c r="AD435" s="5"/>
    </row>
    <row r="436" spans="1:30" ht="56" customHeight="1">
      <c r="A436" s="12" t="s">
        <v>1928</v>
      </c>
      <c r="B436" s="12" t="s">
        <v>2020</v>
      </c>
      <c r="C436" s="24" t="s">
        <v>24</v>
      </c>
      <c r="D436" s="24" t="s">
        <v>27</v>
      </c>
      <c r="E436" s="27" t="s">
        <v>136</v>
      </c>
      <c r="F436" s="20" t="s">
        <v>167</v>
      </c>
      <c r="G436" s="12" t="s">
        <v>2308</v>
      </c>
      <c r="H436" s="20" t="s">
        <v>531</v>
      </c>
      <c r="I436" s="4"/>
      <c r="J436" s="22" t="s">
        <v>2308</v>
      </c>
      <c r="K436" s="22" t="s">
        <v>2308</v>
      </c>
      <c r="L436" s="22" t="s">
        <v>2308</v>
      </c>
      <c r="M436" s="22" t="s">
        <v>2308</v>
      </c>
      <c r="N436" s="22" t="s">
        <v>2308</v>
      </c>
      <c r="O436" s="22" t="s">
        <v>2308</v>
      </c>
      <c r="P436" s="22" t="s">
        <v>2308</v>
      </c>
      <c r="Q436" s="22" t="s">
        <v>2308</v>
      </c>
      <c r="R436" s="22" t="s">
        <v>2308</v>
      </c>
      <c r="S436" s="22" t="s">
        <v>2308</v>
      </c>
      <c r="T436" s="22" t="s">
        <v>2308</v>
      </c>
      <c r="U436" s="22" t="s">
        <v>2308</v>
      </c>
      <c r="V436" s="22" t="s">
        <v>2308</v>
      </c>
      <c r="W436" s="22" t="s">
        <v>2308</v>
      </c>
      <c r="X436" s="22" t="s">
        <v>2308</v>
      </c>
      <c r="Y436" s="22" t="s">
        <v>2308</v>
      </c>
      <c r="Z436" s="4" t="s">
        <v>2308</v>
      </c>
      <c r="AA436" s="4" t="s">
        <v>2308</v>
      </c>
      <c r="AB436" s="4" t="s">
        <v>2308</v>
      </c>
      <c r="AC436" s="5" t="s">
        <v>1994</v>
      </c>
      <c r="AD436" s="5"/>
    </row>
    <row r="437" spans="1:30" ht="56" customHeight="1">
      <c r="A437" s="12" t="s">
        <v>1929</v>
      </c>
      <c r="B437" s="12" t="s">
        <v>2021</v>
      </c>
      <c r="C437" s="24" t="s">
        <v>24</v>
      </c>
      <c r="D437" s="24" t="s">
        <v>27</v>
      </c>
      <c r="E437" s="27" t="s">
        <v>136</v>
      </c>
      <c r="F437" s="20" t="s">
        <v>167</v>
      </c>
      <c r="G437" s="12" t="s">
        <v>2308</v>
      </c>
      <c r="H437" s="20" t="s">
        <v>531</v>
      </c>
      <c r="I437" s="4"/>
      <c r="J437" s="22" t="s">
        <v>2308</v>
      </c>
      <c r="K437" s="22" t="s">
        <v>2308</v>
      </c>
      <c r="L437" s="22" t="s">
        <v>2308</v>
      </c>
      <c r="M437" s="22" t="s">
        <v>2308</v>
      </c>
      <c r="N437" s="22" t="s">
        <v>2308</v>
      </c>
      <c r="O437" s="22" t="s">
        <v>2308</v>
      </c>
      <c r="P437" s="22" t="s">
        <v>2308</v>
      </c>
      <c r="Q437" s="22" t="s">
        <v>2308</v>
      </c>
      <c r="R437" s="22" t="s">
        <v>2308</v>
      </c>
      <c r="S437" s="22" t="s">
        <v>2308</v>
      </c>
      <c r="T437" s="22" t="s">
        <v>2308</v>
      </c>
      <c r="U437" s="22" t="s">
        <v>2308</v>
      </c>
      <c r="V437" s="22" t="s">
        <v>2308</v>
      </c>
      <c r="W437" s="22" t="s">
        <v>2308</v>
      </c>
      <c r="X437" s="22" t="s">
        <v>2308</v>
      </c>
      <c r="Y437" s="22" t="s">
        <v>2308</v>
      </c>
      <c r="Z437" s="4" t="s">
        <v>2308</v>
      </c>
      <c r="AA437" s="4" t="s">
        <v>2308</v>
      </c>
      <c r="AB437" s="4" t="s">
        <v>2308</v>
      </c>
      <c r="AC437" s="5" t="s">
        <v>1994</v>
      </c>
      <c r="AD437" s="5"/>
    </row>
    <row r="438" spans="1:30" ht="56" customHeight="1">
      <c r="A438" s="12" t="s">
        <v>1930</v>
      </c>
      <c r="B438" s="12" t="s">
        <v>2022</v>
      </c>
      <c r="C438" s="24" t="s">
        <v>24</v>
      </c>
      <c r="D438" s="24" t="s">
        <v>27</v>
      </c>
      <c r="E438" s="27" t="s">
        <v>136</v>
      </c>
      <c r="F438" s="20" t="s">
        <v>74</v>
      </c>
      <c r="G438" s="12" t="s">
        <v>2308</v>
      </c>
      <c r="H438" s="20" t="s">
        <v>531</v>
      </c>
      <c r="I438" s="4"/>
      <c r="J438" s="22" t="s">
        <v>2308</v>
      </c>
      <c r="K438" s="22" t="s">
        <v>2308</v>
      </c>
      <c r="L438" s="22" t="s">
        <v>2308</v>
      </c>
      <c r="M438" s="22" t="s">
        <v>2308</v>
      </c>
      <c r="N438" s="22" t="s">
        <v>2308</v>
      </c>
      <c r="O438" s="22" t="s">
        <v>2308</v>
      </c>
      <c r="P438" s="22" t="s">
        <v>2308</v>
      </c>
      <c r="Q438" s="22" t="s">
        <v>2308</v>
      </c>
      <c r="R438" s="22" t="s">
        <v>2308</v>
      </c>
      <c r="S438" s="22" t="s">
        <v>2308</v>
      </c>
      <c r="T438" s="22" t="s">
        <v>2308</v>
      </c>
      <c r="U438" s="22" t="s">
        <v>2308</v>
      </c>
      <c r="V438" s="22" t="s">
        <v>2308</v>
      </c>
      <c r="W438" s="22" t="s">
        <v>2308</v>
      </c>
      <c r="X438" s="22" t="s">
        <v>2308</v>
      </c>
      <c r="Y438" s="22" t="s">
        <v>2308</v>
      </c>
      <c r="Z438" s="4" t="s">
        <v>2308</v>
      </c>
      <c r="AA438" s="4" t="s">
        <v>2308</v>
      </c>
      <c r="AB438" s="4" t="s">
        <v>2308</v>
      </c>
      <c r="AC438" s="5" t="s">
        <v>1993</v>
      </c>
      <c r="AD438" s="5"/>
    </row>
    <row r="439" spans="1:30" ht="56" customHeight="1">
      <c r="A439" s="12" t="s">
        <v>1930</v>
      </c>
      <c r="B439" s="12" t="s">
        <v>2023</v>
      </c>
      <c r="C439" s="24" t="s">
        <v>24</v>
      </c>
      <c r="D439" s="24" t="s">
        <v>27</v>
      </c>
      <c r="E439" s="27" t="s">
        <v>136</v>
      </c>
      <c r="F439" s="20" t="s">
        <v>167</v>
      </c>
      <c r="G439" s="12" t="s">
        <v>2308</v>
      </c>
      <c r="H439" s="20" t="s">
        <v>531</v>
      </c>
      <c r="I439" s="4"/>
      <c r="J439" s="22" t="s">
        <v>2308</v>
      </c>
      <c r="K439" s="22" t="s">
        <v>2308</v>
      </c>
      <c r="L439" s="22" t="s">
        <v>2308</v>
      </c>
      <c r="M439" s="22" t="s">
        <v>2308</v>
      </c>
      <c r="N439" s="22" t="s">
        <v>2308</v>
      </c>
      <c r="O439" s="22" t="s">
        <v>2308</v>
      </c>
      <c r="P439" s="22" t="s">
        <v>2308</v>
      </c>
      <c r="Q439" s="22" t="s">
        <v>2308</v>
      </c>
      <c r="R439" s="22" t="s">
        <v>2308</v>
      </c>
      <c r="S439" s="22" t="s">
        <v>2308</v>
      </c>
      <c r="T439" s="22" t="s">
        <v>2308</v>
      </c>
      <c r="U439" s="22" t="s">
        <v>2308</v>
      </c>
      <c r="V439" s="22" t="s">
        <v>2308</v>
      </c>
      <c r="W439" s="22" t="s">
        <v>2308</v>
      </c>
      <c r="X439" s="22" t="s">
        <v>2308</v>
      </c>
      <c r="Y439" s="22" t="s">
        <v>2308</v>
      </c>
      <c r="Z439" s="4" t="s">
        <v>2308</v>
      </c>
      <c r="AA439" s="4" t="s">
        <v>2308</v>
      </c>
      <c r="AB439" s="4" t="s">
        <v>2308</v>
      </c>
      <c r="AC439" s="5" t="s">
        <v>1993</v>
      </c>
      <c r="AD439" s="5"/>
    </row>
    <row r="440" spans="1:30" ht="56" customHeight="1">
      <c r="A440" s="12" t="s">
        <v>1931</v>
      </c>
      <c r="B440" s="12" t="s">
        <v>2024</v>
      </c>
      <c r="C440" s="24" t="s">
        <v>24</v>
      </c>
      <c r="D440" s="24" t="s">
        <v>27</v>
      </c>
      <c r="E440" s="27" t="s">
        <v>136</v>
      </c>
      <c r="F440" s="20" t="s">
        <v>167</v>
      </c>
      <c r="G440" s="12" t="s">
        <v>2308</v>
      </c>
      <c r="H440" s="20" t="s">
        <v>531</v>
      </c>
      <c r="I440" s="4"/>
      <c r="J440" s="22" t="s">
        <v>2308</v>
      </c>
      <c r="K440" s="22" t="s">
        <v>2308</v>
      </c>
      <c r="L440" s="22" t="s">
        <v>2308</v>
      </c>
      <c r="M440" s="22" t="s">
        <v>2308</v>
      </c>
      <c r="N440" s="22" t="s">
        <v>2308</v>
      </c>
      <c r="O440" s="22" t="s">
        <v>2308</v>
      </c>
      <c r="P440" s="22" t="s">
        <v>2308</v>
      </c>
      <c r="Q440" s="22" t="s">
        <v>2308</v>
      </c>
      <c r="R440" s="22" t="s">
        <v>2308</v>
      </c>
      <c r="S440" s="22" t="s">
        <v>2308</v>
      </c>
      <c r="T440" s="22" t="s">
        <v>2308</v>
      </c>
      <c r="U440" s="22" t="s">
        <v>2308</v>
      </c>
      <c r="V440" s="22" t="s">
        <v>2308</v>
      </c>
      <c r="W440" s="22" t="s">
        <v>2308</v>
      </c>
      <c r="X440" s="22" t="s">
        <v>2308</v>
      </c>
      <c r="Y440" s="22" t="s">
        <v>2308</v>
      </c>
      <c r="Z440" s="4" t="s">
        <v>2308</v>
      </c>
      <c r="AA440" s="4" t="s">
        <v>2308</v>
      </c>
      <c r="AB440" s="4" t="s">
        <v>2308</v>
      </c>
      <c r="AC440" s="5" t="s">
        <v>1994</v>
      </c>
      <c r="AD440" s="5"/>
    </row>
    <row r="441" spans="1:30" ht="56" customHeight="1">
      <c r="A441" s="12" t="s">
        <v>1932</v>
      </c>
      <c r="B441" s="12" t="s">
        <v>2025</v>
      </c>
      <c r="C441" s="24" t="s">
        <v>24</v>
      </c>
      <c r="D441" s="24" t="s">
        <v>27</v>
      </c>
      <c r="E441" s="27" t="s">
        <v>136</v>
      </c>
      <c r="F441" s="20" t="s">
        <v>167</v>
      </c>
      <c r="G441" s="12" t="s">
        <v>2308</v>
      </c>
      <c r="H441" s="20" t="s">
        <v>531</v>
      </c>
      <c r="I441" s="4"/>
      <c r="J441" s="22" t="s">
        <v>2308</v>
      </c>
      <c r="K441" s="22" t="s">
        <v>2308</v>
      </c>
      <c r="L441" s="22" t="s">
        <v>2308</v>
      </c>
      <c r="M441" s="22" t="s">
        <v>2308</v>
      </c>
      <c r="N441" s="22" t="s">
        <v>2308</v>
      </c>
      <c r="O441" s="22" t="s">
        <v>2308</v>
      </c>
      <c r="P441" s="22" t="s">
        <v>2308</v>
      </c>
      <c r="Q441" s="22" t="s">
        <v>2308</v>
      </c>
      <c r="R441" s="22" t="s">
        <v>2308</v>
      </c>
      <c r="S441" s="22" t="s">
        <v>2308</v>
      </c>
      <c r="T441" s="22" t="s">
        <v>2308</v>
      </c>
      <c r="U441" s="22" t="s">
        <v>2308</v>
      </c>
      <c r="V441" s="22" t="s">
        <v>2308</v>
      </c>
      <c r="W441" s="22" t="s">
        <v>2308</v>
      </c>
      <c r="X441" s="22" t="s">
        <v>2308</v>
      </c>
      <c r="Y441" s="22" t="s">
        <v>2308</v>
      </c>
      <c r="Z441" s="4" t="s">
        <v>2308</v>
      </c>
      <c r="AA441" s="4" t="s">
        <v>2308</v>
      </c>
      <c r="AB441" s="4" t="s">
        <v>2308</v>
      </c>
      <c r="AC441" s="5" t="s">
        <v>1994</v>
      </c>
      <c r="AD441" s="5"/>
    </row>
    <row r="442" spans="1:30" ht="56" customHeight="1">
      <c r="A442" s="12" t="s">
        <v>1933</v>
      </c>
      <c r="B442" s="12" t="s">
        <v>2026</v>
      </c>
      <c r="C442" s="24" t="s">
        <v>24</v>
      </c>
      <c r="D442" s="24" t="s">
        <v>27</v>
      </c>
      <c r="E442" s="27" t="s">
        <v>404</v>
      </c>
      <c r="F442" s="20" t="s">
        <v>28</v>
      </c>
      <c r="G442" s="12" t="s">
        <v>2308</v>
      </c>
      <c r="H442" s="20" t="s">
        <v>532</v>
      </c>
      <c r="I442" s="4"/>
      <c r="J442" s="22">
        <v>0</v>
      </c>
      <c r="K442" s="22">
        <v>0</v>
      </c>
      <c r="L442" s="22">
        <v>0</v>
      </c>
      <c r="M442" s="22">
        <v>0</v>
      </c>
      <c r="N442" s="22">
        <v>0</v>
      </c>
      <c r="O442" s="22">
        <v>0</v>
      </c>
      <c r="P442" s="22">
        <v>0</v>
      </c>
      <c r="Q442" s="22" t="s">
        <v>2308</v>
      </c>
      <c r="R442" s="22" t="s">
        <v>2308</v>
      </c>
      <c r="S442" s="22">
        <v>0</v>
      </c>
      <c r="T442" s="22">
        <v>0</v>
      </c>
      <c r="U442" s="22">
        <v>0</v>
      </c>
      <c r="V442" s="22">
        <v>0</v>
      </c>
      <c r="W442" s="22">
        <v>0</v>
      </c>
      <c r="X442" s="22">
        <v>0</v>
      </c>
      <c r="Y442" s="22" t="s">
        <v>2308</v>
      </c>
      <c r="Z442" s="4" t="s">
        <v>2308</v>
      </c>
      <c r="AA442" s="4" t="s">
        <v>2308</v>
      </c>
      <c r="AB442" s="4" t="s">
        <v>2308</v>
      </c>
      <c r="AC442" s="4" t="s">
        <v>1989</v>
      </c>
      <c r="AD442" s="5"/>
    </row>
    <row r="443" spans="1:30" ht="55" customHeight="1">
      <c r="A443" s="12" t="s">
        <v>597</v>
      </c>
      <c r="B443" s="12" t="s">
        <v>600</v>
      </c>
      <c r="C443" s="24" t="s">
        <v>24</v>
      </c>
      <c r="D443" s="24" t="s">
        <v>27</v>
      </c>
      <c r="E443" s="27" t="s">
        <v>136</v>
      </c>
      <c r="F443" s="20" t="s">
        <v>167</v>
      </c>
      <c r="G443" s="12" t="s">
        <v>2308</v>
      </c>
      <c r="H443" s="20" t="s">
        <v>531</v>
      </c>
      <c r="I443" s="4"/>
      <c r="J443" s="4" t="s">
        <v>2308</v>
      </c>
      <c r="K443" s="4" t="s">
        <v>2308</v>
      </c>
      <c r="L443" s="4" t="s">
        <v>2308</v>
      </c>
      <c r="M443" s="4" t="s">
        <v>2308</v>
      </c>
      <c r="N443" s="4" t="s">
        <v>2308</v>
      </c>
      <c r="O443" s="4" t="s">
        <v>2308</v>
      </c>
      <c r="P443" s="4" t="s">
        <v>2308</v>
      </c>
      <c r="Q443" s="22" t="s">
        <v>2308</v>
      </c>
      <c r="R443" s="22" t="s">
        <v>2308</v>
      </c>
      <c r="S443" s="4" t="s">
        <v>2308</v>
      </c>
      <c r="T443" s="4" t="s">
        <v>2308</v>
      </c>
      <c r="U443" s="4" t="s">
        <v>2308</v>
      </c>
      <c r="V443" s="4" t="s">
        <v>2308</v>
      </c>
      <c r="W443" s="4" t="s">
        <v>2308</v>
      </c>
      <c r="X443" s="4" t="s">
        <v>2308</v>
      </c>
      <c r="Y443" s="4" t="s">
        <v>2308</v>
      </c>
      <c r="Z443" s="4" t="s">
        <v>2308</v>
      </c>
      <c r="AA443" s="4" t="s">
        <v>2308</v>
      </c>
      <c r="AB443" s="4" t="s">
        <v>2308</v>
      </c>
      <c r="AC443" s="5" t="s">
        <v>2032</v>
      </c>
      <c r="AD443" s="5" t="s">
        <v>719</v>
      </c>
    </row>
    <row r="444" spans="1:30" ht="103" customHeight="1">
      <c r="A444" s="12" t="s">
        <v>597</v>
      </c>
      <c r="B444" s="12" t="s">
        <v>602</v>
      </c>
      <c r="C444" s="24" t="s">
        <v>24</v>
      </c>
      <c r="D444" s="24" t="s">
        <v>149</v>
      </c>
      <c r="E444" s="27" t="s">
        <v>136</v>
      </c>
      <c r="F444" s="20" t="s">
        <v>74</v>
      </c>
      <c r="G444" s="20" t="s">
        <v>74</v>
      </c>
      <c r="H444" s="20" t="s">
        <v>531</v>
      </c>
      <c r="I444" s="4"/>
      <c r="J444" s="4" t="s">
        <v>2308</v>
      </c>
      <c r="K444" s="4" t="s">
        <v>2308</v>
      </c>
      <c r="L444" s="4" t="s">
        <v>2308</v>
      </c>
      <c r="M444" s="4" t="s">
        <v>2308</v>
      </c>
      <c r="N444" s="4" t="s">
        <v>2308</v>
      </c>
      <c r="O444" s="4" t="s">
        <v>2308</v>
      </c>
      <c r="P444" s="4" t="s">
        <v>2308</v>
      </c>
      <c r="Q444" s="22" t="s">
        <v>2308</v>
      </c>
      <c r="R444" s="22" t="s">
        <v>2308</v>
      </c>
      <c r="S444" s="4" t="s">
        <v>2308</v>
      </c>
      <c r="T444" s="4" t="s">
        <v>2308</v>
      </c>
      <c r="U444" s="4" t="s">
        <v>2308</v>
      </c>
      <c r="V444" s="4" t="s">
        <v>2308</v>
      </c>
      <c r="W444" s="4" t="s">
        <v>2308</v>
      </c>
      <c r="X444" s="4" t="s">
        <v>2308</v>
      </c>
      <c r="Y444" s="4" t="s">
        <v>2308</v>
      </c>
      <c r="Z444" s="4" t="s">
        <v>2308</v>
      </c>
      <c r="AA444" s="4" t="s">
        <v>2308</v>
      </c>
      <c r="AB444" s="4" t="s">
        <v>2308</v>
      </c>
      <c r="AC444" s="4"/>
      <c r="AD444" s="5" t="s">
        <v>2031</v>
      </c>
    </row>
    <row r="445" spans="1:30" ht="51" customHeight="1">
      <c r="A445" s="12" t="s">
        <v>601</v>
      </c>
      <c r="B445" s="12" t="s">
        <v>607</v>
      </c>
      <c r="C445" s="24" t="s">
        <v>24</v>
      </c>
      <c r="D445" s="24" t="s">
        <v>27</v>
      </c>
      <c r="E445" s="27" t="s">
        <v>136</v>
      </c>
      <c r="F445" s="20" t="s">
        <v>167</v>
      </c>
      <c r="G445" s="12" t="s">
        <v>2308</v>
      </c>
      <c r="H445" s="20" t="s">
        <v>531</v>
      </c>
      <c r="I445" s="4"/>
      <c r="J445" s="4" t="s">
        <v>2308</v>
      </c>
      <c r="K445" s="4" t="s">
        <v>2308</v>
      </c>
      <c r="L445" s="4" t="s">
        <v>2308</v>
      </c>
      <c r="M445" s="4" t="s">
        <v>2308</v>
      </c>
      <c r="N445" s="4" t="s">
        <v>2308</v>
      </c>
      <c r="O445" s="4" t="s">
        <v>2308</v>
      </c>
      <c r="P445" s="4" t="s">
        <v>2308</v>
      </c>
      <c r="Q445" s="22" t="s">
        <v>2308</v>
      </c>
      <c r="R445" s="22" t="s">
        <v>2308</v>
      </c>
      <c r="S445" s="4" t="s">
        <v>2308</v>
      </c>
      <c r="T445" s="4" t="s">
        <v>2308</v>
      </c>
      <c r="U445" s="4" t="s">
        <v>2308</v>
      </c>
      <c r="V445" s="4" t="s">
        <v>2308</v>
      </c>
      <c r="W445" s="4" t="s">
        <v>2308</v>
      </c>
      <c r="X445" s="4" t="s">
        <v>2308</v>
      </c>
      <c r="Y445" s="4" t="s">
        <v>2308</v>
      </c>
      <c r="Z445" s="4" t="s">
        <v>2308</v>
      </c>
      <c r="AA445" s="4" t="s">
        <v>2308</v>
      </c>
      <c r="AB445" s="4" t="s">
        <v>2308</v>
      </c>
      <c r="AC445" s="5" t="s">
        <v>2032</v>
      </c>
      <c r="AD445" s="5" t="s">
        <v>719</v>
      </c>
    </row>
    <row r="446" spans="1:30" ht="104.5" customHeight="1">
      <c r="A446" s="12" t="s">
        <v>601</v>
      </c>
      <c r="B446" s="12" t="s">
        <v>627</v>
      </c>
      <c r="C446" s="24" t="s">
        <v>24</v>
      </c>
      <c r="D446" s="24" t="s">
        <v>149</v>
      </c>
      <c r="E446" s="27" t="s">
        <v>136</v>
      </c>
      <c r="F446" s="20" t="s">
        <v>74</v>
      </c>
      <c r="G446" s="20" t="s">
        <v>74</v>
      </c>
      <c r="H446" s="20" t="s">
        <v>531</v>
      </c>
      <c r="I446" s="4"/>
      <c r="J446" s="4" t="s">
        <v>2308</v>
      </c>
      <c r="K446" s="4" t="s">
        <v>2308</v>
      </c>
      <c r="L446" s="4" t="s">
        <v>2308</v>
      </c>
      <c r="M446" s="4" t="s">
        <v>2308</v>
      </c>
      <c r="N446" s="4" t="s">
        <v>2308</v>
      </c>
      <c r="O446" s="4" t="s">
        <v>2308</v>
      </c>
      <c r="P446" s="4" t="s">
        <v>2308</v>
      </c>
      <c r="Q446" s="22" t="s">
        <v>2308</v>
      </c>
      <c r="R446" s="22" t="s">
        <v>2308</v>
      </c>
      <c r="S446" s="4" t="s">
        <v>2308</v>
      </c>
      <c r="T446" s="4" t="s">
        <v>2308</v>
      </c>
      <c r="U446" s="4" t="s">
        <v>2308</v>
      </c>
      <c r="V446" s="4" t="s">
        <v>2308</v>
      </c>
      <c r="W446" s="4" t="s">
        <v>2308</v>
      </c>
      <c r="X446" s="4" t="s">
        <v>2308</v>
      </c>
      <c r="Y446" s="4" t="s">
        <v>2308</v>
      </c>
      <c r="Z446" s="4" t="s">
        <v>2308</v>
      </c>
      <c r="AA446" s="4" t="s">
        <v>2308</v>
      </c>
      <c r="AB446" s="4" t="s">
        <v>2308</v>
      </c>
      <c r="AC446" s="4"/>
      <c r="AD446" s="5" t="s">
        <v>2031</v>
      </c>
    </row>
    <row r="447" spans="1:30" ht="67.5" customHeight="1">
      <c r="A447" s="12" t="s">
        <v>603</v>
      </c>
      <c r="B447" s="12" t="s">
        <v>605</v>
      </c>
      <c r="C447" s="24" t="s">
        <v>24</v>
      </c>
      <c r="D447" s="24" t="s">
        <v>27</v>
      </c>
      <c r="E447" s="27" t="s">
        <v>136</v>
      </c>
      <c r="F447" s="20" t="s">
        <v>167</v>
      </c>
      <c r="G447" s="12" t="s">
        <v>2308</v>
      </c>
      <c r="H447" s="20" t="s">
        <v>531</v>
      </c>
      <c r="I447" s="4"/>
      <c r="J447" s="4" t="s">
        <v>2308</v>
      </c>
      <c r="K447" s="4" t="s">
        <v>2308</v>
      </c>
      <c r="L447" s="4" t="s">
        <v>2308</v>
      </c>
      <c r="M447" s="4" t="s">
        <v>2308</v>
      </c>
      <c r="N447" s="4" t="s">
        <v>2308</v>
      </c>
      <c r="O447" s="4" t="s">
        <v>2308</v>
      </c>
      <c r="P447" s="4" t="s">
        <v>2308</v>
      </c>
      <c r="Q447" s="22" t="s">
        <v>2308</v>
      </c>
      <c r="R447" s="22" t="s">
        <v>2308</v>
      </c>
      <c r="S447" s="4" t="s">
        <v>2308</v>
      </c>
      <c r="T447" s="4" t="s">
        <v>2308</v>
      </c>
      <c r="U447" s="4" t="s">
        <v>2308</v>
      </c>
      <c r="V447" s="4" t="s">
        <v>2308</v>
      </c>
      <c r="W447" s="4" t="s">
        <v>2308</v>
      </c>
      <c r="X447" s="4" t="s">
        <v>2308</v>
      </c>
      <c r="Y447" s="4" t="s">
        <v>2308</v>
      </c>
      <c r="Z447" s="4" t="s">
        <v>2308</v>
      </c>
      <c r="AA447" s="4" t="s">
        <v>2308</v>
      </c>
      <c r="AB447" s="4" t="s">
        <v>2308</v>
      </c>
      <c r="AC447" s="5" t="s">
        <v>2032</v>
      </c>
      <c r="AD447" s="5" t="s">
        <v>719</v>
      </c>
    </row>
    <row r="448" spans="1:30" ht="101.5" customHeight="1">
      <c r="A448" s="12" t="s">
        <v>603</v>
      </c>
      <c r="B448" s="12" t="s">
        <v>628</v>
      </c>
      <c r="C448" s="24" t="s">
        <v>24</v>
      </c>
      <c r="D448" s="24" t="s">
        <v>149</v>
      </c>
      <c r="E448" s="27" t="s">
        <v>136</v>
      </c>
      <c r="F448" s="20" t="s">
        <v>74</v>
      </c>
      <c r="G448" s="20" t="s">
        <v>74</v>
      </c>
      <c r="H448" s="20" t="s">
        <v>531</v>
      </c>
      <c r="I448" s="4"/>
      <c r="J448" s="4" t="s">
        <v>2308</v>
      </c>
      <c r="K448" s="4" t="s">
        <v>2308</v>
      </c>
      <c r="L448" s="4" t="s">
        <v>2308</v>
      </c>
      <c r="M448" s="4" t="s">
        <v>2308</v>
      </c>
      <c r="N448" s="4" t="s">
        <v>2308</v>
      </c>
      <c r="O448" s="4" t="s">
        <v>2308</v>
      </c>
      <c r="P448" s="4" t="s">
        <v>2308</v>
      </c>
      <c r="Q448" s="22" t="s">
        <v>2308</v>
      </c>
      <c r="R448" s="22" t="s">
        <v>2308</v>
      </c>
      <c r="S448" s="4" t="s">
        <v>2308</v>
      </c>
      <c r="T448" s="4" t="s">
        <v>2308</v>
      </c>
      <c r="U448" s="4" t="s">
        <v>2308</v>
      </c>
      <c r="V448" s="4" t="s">
        <v>2308</v>
      </c>
      <c r="W448" s="4" t="s">
        <v>2308</v>
      </c>
      <c r="X448" s="4" t="s">
        <v>2308</v>
      </c>
      <c r="Y448" s="4" t="s">
        <v>2308</v>
      </c>
      <c r="Z448" s="4" t="s">
        <v>2308</v>
      </c>
      <c r="AA448" s="4" t="s">
        <v>2308</v>
      </c>
      <c r="AB448" s="4" t="s">
        <v>2308</v>
      </c>
      <c r="AC448" s="4"/>
      <c r="AD448" s="5" t="s">
        <v>2031</v>
      </c>
    </row>
    <row r="449" spans="1:30" ht="63.5" customHeight="1">
      <c r="A449" s="12" t="s">
        <v>606</v>
      </c>
      <c r="B449" s="12" t="s">
        <v>608</v>
      </c>
      <c r="C449" s="24" t="s">
        <v>24</v>
      </c>
      <c r="D449" s="24" t="s">
        <v>27</v>
      </c>
      <c r="E449" s="27" t="s">
        <v>136</v>
      </c>
      <c r="F449" s="20" t="s">
        <v>167</v>
      </c>
      <c r="G449" s="12" t="s">
        <v>2308</v>
      </c>
      <c r="H449" s="20" t="s">
        <v>531</v>
      </c>
      <c r="I449" s="4"/>
      <c r="J449" s="4" t="s">
        <v>2308</v>
      </c>
      <c r="K449" s="4" t="s">
        <v>2308</v>
      </c>
      <c r="L449" s="4" t="s">
        <v>2308</v>
      </c>
      <c r="M449" s="4" t="s">
        <v>2308</v>
      </c>
      <c r="N449" s="4" t="s">
        <v>2308</v>
      </c>
      <c r="O449" s="4" t="s">
        <v>2308</v>
      </c>
      <c r="P449" s="4" t="s">
        <v>2308</v>
      </c>
      <c r="Q449" s="22" t="s">
        <v>2308</v>
      </c>
      <c r="R449" s="22" t="s">
        <v>2308</v>
      </c>
      <c r="S449" s="4" t="s">
        <v>2308</v>
      </c>
      <c r="T449" s="4" t="s">
        <v>2308</v>
      </c>
      <c r="U449" s="4" t="s">
        <v>2308</v>
      </c>
      <c r="V449" s="4" t="s">
        <v>2308</v>
      </c>
      <c r="W449" s="4" t="s">
        <v>2308</v>
      </c>
      <c r="X449" s="4" t="s">
        <v>2308</v>
      </c>
      <c r="Y449" s="4" t="s">
        <v>2308</v>
      </c>
      <c r="Z449" s="4" t="s">
        <v>2308</v>
      </c>
      <c r="AA449" s="4" t="s">
        <v>2308</v>
      </c>
      <c r="AB449" s="4" t="s">
        <v>2308</v>
      </c>
      <c r="AC449" s="5" t="s">
        <v>2032</v>
      </c>
      <c r="AD449" s="5" t="s">
        <v>719</v>
      </c>
    </row>
    <row r="450" spans="1:30" ht="110" customHeight="1">
      <c r="A450" s="12" t="s">
        <v>606</v>
      </c>
      <c r="B450" s="12" t="s">
        <v>629</v>
      </c>
      <c r="C450" s="24" t="s">
        <v>24</v>
      </c>
      <c r="D450" s="24" t="s">
        <v>149</v>
      </c>
      <c r="E450" s="27" t="s">
        <v>136</v>
      </c>
      <c r="F450" s="20" t="s">
        <v>74</v>
      </c>
      <c r="G450" s="20" t="s">
        <v>74</v>
      </c>
      <c r="H450" s="20" t="s">
        <v>531</v>
      </c>
      <c r="I450" s="4"/>
      <c r="J450" s="4" t="s">
        <v>2308</v>
      </c>
      <c r="K450" s="4" t="s">
        <v>2308</v>
      </c>
      <c r="L450" s="4" t="s">
        <v>2308</v>
      </c>
      <c r="M450" s="4" t="s">
        <v>2308</v>
      </c>
      <c r="N450" s="4" t="s">
        <v>2308</v>
      </c>
      <c r="O450" s="4" t="s">
        <v>2308</v>
      </c>
      <c r="P450" s="4" t="s">
        <v>2308</v>
      </c>
      <c r="Q450" s="22" t="s">
        <v>2308</v>
      </c>
      <c r="R450" s="22" t="s">
        <v>2308</v>
      </c>
      <c r="S450" s="4" t="s">
        <v>2308</v>
      </c>
      <c r="T450" s="4" t="s">
        <v>2308</v>
      </c>
      <c r="U450" s="4" t="s">
        <v>2308</v>
      </c>
      <c r="V450" s="4" t="s">
        <v>2308</v>
      </c>
      <c r="W450" s="4" t="s">
        <v>2308</v>
      </c>
      <c r="X450" s="4" t="s">
        <v>2308</v>
      </c>
      <c r="Y450" s="4" t="s">
        <v>2308</v>
      </c>
      <c r="Z450" s="4" t="s">
        <v>2308</v>
      </c>
      <c r="AA450" s="4" t="s">
        <v>2308</v>
      </c>
      <c r="AB450" s="4" t="s">
        <v>2308</v>
      </c>
      <c r="AC450" s="4"/>
      <c r="AD450" s="5" t="s">
        <v>2031</v>
      </c>
    </row>
    <row r="451" spans="1:30" ht="62" customHeight="1">
      <c r="A451" s="12" t="s">
        <v>609</v>
      </c>
      <c r="B451" s="12" t="s">
        <v>610</v>
      </c>
      <c r="C451" s="24" t="s">
        <v>24</v>
      </c>
      <c r="D451" s="24" t="s">
        <v>27</v>
      </c>
      <c r="E451" s="27" t="s">
        <v>136</v>
      </c>
      <c r="F451" s="20" t="s">
        <v>167</v>
      </c>
      <c r="G451" s="12" t="s">
        <v>2308</v>
      </c>
      <c r="H451" s="20" t="s">
        <v>531</v>
      </c>
      <c r="I451" s="4"/>
      <c r="J451" s="4" t="s">
        <v>2308</v>
      </c>
      <c r="K451" s="4" t="s">
        <v>2308</v>
      </c>
      <c r="L451" s="4" t="s">
        <v>2308</v>
      </c>
      <c r="M451" s="4" t="s">
        <v>2308</v>
      </c>
      <c r="N451" s="4" t="s">
        <v>2308</v>
      </c>
      <c r="O451" s="4" t="s">
        <v>2308</v>
      </c>
      <c r="P451" s="4" t="s">
        <v>2308</v>
      </c>
      <c r="Q451" s="22" t="s">
        <v>2308</v>
      </c>
      <c r="R451" s="22" t="s">
        <v>2308</v>
      </c>
      <c r="S451" s="4" t="s">
        <v>2308</v>
      </c>
      <c r="T451" s="4" t="s">
        <v>2308</v>
      </c>
      <c r="U451" s="4" t="s">
        <v>2308</v>
      </c>
      <c r="V451" s="4" t="s">
        <v>2308</v>
      </c>
      <c r="W451" s="4" t="s">
        <v>2308</v>
      </c>
      <c r="X451" s="4" t="s">
        <v>2308</v>
      </c>
      <c r="Y451" s="4" t="s">
        <v>2308</v>
      </c>
      <c r="Z451" s="4" t="s">
        <v>2308</v>
      </c>
      <c r="AA451" s="4" t="s">
        <v>2308</v>
      </c>
      <c r="AB451" s="4" t="s">
        <v>2308</v>
      </c>
      <c r="AC451" s="5" t="s">
        <v>2032</v>
      </c>
      <c r="AD451" s="5" t="s">
        <v>719</v>
      </c>
    </row>
    <row r="452" spans="1:30" ht="114" customHeight="1">
      <c r="A452" s="12" t="s">
        <v>609</v>
      </c>
      <c r="B452" s="12" t="s">
        <v>630</v>
      </c>
      <c r="C452" s="24" t="s">
        <v>24</v>
      </c>
      <c r="D452" s="24" t="s">
        <v>149</v>
      </c>
      <c r="E452" s="27" t="s">
        <v>136</v>
      </c>
      <c r="F452" s="20" t="s">
        <v>74</v>
      </c>
      <c r="G452" s="20" t="s">
        <v>74</v>
      </c>
      <c r="H452" s="20" t="s">
        <v>531</v>
      </c>
      <c r="I452" s="4"/>
      <c r="J452" s="22" t="s">
        <v>2308</v>
      </c>
      <c r="K452" s="22" t="s">
        <v>2308</v>
      </c>
      <c r="L452" s="22" t="s">
        <v>2308</v>
      </c>
      <c r="M452" s="22" t="s">
        <v>2308</v>
      </c>
      <c r="N452" s="22" t="s">
        <v>2308</v>
      </c>
      <c r="O452" s="4" t="s">
        <v>2308</v>
      </c>
      <c r="P452" s="22" t="s">
        <v>2308</v>
      </c>
      <c r="Q452" s="22" t="s">
        <v>2308</v>
      </c>
      <c r="R452" s="22" t="s">
        <v>2308</v>
      </c>
      <c r="S452" s="22" t="s">
        <v>2308</v>
      </c>
      <c r="T452" s="22" t="s">
        <v>2308</v>
      </c>
      <c r="U452" s="22" t="s">
        <v>2308</v>
      </c>
      <c r="V452" s="22" t="s">
        <v>2308</v>
      </c>
      <c r="W452" s="22" t="s">
        <v>2308</v>
      </c>
      <c r="X452" s="22" t="s">
        <v>2308</v>
      </c>
      <c r="Y452" s="22" t="s">
        <v>2308</v>
      </c>
      <c r="Z452" s="4" t="s">
        <v>2308</v>
      </c>
      <c r="AA452" s="4" t="s">
        <v>2308</v>
      </c>
      <c r="AB452" s="4" t="s">
        <v>2308</v>
      </c>
      <c r="AC452" s="4"/>
      <c r="AD452" s="5" t="s">
        <v>2031</v>
      </c>
    </row>
    <row r="453" spans="1:30" ht="43" customHeight="1">
      <c r="A453" s="24" t="s">
        <v>611</v>
      </c>
      <c r="B453" s="24" t="s">
        <v>618</v>
      </c>
      <c r="C453" s="24" t="s">
        <v>24</v>
      </c>
      <c r="D453" s="24" t="s">
        <v>149</v>
      </c>
      <c r="E453" s="27" t="s">
        <v>136</v>
      </c>
      <c r="F453" s="27" t="s">
        <v>74</v>
      </c>
      <c r="G453" s="27" t="s">
        <v>74</v>
      </c>
      <c r="H453" s="27" t="s">
        <v>531</v>
      </c>
      <c r="I453" s="23"/>
      <c r="J453" s="84" t="s">
        <v>2308</v>
      </c>
      <c r="K453" s="84" t="s">
        <v>2308</v>
      </c>
      <c r="L453" s="84" t="s">
        <v>2308</v>
      </c>
      <c r="M453" s="84" t="s">
        <v>2308</v>
      </c>
      <c r="N453" s="84" t="s">
        <v>2308</v>
      </c>
      <c r="O453" s="84" t="s">
        <v>2308</v>
      </c>
      <c r="P453" s="84" t="s">
        <v>2308</v>
      </c>
      <c r="Q453" s="84" t="s">
        <v>2308</v>
      </c>
      <c r="R453" s="84" t="s">
        <v>2308</v>
      </c>
      <c r="S453" s="84" t="s">
        <v>2308</v>
      </c>
      <c r="T453" s="84" t="s">
        <v>2308</v>
      </c>
      <c r="U453" s="84" t="s">
        <v>2308</v>
      </c>
      <c r="V453" s="84" t="s">
        <v>2308</v>
      </c>
      <c r="W453" s="84" t="s">
        <v>2308</v>
      </c>
      <c r="X453" s="84" t="s">
        <v>2308</v>
      </c>
      <c r="Y453" s="84" t="s">
        <v>2308</v>
      </c>
      <c r="Z453" s="23" t="s">
        <v>2308</v>
      </c>
      <c r="AA453" s="23" t="s">
        <v>2308</v>
      </c>
      <c r="AB453" s="23" t="s">
        <v>2308</v>
      </c>
      <c r="AC453" s="23"/>
      <c r="AD453" s="23"/>
    </row>
    <row r="454" spans="1:30" ht="116.5" customHeight="1">
      <c r="A454" s="24" t="s">
        <v>611</v>
      </c>
      <c r="B454" s="24" t="s">
        <v>619</v>
      </c>
      <c r="C454" s="24" t="s">
        <v>24</v>
      </c>
      <c r="D454" s="24" t="s">
        <v>27</v>
      </c>
      <c r="E454" s="27" t="s">
        <v>136</v>
      </c>
      <c r="F454" s="27" t="s">
        <v>167</v>
      </c>
      <c r="G454" s="12" t="s">
        <v>2308</v>
      </c>
      <c r="H454" s="27" t="s">
        <v>531</v>
      </c>
      <c r="I454" s="23"/>
      <c r="J454" s="84" t="s">
        <v>2308</v>
      </c>
      <c r="K454" s="84" t="s">
        <v>2308</v>
      </c>
      <c r="L454" s="84" t="s">
        <v>2308</v>
      </c>
      <c r="M454" s="84" t="s">
        <v>2308</v>
      </c>
      <c r="N454" s="84" t="s">
        <v>2308</v>
      </c>
      <c r="O454" s="84" t="s">
        <v>2308</v>
      </c>
      <c r="P454" s="84" t="s">
        <v>2308</v>
      </c>
      <c r="Q454" s="84" t="s">
        <v>2308</v>
      </c>
      <c r="R454" s="84" t="s">
        <v>2308</v>
      </c>
      <c r="S454" s="84" t="s">
        <v>2308</v>
      </c>
      <c r="T454" s="84" t="s">
        <v>2308</v>
      </c>
      <c r="U454" s="84" t="s">
        <v>2308</v>
      </c>
      <c r="V454" s="84" t="s">
        <v>2308</v>
      </c>
      <c r="W454" s="84" t="s">
        <v>2308</v>
      </c>
      <c r="X454" s="84" t="s">
        <v>2308</v>
      </c>
      <c r="Y454" s="84" t="s">
        <v>2308</v>
      </c>
      <c r="Z454" s="23" t="s">
        <v>2308</v>
      </c>
      <c r="AA454" s="23" t="s">
        <v>2308</v>
      </c>
      <c r="AB454" s="23" t="s">
        <v>2308</v>
      </c>
      <c r="AC454" s="23"/>
      <c r="AD454" s="23" t="s">
        <v>3252</v>
      </c>
    </row>
    <row r="455" spans="1:30" ht="77" customHeight="1">
      <c r="A455" s="24" t="s">
        <v>631</v>
      </c>
      <c r="B455" s="24" t="s">
        <v>3251</v>
      </c>
      <c r="C455" s="24" t="s">
        <v>24</v>
      </c>
      <c r="D455" s="24" t="s">
        <v>149</v>
      </c>
      <c r="E455" s="27" t="s">
        <v>45</v>
      </c>
      <c r="F455" s="27" t="s">
        <v>74</v>
      </c>
      <c r="G455" s="27" t="s">
        <v>74</v>
      </c>
      <c r="H455" s="27" t="s">
        <v>531</v>
      </c>
      <c r="I455" s="23"/>
      <c r="J455" s="84" t="s">
        <v>2308</v>
      </c>
      <c r="K455" s="84" t="s">
        <v>2308</v>
      </c>
      <c r="L455" s="84" t="s">
        <v>2308</v>
      </c>
      <c r="M455" s="84" t="s">
        <v>2308</v>
      </c>
      <c r="N455" s="84" t="s">
        <v>2308</v>
      </c>
      <c r="O455" s="84" t="s">
        <v>2308</v>
      </c>
      <c r="P455" s="84" t="s">
        <v>2308</v>
      </c>
      <c r="Q455" s="84" t="s">
        <v>2308</v>
      </c>
      <c r="R455" s="84" t="s">
        <v>2308</v>
      </c>
      <c r="S455" s="84" t="s">
        <v>2308</v>
      </c>
      <c r="T455" s="84" t="s">
        <v>2308</v>
      </c>
      <c r="U455" s="84" t="s">
        <v>2308</v>
      </c>
      <c r="V455" s="84" t="s">
        <v>2308</v>
      </c>
      <c r="W455" s="84" t="s">
        <v>2308</v>
      </c>
      <c r="X455" s="84" t="s">
        <v>2308</v>
      </c>
      <c r="Y455" s="84" t="s">
        <v>2308</v>
      </c>
      <c r="Z455" s="23" t="s">
        <v>2308</v>
      </c>
      <c r="AA455" s="23" t="s">
        <v>2308</v>
      </c>
      <c r="AB455" s="23" t="s">
        <v>2308</v>
      </c>
      <c r="AC455" s="25" t="s">
        <v>596</v>
      </c>
      <c r="AD455" s="23"/>
    </row>
    <row r="456" spans="1:30" ht="115.5" customHeight="1">
      <c r="A456" s="24" t="s">
        <v>631</v>
      </c>
      <c r="B456" s="24" t="s">
        <v>3253</v>
      </c>
      <c r="C456" s="24" t="s">
        <v>24</v>
      </c>
      <c r="D456" s="24" t="s">
        <v>27</v>
      </c>
      <c r="E456" s="27" t="s">
        <v>136</v>
      </c>
      <c r="F456" s="27" t="s">
        <v>167</v>
      </c>
      <c r="G456" s="12" t="s">
        <v>2308</v>
      </c>
      <c r="H456" s="27" t="s">
        <v>531</v>
      </c>
      <c r="I456" s="23"/>
      <c r="J456" s="84" t="s">
        <v>2308</v>
      </c>
      <c r="K456" s="84" t="s">
        <v>2308</v>
      </c>
      <c r="L456" s="84" t="s">
        <v>2308</v>
      </c>
      <c r="M456" s="84" t="s">
        <v>2308</v>
      </c>
      <c r="N456" s="84" t="s">
        <v>2308</v>
      </c>
      <c r="O456" s="84" t="s">
        <v>2308</v>
      </c>
      <c r="P456" s="84" t="s">
        <v>2308</v>
      </c>
      <c r="Q456" s="84" t="s">
        <v>2308</v>
      </c>
      <c r="R456" s="84" t="s">
        <v>2308</v>
      </c>
      <c r="S456" s="84" t="s">
        <v>2308</v>
      </c>
      <c r="T456" s="84" t="s">
        <v>2308</v>
      </c>
      <c r="U456" s="84" t="s">
        <v>2308</v>
      </c>
      <c r="V456" s="84" t="s">
        <v>2308</v>
      </c>
      <c r="W456" s="84" t="s">
        <v>2308</v>
      </c>
      <c r="X456" s="84" t="s">
        <v>2308</v>
      </c>
      <c r="Y456" s="84" t="s">
        <v>2308</v>
      </c>
      <c r="Z456" s="23" t="s">
        <v>2308</v>
      </c>
      <c r="AA456" s="23" t="s">
        <v>2308</v>
      </c>
      <c r="AB456" s="23" t="s">
        <v>2308</v>
      </c>
      <c r="AC456" s="25"/>
      <c r="AD456" s="9"/>
    </row>
    <row r="457" spans="1:30" ht="62" customHeight="1">
      <c r="A457" s="12" t="s">
        <v>632</v>
      </c>
      <c r="B457" s="12" t="s">
        <v>644</v>
      </c>
      <c r="C457" s="24" t="s">
        <v>24</v>
      </c>
      <c r="D457" s="24" t="s">
        <v>27</v>
      </c>
      <c r="E457" s="27" t="s">
        <v>136</v>
      </c>
      <c r="F457" s="20" t="s">
        <v>167</v>
      </c>
      <c r="G457" s="12" t="s">
        <v>2308</v>
      </c>
      <c r="H457" s="20" t="s">
        <v>531</v>
      </c>
      <c r="I457" s="4"/>
      <c r="J457" s="22" t="s">
        <v>2308</v>
      </c>
      <c r="K457" s="22" t="s">
        <v>2308</v>
      </c>
      <c r="L457" s="22" t="s">
        <v>2308</v>
      </c>
      <c r="M457" s="22" t="s">
        <v>2308</v>
      </c>
      <c r="N457" s="22" t="s">
        <v>2308</v>
      </c>
      <c r="O457" s="22" t="s">
        <v>2308</v>
      </c>
      <c r="P457" s="22" t="s">
        <v>2308</v>
      </c>
      <c r="Q457" s="22" t="s">
        <v>2308</v>
      </c>
      <c r="R457" s="22" t="s">
        <v>2308</v>
      </c>
      <c r="S457" s="22" t="s">
        <v>2308</v>
      </c>
      <c r="T457" s="22" t="s">
        <v>2308</v>
      </c>
      <c r="U457" s="22" t="s">
        <v>2308</v>
      </c>
      <c r="V457" s="22" t="s">
        <v>2308</v>
      </c>
      <c r="W457" s="22" t="s">
        <v>2308</v>
      </c>
      <c r="X457" s="22" t="s">
        <v>2308</v>
      </c>
      <c r="Y457" s="22" t="s">
        <v>2308</v>
      </c>
      <c r="Z457" s="4" t="s">
        <v>649</v>
      </c>
      <c r="AA457" s="4" t="s">
        <v>195</v>
      </c>
      <c r="AB457" s="4" t="s">
        <v>650</v>
      </c>
      <c r="AC457" s="5" t="s">
        <v>2034</v>
      </c>
      <c r="AD457" s="4"/>
    </row>
    <row r="458" spans="1:30" ht="39.5" customHeight="1">
      <c r="A458" s="12" t="s">
        <v>632</v>
      </c>
      <c r="B458" s="12" t="s">
        <v>648</v>
      </c>
      <c r="C458" s="24" t="s">
        <v>24</v>
      </c>
      <c r="D458" s="24" t="s">
        <v>27</v>
      </c>
      <c r="E458" s="5" t="s">
        <v>404</v>
      </c>
      <c r="F458" s="20" t="s">
        <v>28</v>
      </c>
      <c r="G458" s="12" t="s">
        <v>2308</v>
      </c>
      <c r="H458" s="20" t="s">
        <v>532</v>
      </c>
      <c r="I458" s="4"/>
      <c r="J458" s="22">
        <v>0</v>
      </c>
      <c r="K458" s="22">
        <v>0</v>
      </c>
      <c r="L458" s="22">
        <v>0</v>
      </c>
      <c r="M458" s="22">
        <v>0</v>
      </c>
      <c r="N458" s="22">
        <v>0</v>
      </c>
      <c r="O458" s="22">
        <v>0</v>
      </c>
      <c r="P458" s="22">
        <v>0</v>
      </c>
      <c r="Q458" s="22" t="s">
        <v>2308</v>
      </c>
      <c r="R458" s="22" t="s">
        <v>2308</v>
      </c>
      <c r="S458" s="22">
        <v>0</v>
      </c>
      <c r="T458" s="22">
        <v>0</v>
      </c>
      <c r="U458" s="22">
        <v>0</v>
      </c>
      <c r="V458" s="22">
        <v>0</v>
      </c>
      <c r="W458" s="22">
        <v>0</v>
      </c>
      <c r="X458" s="22">
        <v>0</v>
      </c>
      <c r="Y458" s="22" t="s">
        <v>2308</v>
      </c>
      <c r="Z458" s="4" t="s">
        <v>2308</v>
      </c>
      <c r="AA458" s="4" t="s">
        <v>2308</v>
      </c>
      <c r="AB458" s="4" t="s">
        <v>2308</v>
      </c>
      <c r="AC458" s="5" t="s">
        <v>646</v>
      </c>
      <c r="AD458" s="4"/>
    </row>
    <row r="459" spans="1:30" ht="72.5" customHeight="1">
      <c r="A459" s="12" t="s">
        <v>632</v>
      </c>
      <c r="B459" s="12" t="s">
        <v>647</v>
      </c>
      <c r="C459" s="24" t="s">
        <v>24</v>
      </c>
      <c r="D459" s="4" t="s">
        <v>26</v>
      </c>
      <c r="E459" s="5" t="s">
        <v>404</v>
      </c>
      <c r="F459" s="20" t="s">
        <v>28</v>
      </c>
      <c r="G459" s="12" t="s">
        <v>2308</v>
      </c>
      <c r="H459" s="20" t="s">
        <v>531</v>
      </c>
      <c r="I459" s="4"/>
      <c r="J459" s="22" t="s">
        <v>2308</v>
      </c>
      <c r="K459" s="22" t="s">
        <v>2308</v>
      </c>
      <c r="L459" s="22" t="s">
        <v>2308</v>
      </c>
      <c r="M459" s="22" t="s">
        <v>2308</v>
      </c>
      <c r="N459" s="22" t="s">
        <v>2308</v>
      </c>
      <c r="O459" s="22" t="s">
        <v>2308</v>
      </c>
      <c r="P459" s="22" t="s">
        <v>2308</v>
      </c>
      <c r="Q459" s="22" t="s">
        <v>2308</v>
      </c>
      <c r="R459" s="22" t="s">
        <v>2308</v>
      </c>
      <c r="S459" s="22" t="s">
        <v>2308</v>
      </c>
      <c r="T459" s="22" t="s">
        <v>2308</v>
      </c>
      <c r="U459" s="22" t="s">
        <v>2308</v>
      </c>
      <c r="V459" s="22" t="s">
        <v>2308</v>
      </c>
      <c r="W459" s="22" t="s">
        <v>2308</v>
      </c>
      <c r="X459" s="22" t="s">
        <v>2308</v>
      </c>
      <c r="Y459" s="22" t="s">
        <v>2308</v>
      </c>
      <c r="Z459" s="4" t="s">
        <v>649</v>
      </c>
      <c r="AA459" s="4" t="s">
        <v>195</v>
      </c>
      <c r="AB459" s="4" t="s">
        <v>76</v>
      </c>
      <c r="AC459" s="5" t="s">
        <v>2035</v>
      </c>
      <c r="AD459" s="4"/>
    </row>
    <row r="460" spans="1:30" ht="89.5" customHeight="1">
      <c r="A460" s="12" t="s">
        <v>651</v>
      </c>
      <c r="B460" s="4" t="s">
        <v>654</v>
      </c>
      <c r="C460" s="24" t="s">
        <v>24</v>
      </c>
      <c r="D460" s="24" t="s">
        <v>27</v>
      </c>
      <c r="E460" s="12" t="s">
        <v>136</v>
      </c>
      <c r="F460" s="20" t="s">
        <v>167</v>
      </c>
      <c r="G460" s="12" t="s">
        <v>2308</v>
      </c>
      <c r="H460" s="20" t="s">
        <v>531</v>
      </c>
      <c r="I460" s="4"/>
      <c r="J460" s="22" t="s">
        <v>2308</v>
      </c>
      <c r="K460" s="22" t="s">
        <v>2308</v>
      </c>
      <c r="L460" s="22" t="s">
        <v>2308</v>
      </c>
      <c r="M460" s="22" t="s">
        <v>2308</v>
      </c>
      <c r="N460" s="22" t="s">
        <v>2308</v>
      </c>
      <c r="O460" s="22" t="s">
        <v>2308</v>
      </c>
      <c r="P460" s="22" t="s">
        <v>2308</v>
      </c>
      <c r="Q460" s="22" t="s">
        <v>2308</v>
      </c>
      <c r="R460" s="22" t="s">
        <v>2308</v>
      </c>
      <c r="S460" s="22" t="s">
        <v>2308</v>
      </c>
      <c r="T460" s="22" t="s">
        <v>2308</v>
      </c>
      <c r="U460" s="22" t="s">
        <v>2308</v>
      </c>
      <c r="V460" s="22" t="s">
        <v>2308</v>
      </c>
      <c r="W460" s="22" t="s">
        <v>2308</v>
      </c>
      <c r="X460" s="22" t="s">
        <v>2308</v>
      </c>
      <c r="Y460" s="22" t="s">
        <v>2308</v>
      </c>
      <c r="Z460" s="4" t="s">
        <v>412</v>
      </c>
      <c r="AA460" s="4" t="s">
        <v>412</v>
      </c>
      <c r="AB460" s="4" t="s">
        <v>76</v>
      </c>
      <c r="AC460" s="5" t="s">
        <v>656</v>
      </c>
      <c r="AD460" s="4"/>
    </row>
    <row r="461" spans="1:30" ht="92.5" customHeight="1">
      <c r="A461" s="12" t="s">
        <v>651</v>
      </c>
      <c r="B461" s="12" t="s">
        <v>655</v>
      </c>
      <c r="C461" s="24" t="s">
        <v>24</v>
      </c>
      <c r="D461" s="24" t="s">
        <v>27</v>
      </c>
      <c r="E461" s="12" t="s">
        <v>136</v>
      </c>
      <c r="F461" s="20" t="s">
        <v>74</v>
      </c>
      <c r="G461" s="12" t="s">
        <v>2308</v>
      </c>
      <c r="H461" s="20" t="s">
        <v>531</v>
      </c>
      <c r="I461" s="4"/>
      <c r="J461" s="22" t="s">
        <v>2308</v>
      </c>
      <c r="K461" s="22" t="s">
        <v>2308</v>
      </c>
      <c r="L461" s="22" t="s">
        <v>2308</v>
      </c>
      <c r="M461" s="22" t="s">
        <v>2308</v>
      </c>
      <c r="N461" s="22" t="s">
        <v>2308</v>
      </c>
      <c r="O461" s="22" t="s">
        <v>2308</v>
      </c>
      <c r="P461" s="22" t="s">
        <v>2308</v>
      </c>
      <c r="Q461" s="22" t="s">
        <v>2308</v>
      </c>
      <c r="R461" s="22" t="s">
        <v>2308</v>
      </c>
      <c r="S461" s="22" t="s">
        <v>2308</v>
      </c>
      <c r="T461" s="22" t="s">
        <v>2308</v>
      </c>
      <c r="U461" s="22" t="s">
        <v>2308</v>
      </c>
      <c r="V461" s="22" t="s">
        <v>2308</v>
      </c>
      <c r="W461" s="22" t="s">
        <v>2308</v>
      </c>
      <c r="X461" s="22" t="s">
        <v>2308</v>
      </c>
      <c r="Y461" s="22" t="s">
        <v>2308</v>
      </c>
      <c r="Z461" s="4" t="s">
        <v>412</v>
      </c>
      <c r="AA461" s="4" t="s">
        <v>412</v>
      </c>
      <c r="AB461" s="4" t="s">
        <v>76</v>
      </c>
      <c r="AC461" s="5" t="s">
        <v>656</v>
      </c>
      <c r="AD461" s="4"/>
    </row>
    <row r="462" spans="1:30" ht="55" customHeight="1">
      <c r="A462" s="12" t="s">
        <v>662</v>
      </c>
      <c r="B462" s="12" t="s">
        <v>663</v>
      </c>
      <c r="C462" s="24" t="s">
        <v>24</v>
      </c>
      <c r="D462" s="24" t="s">
        <v>27</v>
      </c>
      <c r="E462" s="12" t="s">
        <v>136</v>
      </c>
      <c r="F462" s="20" t="s">
        <v>167</v>
      </c>
      <c r="G462" s="12" t="s">
        <v>2308</v>
      </c>
      <c r="H462" s="20" t="s">
        <v>531</v>
      </c>
      <c r="I462" s="4"/>
      <c r="J462" s="22" t="s">
        <v>2308</v>
      </c>
      <c r="K462" s="22" t="s">
        <v>2308</v>
      </c>
      <c r="L462" s="22" t="s">
        <v>2308</v>
      </c>
      <c r="M462" s="22" t="s">
        <v>2308</v>
      </c>
      <c r="N462" s="22" t="s">
        <v>2308</v>
      </c>
      <c r="O462" s="22" t="s">
        <v>2308</v>
      </c>
      <c r="P462" s="22" t="s">
        <v>2308</v>
      </c>
      <c r="Q462" s="22" t="s">
        <v>2308</v>
      </c>
      <c r="R462" s="22" t="s">
        <v>2308</v>
      </c>
      <c r="S462" s="22" t="s">
        <v>2308</v>
      </c>
      <c r="T462" s="22">
        <v>35</v>
      </c>
      <c r="U462" s="22" t="s">
        <v>2308</v>
      </c>
      <c r="V462" s="22" t="s">
        <v>2308</v>
      </c>
      <c r="W462" s="22" t="s">
        <v>2308</v>
      </c>
      <c r="X462" s="22">
        <v>9.9056700000000001E-3</v>
      </c>
      <c r="Y462" s="22" t="s">
        <v>2308</v>
      </c>
      <c r="Z462" s="4" t="s">
        <v>412</v>
      </c>
      <c r="AA462" s="4" t="s">
        <v>412</v>
      </c>
      <c r="AB462" s="4" t="s">
        <v>76</v>
      </c>
      <c r="AC462" s="5" t="s">
        <v>2038</v>
      </c>
      <c r="AD462" s="5" t="s">
        <v>5076</v>
      </c>
    </row>
    <row r="463" spans="1:30" ht="52" customHeight="1">
      <c r="A463" s="12" t="s">
        <v>662</v>
      </c>
      <c r="B463" s="12" t="s">
        <v>664</v>
      </c>
      <c r="C463" s="24" t="s">
        <v>24</v>
      </c>
      <c r="D463" s="24" t="s">
        <v>27</v>
      </c>
      <c r="E463" s="12" t="s">
        <v>136</v>
      </c>
      <c r="F463" s="20" t="s">
        <v>74</v>
      </c>
      <c r="G463" s="12" t="s">
        <v>2308</v>
      </c>
      <c r="H463" s="20" t="s">
        <v>531</v>
      </c>
      <c r="I463" s="4"/>
      <c r="J463" s="22" t="s">
        <v>2308</v>
      </c>
      <c r="K463" s="22" t="s">
        <v>2308</v>
      </c>
      <c r="L463" s="22" t="s">
        <v>2308</v>
      </c>
      <c r="M463" s="22" t="s">
        <v>2308</v>
      </c>
      <c r="N463" s="22" t="s">
        <v>2308</v>
      </c>
      <c r="O463" s="22" t="s">
        <v>2308</v>
      </c>
      <c r="P463" s="22" t="s">
        <v>2308</v>
      </c>
      <c r="Q463" s="22" t="s">
        <v>2308</v>
      </c>
      <c r="R463" s="22" t="s">
        <v>2308</v>
      </c>
      <c r="S463" s="22" t="s">
        <v>2308</v>
      </c>
      <c r="T463" s="22">
        <v>18</v>
      </c>
      <c r="U463" s="22" t="s">
        <v>2308</v>
      </c>
      <c r="V463" s="22" t="s">
        <v>2308</v>
      </c>
      <c r="W463" s="22" t="s">
        <v>2308</v>
      </c>
      <c r="X463" s="22">
        <v>5.0943439999999998E-3</v>
      </c>
      <c r="Y463" s="22" t="s">
        <v>2308</v>
      </c>
      <c r="Z463" s="4" t="s">
        <v>412</v>
      </c>
      <c r="AA463" s="4" t="s">
        <v>412</v>
      </c>
      <c r="AB463" s="4" t="s">
        <v>76</v>
      </c>
      <c r="AC463" s="5" t="s">
        <v>2039</v>
      </c>
      <c r="AD463" s="4"/>
    </row>
    <row r="464" spans="1:30" ht="48" customHeight="1">
      <c r="A464" s="12" t="s">
        <v>665</v>
      </c>
      <c r="B464" s="12" t="s">
        <v>670</v>
      </c>
      <c r="C464" s="24" t="s">
        <v>24</v>
      </c>
      <c r="D464" s="24" t="s">
        <v>27</v>
      </c>
      <c r="E464" s="12" t="s">
        <v>136</v>
      </c>
      <c r="F464" s="20" t="s">
        <v>167</v>
      </c>
      <c r="G464" s="12" t="s">
        <v>2308</v>
      </c>
      <c r="H464" s="20" t="s">
        <v>531</v>
      </c>
      <c r="I464" s="4"/>
      <c r="J464" s="22" t="s">
        <v>2308</v>
      </c>
      <c r="K464" s="22" t="s">
        <v>2308</v>
      </c>
      <c r="L464" s="22" t="s">
        <v>2308</v>
      </c>
      <c r="M464" s="22" t="s">
        <v>2308</v>
      </c>
      <c r="N464" s="22" t="s">
        <v>2308</v>
      </c>
      <c r="O464" s="22" t="s">
        <v>2308</v>
      </c>
      <c r="P464" s="22" t="s">
        <v>2308</v>
      </c>
      <c r="Q464" s="22" t="s">
        <v>2308</v>
      </c>
      <c r="R464" s="22" t="s">
        <v>2308</v>
      </c>
      <c r="S464" s="22" t="s">
        <v>2308</v>
      </c>
      <c r="T464" s="22" t="s">
        <v>2308</v>
      </c>
      <c r="U464" s="22" t="s">
        <v>2308</v>
      </c>
      <c r="V464" s="22" t="s">
        <v>2308</v>
      </c>
      <c r="W464" s="22" t="s">
        <v>2308</v>
      </c>
      <c r="X464" s="22" t="s">
        <v>2308</v>
      </c>
      <c r="Y464" s="22" t="s">
        <v>2308</v>
      </c>
      <c r="Z464" s="4" t="s">
        <v>2308</v>
      </c>
      <c r="AA464" s="4" t="s">
        <v>2308</v>
      </c>
      <c r="AB464" s="4" t="s">
        <v>2308</v>
      </c>
      <c r="AC464" s="4"/>
      <c r="AD464" s="5" t="s">
        <v>2041</v>
      </c>
    </row>
    <row r="465" spans="1:30" ht="48.5" customHeight="1">
      <c r="A465" s="12" t="s">
        <v>671</v>
      </c>
      <c r="B465" s="12" t="s">
        <v>675</v>
      </c>
      <c r="C465" s="24" t="s">
        <v>24</v>
      </c>
      <c r="D465" s="24" t="s">
        <v>27</v>
      </c>
      <c r="E465" s="12" t="s">
        <v>136</v>
      </c>
      <c r="F465" s="20" t="s">
        <v>167</v>
      </c>
      <c r="G465" s="12" t="s">
        <v>2308</v>
      </c>
      <c r="H465" s="20" t="s">
        <v>531</v>
      </c>
      <c r="I465" s="20"/>
      <c r="J465" s="89" t="s">
        <v>2308</v>
      </c>
      <c r="K465" s="89" t="s">
        <v>2308</v>
      </c>
      <c r="L465" s="89" t="s">
        <v>2308</v>
      </c>
      <c r="M465" s="89" t="s">
        <v>2308</v>
      </c>
      <c r="N465" s="89" t="s">
        <v>2308</v>
      </c>
      <c r="O465" s="22" t="s">
        <v>2308</v>
      </c>
      <c r="P465" s="89" t="s">
        <v>2308</v>
      </c>
      <c r="Q465" s="22" t="s">
        <v>2308</v>
      </c>
      <c r="R465" s="22" t="s">
        <v>2308</v>
      </c>
      <c r="S465" s="89" t="s">
        <v>2308</v>
      </c>
      <c r="T465" s="89" t="s">
        <v>2308</v>
      </c>
      <c r="U465" s="89" t="s">
        <v>2308</v>
      </c>
      <c r="V465" s="89" t="s">
        <v>2308</v>
      </c>
      <c r="W465" s="89" t="s">
        <v>2308</v>
      </c>
      <c r="X465" s="89" t="s">
        <v>2308</v>
      </c>
      <c r="Y465" s="89">
        <v>7</v>
      </c>
      <c r="Z465" s="20" t="s">
        <v>194</v>
      </c>
      <c r="AA465" s="20" t="s">
        <v>195</v>
      </c>
      <c r="AB465" s="4" t="s">
        <v>64</v>
      </c>
      <c r="AC465" s="20" t="s">
        <v>676</v>
      </c>
      <c r="AD465" s="20" t="s">
        <v>2078</v>
      </c>
    </row>
    <row r="466" spans="1:30" ht="80.5" customHeight="1">
      <c r="A466" s="12" t="s">
        <v>671</v>
      </c>
      <c r="B466" s="12" t="s">
        <v>674</v>
      </c>
      <c r="C466" s="24" t="s">
        <v>24</v>
      </c>
      <c r="D466" s="24" t="s">
        <v>149</v>
      </c>
      <c r="E466" s="12" t="s">
        <v>136</v>
      </c>
      <c r="F466" s="20" t="s">
        <v>74</v>
      </c>
      <c r="G466" s="12" t="s">
        <v>2308</v>
      </c>
      <c r="H466" s="20" t="s">
        <v>532</v>
      </c>
      <c r="I466" s="4"/>
      <c r="J466" s="22">
        <v>0</v>
      </c>
      <c r="K466" s="22">
        <v>0</v>
      </c>
      <c r="L466" s="22">
        <v>0</v>
      </c>
      <c r="M466" s="22">
        <v>0</v>
      </c>
      <c r="N466" s="22">
        <v>0</v>
      </c>
      <c r="O466" s="22">
        <v>0</v>
      </c>
      <c r="P466" s="22">
        <v>0</v>
      </c>
      <c r="Q466" s="22" t="s">
        <v>2308</v>
      </c>
      <c r="R466" s="22" t="s">
        <v>2308</v>
      </c>
      <c r="S466" s="22">
        <v>0</v>
      </c>
      <c r="T466" s="22">
        <v>0</v>
      </c>
      <c r="U466" s="22">
        <v>0</v>
      </c>
      <c r="V466" s="22">
        <v>0</v>
      </c>
      <c r="W466" s="22">
        <v>0</v>
      </c>
      <c r="X466" s="22">
        <v>0</v>
      </c>
      <c r="Y466" s="22" t="s">
        <v>2308</v>
      </c>
      <c r="Z466" s="4" t="s">
        <v>2308</v>
      </c>
      <c r="AA466" s="4" t="s">
        <v>2308</v>
      </c>
      <c r="AB466" s="4" t="s">
        <v>2308</v>
      </c>
      <c r="AC466" s="5" t="s">
        <v>2044</v>
      </c>
      <c r="AD466" s="4"/>
    </row>
    <row r="467" spans="1:30" ht="80.5" customHeight="1">
      <c r="A467" s="12" t="s">
        <v>671</v>
      </c>
      <c r="B467" s="12" t="s">
        <v>2045</v>
      </c>
      <c r="C467" s="24" t="s">
        <v>24</v>
      </c>
      <c r="D467" s="24" t="s">
        <v>149</v>
      </c>
      <c r="E467" s="20" t="s">
        <v>403</v>
      </c>
      <c r="F467" s="20" t="s">
        <v>74</v>
      </c>
      <c r="G467" s="12" t="s">
        <v>2308</v>
      </c>
      <c r="H467" s="20" t="s">
        <v>531</v>
      </c>
      <c r="I467" s="4"/>
      <c r="J467" s="22" t="s">
        <v>2308</v>
      </c>
      <c r="K467" s="22" t="s">
        <v>2308</v>
      </c>
      <c r="L467" s="22" t="s">
        <v>2308</v>
      </c>
      <c r="M467" s="22" t="s">
        <v>2308</v>
      </c>
      <c r="N467" s="22" t="s">
        <v>2308</v>
      </c>
      <c r="O467" s="22" t="s">
        <v>2308</v>
      </c>
      <c r="P467" s="22" t="s">
        <v>2308</v>
      </c>
      <c r="Q467" s="22" t="s">
        <v>2308</v>
      </c>
      <c r="R467" s="22" t="s">
        <v>2308</v>
      </c>
      <c r="S467" s="22" t="s">
        <v>2308</v>
      </c>
      <c r="T467" s="22" t="s">
        <v>2308</v>
      </c>
      <c r="U467" s="22" t="s">
        <v>2308</v>
      </c>
      <c r="V467" s="22" t="s">
        <v>2308</v>
      </c>
      <c r="W467" s="22" t="s">
        <v>2308</v>
      </c>
      <c r="X467" s="22" t="s">
        <v>2308</v>
      </c>
      <c r="Y467" s="22" t="s">
        <v>2308</v>
      </c>
      <c r="Z467" s="20" t="s">
        <v>194</v>
      </c>
      <c r="AA467" s="20" t="s">
        <v>38</v>
      </c>
      <c r="AB467" s="4" t="s">
        <v>2308</v>
      </c>
      <c r="AC467" s="5" t="s">
        <v>2046</v>
      </c>
      <c r="AD467" s="4"/>
    </row>
    <row r="468" spans="1:30" ht="51" customHeight="1">
      <c r="A468" s="12" t="s">
        <v>677</v>
      </c>
      <c r="B468" s="4" t="s">
        <v>751</v>
      </c>
      <c r="C468" s="24" t="s">
        <v>24</v>
      </c>
      <c r="D468" s="24" t="s">
        <v>27</v>
      </c>
      <c r="E468" s="12" t="s">
        <v>136</v>
      </c>
      <c r="F468" s="20" t="s">
        <v>167</v>
      </c>
      <c r="G468" s="20" t="s">
        <v>167</v>
      </c>
      <c r="H468" s="20" t="s">
        <v>531</v>
      </c>
      <c r="I468" s="4"/>
      <c r="J468" s="22" t="s">
        <v>2308</v>
      </c>
      <c r="K468" s="22" t="s">
        <v>2308</v>
      </c>
      <c r="L468" s="22" t="s">
        <v>2308</v>
      </c>
      <c r="M468" s="22" t="s">
        <v>2308</v>
      </c>
      <c r="N468" s="22" t="s">
        <v>2308</v>
      </c>
      <c r="O468" s="22" t="s">
        <v>2308</v>
      </c>
      <c r="P468" s="22" t="s">
        <v>2308</v>
      </c>
      <c r="Q468" s="22" t="s">
        <v>2308</v>
      </c>
      <c r="R468" s="22" t="s">
        <v>2308</v>
      </c>
      <c r="S468" s="22" t="s">
        <v>2308</v>
      </c>
      <c r="T468" s="22" t="s">
        <v>2308</v>
      </c>
      <c r="U468" s="22" t="s">
        <v>2308</v>
      </c>
      <c r="V468" s="22" t="s">
        <v>2308</v>
      </c>
      <c r="W468" s="22" t="s">
        <v>2308</v>
      </c>
      <c r="X468" s="22" t="s">
        <v>2308</v>
      </c>
      <c r="Y468" s="22" t="s">
        <v>2308</v>
      </c>
      <c r="Z468" s="4" t="s">
        <v>681</v>
      </c>
      <c r="AA468" s="4" t="s">
        <v>38</v>
      </c>
      <c r="AB468" s="4" t="s">
        <v>64</v>
      </c>
      <c r="AC468" s="5" t="s">
        <v>682</v>
      </c>
      <c r="AD468" s="5" t="s">
        <v>683</v>
      </c>
    </row>
    <row r="469" spans="1:30" ht="48.5" customHeight="1">
      <c r="A469" s="12" t="s">
        <v>684</v>
      </c>
      <c r="B469" s="4" t="s">
        <v>752</v>
      </c>
      <c r="C469" s="24" t="s">
        <v>24</v>
      </c>
      <c r="D469" s="24" t="s">
        <v>27</v>
      </c>
      <c r="E469" s="12" t="s">
        <v>136</v>
      </c>
      <c r="F469" s="20" t="s">
        <v>74</v>
      </c>
      <c r="G469" s="20" t="s">
        <v>74</v>
      </c>
      <c r="H469" s="20" t="s">
        <v>531</v>
      </c>
      <c r="I469" s="4">
        <v>1955</v>
      </c>
      <c r="J469" s="22" t="s">
        <v>2308</v>
      </c>
      <c r="K469" s="22" t="s">
        <v>2308</v>
      </c>
      <c r="L469" s="22" t="s">
        <v>2308</v>
      </c>
      <c r="M469" s="22" t="s">
        <v>2308</v>
      </c>
      <c r="N469" s="22" t="s">
        <v>2308</v>
      </c>
      <c r="O469" s="22" t="s">
        <v>2308</v>
      </c>
      <c r="P469" s="22" t="s">
        <v>2308</v>
      </c>
      <c r="Q469" s="22" t="s">
        <v>2308</v>
      </c>
      <c r="R469" s="22" t="s">
        <v>2308</v>
      </c>
      <c r="S469" s="22" t="s">
        <v>2308</v>
      </c>
      <c r="T469" s="22" t="s">
        <v>2308</v>
      </c>
      <c r="U469" s="22" t="s">
        <v>2308</v>
      </c>
      <c r="V469" s="22" t="s">
        <v>2308</v>
      </c>
      <c r="W469" s="22" t="s">
        <v>2308</v>
      </c>
      <c r="X469" s="22" t="s">
        <v>2308</v>
      </c>
      <c r="Y469" s="22" t="s">
        <v>2308</v>
      </c>
      <c r="Z469" s="4" t="s">
        <v>2308</v>
      </c>
      <c r="AA469" s="4" t="s">
        <v>2308</v>
      </c>
      <c r="AB469" s="4" t="s">
        <v>2308</v>
      </c>
      <c r="AC469" s="5" t="s">
        <v>2048</v>
      </c>
      <c r="AD469" s="4" t="s">
        <v>591</v>
      </c>
    </row>
    <row r="470" spans="1:30" ht="56" customHeight="1">
      <c r="A470" s="12" t="s">
        <v>684</v>
      </c>
      <c r="B470" s="4" t="s">
        <v>753</v>
      </c>
      <c r="C470" s="24" t="s">
        <v>24</v>
      </c>
      <c r="D470" s="24" t="s">
        <v>27</v>
      </c>
      <c r="E470" s="12" t="s">
        <v>136</v>
      </c>
      <c r="F470" s="20" t="s">
        <v>74</v>
      </c>
      <c r="G470" s="20" t="s">
        <v>74</v>
      </c>
      <c r="H470" s="20" t="s">
        <v>531</v>
      </c>
      <c r="I470" s="4">
        <v>1975</v>
      </c>
      <c r="J470" s="22" t="s">
        <v>2308</v>
      </c>
      <c r="K470" s="22" t="s">
        <v>2308</v>
      </c>
      <c r="L470" s="22" t="s">
        <v>2308</v>
      </c>
      <c r="M470" s="22" t="s">
        <v>2308</v>
      </c>
      <c r="N470" s="22" t="s">
        <v>2308</v>
      </c>
      <c r="O470" s="22" t="s">
        <v>2308</v>
      </c>
      <c r="P470" s="22" t="s">
        <v>2308</v>
      </c>
      <c r="Q470" s="22" t="s">
        <v>2308</v>
      </c>
      <c r="R470" s="22" t="s">
        <v>2308</v>
      </c>
      <c r="S470" s="22" t="s">
        <v>2308</v>
      </c>
      <c r="T470" s="22" t="s">
        <v>2308</v>
      </c>
      <c r="U470" s="22" t="s">
        <v>2308</v>
      </c>
      <c r="V470" s="22" t="s">
        <v>2308</v>
      </c>
      <c r="W470" s="22" t="s">
        <v>2308</v>
      </c>
      <c r="X470" s="22" t="s">
        <v>2308</v>
      </c>
      <c r="Y470" s="22" t="s">
        <v>2308</v>
      </c>
      <c r="Z470" s="4" t="s">
        <v>2308</v>
      </c>
      <c r="AA470" s="4" t="s">
        <v>2308</v>
      </c>
      <c r="AB470" s="4" t="s">
        <v>2308</v>
      </c>
      <c r="AC470" s="5" t="s">
        <v>2048</v>
      </c>
      <c r="AD470" s="4" t="s">
        <v>591</v>
      </c>
    </row>
    <row r="471" spans="1:30" ht="55.5" customHeight="1">
      <c r="A471" s="12" t="s">
        <v>684</v>
      </c>
      <c r="B471" s="4" t="s">
        <v>754</v>
      </c>
      <c r="C471" s="24" t="s">
        <v>24</v>
      </c>
      <c r="D471" s="24" t="s">
        <v>27</v>
      </c>
      <c r="E471" s="12" t="s">
        <v>136</v>
      </c>
      <c r="F471" s="20" t="s">
        <v>167</v>
      </c>
      <c r="G471" s="20" t="s">
        <v>167</v>
      </c>
      <c r="H471" s="20" t="s">
        <v>531</v>
      </c>
      <c r="I471" s="4">
        <v>1992</v>
      </c>
      <c r="J471" s="22" t="s">
        <v>2308</v>
      </c>
      <c r="K471" s="22" t="s">
        <v>2308</v>
      </c>
      <c r="L471" s="22" t="s">
        <v>2308</v>
      </c>
      <c r="M471" s="22" t="s">
        <v>2308</v>
      </c>
      <c r="N471" s="22" t="s">
        <v>2308</v>
      </c>
      <c r="O471" s="22" t="s">
        <v>2308</v>
      </c>
      <c r="P471" s="22" t="s">
        <v>2308</v>
      </c>
      <c r="Q471" s="22" t="s">
        <v>2308</v>
      </c>
      <c r="R471" s="22" t="s">
        <v>2308</v>
      </c>
      <c r="S471" s="22" t="s">
        <v>2308</v>
      </c>
      <c r="T471" s="22" t="s">
        <v>2308</v>
      </c>
      <c r="U471" s="22" t="s">
        <v>2308</v>
      </c>
      <c r="V471" s="22" t="s">
        <v>2308</v>
      </c>
      <c r="W471" s="22" t="s">
        <v>2308</v>
      </c>
      <c r="X471" s="22" t="s">
        <v>2308</v>
      </c>
      <c r="Y471" s="22" t="s">
        <v>2308</v>
      </c>
      <c r="Z471" s="4" t="s">
        <v>2308</v>
      </c>
      <c r="AA471" s="4" t="s">
        <v>2308</v>
      </c>
      <c r="AB471" s="4" t="s">
        <v>2308</v>
      </c>
      <c r="AC471" s="5" t="s">
        <v>2048</v>
      </c>
      <c r="AD471" s="4" t="s">
        <v>591</v>
      </c>
    </row>
    <row r="472" spans="1:30" ht="48.5" customHeight="1">
      <c r="A472" s="12" t="s">
        <v>687</v>
      </c>
      <c r="B472" s="4" t="s">
        <v>691</v>
      </c>
      <c r="C472" s="24" t="s">
        <v>24</v>
      </c>
      <c r="D472" s="24" t="s">
        <v>27</v>
      </c>
      <c r="E472" s="12" t="s">
        <v>136</v>
      </c>
      <c r="F472" s="20" t="s">
        <v>167</v>
      </c>
      <c r="G472" s="20" t="s">
        <v>2308</v>
      </c>
      <c r="H472" s="20" t="s">
        <v>531</v>
      </c>
      <c r="I472" s="4">
        <v>2002</v>
      </c>
      <c r="J472" s="22" t="s">
        <v>2308</v>
      </c>
      <c r="K472" s="22" t="s">
        <v>2308</v>
      </c>
      <c r="L472" s="22" t="s">
        <v>2308</v>
      </c>
      <c r="M472" s="22" t="s">
        <v>2308</v>
      </c>
      <c r="N472" s="22" t="s">
        <v>2308</v>
      </c>
      <c r="O472" s="22" t="s">
        <v>2308</v>
      </c>
      <c r="P472" s="22" t="s">
        <v>2308</v>
      </c>
      <c r="Q472" s="22" t="s">
        <v>2308</v>
      </c>
      <c r="R472" s="22" t="s">
        <v>2308</v>
      </c>
      <c r="S472" s="22" t="s">
        <v>2308</v>
      </c>
      <c r="T472" s="22" t="s">
        <v>2308</v>
      </c>
      <c r="U472" s="22" t="s">
        <v>2308</v>
      </c>
      <c r="V472" s="22" t="s">
        <v>2308</v>
      </c>
      <c r="W472" s="22" t="s">
        <v>2308</v>
      </c>
      <c r="X472" s="22" t="s">
        <v>2308</v>
      </c>
      <c r="Y472" s="22" t="s">
        <v>2308</v>
      </c>
      <c r="Z472" s="4" t="s">
        <v>2308</v>
      </c>
      <c r="AA472" s="4" t="s">
        <v>2308</v>
      </c>
      <c r="AB472" s="4" t="s">
        <v>2308</v>
      </c>
      <c r="AC472" s="5"/>
      <c r="AD472" s="5" t="s">
        <v>2050</v>
      </c>
    </row>
    <row r="473" spans="1:30" ht="48.5" customHeight="1">
      <c r="A473" s="12" t="s">
        <v>687</v>
      </c>
      <c r="B473" s="4" t="s">
        <v>693</v>
      </c>
      <c r="C473" s="24" t="s">
        <v>24</v>
      </c>
      <c r="D473" s="24" t="s">
        <v>27</v>
      </c>
      <c r="E473" s="12" t="s">
        <v>136</v>
      </c>
      <c r="F473" s="20" t="s">
        <v>74</v>
      </c>
      <c r="G473" s="20" t="s">
        <v>2308</v>
      </c>
      <c r="H473" s="20" t="s">
        <v>532</v>
      </c>
      <c r="I473" s="4">
        <v>2002</v>
      </c>
      <c r="J473" s="22">
        <v>0</v>
      </c>
      <c r="K473" s="22">
        <v>0</v>
      </c>
      <c r="L473" s="22">
        <v>0</v>
      </c>
      <c r="M473" s="22">
        <v>0</v>
      </c>
      <c r="N473" s="22">
        <v>0</v>
      </c>
      <c r="O473" s="22">
        <v>0</v>
      </c>
      <c r="P473" s="22">
        <v>0</v>
      </c>
      <c r="Q473" s="22" t="s">
        <v>2308</v>
      </c>
      <c r="R473" s="22" t="s">
        <v>2308</v>
      </c>
      <c r="S473" s="22">
        <v>0</v>
      </c>
      <c r="T473" s="22">
        <v>0</v>
      </c>
      <c r="U473" s="22">
        <v>0</v>
      </c>
      <c r="V473" s="22">
        <v>0</v>
      </c>
      <c r="W473" s="22">
        <v>0</v>
      </c>
      <c r="X473" s="22">
        <v>0</v>
      </c>
      <c r="Y473" s="22" t="s">
        <v>2308</v>
      </c>
      <c r="Z473" s="4" t="s">
        <v>2308</v>
      </c>
      <c r="AA473" s="4" t="s">
        <v>2308</v>
      </c>
      <c r="AB473" s="4" t="s">
        <v>2308</v>
      </c>
      <c r="AC473" s="5" t="s">
        <v>2049</v>
      </c>
      <c r="AD473" s="5"/>
    </row>
    <row r="474" spans="1:30" ht="57" customHeight="1">
      <c r="A474" s="12" t="s">
        <v>690</v>
      </c>
      <c r="B474" s="4" t="s">
        <v>692</v>
      </c>
      <c r="C474" s="24" t="s">
        <v>24</v>
      </c>
      <c r="D474" s="24" t="s">
        <v>27</v>
      </c>
      <c r="E474" s="12" t="s">
        <v>136</v>
      </c>
      <c r="F474" s="20" t="s">
        <v>167</v>
      </c>
      <c r="G474" s="20" t="s">
        <v>2308</v>
      </c>
      <c r="H474" s="20" t="s">
        <v>531</v>
      </c>
      <c r="I474" s="4">
        <v>1997</v>
      </c>
      <c r="J474" s="22" t="s">
        <v>2308</v>
      </c>
      <c r="K474" s="22" t="s">
        <v>2308</v>
      </c>
      <c r="L474" s="22" t="s">
        <v>2308</v>
      </c>
      <c r="M474" s="22" t="s">
        <v>2308</v>
      </c>
      <c r="N474" s="22" t="s">
        <v>2308</v>
      </c>
      <c r="O474" s="22">
        <v>3</v>
      </c>
      <c r="P474" s="22" t="s">
        <v>2308</v>
      </c>
      <c r="Q474" s="22" t="s">
        <v>2308</v>
      </c>
      <c r="R474" s="22" t="s">
        <v>2308</v>
      </c>
      <c r="S474" s="22" t="s">
        <v>2308</v>
      </c>
      <c r="T474" s="22" t="s">
        <v>2308</v>
      </c>
      <c r="U474" s="22" t="s">
        <v>2308</v>
      </c>
      <c r="V474" s="22" t="s">
        <v>2308</v>
      </c>
      <c r="W474" s="22" t="s">
        <v>2308</v>
      </c>
      <c r="X474" s="22" t="s">
        <v>2308</v>
      </c>
      <c r="Y474" s="22">
        <v>14</v>
      </c>
      <c r="Z474" s="4" t="s">
        <v>2308</v>
      </c>
      <c r="AA474" s="4" t="s">
        <v>2308</v>
      </c>
      <c r="AB474" s="4" t="s">
        <v>2308</v>
      </c>
      <c r="AC474" s="5"/>
      <c r="AD474" s="5" t="s">
        <v>2050</v>
      </c>
    </row>
    <row r="475" spans="1:30" ht="58.5" customHeight="1">
      <c r="A475" s="12" t="s">
        <v>694</v>
      </c>
      <c r="B475" s="12" t="s">
        <v>698</v>
      </c>
      <c r="C475" s="24" t="s">
        <v>24</v>
      </c>
      <c r="D475" s="24" t="s">
        <v>27</v>
      </c>
      <c r="E475" s="12" t="s">
        <v>136</v>
      </c>
      <c r="F475" s="20" t="s">
        <v>167</v>
      </c>
      <c r="G475" s="20" t="s">
        <v>2308</v>
      </c>
      <c r="H475" s="20" t="s">
        <v>531</v>
      </c>
      <c r="I475" s="12"/>
      <c r="J475" s="22" t="s">
        <v>2308</v>
      </c>
      <c r="K475" s="22" t="s">
        <v>2308</v>
      </c>
      <c r="L475" s="22" t="s">
        <v>2308</v>
      </c>
      <c r="M475" s="22" t="s">
        <v>2308</v>
      </c>
      <c r="N475" s="22" t="s">
        <v>2308</v>
      </c>
      <c r="O475" s="22" t="s">
        <v>2308</v>
      </c>
      <c r="P475" s="22" t="s">
        <v>2308</v>
      </c>
      <c r="Q475" s="22" t="s">
        <v>2308</v>
      </c>
      <c r="R475" s="22" t="s">
        <v>2308</v>
      </c>
      <c r="S475" s="22" t="s">
        <v>2308</v>
      </c>
      <c r="T475" s="22" t="s">
        <v>2308</v>
      </c>
      <c r="U475" s="22" t="s">
        <v>2308</v>
      </c>
      <c r="V475" s="22" t="s">
        <v>2308</v>
      </c>
      <c r="W475" s="22" t="s">
        <v>2308</v>
      </c>
      <c r="X475" s="22" t="s">
        <v>2308</v>
      </c>
      <c r="Y475" s="22">
        <v>4.2</v>
      </c>
      <c r="Z475" s="4" t="s">
        <v>681</v>
      </c>
      <c r="AA475" s="4" t="s">
        <v>38</v>
      </c>
      <c r="AB475" s="4" t="s">
        <v>64</v>
      </c>
      <c r="AC475" s="20" t="s">
        <v>2052</v>
      </c>
      <c r="AD475" s="4"/>
    </row>
    <row r="476" spans="1:30" ht="52.5" customHeight="1">
      <c r="A476" s="12" t="s">
        <v>694</v>
      </c>
      <c r="B476" s="12" t="s">
        <v>699</v>
      </c>
      <c r="C476" s="24" t="s">
        <v>24</v>
      </c>
      <c r="D476" s="24" t="s">
        <v>27</v>
      </c>
      <c r="E476" s="12" t="s">
        <v>136</v>
      </c>
      <c r="F476" s="20" t="s">
        <v>167</v>
      </c>
      <c r="G476" s="20" t="s">
        <v>2308</v>
      </c>
      <c r="H476" s="20" t="s">
        <v>531</v>
      </c>
      <c r="I476" s="12"/>
      <c r="J476" s="22" t="s">
        <v>2308</v>
      </c>
      <c r="K476" s="22" t="s">
        <v>2308</v>
      </c>
      <c r="L476" s="22" t="s">
        <v>2308</v>
      </c>
      <c r="M476" s="22" t="s">
        <v>2308</v>
      </c>
      <c r="N476" s="22" t="s">
        <v>2308</v>
      </c>
      <c r="O476" s="22" t="s">
        <v>2308</v>
      </c>
      <c r="P476" s="22" t="s">
        <v>2308</v>
      </c>
      <c r="Q476" s="22" t="s">
        <v>2308</v>
      </c>
      <c r="R476" s="22" t="s">
        <v>2308</v>
      </c>
      <c r="S476" s="22" t="s">
        <v>2308</v>
      </c>
      <c r="T476" s="22" t="s">
        <v>2308</v>
      </c>
      <c r="U476" s="22" t="s">
        <v>2308</v>
      </c>
      <c r="V476" s="22" t="s">
        <v>2308</v>
      </c>
      <c r="W476" s="22" t="s">
        <v>2308</v>
      </c>
      <c r="X476" s="22" t="s">
        <v>2308</v>
      </c>
      <c r="Y476" s="22">
        <v>4.9000000000000004</v>
      </c>
      <c r="Z476" s="4" t="s">
        <v>681</v>
      </c>
      <c r="AA476" s="4" t="s">
        <v>38</v>
      </c>
      <c r="AB476" s="4" t="s">
        <v>64</v>
      </c>
      <c r="AC476" s="20" t="s">
        <v>2052</v>
      </c>
      <c r="AD476" s="4"/>
    </row>
    <row r="477" spans="1:30" ht="55" customHeight="1">
      <c r="A477" s="12" t="s">
        <v>694</v>
      </c>
      <c r="B477" s="12" t="s">
        <v>700</v>
      </c>
      <c r="C477" s="24" t="s">
        <v>24</v>
      </c>
      <c r="D477" s="24" t="s">
        <v>27</v>
      </c>
      <c r="E477" s="12" t="s">
        <v>136</v>
      </c>
      <c r="F477" s="20" t="s">
        <v>167</v>
      </c>
      <c r="G477" s="20" t="s">
        <v>2308</v>
      </c>
      <c r="H477" s="20" t="s">
        <v>531</v>
      </c>
      <c r="I477" s="12"/>
      <c r="J477" s="22" t="s">
        <v>2308</v>
      </c>
      <c r="K477" s="22" t="s">
        <v>2308</v>
      </c>
      <c r="L477" s="22" t="s">
        <v>2308</v>
      </c>
      <c r="M477" s="22" t="s">
        <v>2308</v>
      </c>
      <c r="N477" s="22" t="s">
        <v>2308</v>
      </c>
      <c r="O477" s="22" t="s">
        <v>2308</v>
      </c>
      <c r="P477" s="22" t="s">
        <v>2308</v>
      </c>
      <c r="Q477" s="22" t="s">
        <v>2308</v>
      </c>
      <c r="R477" s="22" t="s">
        <v>2308</v>
      </c>
      <c r="S477" s="22" t="s">
        <v>2308</v>
      </c>
      <c r="T477" s="22" t="s">
        <v>2308</v>
      </c>
      <c r="U477" s="22" t="s">
        <v>2308</v>
      </c>
      <c r="V477" s="22" t="s">
        <v>2308</v>
      </c>
      <c r="W477" s="22" t="s">
        <v>2308</v>
      </c>
      <c r="X477" s="22" t="s">
        <v>2308</v>
      </c>
      <c r="Y477" s="22">
        <v>5.6</v>
      </c>
      <c r="Z477" s="4" t="s">
        <v>681</v>
      </c>
      <c r="AA477" s="4" t="s">
        <v>38</v>
      </c>
      <c r="AB477" s="4" t="s">
        <v>64</v>
      </c>
      <c r="AC477" s="20" t="s">
        <v>2052</v>
      </c>
      <c r="AD477" s="4"/>
    </row>
    <row r="478" spans="1:30" ht="59" customHeight="1">
      <c r="A478" s="12" t="s">
        <v>695</v>
      </c>
      <c r="B478" s="12" t="s">
        <v>701</v>
      </c>
      <c r="C478" s="24" t="s">
        <v>24</v>
      </c>
      <c r="D478" s="24" t="s">
        <v>27</v>
      </c>
      <c r="E478" s="12" t="s">
        <v>136</v>
      </c>
      <c r="F478" s="20" t="s">
        <v>167</v>
      </c>
      <c r="G478" s="20" t="s">
        <v>2308</v>
      </c>
      <c r="H478" s="20" t="s">
        <v>531</v>
      </c>
      <c r="I478" s="12"/>
      <c r="J478" s="22" t="s">
        <v>2308</v>
      </c>
      <c r="K478" s="22" t="s">
        <v>2308</v>
      </c>
      <c r="L478" s="22" t="s">
        <v>2308</v>
      </c>
      <c r="M478" s="22" t="s">
        <v>2308</v>
      </c>
      <c r="N478" s="22" t="s">
        <v>2308</v>
      </c>
      <c r="O478" s="22" t="s">
        <v>2308</v>
      </c>
      <c r="P478" s="22" t="s">
        <v>2308</v>
      </c>
      <c r="Q478" s="22" t="s">
        <v>2308</v>
      </c>
      <c r="R478" s="22" t="s">
        <v>2308</v>
      </c>
      <c r="S478" s="22" t="s">
        <v>2308</v>
      </c>
      <c r="T478" s="22" t="s">
        <v>2308</v>
      </c>
      <c r="U478" s="22" t="s">
        <v>2308</v>
      </c>
      <c r="V478" s="22" t="s">
        <v>2308</v>
      </c>
      <c r="W478" s="22" t="s">
        <v>2308</v>
      </c>
      <c r="X478" s="22" t="s">
        <v>2308</v>
      </c>
      <c r="Y478" s="22">
        <v>11.1</v>
      </c>
      <c r="Z478" s="4" t="s">
        <v>681</v>
      </c>
      <c r="AA478" s="4" t="s">
        <v>38</v>
      </c>
      <c r="AB478" s="4" t="s">
        <v>64</v>
      </c>
      <c r="AC478" s="20" t="s">
        <v>2052</v>
      </c>
      <c r="AD478" s="4"/>
    </row>
    <row r="479" spans="1:30" ht="69" customHeight="1">
      <c r="A479" s="12" t="s">
        <v>695</v>
      </c>
      <c r="B479" s="12" t="s">
        <v>702</v>
      </c>
      <c r="C479" s="24" t="s">
        <v>24</v>
      </c>
      <c r="D479" s="24" t="s">
        <v>27</v>
      </c>
      <c r="E479" s="12" t="s">
        <v>136</v>
      </c>
      <c r="F479" s="20" t="s">
        <v>167</v>
      </c>
      <c r="G479" s="20" t="s">
        <v>2308</v>
      </c>
      <c r="H479" s="20" t="s">
        <v>531</v>
      </c>
      <c r="I479" s="12"/>
      <c r="J479" s="22" t="s">
        <v>2308</v>
      </c>
      <c r="K479" s="22" t="s">
        <v>2308</v>
      </c>
      <c r="L479" s="22" t="s">
        <v>2308</v>
      </c>
      <c r="M479" s="22" t="s">
        <v>2308</v>
      </c>
      <c r="N479" s="22" t="s">
        <v>2308</v>
      </c>
      <c r="O479" s="22" t="s">
        <v>2308</v>
      </c>
      <c r="P479" s="22" t="s">
        <v>2308</v>
      </c>
      <c r="Q479" s="22" t="s">
        <v>2308</v>
      </c>
      <c r="R479" s="22" t="s">
        <v>2308</v>
      </c>
      <c r="S479" s="22" t="s">
        <v>2308</v>
      </c>
      <c r="T479" s="22" t="s">
        <v>2308</v>
      </c>
      <c r="U479" s="22" t="s">
        <v>2308</v>
      </c>
      <c r="V479" s="22" t="s">
        <v>2308</v>
      </c>
      <c r="W479" s="22" t="s">
        <v>2308</v>
      </c>
      <c r="X479" s="22" t="s">
        <v>2308</v>
      </c>
      <c r="Y479" s="22">
        <v>5.3</v>
      </c>
      <c r="Z479" s="4" t="s">
        <v>681</v>
      </c>
      <c r="AA479" s="4" t="s">
        <v>38</v>
      </c>
      <c r="AB479" s="4" t="s">
        <v>64</v>
      </c>
      <c r="AC479" s="20" t="s">
        <v>2052</v>
      </c>
      <c r="AD479" s="4"/>
    </row>
    <row r="480" spans="1:30" ht="72" customHeight="1">
      <c r="A480" s="12" t="s">
        <v>695</v>
      </c>
      <c r="B480" s="12" t="s">
        <v>703</v>
      </c>
      <c r="C480" s="24" t="s">
        <v>24</v>
      </c>
      <c r="D480" s="24" t="s">
        <v>27</v>
      </c>
      <c r="E480" s="12" t="s">
        <v>136</v>
      </c>
      <c r="F480" s="20" t="s">
        <v>167</v>
      </c>
      <c r="G480" s="20" t="s">
        <v>2308</v>
      </c>
      <c r="H480" s="20" t="s">
        <v>531</v>
      </c>
      <c r="I480" s="12"/>
      <c r="J480" s="22" t="s">
        <v>2308</v>
      </c>
      <c r="K480" s="22" t="s">
        <v>2308</v>
      </c>
      <c r="L480" s="22" t="s">
        <v>2308</v>
      </c>
      <c r="M480" s="22" t="s">
        <v>2308</v>
      </c>
      <c r="N480" s="22" t="s">
        <v>2308</v>
      </c>
      <c r="O480" s="22" t="s">
        <v>2308</v>
      </c>
      <c r="P480" s="22" t="s">
        <v>2308</v>
      </c>
      <c r="Q480" s="22" t="s">
        <v>2308</v>
      </c>
      <c r="R480" s="22" t="s">
        <v>2308</v>
      </c>
      <c r="S480" s="22" t="s">
        <v>2308</v>
      </c>
      <c r="T480" s="22" t="s">
        <v>2308</v>
      </c>
      <c r="U480" s="22" t="s">
        <v>2308</v>
      </c>
      <c r="V480" s="22" t="s">
        <v>2308</v>
      </c>
      <c r="W480" s="22" t="s">
        <v>2308</v>
      </c>
      <c r="X480" s="22" t="s">
        <v>2308</v>
      </c>
      <c r="Y480" s="22">
        <v>8.6</v>
      </c>
      <c r="Z480" s="4" t="s">
        <v>681</v>
      </c>
      <c r="AA480" s="4" t="s">
        <v>38</v>
      </c>
      <c r="AB480" s="4" t="s">
        <v>64</v>
      </c>
      <c r="AC480" s="20" t="s">
        <v>2052</v>
      </c>
      <c r="AD480" s="4"/>
    </row>
    <row r="481" spans="1:30" ht="73.5" customHeight="1">
      <c r="A481" s="12" t="s">
        <v>708</v>
      </c>
      <c r="B481" s="12" t="s">
        <v>718</v>
      </c>
      <c r="C481" s="24" t="s">
        <v>24</v>
      </c>
      <c r="D481" s="24" t="s">
        <v>27</v>
      </c>
      <c r="E481" s="12" t="s">
        <v>136</v>
      </c>
      <c r="F481" s="20" t="s">
        <v>28</v>
      </c>
      <c r="G481" s="20" t="s">
        <v>2308</v>
      </c>
      <c r="H481" s="20" t="s">
        <v>531</v>
      </c>
      <c r="I481" s="4"/>
      <c r="J481" s="22" t="s">
        <v>2308</v>
      </c>
      <c r="K481" s="22" t="s">
        <v>2308</v>
      </c>
      <c r="L481" s="22" t="s">
        <v>2308</v>
      </c>
      <c r="M481" s="22" t="s">
        <v>2308</v>
      </c>
      <c r="N481" s="22" t="s">
        <v>2308</v>
      </c>
      <c r="O481" s="22" t="s">
        <v>2308</v>
      </c>
      <c r="P481" s="22" t="s">
        <v>2308</v>
      </c>
      <c r="Q481" s="22" t="s">
        <v>2308</v>
      </c>
      <c r="R481" s="22" t="s">
        <v>2308</v>
      </c>
      <c r="S481" s="22" t="s">
        <v>2308</v>
      </c>
      <c r="T481" s="22" t="s">
        <v>2308</v>
      </c>
      <c r="U481" s="22" t="s">
        <v>2308</v>
      </c>
      <c r="V481" s="22" t="s">
        <v>2308</v>
      </c>
      <c r="W481" s="22" t="s">
        <v>2308</v>
      </c>
      <c r="X481" s="22" t="s">
        <v>2308</v>
      </c>
      <c r="Y481" s="22">
        <v>3</v>
      </c>
      <c r="Z481" s="4" t="s">
        <v>2308</v>
      </c>
      <c r="AA481" s="4" t="s">
        <v>2308</v>
      </c>
      <c r="AB481" s="4" t="s">
        <v>2308</v>
      </c>
      <c r="AC481" s="5" t="s">
        <v>764</v>
      </c>
      <c r="AD481" s="5" t="s">
        <v>2053</v>
      </c>
    </row>
    <row r="482" spans="1:30" ht="58.5" customHeight="1">
      <c r="A482" s="12" t="s">
        <v>708</v>
      </c>
      <c r="B482" s="12" t="s">
        <v>2061</v>
      </c>
      <c r="C482" s="24" t="s">
        <v>24</v>
      </c>
      <c r="D482" s="24" t="s">
        <v>27</v>
      </c>
      <c r="E482" s="20" t="s">
        <v>404</v>
      </c>
      <c r="F482" s="20" t="s">
        <v>28</v>
      </c>
      <c r="G482" s="20" t="s">
        <v>2308</v>
      </c>
      <c r="H482" s="20" t="s">
        <v>532</v>
      </c>
      <c r="I482" s="4"/>
      <c r="J482" s="22">
        <v>0</v>
      </c>
      <c r="K482" s="22">
        <v>0</v>
      </c>
      <c r="L482" s="22">
        <v>0</v>
      </c>
      <c r="M482" s="22">
        <v>0</v>
      </c>
      <c r="N482" s="22">
        <v>0</v>
      </c>
      <c r="O482" s="22">
        <v>0</v>
      </c>
      <c r="P482" s="22">
        <v>0</v>
      </c>
      <c r="Q482" s="22" t="s">
        <v>2308</v>
      </c>
      <c r="R482" s="22" t="s">
        <v>2308</v>
      </c>
      <c r="S482" s="22">
        <v>0</v>
      </c>
      <c r="T482" s="22">
        <v>0</v>
      </c>
      <c r="U482" s="22">
        <v>0</v>
      </c>
      <c r="V482" s="22">
        <v>0</v>
      </c>
      <c r="W482" s="22">
        <v>0</v>
      </c>
      <c r="X482" s="22">
        <v>0</v>
      </c>
      <c r="Y482" s="22" t="s">
        <v>2308</v>
      </c>
      <c r="Z482" s="4" t="s">
        <v>2308</v>
      </c>
      <c r="AA482" s="4" t="s">
        <v>2308</v>
      </c>
      <c r="AB482" s="4" t="s">
        <v>2308</v>
      </c>
      <c r="AC482" s="5" t="s">
        <v>720</v>
      </c>
      <c r="AD482" s="4"/>
    </row>
    <row r="483" spans="1:30" ht="77.5" customHeight="1">
      <c r="A483" s="12" t="s">
        <v>709</v>
      </c>
      <c r="B483" s="12" t="s">
        <v>721</v>
      </c>
      <c r="C483" s="24" t="s">
        <v>24</v>
      </c>
      <c r="D483" s="24" t="s">
        <v>27</v>
      </c>
      <c r="E483" s="12" t="s">
        <v>136</v>
      </c>
      <c r="F483" s="20" t="s">
        <v>28</v>
      </c>
      <c r="G483" s="20" t="s">
        <v>2308</v>
      </c>
      <c r="H483" s="20" t="s">
        <v>531</v>
      </c>
      <c r="I483" s="4"/>
      <c r="J483" s="22" t="s">
        <v>2308</v>
      </c>
      <c r="K483" s="22" t="s">
        <v>2308</v>
      </c>
      <c r="L483" s="22" t="s">
        <v>2308</v>
      </c>
      <c r="M483" s="22" t="s">
        <v>2308</v>
      </c>
      <c r="N483" s="22" t="s">
        <v>2308</v>
      </c>
      <c r="O483" s="22" t="s">
        <v>2308</v>
      </c>
      <c r="P483" s="22" t="s">
        <v>2308</v>
      </c>
      <c r="Q483" s="22" t="s">
        <v>2308</v>
      </c>
      <c r="R483" s="22" t="s">
        <v>2308</v>
      </c>
      <c r="S483" s="22" t="s">
        <v>2308</v>
      </c>
      <c r="T483" s="22" t="s">
        <v>2308</v>
      </c>
      <c r="U483" s="22" t="s">
        <v>2308</v>
      </c>
      <c r="V483" s="22" t="s">
        <v>2308</v>
      </c>
      <c r="W483" s="22" t="s">
        <v>2308</v>
      </c>
      <c r="X483" s="22" t="s">
        <v>2308</v>
      </c>
      <c r="Y483" s="22">
        <v>3</v>
      </c>
      <c r="Z483" s="4" t="s">
        <v>2308</v>
      </c>
      <c r="AA483" s="4" t="s">
        <v>2308</v>
      </c>
      <c r="AB483" s="4" t="s">
        <v>2308</v>
      </c>
      <c r="AC483" s="5" t="s">
        <v>764</v>
      </c>
      <c r="AD483" s="5" t="s">
        <v>2053</v>
      </c>
    </row>
    <row r="484" spans="1:30" ht="68" customHeight="1">
      <c r="A484" s="12" t="s">
        <v>709</v>
      </c>
      <c r="B484" s="12" t="s">
        <v>2062</v>
      </c>
      <c r="C484" s="24" t="s">
        <v>24</v>
      </c>
      <c r="D484" s="24" t="s">
        <v>27</v>
      </c>
      <c r="E484" s="20" t="s">
        <v>404</v>
      </c>
      <c r="F484" s="20" t="s">
        <v>28</v>
      </c>
      <c r="G484" s="20" t="s">
        <v>2308</v>
      </c>
      <c r="H484" s="20" t="s">
        <v>532</v>
      </c>
      <c r="I484" s="4"/>
      <c r="J484" s="22">
        <v>0</v>
      </c>
      <c r="K484" s="22">
        <v>0</v>
      </c>
      <c r="L484" s="22">
        <v>0</v>
      </c>
      <c r="M484" s="22">
        <v>0</v>
      </c>
      <c r="N484" s="22">
        <v>0</v>
      </c>
      <c r="O484" s="22">
        <v>0</v>
      </c>
      <c r="P484" s="22">
        <v>0</v>
      </c>
      <c r="Q484" s="22" t="s">
        <v>2308</v>
      </c>
      <c r="R484" s="22" t="s">
        <v>2308</v>
      </c>
      <c r="S484" s="22">
        <v>0</v>
      </c>
      <c r="T484" s="22">
        <v>0</v>
      </c>
      <c r="U484" s="22">
        <v>0</v>
      </c>
      <c r="V484" s="22">
        <v>0</v>
      </c>
      <c r="W484" s="22">
        <v>0</v>
      </c>
      <c r="X484" s="22">
        <v>0</v>
      </c>
      <c r="Y484" s="22" t="s">
        <v>2308</v>
      </c>
      <c r="Z484" s="4" t="s">
        <v>2308</v>
      </c>
      <c r="AA484" s="4" t="s">
        <v>2308</v>
      </c>
      <c r="AB484" s="4" t="s">
        <v>2308</v>
      </c>
      <c r="AC484" s="5" t="s">
        <v>720</v>
      </c>
      <c r="AD484" s="4"/>
    </row>
    <row r="485" spans="1:30" ht="73" customHeight="1">
      <c r="A485" s="12" t="s">
        <v>710</v>
      </c>
      <c r="B485" s="12" t="s">
        <v>722</v>
      </c>
      <c r="C485" s="24" t="s">
        <v>24</v>
      </c>
      <c r="D485" s="24" t="s">
        <v>27</v>
      </c>
      <c r="E485" s="12" t="s">
        <v>136</v>
      </c>
      <c r="F485" s="20" t="s">
        <v>28</v>
      </c>
      <c r="G485" s="20" t="s">
        <v>2308</v>
      </c>
      <c r="H485" s="20" t="s">
        <v>531</v>
      </c>
      <c r="I485" s="4"/>
      <c r="J485" s="22" t="s">
        <v>2308</v>
      </c>
      <c r="K485" s="22" t="s">
        <v>2308</v>
      </c>
      <c r="L485" s="22" t="s">
        <v>2308</v>
      </c>
      <c r="M485" s="22" t="s">
        <v>2308</v>
      </c>
      <c r="N485" s="22" t="s">
        <v>2308</v>
      </c>
      <c r="O485" s="22" t="s">
        <v>2308</v>
      </c>
      <c r="P485" s="22" t="s">
        <v>2308</v>
      </c>
      <c r="Q485" s="22" t="s">
        <v>2308</v>
      </c>
      <c r="R485" s="22" t="s">
        <v>2308</v>
      </c>
      <c r="S485" s="22" t="s">
        <v>2308</v>
      </c>
      <c r="T485" s="22" t="s">
        <v>2308</v>
      </c>
      <c r="U485" s="22" t="s">
        <v>2308</v>
      </c>
      <c r="V485" s="22" t="s">
        <v>2308</v>
      </c>
      <c r="W485" s="22" t="s">
        <v>2308</v>
      </c>
      <c r="X485" s="22" t="s">
        <v>2308</v>
      </c>
      <c r="Y485" s="22">
        <v>3</v>
      </c>
      <c r="Z485" s="4" t="s">
        <v>2308</v>
      </c>
      <c r="AA485" s="4" t="s">
        <v>2308</v>
      </c>
      <c r="AB485" s="4" t="s">
        <v>2308</v>
      </c>
      <c r="AC485" s="5" t="s">
        <v>764</v>
      </c>
      <c r="AD485" s="5" t="s">
        <v>2053</v>
      </c>
    </row>
    <row r="486" spans="1:30" ht="70" customHeight="1">
      <c r="A486" s="12" t="s">
        <v>710</v>
      </c>
      <c r="B486" s="12" t="s">
        <v>2063</v>
      </c>
      <c r="C486" s="24" t="s">
        <v>24</v>
      </c>
      <c r="D486" s="24" t="s">
        <v>27</v>
      </c>
      <c r="E486" s="20" t="s">
        <v>404</v>
      </c>
      <c r="F486" s="20" t="s">
        <v>28</v>
      </c>
      <c r="G486" s="20" t="s">
        <v>2308</v>
      </c>
      <c r="H486" s="20" t="s">
        <v>532</v>
      </c>
      <c r="I486" s="4"/>
      <c r="J486" s="22">
        <v>0</v>
      </c>
      <c r="K486" s="22">
        <v>0</v>
      </c>
      <c r="L486" s="22">
        <v>0</v>
      </c>
      <c r="M486" s="22">
        <v>0</v>
      </c>
      <c r="N486" s="22">
        <v>0</v>
      </c>
      <c r="O486" s="22">
        <v>0</v>
      </c>
      <c r="P486" s="22">
        <v>0</v>
      </c>
      <c r="Q486" s="22" t="s">
        <v>2308</v>
      </c>
      <c r="R486" s="22" t="s">
        <v>2308</v>
      </c>
      <c r="S486" s="22">
        <v>0</v>
      </c>
      <c r="T486" s="22">
        <v>0</v>
      </c>
      <c r="U486" s="22">
        <v>0</v>
      </c>
      <c r="V486" s="22">
        <v>0</v>
      </c>
      <c r="W486" s="22">
        <v>0</v>
      </c>
      <c r="X486" s="22">
        <v>0</v>
      </c>
      <c r="Y486" s="22" t="s">
        <v>2308</v>
      </c>
      <c r="Z486" s="4" t="s">
        <v>2308</v>
      </c>
      <c r="AA486" s="4" t="s">
        <v>2308</v>
      </c>
      <c r="AB486" s="4" t="s">
        <v>2308</v>
      </c>
      <c r="AC486" s="5" t="s">
        <v>720</v>
      </c>
      <c r="AD486" s="4"/>
    </row>
    <row r="487" spans="1:30" ht="75" customHeight="1">
      <c r="A487" s="12" t="s">
        <v>711</v>
      </c>
      <c r="B487" s="12" t="s">
        <v>747</v>
      </c>
      <c r="C487" s="24" t="s">
        <v>24</v>
      </c>
      <c r="D487" s="24" t="s">
        <v>27</v>
      </c>
      <c r="E487" s="12" t="s">
        <v>136</v>
      </c>
      <c r="F487" s="20" t="s">
        <v>167</v>
      </c>
      <c r="G487" s="20" t="s">
        <v>2308</v>
      </c>
      <c r="H487" s="20" t="s">
        <v>531</v>
      </c>
      <c r="I487" s="4"/>
      <c r="J487" s="22" t="s">
        <v>2308</v>
      </c>
      <c r="K487" s="22" t="s">
        <v>2308</v>
      </c>
      <c r="L487" s="22" t="s">
        <v>2308</v>
      </c>
      <c r="M487" s="22" t="s">
        <v>2308</v>
      </c>
      <c r="N487" s="22" t="s">
        <v>2308</v>
      </c>
      <c r="O487" s="22" t="s">
        <v>2308</v>
      </c>
      <c r="P487" s="22" t="s">
        <v>2308</v>
      </c>
      <c r="Q487" s="22" t="s">
        <v>2308</v>
      </c>
      <c r="R487" s="22" t="s">
        <v>2308</v>
      </c>
      <c r="S487" s="22" t="s">
        <v>2308</v>
      </c>
      <c r="T487" s="22" t="s">
        <v>2308</v>
      </c>
      <c r="U487" s="22" t="s">
        <v>2308</v>
      </c>
      <c r="V487" s="22" t="s">
        <v>2308</v>
      </c>
      <c r="W487" s="22" t="s">
        <v>2308</v>
      </c>
      <c r="X487" s="22" t="s">
        <v>2308</v>
      </c>
      <c r="Y487" s="22" t="s">
        <v>2308</v>
      </c>
      <c r="Z487" s="4" t="s">
        <v>2308</v>
      </c>
      <c r="AA487" s="4" t="s">
        <v>2308</v>
      </c>
      <c r="AB487" s="4" t="s">
        <v>2308</v>
      </c>
      <c r="AC487" s="4" t="s">
        <v>728</v>
      </c>
      <c r="AD487" s="5" t="s">
        <v>2054</v>
      </c>
    </row>
    <row r="488" spans="1:30" ht="65" customHeight="1">
      <c r="A488" s="12" t="s">
        <v>711</v>
      </c>
      <c r="B488" s="4" t="s">
        <v>727</v>
      </c>
      <c r="C488" s="24" t="s">
        <v>24</v>
      </c>
      <c r="D488" s="24" t="s">
        <v>27</v>
      </c>
      <c r="E488" s="20" t="s">
        <v>404</v>
      </c>
      <c r="F488" s="20" t="s">
        <v>28</v>
      </c>
      <c r="G488" s="20" t="s">
        <v>2308</v>
      </c>
      <c r="H488" s="20" t="s">
        <v>532</v>
      </c>
      <c r="I488" s="4"/>
      <c r="J488" s="22">
        <v>0</v>
      </c>
      <c r="K488" s="22">
        <v>0</v>
      </c>
      <c r="L488" s="22">
        <v>0</v>
      </c>
      <c r="M488" s="22">
        <v>0</v>
      </c>
      <c r="N488" s="22">
        <v>0</v>
      </c>
      <c r="O488" s="22">
        <v>0</v>
      </c>
      <c r="P488" s="22">
        <v>0</v>
      </c>
      <c r="Q488" s="22" t="s">
        <v>2308</v>
      </c>
      <c r="R488" s="22" t="s">
        <v>2308</v>
      </c>
      <c r="S488" s="22">
        <v>0</v>
      </c>
      <c r="T488" s="22">
        <v>0</v>
      </c>
      <c r="U488" s="22">
        <v>0</v>
      </c>
      <c r="V488" s="22">
        <v>0</v>
      </c>
      <c r="W488" s="22">
        <v>0</v>
      </c>
      <c r="X488" s="22">
        <v>0</v>
      </c>
      <c r="Y488" s="80" t="s">
        <v>2308</v>
      </c>
      <c r="Z488" s="4" t="s">
        <v>2308</v>
      </c>
      <c r="AA488" s="4" t="s">
        <v>2308</v>
      </c>
      <c r="AB488" s="4" t="s">
        <v>2308</v>
      </c>
      <c r="AC488" s="4" t="s">
        <v>756</v>
      </c>
      <c r="AD488" s="4"/>
    </row>
    <row r="489" spans="1:30" ht="64" customHeight="1">
      <c r="A489" s="12" t="s">
        <v>715</v>
      </c>
      <c r="B489" s="4" t="s">
        <v>724</v>
      </c>
      <c r="C489" s="24" t="s">
        <v>24</v>
      </c>
      <c r="D489" s="24" t="s">
        <v>27</v>
      </c>
      <c r="E489" s="12" t="s">
        <v>136</v>
      </c>
      <c r="F489" s="20" t="s">
        <v>167</v>
      </c>
      <c r="G489" s="20" t="s">
        <v>2308</v>
      </c>
      <c r="H489" s="20" t="s">
        <v>531</v>
      </c>
      <c r="I489" s="4"/>
      <c r="J489" s="22" t="s">
        <v>2308</v>
      </c>
      <c r="K489" s="22" t="s">
        <v>2308</v>
      </c>
      <c r="L489" s="22" t="s">
        <v>2308</v>
      </c>
      <c r="M489" s="22" t="s">
        <v>2308</v>
      </c>
      <c r="N489" s="22" t="s">
        <v>2308</v>
      </c>
      <c r="O489" s="22" t="s">
        <v>2308</v>
      </c>
      <c r="P489" s="22" t="s">
        <v>2308</v>
      </c>
      <c r="Q489" s="22" t="s">
        <v>2308</v>
      </c>
      <c r="R489" s="22" t="s">
        <v>2308</v>
      </c>
      <c r="S489" s="22" t="s">
        <v>2308</v>
      </c>
      <c r="T489" s="22" t="s">
        <v>2308</v>
      </c>
      <c r="U489" s="22" t="s">
        <v>2308</v>
      </c>
      <c r="V489" s="22" t="s">
        <v>2308</v>
      </c>
      <c r="W489" s="22" t="s">
        <v>2308</v>
      </c>
      <c r="X489" s="22" t="s">
        <v>2308</v>
      </c>
      <c r="Y489" s="22" t="s">
        <v>2308</v>
      </c>
      <c r="Z489" s="4" t="s">
        <v>2308</v>
      </c>
      <c r="AA489" s="4" t="s">
        <v>2308</v>
      </c>
      <c r="AB489" s="4" t="s">
        <v>2308</v>
      </c>
      <c r="AC489" s="4" t="s">
        <v>728</v>
      </c>
      <c r="AD489" s="5" t="s">
        <v>2054</v>
      </c>
    </row>
    <row r="490" spans="1:30" ht="60" customHeight="1">
      <c r="A490" s="12" t="s">
        <v>715</v>
      </c>
      <c r="B490" s="4" t="s">
        <v>725</v>
      </c>
      <c r="C490" s="24" t="s">
        <v>24</v>
      </c>
      <c r="D490" s="24" t="s">
        <v>27</v>
      </c>
      <c r="E490" s="20" t="s">
        <v>404</v>
      </c>
      <c r="F490" s="20" t="s">
        <v>28</v>
      </c>
      <c r="G490" s="20" t="s">
        <v>2308</v>
      </c>
      <c r="H490" s="20" t="s">
        <v>532</v>
      </c>
      <c r="I490" s="4"/>
      <c r="J490" s="22">
        <v>0</v>
      </c>
      <c r="K490" s="22">
        <v>0</v>
      </c>
      <c r="L490" s="22">
        <v>0</v>
      </c>
      <c r="M490" s="22">
        <v>0</v>
      </c>
      <c r="N490" s="22">
        <v>0</v>
      </c>
      <c r="O490" s="22">
        <v>0</v>
      </c>
      <c r="P490" s="22">
        <v>0</v>
      </c>
      <c r="Q490" s="22" t="s">
        <v>2308</v>
      </c>
      <c r="R490" s="22" t="s">
        <v>2308</v>
      </c>
      <c r="S490" s="22">
        <v>0</v>
      </c>
      <c r="T490" s="22">
        <v>0</v>
      </c>
      <c r="U490" s="22">
        <v>0</v>
      </c>
      <c r="V490" s="22">
        <v>0</v>
      </c>
      <c r="W490" s="22">
        <v>0</v>
      </c>
      <c r="X490" s="22">
        <v>0</v>
      </c>
      <c r="Y490" s="80" t="s">
        <v>2308</v>
      </c>
      <c r="Z490" s="4" t="s">
        <v>2308</v>
      </c>
      <c r="AA490" s="4" t="s">
        <v>2308</v>
      </c>
      <c r="AB490" s="4" t="s">
        <v>2308</v>
      </c>
      <c r="AC490" s="4" t="s">
        <v>756</v>
      </c>
      <c r="AD490" s="4"/>
    </row>
    <row r="491" spans="1:30" ht="78.5" customHeight="1">
      <c r="A491" s="12" t="s">
        <v>716</v>
      </c>
      <c r="B491" s="12" t="s">
        <v>746</v>
      </c>
      <c r="C491" s="24" t="s">
        <v>24</v>
      </c>
      <c r="D491" s="24" t="s">
        <v>27</v>
      </c>
      <c r="E491" s="12" t="s">
        <v>136</v>
      </c>
      <c r="F491" s="20" t="s">
        <v>167</v>
      </c>
      <c r="G491" s="20" t="s">
        <v>2308</v>
      </c>
      <c r="H491" s="4" t="s">
        <v>531</v>
      </c>
      <c r="I491" s="4"/>
      <c r="J491" s="22" t="s">
        <v>2308</v>
      </c>
      <c r="K491" s="22" t="s">
        <v>2308</v>
      </c>
      <c r="L491" s="22" t="s">
        <v>2308</v>
      </c>
      <c r="M491" s="22" t="s">
        <v>2308</v>
      </c>
      <c r="N491" s="22" t="s">
        <v>2308</v>
      </c>
      <c r="O491" s="22" t="s">
        <v>2308</v>
      </c>
      <c r="P491" s="22" t="s">
        <v>2308</v>
      </c>
      <c r="Q491" s="22" t="s">
        <v>2308</v>
      </c>
      <c r="R491" s="22" t="s">
        <v>2308</v>
      </c>
      <c r="S491" s="22" t="s">
        <v>2308</v>
      </c>
      <c r="T491" s="22" t="s">
        <v>2308</v>
      </c>
      <c r="U491" s="22" t="s">
        <v>2308</v>
      </c>
      <c r="V491" s="22" t="s">
        <v>2308</v>
      </c>
      <c r="W491" s="22" t="s">
        <v>2308</v>
      </c>
      <c r="X491" s="22" t="s">
        <v>2308</v>
      </c>
      <c r="Y491" s="22" t="s">
        <v>2308</v>
      </c>
      <c r="Z491" s="4" t="s">
        <v>2308</v>
      </c>
      <c r="AA491" s="4" t="s">
        <v>2308</v>
      </c>
      <c r="AB491" s="4" t="s">
        <v>2308</v>
      </c>
      <c r="AC491" s="4" t="s">
        <v>728</v>
      </c>
      <c r="AD491" s="5" t="s">
        <v>2054</v>
      </c>
    </row>
    <row r="492" spans="1:30" ht="57" customHeight="1">
      <c r="A492" s="12" t="s">
        <v>716</v>
      </c>
      <c r="B492" s="4" t="s">
        <v>726</v>
      </c>
      <c r="C492" s="24" t="s">
        <v>24</v>
      </c>
      <c r="D492" s="24" t="s">
        <v>27</v>
      </c>
      <c r="E492" s="20" t="s">
        <v>404</v>
      </c>
      <c r="F492" s="20" t="s">
        <v>28</v>
      </c>
      <c r="G492" s="20" t="s">
        <v>2308</v>
      </c>
      <c r="H492" s="20" t="s">
        <v>532</v>
      </c>
      <c r="I492" s="4"/>
      <c r="J492" s="22">
        <v>0</v>
      </c>
      <c r="K492" s="22">
        <v>0</v>
      </c>
      <c r="L492" s="22">
        <v>0</v>
      </c>
      <c r="M492" s="22">
        <v>0</v>
      </c>
      <c r="N492" s="22">
        <v>0</v>
      </c>
      <c r="O492" s="22">
        <v>0</v>
      </c>
      <c r="P492" s="22">
        <v>0</v>
      </c>
      <c r="Q492" s="22" t="s">
        <v>2308</v>
      </c>
      <c r="R492" s="22" t="s">
        <v>2308</v>
      </c>
      <c r="S492" s="22">
        <v>0</v>
      </c>
      <c r="T492" s="22">
        <v>0</v>
      </c>
      <c r="U492" s="22">
        <v>0</v>
      </c>
      <c r="V492" s="22">
        <v>0</v>
      </c>
      <c r="W492" s="22">
        <v>0</v>
      </c>
      <c r="X492" s="22">
        <v>0</v>
      </c>
      <c r="Y492" s="80" t="s">
        <v>2308</v>
      </c>
      <c r="Z492" s="4" t="s">
        <v>2308</v>
      </c>
      <c r="AA492" s="4" t="s">
        <v>2308</v>
      </c>
      <c r="AB492" s="4" t="s">
        <v>2308</v>
      </c>
      <c r="AC492" s="4" t="s">
        <v>756</v>
      </c>
      <c r="AD492" s="4"/>
    </row>
    <row r="493" spans="1:30" ht="57" customHeight="1">
      <c r="A493" s="12" t="s">
        <v>2064</v>
      </c>
      <c r="B493" s="12" t="s">
        <v>2067</v>
      </c>
      <c r="C493" s="24" t="s">
        <v>24</v>
      </c>
      <c r="D493" s="24" t="s">
        <v>27</v>
      </c>
      <c r="E493" s="12" t="s">
        <v>136</v>
      </c>
      <c r="F493" s="20" t="s">
        <v>28</v>
      </c>
      <c r="G493" s="20" t="s">
        <v>2308</v>
      </c>
      <c r="H493" s="20" t="s">
        <v>531</v>
      </c>
      <c r="I493" s="4"/>
      <c r="J493" s="22" t="s">
        <v>2308</v>
      </c>
      <c r="K493" s="22" t="s">
        <v>2308</v>
      </c>
      <c r="L493" s="22" t="s">
        <v>2308</v>
      </c>
      <c r="M493" s="22" t="s">
        <v>2308</v>
      </c>
      <c r="N493" s="22" t="s">
        <v>2308</v>
      </c>
      <c r="O493" s="22" t="s">
        <v>2308</v>
      </c>
      <c r="P493" s="22" t="s">
        <v>2308</v>
      </c>
      <c r="Q493" s="22" t="s">
        <v>2308</v>
      </c>
      <c r="R493" s="22" t="s">
        <v>2308</v>
      </c>
      <c r="S493" s="22" t="s">
        <v>2308</v>
      </c>
      <c r="T493" s="22" t="s">
        <v>2308</v>
      </c>
      <c r="U493" s="22" t="s">
        <v>2308</v>
      </c>
      <c r="V493" s="22" t="s">
        <v>2308</v>
      </c>
      <c r="W493" s="22" t="s">
        <v>2308</v>
      </c>
      <c r="X493" s="22" t="s">
        <v>2308</v>
      </c>
      <c r="Y493" s="22">
        <v>3</v>
      </c>
      <c r="Z493" s="4" t="s">
        <v>2308</v>
      </c>
      <c r="AA493" s="4" t="s">
        <v>2308</v>
      </c>
      <c r="AB493" s="4" t="s">
        <v>2308</v>
      </c>
      <c r="AC493" s="5" t="s">
        <v>764</v>
      </c>
      <c r="AD493" s="5" t="s">
        <v>2053</v>
      </c>
    </row>
    <row r="494" spans="1:30" ht="57" customHeight="1">
      <c r="A494" s="12" t="s">
        <v>2064</v>
      </c>
      <c r="B494" s="12" t="s">
        <v>2068</v>
      </c>
      <c r="C494" s="24" t="s">
        <v>24</v>
      </c>
      <c r="D494" s="24" t="s">
        <v>27</v>
      </c>
      <c r="E494" s="20" t="s">
        <v>404</v>
      </c>
      <c r="F494" s="20" t="s">
        <v>28</v>
      </c>
      <c r="G494" s="20" t="s">
        <v>2308</v>
      </c>
      <c r="H494" s="20" t="s">
        <v>532</v>
      </c>
      <c r="I494" s="4"/>
      <c r="J494" s="22">
        <v>0</v>
      </c>
      <c r="K494" s="22">
        <v>0</v>
      </c>
      <c r="L494" s="22">
        <v>0</v>
      </c>
      <c r="M494" s="22">
        <v>0</v>
      </c>
      <c r="N494" s="22">
        <v>0</v>
      </c>
      <c r="O494" s="22">
        <v>0</v>
      </c>
      <c r="P494" s="22">
        <v>0</v>
      </c>
      <c r="Q494" s="22" t="s">
        <v>2308</v>
      </c>
      <c r="R494" s="22" t="s">
        <v>2308</v>
      </c>
      <c r="S494" s="22">
        <v>0</v>
      </c>
      <c r="T494" s="22">
        <v>0</v>
      </c>
      <c r="U494" s="22">
        <v>0</v>
      </c>
      <c r="V494" s="22">
        <v>0</v>
      </c>
      <c r="W494" s="22">
        <v>0</v>
      </c>
      <c r="X494" s="22">
        <v>0</v>
      </c>
      <c r="Y494" s="22" t="s">
        <v>2308</v>
      </c>
      <c r="Z494" s="4" t="s">
        <v>2308</v>
      </c>
      <c r="AA494" s="4" t="s">
        <v>2308</v>
      </c>
      <c r="AB494" s="4" t="s">
        <v>2308</v>
      </c>
      <c r="AC494" s="5" t="s">
        <v>720</v>
      </c>
      <c r="AD494" s="4"/>
    </row>
    <row r="495" spans="1:30" ht="57" customHeight="1">
      <c r="A495" s="12" t="s">
        <v>2065</v>
      </c>
      <c r="B495" s="12" t="s">
        <v>2069</v>
      </c>
      <c r="C495" s="24" t="s">
        <v>24</v>
      </c>
      <c r="D495" s="24" t="s">
        <v>27</v>
      </c>
      <c r="E495" s="12" t="s">
        <v>136</v>
      </c>
      <c r="F495" s="20" t="s">
        <v>28</v>
      </c>
      <c r="G495" s="20" t="s">
        <v>2308</v>
      </c>
      <c r="H495" s="20" t="s">
        <v>531</v>
      </c>
      <c r="I495" s="4"/>
      <c r="J495" s="22" t="s">
        <v>2308</v>
      </c>
      <c r="K495" s="22" t="s">
        <v>2308</v>
      </c>
      <c r="L495" s="22" t="s">
        <v>2308</v>
      </c>
      <c r="M495" s="22" t="s">
        <v>2308</v>
      </c>
      <c r="N495" s="22" t="s">
        <v>2308</v>
      </c>
      <c r="O495" s="22" t="s">
        <v>2308</v>
      </c>
      <c r="P495" s="22" t="s">
        <v>2308</v>
      </c>
      <c r="Q495" s="22" t="s">
        <v>2308</v>
      </c>
      <c r="R495" s="22" t="s">
        <v>2308</v>
      </c>
      <c r="S495" s="22" t="s">
        <v>2308</v>
      </c>
      <c r="T495" s="22" t="s">
        <v>2308</v>
      </c>
      <c r="U495" s="22" t="s">
        <v>2308</v>
      </c>
      <c r="V495" s="22" t="s">
        <v>2308</v>
      </c>
      <c r="W495" s="22" t="s">
        <v>2308</v>
      </c>
      <c r="X495" s="22" t="s">
        <v>2308</v>
      </c>
      <c r="Y495" s="22">
        <v>3</v>
      </c>
      <c r="Z495" s="4" t="s">
        <v>2308</v>
      </c>
      <c r="AA495" s="4" t="s">
        <v>2308</v>
      </c>
      <c r="AB495" s="4" t="s">
        <v>2308</v>
      </c>
      <c r="AC495" s="5" t="s">
        <v>764</v>
      </c>
      <c r="AD495" s="5" t="s">
        <v>2053</v>
      </c>
    </row>
    <row r="496" spans="1:30" ht="57" customHeight="1">
      <c r="A496" s="12" t="s">
        <v>2065</v>
      </c>
      <c r="B496" s="12" t="s">
        <v>2070</v>
      </c>
      <c r="C496" s="24" t="s">
        <v>24</v>
      </c>
      <c r="D496" s="24" t="s">
        <v>27</v>
      </c>
      <c r="E496" s="20" t="s">
        <v>404</v>
      </c>
      <c r="F496" s="20" t="s">
        <v>28</v>
      </c>
      <c r="G496" s="20" t="s">
        <v>2308</v>
      </c>
      <c r="H496" s="20" t="s">
        <v>532</v>
      </c>
      <c r="I496" s="4"/>
      <c r="J496" s="22">
        <v>0</v>
      </c>
      <c r="K496" s="22">
        <v>0</v>
      </c>
      <c r="L496" s="22">
        <v>0</v>
      </c>
      <c r="M496" s="22">
        <v>0</v>
      </c>
      <c r="N496" s="22">
        <v>0</v>
      </c>
      <c r="O496" s="22">
        <v>0</v>
      </c>
      <c r="P496" s="22">
        <v>0</v>
      </c>
      <c r="Q496" s="22" t="s">
        <v>2308</v>
      </c>
      <c r="R496" s="22" t="s">
        <v>2308</v>
      </c>
      <c r="S496" s="22">
        <v>0</v>
      </c>
      <c r="T496" s="22">
        <v>0</v>
      </c>
      <c r="U496" s="22">
        <v>0</v>
      </c>
      <c r="V496" s="22">
        <v>0</v>
      </c>
      <c r="W496" s="22">
        <v>0</v>
      </c>
      <c r="X496" s="22">
        <v>0</v>
      </c>
      <c r="Y496" s="22" t="s">
        <v>2308</v>
      </c>
      <c r="Z496" s="4" t="s">
        <v>2308</v>
      </c>
      <c r="AA496" s="4" t="s">
        <v>2308</v>
      </c>
      <c r="AB496" s="4" t="s">
        <v>2308</v>
      </c>
      <c r="AC496" s="5" t="s">
        <v>720</v>
      </c>
      <c r="AD496" s="4"/>
    </row>
    <row r="497" spans="1:30" ht="57" customHeight="1">
      <c r="A497" s="12" t="s">
        <v>2066</v>
      </c>
      <c r="B497" s="12" t="s">
        <v>2071</v>
      </c>
      <c r="C497" s="24" t="s">
        <v>24</v>
      </c>
      <c r="D497" s="24" t="s">
        <v>27</v>
      </c>
      <c r="E497" s="12" t="s">
        <v>136</v>
      </c>
      <c r="F497" s="20" t="s">
        <v>28</v>
      </c>
      <c r="G497" s="20" t="s">
        <v>2308</v>
      </c>
      <c r="H497" s="20" t="s">
        <v>531</v>
      </c>
      <c r="I497" s="4"/>
      <c r="J497" s="22" t="s">
        <v>2308</v>
      </c>
      <c r="K497" s="22" t="s">
        <v>2308</v>
      </c>
      <c r="L497" s="22" t="s">
        <v>2308</v>
      </c>
      <c r="M497" s="22" t="s">
        <v>2308</v>
      </c>
      <c r="N497" s="22" t="s">
        <v>2308</v>
      </c>
      <c r="O497" s="22" t="s">
        <v>2308</v>
      </c>
      <c r="P497" s="22" t="s">
        <v>2308</v>
      </c>
      <c r="Q497" s="22" t="s">
        <v>2308</v>
      </c>
      <c r="R497" s="22" t="s">
        <v>2308</v>
      </c>
      <c r="S497" s="22" t="s">
        <v>2308</v>
      </c>
      <c r="T497" s="22" t="s">
        <v>2308</v>
      </c>
      <c r="U497" s="22" t="s">
        <v>2308</v>
      </c>
      <c r="V497" s="22" t="s">
        <v>2308</v>
      </c>
      <c r="W497" s="22" t="s">
        <v>2308</v>
      </c>
      <c r="X497" s="22" t="s">
        <v>2308</v>
      </c>
      <c r="Y497" s="22">
        <v>3</v>
      </c>
      <c r="Z497" s="4" t="s">
        <v>2308</v>
      </c>
      <c r="AA497" s="4" t="s">
        <v>2308</v>
      </c>
      <c r="AB497" s="4" t="s">
        <v>2308</v>
      </c>
      <c r="AC497" s="5" t="s">
        <v>764</v>
      </c>
      <c r="AD497" s="5" t="s">
        <v>2053</v>
      </c>
    </row>
    <row r="498" spans="1:30" ht="57" customHeight="1">
      <c r="A498" s="12" t="s">
        <v>2066</v>
      </c>
      <c r="B498" s="12" t="s">
        <v>2072</v>
      </c>
      <c r="C498" s="24" t="s">
        <v>24</v>
      </c>
      <c r="D498" s="24" t="s">
        <v>27</v>
      </c>
      <c r="E498" s="20" t="s">
        <v>404</v>
      </c>
      <c r="F498" s="20" t="s">
        <v>28</v>
      </c>
      <c r="G498" s="20" t="s">
        <v>2308</v>
      </c>
      <c r="H498" s="20" t="s">
        <v>532</v>
      </c>
      <c r="I498" s="4"/>
      <c r="J498" s="22">
        <v>0</v>
      </c>
      <c r="K498" s="22">
        <v>0</v>
      </c>
      <c r="L498" s="22">
        <v>0</v>
      </c>
      <c r="M498" s="22">
        <v>0</v>
      </c>
      <c r="N498" s="22">
        <v>0</v>
      </c>
      <c r="O498" s="22">
        <v>0</v>
      </c>
      <c r="P498" s="22">
        <v>0</v>
      </c>
      <c r="Q498" s="22" t="s">
        <v>2308</v>
      </c>
      <c r="R498" s="22" t="s">
        <v>2308</v>
      </c>
      <c r="S498" s="22">
        <v>0</v>
      </c>
      <c r="T498" s="22">
        <v>0</v>
      </c>
      <c r="U498" s="22">
        <v>0</v>
      </c>
      <c r="V498" s="22">
        <v>0</v>
      </c>
      <c r="W498" s="22">
        <v>0</v>
      </c>
      <c r="X498" s="22">
        <v>0</v>
      </c>
      <c r="Y498" s="22" t="s">
        <v>2308</v>
      </c>
      <c r="Z498" s="4" t="s">
        <v>2308</v>
      </c>
      <c r="AA498" s="4" t="s">
        <v>2308</v>
      </c>
      <c r="AB498" s="4" t="s">
        <v>2308</v>
      </c>
      <c r="AC498" s="5" t="s">
        <v>720</v>
      </c>
      <c r="AD498" s="4"/>
    </row>
    <row r="499" spans="1:30" ht="39.5" customHeight="1">
      <c r="A499" s="4" t="s">
        <v>735</v>
      </c>
      <c r="B499" s="4" t="s">
        <v>744</v>
      </c>
      <c r="C499" s="24" t="s">
        <v>24</v>
      </c>
      <c r="D499" s="24" t="s">
        <v>27</v>
      </c>
      <c r="E499" s="12" t="s">
        <v>136</v>
      </c>
      <c r="F499" s="20" t="s">
        <v>167</v>
      </c>
      <c r="G499" s="20" t="s">
        <v>2308</v>
      </c>
      <c r="H499" s="4" t="s">
        <v>531</v>
      </c>
      <c r="I499" s="4"/>
      <c r="J499" s="22" t="s">
        <v>2308</v>
      </c>
      <c r="K499" s="22" t="s">
        <v>2308</v>
      </c>
      <c r="L499" s="22" t="s">
        <v>2308</v>
      </c>
      <c r="M499" s="22" t="s">
        <v>2308</v>
      </c>
      <c r="N499" s="22" t="s">
        <v>2308</v>
      </c>
      <c r="O499" s="22" t="s">
        <v>2308</v>
      </c>
      <c r="P499" s="22" t="s">
        <v>2308</v>
      </c>
      <c r="Q499" s="22" t="s">
        <v>2308</v>
      </c>
      <c r="R499" s="22" t="s">
        <v>2308</v>
      </c>
      <c r="S499" s="22" t="s">
        <v>2308</v>
      </c>
      <c r="T499" s="22" t="s">
        <v>2308</v>
      </c>
      <c r="U499" s="22" t="s">
        <v>2308</v>
      </c>
      <c r="V499" s="22" t="s">
        <v>2308</v>
      </c>
      <c r="W499" s="22" t="s">
        <v>2308</v>
      </c>
      <c r="X499" s="22" t="s">
        <v>2308</v>
      </c>
      <c r="Y499" s="22" t="s">
        <v>2308</v>
      </c>
      <c r="Z499" s="4" t="s">
        <v>2308</v>
      </c>
      <c r="AA499" s="4" t="s">
        <v>2308</v>
      </c>
      <c r="AB499" s="4" t="s">
        <v>2308</v>
      </c>
      <c r="AC499" s="4" t="s">
        <v>728</v>
      </c>
      <c r="AD499" s="4" t="s">
        <v>2076</v>
      </c>
    </row>
    <row r="500" spans="1:30" ht="39.5" customHeight="1">
      <c r="A500" s="4" t="s">
        <v>735</v>
      </c>
      <c r="B500" s="4" t="s">
        <v>745</v>
      </c>
      <c r="C500" s="24" t="s">
        <v>24</v>
      </c>
      <c r="D500" s="24" t="s">
        <v>27</v>
      </c>
      <c r="E500" s="20" t="s">
        <v>404</v>
      </c>
      <c r="F500" s="20" t="s">
        <v>28</v>
      </c>
      <c r="G500" s="20" t="s">
        <v>2308</v>
      </c>
      <c r="H500" s="20" t="s">
        <v>532</v>
      </c>
      <c r="I500" s="4"/>
      <c r="J500" s="22">
        <v>0</v>
      </c>
      <c r="K500" s="22">
        <v>0</v>
      </c>
      <c r="L500" s="22">
        <v>0</v>
      </c>
      <c r="M500" s="22">
        <v>0</v>
      </c>
      <c r="N500" s="22">
        <v>0</v>
      </c>
      <c r="O500" s="22">
        <v>0</v>
      </c>
      <c r="P500" s="22">
        <v>0</v>
      </c>
      <c r="Q500" s="22" t="s">
        <v>2308</v>
      </c>
      <c r="R500" s="22" t="s">
        <v>2308</v>
      </c>
      <c r="S500" s="22">
        <v>0</v>
      </c>
      <c r="T500" s="22">
        <v>0</v>
      </c>
      <c r="U500" s="22">
        <v>0</v>
      </c>
      <c r="V500" s="22">
        <v>0</v>
      </c>
      <c r="W500" s="22">
        <v>0</v>
      </c>
      <c r="X500" s="22">
        <v>0</v>
      </c>
      <c r="Y500" s="22" t="s">
        <v>2308</v>
      </c>
      <c r="Z500" s="4" t="s">
        <v>2308</v>
      </c>
      <c r="AA500" s="4" t="s">
        <v>2308</v>
      </c>
      <c r="AB500" s="4" t="s">
        <v>2308</v>
      </c>
      <c r="AC500" s="4" t="s">
        <v>756</v>
      </c>
      <c r="AD500" s="4"/>
    </row>
    <row r="501" spans="1:30" ht="38" customHeight="1">
      <c r="A501" s="4" t="s">
        <v>736</v>
      </c>
      <c r="B501" s="4" t="s">
        <v>748</v>
      </c>
      <c r="C501" s="24" t="s">
        <v>24</v>
      </c>
      <c r="D501" s="24" t="s">
        <v>27</v>
      </c>
      <c r="E501" s="12" t="s">
        <v>136</v>
      </c>
      <c r="F501" s="20" t="s">
        <v>167</v>
      </c>
      <c r="G501" s="20" t="s">
        <v>2308</v>
      </c>
      <c r="H501" s="4" t="s">
        <v>531</v>
      </c>
      <c r="I501" s="4"/>
      <c r="J501" s="22" t="s">
        <v>2308</v>
      </c>
      <c r="K501" s="22" t="s">
        <v>2308</v>
      </c>
      <c r="L501" s="22" t="s">
        <v>2308</v>
      </c>
      <c r="M501" s="22" t="s">
        <v>2308</v>
      </c>
      <c r="N501" s="22" t="s">
        <v>2308</v>
      </c>
      <c r="O501" s="22" t="s">
        <v>2308</v>
      </c>
      <c r="P501" s="22" t="s">
        <v>2308</v>
      </c>
      <c r="Q501" s="22" t="s">
        <v>2308</v>
      </c>
      <c r="R501" s="22" t="s">
        <v>2308</v>
      </c>
      <c r="S501" s="22" t="s">
        <v>2308</v>
      </c>
      <c r="T501" s="22" t="s">
        <v>2308</v>
      </c>
      <c r="U501" s="22" t="s">
        <v>2308</v>
      </c>
      <c r="V501" s="22" t="s">
        <v>2308</v>
      </c>
      <c r="W501" s="22" t="s">
        <v>2308</v>
      </c>
      <c r="X501" s="22" t="s">
        <v>2308</v>
      </c>
      <c r="Y501" s="22" t="s">
        <v>2308</v>
      </c>
      <c r="Z501" s="4" t="s">
        <v>2308</v>
      </c>
      <c r="AA501" s="4" t="s">
        <v>2308</v>
      </c>
      <c r="AB501" s="4" t="s">
        <v>2308</v>
      </c>
      <c r="AC501" s="4" t="s">
        <v>728</v>
      </c>
      <c r="AD501" s="4" t="s">
        <v>2076</v>
      </c>
    </row>
    <row r="502" spans="1:30" ht="38" customHeight="1">
      <c r="A502" s="4" t="s">
        <v>736</v>
      </c>
      <c r="B502" s="4" t="s">
        <v>749</v>
      </c>
      <c r="C502" s="24" t="s">
        <v>24</v>
      </c>
      <c r="D502" s="24" t="s">
        <v>27</v>
      </c>
      <c r="E502" s="20" t="s">
        <v>404</v>
      </c>
      <c r="F502" s="20" t="s">
        <v>28</v>
      </c>
      <c r="G502" s="20" t="s">
        <v>2308</v>
      </c>
      <c r="H502" s="20" t="s">
        <v>532</v>
      </c>
      <c r="I502" s="4"/>
      <c r="J502" s="22">
        <v>0</v>
      </c>
      <c r="K502" s="22">
        <v>0</v>
      </c>
      <c r="L502" s="22">
        <v>0</v>
      </c>
      <c r="M502" s="22">
        <v>0</v>
      </c>
      <c r="N502" s="22">
        <v>0</v>
      </c>
      <c r="O502" s="22">
        <v>0</v>
      </c>
      <c r="P502" s="22">
        <v>0</v>
      </c>
      <c r="Q502" s="22" t="s">
        <v>2308</v>
      </c>
      <c r="R502" s="22" t="s">
        <v>2308</v>
      </c>
      <c r="S502" s="22">
        <v>0</v>
      </c>
      <c r="T502" s="22">
        <v>0</v>
      </c>
      <c r="U502" s="22">
        <v>0</v>
      </c>
      <c r="V502" s="22">
        <v>0</v>
      </c>
      <c r="W502" s="22">
        <v>0</v>
      </c>
      <c r="X502" s="22">
        <v>0</v>
      </c>
      <c r="Y502" s="22" t="s">
        <v>2308</v>
      </c>
      <c r="Z502" s="4" t="s">
        <v>2308</v>
      </c>
      <c r="AA502" s="4" t="s">
        <v>2308</v>
      </c>
      <c r="AB502" s="4" t="s">
        <v>2308</v>
      </c>
      <c r="AC502" s="4" t="s">
        <v>756</v>
      </c>
      <c r="AD502" s="4"/>
    </row>
    <row r="503" spans="1:30" ht="37" customHeight="1">
      <c r="A503" s="4" t="s">
        <v>737</v>
      </c>
      <c r="B503" s="4" t="s">
        <v>750</v>
      </c>
      <c r="C503" s="24" t="s">
        <v>24</v>
      </c>
      <c r="D503" s="24" t="s">
        <v>27</v>
      </c>
      <c r="E503" s="12" t="s">
        <v>136</v>
      </c>
      <c r="F503" s="20" t="s">
        <v>167</v>
      </c>
      <c r="G503" s="20" t="s">
        <v>2308</v>
      </c>
      <c r="H503" s="4" t="s">
        <v>531</v>
      </c>
      <c r="I503" s="4"/>
      <c r="J503" s="22" t="s">
        <v>2308</v>
      </c>
      <c r="K503" s="22" t="s">
        <v>2308</v>
      </c>
      <c r="L503" s="22" t="s">
        <v>2308</v>
      </c>
      <c r="M503" s="22" t="s">
        <v>2308</v>
      </c>
      <c r="N503" s="22" t="s">
        <v>2308</v>
      </c>
      <c r="O503" s="22" t="s">
        <v>2308</v>
      </c>
      <c r="P503" s="22" t="s">
        <v>2308</v>
      </c>
      <c r="Q503" s="22" t="s">
        <v>2308</v>
      </c>
      <c r="R503" s="22" t="s">
        <v>2308</v>
      </c>
      <c r="S503" s="22" t="s">
        <v>2308</v>
      </c>
      <c r="T503" s="22" t="s">
        <v>2308</v>
      </c>
      <c r="U503" s="22" t="s">
        <v>2308</v>
      </c>
      <c r="V503" s="22" t="s">
        <v>2308</v>
      </c>
      <c r="W503" s="22" t="s">
        <v>2308</v>
      </c>
      <c r="X503" s="22" t="s">
        <v>2308</v>
      </c>
      <c r="Y503" s="22" t="s">
        <v>2308</v>
      </c>
      <c r="Z503" s="4" t="s">
        <v>2308</v>
      </c>
      <c r="AA503" s="4" t="s">
        <v>2308</v>
      </c>
      <c r="AB503" s="4" t="s">
        <v>2308</v>
      </c>
      <c r="AC503" s="4" t="s">
        <v>728</v>
      </c>
      <c r="AD503" s="4" t="s">
        <v>2076</v>
      </c>
    </row>
    <row r="504" spans="1:30" ht="38.5" customHeight="1">
      <c r="A504" s="4" t="s">
        <v>737</v>
      </c>
      <c r="B504" s="4" t="s">
        <v>755</v>
      </c>
      <c r="C504" s="24" t="s">
        <v>24</v>
      </c>
      <c r="D504" s="24" t="s">
        <v>27</v>
      </c>
      <c r="E504" s="20" t="s">
        <v>404</v>
      </c>
      <c r="F504" s="20" t="s">
        <v>28</v>
      </c>
      <c r="G504" s="20" t="s">
        <v>2308</v>
      </c>
      <c r="H504" s="20" t="s">
        <v>532</v>
      </c>
      <c r="I504" s="4"/>
      <c r="J504" s="22">
        <v>0</v>
      </c>
      <c r="K504" s="22">
        <v>0</v>
      </c>
      <c r="L504" s="22">
        <v>0</v>
      </c>
      <c r="M504" s="22">
        <v>0</v>
      </c>
      <c r="N504" s="22">
        <v>0</v>
      </c>
      <c r="O504" s="22">
        <v>0</v>
      </c>
      <c r="P504" s="22">
        <v>0</v>
      </c>
      <c r="Q504" s="22" t="s">
        <v>2308</v>
      </c>
      <c r="R504" s="22" t="s">
        <v>2308</v>
      </c>
      <c r="S504" s="22">
        <v>0</v>
      </c>
      <c r="T504" s="22">
        <v>0</v>
      </c>
      <c r="U504" s="22">
        <v>0</v>
      </c>
      <c r="V504" s="22">
        <v>0</v>
      </c>
      <c r="W504" s="22">
        <v>0</v>
      </c>
      <c r="X504" s="22">
        <v>0</v>
      </c>
      <c r="Y504" s="22" t="s">
        <v>2308</v>
      </c>
      <c r="Z504" s="4" t="s">
        <v>2308</v>
      </c>
      <c r="AA504" s="4" t="s">
        <v>2308</v>
      </c>
      <c r="AB504" s="4" t="s">
        <v>2308</v>
      </c>
      <c r="AC504" s="4" t="s">
        <v>756</v>
      </c>
      <c r="AD504" s="4"/>
    </row>
    <row r="505" spans="1:30" ht="36" customHeight="1">
      <c r="A505" s="12" t="s">
        <v>757</v>
      </c>
      <c r="B505" s="12" t="s">
        <v>760</v>
      </c>
      <c r="C505" s="24" t="s">
        <v>24</v>
      </c>
      <c r="D505" s="24" t="s">
        <v>27</v>
      </c>
      <c r="E505" s="12" t="s">
        <v>136</v>
      </c>
      <c r="F505" s="20" t="s">
        <v>167</v>
      </c>
      <c r="G505" s="20" t="s">
        <v>2308</v>
      </c>
      <c r="H505" s="4" t="s">
        <v>531</v>
      </c>
      <c r="I505" s="4"/>
      <c r="J505" s="22" t="s">
        <v>2308</v>
      </c>
      <c r="K505" s="22" t="s">
        <v>2308</v>
      </c>
      <c r="L505" s="22" t="s">
        <v>2308</v>
      </c>
      <c r="M505" s="22" t="s">
        <v>2308</v>
      </c>
      <c r="N505" s="22" t="s">
        <v>2308</v>
      </c>
      <c r="O505" s="22" t="s">
        <v>2308</v>
      </c>
      <c r="P505" s="22" t="s">
        <v>2308</v>
      </c>
      <c r="Q505" s="22" t="s">
        <v>2308</v>
      </c>
      <c r="R505" s="22" t="s">
        <v>2308</v>
      </c>
      <c r="S505" s="22" t="s">
        <v>2308</v>
      </c>
      <c r="T505" s="22" t="s">
        <v>2308</v>
      </c>
      <c r="U505" s="22" t="s">
        <v>2308</v>
      </c>
      <c r="V505" s="22" t="s">
        <v>2308</v>
      </c>
      <c r="W505" s="22" t="s">
        <v>2308</v>
      </c>
      <c r="X505" s="22" t="s">
        <v>2308</v>
      </c>
      <c r="Y505" s="4">
        <v>10</v>
      </c>
      <c r="Z505" s="4" t="s">
        <v>2308</v>
      </c>
      <c r="AA505" s="4" t="s">
        <v>2308</v>
      </c>
      <c r="AB505" s="4" t="s">
        <v>2308</v>
      </c>
      <c r="AC505" s="20" t="s">
        <v>761</v>
      </c>
      <c r="AD505" s="4"/>
    </row>
    <row r="506" spans="1:30" ht="48.5" customHeight="1">
      <c r="A506" s="12" t="s">
        <v>763</v>
      </c>
      <c r="B506" s="12" t="s">
        <v>773</v>
      </c>
      <c r="C506" s="24" t="s">
        <v>24</v>
      </c>
      <c r="D506" s="24" t="s">
        <v>27</v>
      </c>
      <c r="E506" s="12" t="s">
        <v>136</v>
      </c>
      <c r="F506" s="20" t="s">
        <v>167</v>
      </c>
      <c r="G506" s="20" t="s">
        <v>2308</v>
      </c>
      <c r="H506" s="4" t="s">
        <v>531</v>
      </c>
      <c r="I506" s="4"/>
      <c r="J506" s="4" t="s">
        <v>2308</v>
      </c>
      <c r="K506" s="4" t="s">
        <v>2308</v>
      </c>
      <c r="L506" s="4" t="s">
        <v>2308</v>
      </c>
      <c r="M506" s="4" t="s">
        <v>2308</v>
      </c>
      <c r="N506" s="4" t="s">
        <v>2308</v>
      </c>
      <c r="O506" s="4" t="s">
        <v>2308</v>
      </c>
      <c r="P506" s="4" t="s">
        <v>2308</v>
      </c>
      <c r="Q506" s="22" t="s">
        <v>2308</v>
      </c>
      <c r="R506" s="22" t="s">
        <v>2308</v>
      </c>
      <c r="S506" s="4" t="s">
        <v>2308</v>
      </c>
      <c r="T506" s="4" t="s">
        <v>2308</v>
      </c>
      <c r="U506" s="4" t="s">
        <v>2308</v>
      </c>
      <c r="V506" s="4" t="s">
        <v>2308</v>
      </c>
      <c r="W506" s="4" t="s">
        <v>2308</v>
      </c>
      <c r="X506" s="4" t="s">
        <v>2308</v>
      </c>
      <c r="Y506" s="4" t="s">
        <v>2308</v>
      </c>
      <c r="Z506" s="4" t="s">
        <v>2308</v>
      </c>
      <c r="AA506" s="4" t="s">
        <v>2308</v>
      </c>
      <c r="AB506" s="4" t="s">
        <v>2308</v>
      </c>
      <c r="AC506" s="4"/>
      <c r="AD506" s="5" t="s">
        <v>5077</v>
      </c>
    </row>
    <row r="507" spans="1:30" ht="52.5" customHeight="1">
      <c r="A507" s="12" t="s">
        <v>766</v>
      </c>
      <c r="B507" s="12" t="s">
        <v>774</v>
      </c>
      <c r="C507" s="24" t="s">
        <v>24</v>
      </c>
      <c r="D507" s="24" t="s">
        <v>27</v>
      </c>
      <c r="E507" s="12" t="s">
        <v>136</v>
      </c>
      <c r="F507" s="20" t="s">
        <v>167</v>
      </c>
      <c r="G507" s="20" t="s">
        <v>2308</v>
      </c>
      <c r="H507" s="4" t="s">
        <v>531</v>
      </c>
      <c r="I507" s="4"/>
      <c r="J507" s="4" t="s">
        <v>2308</v>
      </c>
      <c r="K507" s="4" t="s">
        <v>2308</v>
      </c>
      <c r="L507" s="4" t="s">
        <v>2308</v>
      </c>
      <c r="M507" s="4" t="s">
        <v>2308</v>
      </c>
      <c r="N507" s="4" t="s">
        <v>2308</v>
      </c>
      <c r="O507" s="4" t="s">
        <v>2308</v>
      </c>
      <c r="P507" s="4" t="s">
        <v>2308</v>
      </c>
      <c r="Q507" s="22" t="s">
        <v>2308</v>
      </c>
      <c r="R507" s="22" t="s">
        <v>2308</v>
      </c>
      <c r="S507" s="4" t="s">
        <v>2308</v>
      </c>
      <c r="T507" s="4" t="s">
        <v>2308</v>
      </c>
      <c r="U507" s="4" t="s">
        <v>2308</v>
      </c>
      <c r="V507" s="4" t="s">
        <v>2308</v>
      </c>
      <c r="W507" s="4" t="s">
        <v>2308</v>
      </c>
      <c r="X507" s="4" t="s">
        <v>2308</v>
      </c>
      <c r="Y507" s="4" t="s">
        <v>2308</v>
      </c>
      <c r="Z507" s="4" t="s">
        <v>2308</v>
      </c>
      <c r="AA507" s="4" t="s">
        <v>2308</v>
      </c>
      <c r="AB507" s="4" t="s">
        <v>2308</v>
      </c>
      <c r="AC507" s="4"/>
      <c r="AD507" s="5" t="s">
        <v>5078</v>
      </c>
    </row>
    <row r="508" spans="1:30" ht="61" customHeight="1">
      <c r="A508" s="12" t="s">
        <v>767</v>
      </c>
      <c r="B508" s="12" t="s">
        <v>775</v>
      </c>
      <c r="C508" s="24" t="s">
        <v>24</v>
      </c>
      <c r="D508" s="24" t="s">
        <v>27</v>
      </c>
      <c r="E508" s="12" t="s">
        <v>136</v>
      </c>
      <c r="F508" s="20" t="s">
        <v>167</v>
      </c>
      <c r="G508" s="20" t="s">
        <v>2308</v>
      </c>
      <c r="H508" s="4" t="s">
        <v>531</v>
      </c>
      <c r="I508" s="4"/>
      <c r="J508" s="4" t="s">
        <v>2308</v>
      </c>
      <c r="K508" s="4" t="s">
        <v>2308</v>
      </c>
      <c r="L508" s="4" t="s">
        <v>2308</v>
      </c>
      <c r="M508" s="4" t="s">
        <v>2308</v>
      </c>
      <c r="N508" s="4" t="s">
        <v>2308</v>
      </c>
      <c r="O508" s="4" t="s">
        <v>2308</v>
      </c>
      <c r="P508" s="4" t="s">
        <v>2308</v>
      </c>
      <c r="Q508" s="22" t="s">
        <v>2308</v>
      </c>
      <c r="R508" s="22" t="s">
        <v>2308</v>
      </c>
      <c r="S508" s="4" t="s">
        <v>2308</v>
      </c>
      <c r="T508" s="4" t="s">
        <v>2308</v>
      </c>
      <c r="U508" s="4" t="s">
        <v>2308</v>
      </c>
      <c r="V508" s="4" t="s">
        <v>2308</v>
      </c>
      <c r="W508" s="4" t="s">
        <v>2308</v>
      </c>
      <c r="X508" s="4" t="s">
        <v>2308</v>
      </c>
      <c r="Y508" s="4" t="s">
        <v>2308</v>
      </c>
      <c r="Z508" s="4" t="s">
        <v>2308</v>
      </c>
      <c r="AA508" s="4" t="s">
        <v>2308</v>
      </c>
      <c r="AB508" s="4" t="s">
        <v>2308</v>
      </c>
      <c r="AC508" s="4"/>
      <c r="AD508" s="5" t="s">
        <v>5078</v>
      </c>
    </row>
    <row r="509" spans="1:30" ht="43.5" customHeight="1">
      <c r="A509" s="12" t="s">
        <v>765</v>
      </c>
      <c r="B509" s="12" t="s">
        <v>783</v>
      </c>
      <c r="C509" s="24" t="s">
        <v>24</v>
      </c>
      <c r="D509" s="24" t="s">
        <v>27</v>
      </c>
      <c r="E509" s="12" t="s">
        <v>136</v>
      </c>
      <c r="F509" s="20" t="s">
        <v>167</v>
      </c>
      <c r="G509" s="20" t="s">
        <v>2308</v>
      </c>
      <c r="H509" s="4" t="s">
        <v>531</v>
      </c>
      <c r="I509" s="4"/>
      <c r="J509" s="22" t="s">
        <v>2308</v>
      </c>
      <c r="K509" s="22" t="s">
        <v>2308</v>
      </c>
      <c r="L509" s="22" t="s">
        <v>2308</v>
      </c>
      <c r="M509" s="22" t="s">
        <v>2308</v>
      </c>
      <c r="N509" s="22" t="s">
        <v>2308</v>
      </c>
      <c r="O509" s="22" t="s">
        <v>2308</v>
      </c>
      <c r="P509" s="22" t="s">
        <v>2308</v>
      </c>
      <c r="Q509" s="22" t="s">
        <v>2308</v>
      </c>
      <c r="R509" s="22" t="s">
        <v>2308</v>
      </c>
      <c r="S509" s="22" t="s">
        <v>2308</v>
      </c>
      <c r="T509" s="22" t="s">
        <v>2308</v>
      </c>
      <c r="U509" s="22" t="s">
        <v>2308</v>
      </c>
      <c r="V509" s="22" t="s">
        <v>2308</v>
      </c>
      <c r="W509" s="22" t="s">
        <v>2308</v>
      </c>
      <c r="X509" s="22" t="s">
        <v>2308</v>
      </c>
      <c r="Y509" s="22">
        <v>10</v>
      </c>
      <c r="Z509" s="4" t="s">
        <v>86</v>
      </c>
      <c r="AA509" s="4" t="s">
        <v>86</v>
      </c>
      <c r="AB509" s="4" t="s">
        <v>64</v>
      </c>
      <c r="AC509" s="4" t="s">
        <v>645</v>
      </c>
      <c r="AD509" s="20" t="s">
        <v>782</v>
      </c>
    </row>
    <row r="510" spans="1:30" ht="58.5" customHeight="1">
      <c r="A510" s="12" t="s">
        <v>784</v>
      </c>
      <c r="B510" s="12" t="s">
        <v>792</v>
      </c>
      <c r="C510" s="24" t="s">
        <v>24</v>
      </c>
      <c r="D510" s="24" t="s">
        <v>27</v>
      </c>
      <c r="E510" s="12" t="s">
        <v>136</v>
      </c>
      <c r="F510" s="20" t="s">
        <v>167</v>
      </c>
      <c r="G510" s="20" t="s">
        <v>2308</v>
      </c>
      <c r="H510" s="4" t="s">
        <v>531</v>
      </c>
      <c r="I510" s="4"/>
      <c r="J510" s="4" t="s">
        <v>2308</v>
      </c>
      <c r="K510" s="4" t="s">
        <v>2308</v>
      </c>
      <c r="L510" s="4" t="s">
        <v>2308</v>
      </c>
      <c r="M510" s="4" t="s">
        <v>2308</v>
      </c>
      <c r="N510" s="4" t="s">
        <v>2308</v>
      </c>
      <c r="O510" s="4" t="s">
        <v>2308</v>
      </c>
      <c r="P510" s="4" t="s">
        <v>2308</v>
      </c>
      <c r="Q510" s="22" t="s">
        <v>2308</v>
      </c>
      <c r="R510" s="22" t="s">
        <v>2308</v>
      </c>
      <c r="S510" s="4" t="s">
        <v>2308</v>
      </c>
      <c r="T510" s="4" t="s">
        <v>2308</v>
      </c>
      <c r="U510" s="4" t="s">
        <v>2308</v>
      </c>
      <c r="V510" s="4" t="s">
        <v>2308</v>
      </c>
      <c r="W510" s="4" t="s">
        <v>2308</v>
      </c>
      <c r="X510" s="4" t="s">
        <v>2308</v>
      </c>
      <c r="Y510" s="4" t="s">
        <v>2308</v>
      </c>
      <c r="Z510" s="4" t="s">
        <v>2308</v>
      </c>
      <c r="AA510" s="4" t="s">
        <v>2308</v>
      </c>
      <c r="AB510" s="4" t="s">
        <v>2308</v>
      </c>
      <c r="AC510" s="4"/>
      <c r="AD510" s="5" t="s">
        <v>2081</v>
      </c>
    </row>
    <row r="511" spans="1:30" ht="33.5" customHeight="1">
      <c r="A511" s="12" t="s">
        <v>784</v>
      </c>
      <c r="B511" s="12" t="s">
        <v>794</v>
      </c>
      <c r="C511" s="24" t="s">
        <v>24</v>
      </c>
      <c r="D511" s="24" t="s">
        <v>27</v>
      </c>
      <c r="E511" s="20" t="s">
        <v>404</v>
      </c>
      <c r="F511" s="20" t="s">
        <v>28</v>
      </c>
      <c r="G511" s="20" t="s">
        <v>2308</v>
      </c>
      <c r="H511" s="4" t="s">
        <v>532</v>
      </c>
      <c r="I511" s="4"/>
      <c r="J511" s="22">
        <v>0</v>
      </c>
      <c r="K511" s="22">
        <v>0</v>
      </c>
      <c r="L511" s="22">
        <v>0</v>
      </c>
      <c r="M511" s="22">
        <v>0</v>
      </c>
      <c r="N511" s="22">
        <v>0</v>
      </c>
      <c r="O511" s="22">
        <v>0</v>
      </c>
      <c r="P511" s="22">
        <v>0</v>
      </c>
      <c r="Q511" s="22" t="s">
        <v>2308</v>
      </c>
      <c r="R511" s="22" t="s">
        <v>2308</v>
      </c>
      <c r="S511" s="22">
        <v>0</v>
      </c>
      <c r="T511" s="22">
        <v>0</v>
      </c>
      <c r="U511" s="22">
        <v>0</v>
      </c>
      <c r="V511" s="22">
        <v>0</v>
      </c>
      <c r="W511" s="22">
        <v>0</v>
      </c>
      <c r="X511" s="22">
        <v>0</v>
      </c>
      <c r="Y511" s="22" t="s">
        <v>2308</v>
      </c>
      <c r="Z511" s="4" t="s">
        <v>2308</v>
      </c>
      <c r="AA511" s="4" t="s">
        <v>2308</v>
      </c>
      <c r="AB511" s="4" t="s">
        <v>2308</v>
      </c>
      <c r="AC511" s="4" t="s">
        <v>756</v>
      </c>
      <c r="AD511" s="5"/>
    </row>
    <row r="512" spans="1:30" ht="57.5" customHeight="1">
      <c r="A512" s="12" t="s">
        <v>785</v>
      </c>
      <c r="B512" s="12" t="s">
        <v>793</v>
      </c>
      <c r="C512" s="24" t="s">
        <v>24</v>
      </c>
      <c r="D512" s="24" t="s">
        <v>27</v>
      </c>
      <c r="E512" s="12" t="s">
        <v>136</v>
      </c>
      <c r="F512" s="20" t="s">
        <v>167</v>
      </c>
      <c r="G512" s="20" t="s">
        <v>2308</v>
      </c>
      <c r="H512" s="4" t="s">
        <v>531</v>
      </c>
      <c r="I512" s="4"/>
      <c r="J512" s="22" t="s">
        <v>2308</v>
      </c>
      <c r="K512" s="22" t="s">
        <v>2308</v>
      </c>
      <c r="L512" s="22" t="s">
        <v>2308</v>
      </c>
      <c r="M512" s="22" t="s">
        <v>2308</v>
      </c>
      <c r="N512" s="22" t="s">
        <v>2308</v>
      </c>
      <c r="O512" s="22" t="s">
        <v>2308</v>
      </c>
      <c r="P512" s="22" t="s">
        <v>2308</v>
      </c>
      <c r="Q512" s="22" t="s">
        <v>2308</v>
      </c>
      <c r="R512" s="22" t="s">
        <v>2308</v>
      </c>
      <c r="S512" s="22" t="s">
        <v>2308</v>
      </c>
      <c r="T512" s="22" t="s">
        <v>2308</v>
      </c>
      <c r="U512" s="22" t="s">
        <v>2308</v>
      </c>
      <c r="V512" s="22" t="s">
        <v>2308</v>
      </c>
      <c r="W512" s="22" t="s">
        <v>2308</v>
      </c>
      <c r="X512" s="22" t="s">
        <v>2308</v>
      </c>
      <c r="Y512" s="22" t="s">
        <v>2308</v>
      </c>
      <c r="Z512" s="22" t="s">
        <v>2308</v>
      </c>
      <c r="AA512" s="22" t="s">
        <v>2308</v>
      </c>
      <c r="AB512" s="4" t="s">
        <v>2308</v>
      </c>
      <c r="AC512" s="4"/>
      <c r="AD512" s="5" t="s">
        <v>2081</v>
      </c>
    </row>
    <row r="513" spans="1:30" ht="51" customHeight="1">
      <c r="A513" s="12" t="s">
        <v>785</v>
      </c>
      <c r="B513" s="12" t="s">
        <v>795</v>
      </c>
      <c r="C513" s="24" t="s">
        <v>24</v>
      </c>
      <c r="D513" s="24" t="s">
        <v>27</v>
      </c>
      <c r="E513" s="20" t="s">
        <v>404</v>
      </c>
      <c r="F513" s="20" t="s">
        <v>28</v>
      </c>
      <c r="G513" s="20" t="s">
        <v>2308</v>
      </c>
      <c r="H513" s="4" t="s">
        <v>532</v>
      </c>
      <c r="I513" s="4"/>
      <c r="J513" s="22">
        <v>0</v>
      </c>
      <c r="K513" s="22">
        <v>0</v>
      </c>
      <c r="L513" s="22">
        <v>0</v>
      </c>
      <c r="M513" s="22">
        <v>0</v>
      </c>
      <c r="N513" s="22">
        <v>0</v>
      </c>
      <c r="O513" s="22">
        <v>0</v>
      </c>
      <c r="P513" s="22">
        <v>0</v>
      </c>
      <c r="Q513" s="22" t="s">
        <v>2308</v>
      </c>
      <c r="R513" s="22" t="s">
        <v>2308</v>
      </c>
      <c r="S513" s="22">
        <v>0</v>
      </c>
      <c r="T513" s="22">
        <v>0</v>
      </c>
      <c r="U513" s="22">
        <v>0</v>
      </c>
      <c r="V513" s="22">
        <v>0</v>
      </c>
      <c r="W513" s="22">
        <v>0</v>
      </c>
      <c r="X513" s="22">
        <v>0</v>
      </c>
      <c r="Y513" s="22" t="s">
        <v>2308</v>
      </c>
      <c r="Z513" s="4" t="s">
        <v>2308</v>
      </c>
      <c r="AA513" s="4" t="s">
        <v>2308</v>
      </c>
      <c r="AB513" s="4" t="s">
        <v>2308</v>
      </c>
      <c r="AC513" s="4" t="s">
        <v>756</v>
      </c>
      <c r="AD513" s="5"/>
    </row>
    <row r="514" spans="1:30" ht="59.5" customHeight="1">
      <c r="A514" s="12" t="s">
        <v>796</v>
      </c>
      <c r="B514" s="12" t="s">
        <v>802</v>
      </c>
      <c r="C514" s="24" t="s">
        <v>24</v>
      </c>
      <c r="D514" s="24" t="s">
        <v>27</v>
      </c>
      <c r="E514" s="12" t="s">
        <v>136</v>
      </c>
      <c r="F514" s="20" t="s">
        <v>167</v>
      </c>
      <c r="G514" s="20" t="s">
        <v>2308</v>
      </c>
      <c r="H514" s="4" t="s">
        <v>531</v>
      </c>
      <c r="I514" s="4">
        <v>1993</v>
      </c>
      <c r="J514" s="22" t="s">
        <v>2308</v>
      </c>
      <c r="K514" s="22" t="s">
        <v>2308</v>
      </c>
      <c r="L514" s="22" t="s">
        <v>2308</v>
      </c>
      <c r="M514" s="22" t="s">
        <v>2308</v>
      </c>
      <c r="N514" s="22" t="s">
        <v>2308</v>
      </c>
      <c r="O514" s="80" t="s">
        <v>2308</v>
      </c>
      <c r="P514" s="80" t="s">
        <v>2308</v>
      </c>
      <c r="Q514" s="22" t="s">
        <v>2308</v>
      </c>
      <c r="R514" s="22" t="s">
        <v>2308</v>
      </c>
      <c r="S514" s="80" t="s">
        <v>2308</v>
      </c>
      <c r="T514" s="22" t="s">
        <v>2308</v>
      </c>
      <c r="U514" s="22" t="s">
        <v>2308</v>
      </c>
      <c r="V514" s="22" t="s">
        <v>2308</v>
      </c>
      <c r="W514" s="22" t="s">
        <v>2308</v>
      </c>
      <c r="X514" s="22" t="s">
        <v>2308</v>
      </c>
      <c r="Y514" s="22">
        <v>6.6</v>
      </c>
      <c r="Z514" s="4" t="s">
        <v>2308</v>
      </c>
      <c r="AA514" s="4" t="s">
        <v>2308</v>
      </c>
      <c r="AB514" s="4" t="s">
        <v>2308</v>
      </c>
      <c r="AC514" s="4"/>
      <c r="AD514" s="5" t="s">
        <v>2083</v>
      </c>
    </row>
    <row r="515" spans="1:30" ht="46" customHeight="1">
      <c r="A515" s="12" t="s">
        <v>796</v>
      </c>
      <c r="B515" s="12" t="s">
        <v>803</v>
      </c>
      <c r="C515" s="24" t="s">
        <v>24</v>
      </c>
      <c r="D515" s="24" t="s">
        <v>27</v>
      </c>
      <c r="E515" s="12" t="s">
        <v>136</v>
      </c>
      <c r="F515" s="20" t="s">
        <v>167</v>
      </c>
      <c r="G515" s="20" t="s">
        <v>2308</v>
      </c>
      <c r="H515" s="4" t="s">
        <v>531</v>
      </c>
      <c r="I515" s="4">
        <v>1994</v>
      </c>
      <c r="J515" s="22" t="s">
        <v>2308</v>
      </c>
      <c r="K515" s="22" t="s">
        <v>2308</v>
      </c>
      <c r="L515" s="22" t="s">
        <v>2308</v>
      </c>
      <c r="M515" s="22" t="s">
        <v>2308</v>
      </c>
      <c r="N515" s="22" t="s">
        <v>2308</v>
      </c>
      <c r="O515" s="80" t="s">
        <v>2308</v>
      </c>
      <c r="P515" s="80" t="s">
        <v>2308</v>
      </c>
      <c r="Q515" s="22" t="s">
        <v>2308</v>
      </c>
      <c r="R515" s="22" t="s">
        <v>2308</v>
      </c>
      <c r="S515" s="80" t="s">
        <v>2308</v>
      </c>
      <c r="T515" s="22" t="s">
        <v>2308</v>
      </c>
      <c r="U515" s="22" t="s">
        <v>2308</v>
      </c>
      <c r="V515" s="22" t="s">
        <v>2308</v>
      </c>
      <c r="W515" s="22" t="s">
        <v>2308</v>
      </c>
      <c r="X515" s="22" t="s">
        <v>2308</v>
      </c>
      <c r="Y515" s="22">
        <v>6.1</v>
      </c>
      <c r="Z515" s="4" t="s">
        <v>2308</v>
      </c>
      <c r="AA515" s="4" t="s">
        <v>2308</v>
      </c>
      <c r="AB515" s="4" t="s">
        <v>2308</v>
      </c>
      <c r="AC515" s="4"/>
      <c r="AD515" s="5" t="s">
        <v>2083</v>
      </c>
    </row>
    <row r="516" spans="1:30" ht="52" customHeight="1">
      <c r="A516" s="12" t="s">
        <v>796</v>
      </c>
      <c r="B516" s="12" t="s">
        <v>804</v>
      </c>
      <c r="C516" s="24" t="s">
        <v>24</v>
      </c>
      <c r="D516" s="24" t="s">
        <v>27</v>
      </c>
      <c r="E516" s="12" t="s">
        <v>136</v>
      </c>
      <c r="F516" s="20" t="s">
        <v>167</v>
      </c>
      <c r="G516" s="20" t="s">
        <v>2308</v>
      </c>
      <c r="H516" s="4" t="s">
        <v>531</v>
      </c>
      <c r="I516" s="4">
        <v>1995</v>
      </c>
      <c r="J516" s="22" t="s">
        <v>2308</v>
      </c>
      <c r="K516" s="22" t="s">
        <v>2308</v>
      </c>
      <c r="L516" s="22" t="s">
        <v>2308</v>
      </c>
      <c r="M516" s="22" t="s">
        <v>2308</v>
      </c>
      <c r="N516" s="22" t="s">
        <v>2308</v>
      </c>
      <c r="O516" s="80" t="s">
        <v>2308</v>
      </c>
      <c r="P516" s="80" t="s">
        <v>2308</v>
      </c>
      <c r="Q516" s="22" t="s">
        <v>2308</v>
      </c>
      <c r="R516" s="22" t="s">
        <v>2308</v>
      </c>
      <c r="S516" s="80" t="s">
        <v>2308</v>
      </c>
      <c r="T516" s="22" t="s">
        <v>2308</v>
      </c>
      <c r="U516" s="22" t="s">
        <v>2308</v>
      </c>
      <c r="V516" s="22" t="s">
        <v>2308</v>
      </c>
      <c r="W516" s="22" t="s">
        <v>2308</v>
      </c>
      <c r="X516" s="22" t="s">
        <v>2308</v>
      </c>
      <c r="Y516" s="22">
        <v>7.9</v>
      </c>
      <c r="Z516" s="4" t="s">
        <v>2308</v>
      </c>
      <c r="AA516" s="4" t="s">
        <v>2308</v>
      </c>
      <c r="AB516" s="4" t="s">
        <v>2308</v>
      </c>
      <c r="AC516" s="4"/>
      <c r="AD516" s="5" t="s">
        <v>2083</v>
      </c>
    </row>
    <row r="517" spans="1:30" ht="53.5" customHeight="1">
      <c r="A517" s="12" t="s">
        <v>796</v>
      </c>
      <c r="B517" s="12" t="s">
        <v>805</v>
      </c>
      <c r="C517" s="24" t="s">
        <v>24</v>
      </c>
      <c r="D517" s="24" t="s">
        <v>27</v>
      </c>
      <c r="E517" s="12" t="s">
        <v>136</v>
      </c>
      <c r="F517" s="20" t="s">
        <v>167</v>
      </c>
      <c r="G517" s="20" t="s">
        <v>2308</v>
      </c>
      <c r="H517" s="4" t="s">
        <v>531</v>
      </c>
      <c r="I517" s="4">
        <v>1996</v>
      </c>
      <c r="J517" s="22" t="s">
        <v>2308</v>
      </c>
      <c r="K517" s="22" t="s">
        <v>2308</v>
      </c>
      <c r="L517" s="22" t="s">
        <v>2308</v>
      </c>
      <c r="M517" s="22" t="s">
        <v>2308</v>
      </c>
      <c r="N517" s="22" t="s">
        <v>2308</v>
      </c>
      <c r="O517" s="80" t="s">
        <v>2308</v>
      </c>
      <c r="P517" s="80" t="s">
        <v>2308</v>
      </c>
      <c r="Q517" s="22" t="s">
        <v>2308</v>
      </c>
      <c r="R517" s="22" t="s">
        <v>2308</v>
      </c>
      <c r="S517" s="80" t="s">
        <v>2308</v>
      </c>
      <c r="T517" s="22" t="s">
        <v>2308</v>
      </c>
      <c r="U517" s="22" t="s">
        <v>2308</v>
      </c>
      <c r="V517" s="22" t="s">
        <v>2308</v>
      </c>
      <c r="W517" s="22" t="s">
        <v>2308</v>
      </c>
      <c r="X517" s="22" t="s">
        <v>2308</v>
      </c>
      <c r="Y517" s="22">
        <v>6.8</v>
      </c>
      <c r="Z517" s="4" t="s">
        <v>2308</v>
      </c>
      <c r="AA517" s="4" t="s">
        <v>2308</v>
      </c>
      <c r="AB517" s="4" t="s">
        <v>2308</v>
      </c>
      <c r="AC517" s="4"/>
      <c r="AD517" s="5" t="s">
        <v>2083</v>
      </c>
    </row>
    <row r="518" spans="1:30" ht="50" customHeight="1">
      <c r="A518" s="12" t="s">
        <v>796</v>
      </c>
      <c r="B518" s="12" t="s">
        <v>806</v>
      </c>
      <c r="C518" s="24" t="s">
        <v>24</v>
      </c>
      <c r="D518" s="24" t="s">
        <v>27</v>
      </c>
      <c r="E518" s="20" t="s">
        <v>404</v>
      </c>
      <c r="F518" s="20" t="s">
        <v>28</v>
      </c>
      <c r="G518" s="20" t="s">
        <v>2308</v>
      </c>
      <c r="H518" s="4" t="s">
        <v>532</v>
      </c>
      <c r="I518" s="4"/>
      <c r="J518" s="22">
        <v>0</v>
      </c>
      <c r="K518" s="22">
        <v>0</v>
      </c>
      <c r="L518" s="22">
        <v>0</v>
      </c>
      <c r="M518" s="22">
        <v>0</v>
      </c>
      <c r="N518" s="22">
        <v>0</v>
      </c>
      <c r="O518" s="22">
        <v>0</v>
      </c>
      <c r="P518" s="22">
        <v>0</v>
      </c>
      <c r="Q518" s="22" t="s">
        <v>2308</v>
      </c>
      <c r="R518" s="22" t="s">
        <v>2308</v>
      </c>
      <c r="S518" s="22">
        <v>0</v>
      </c>
      <c r="T518" s="22">
        <v>0</v>
      </c>
      <c r="U518" s="22">
        <v>0</v>
      </c>
      <c r="V518" s="22">
        <v>0</v>
      </c>
      <c r="W518" s="22">
        <v>0</v>
      </c>
      <c r="X518" s="22">
        <v>0</v>
      </c>
      <c r="Y518" s="22" t="s">
        <v>2308</v>
      </c>
      <c r="Z518" s="4" t="s">
        <v>2308</v>
      </c>
      <c r="AA518" s="4" t="s">
        <v>2308</v>
      </c>
      <c r="AB518" s="4" t="s">
        <v>2308</v>
      </c>
      <c r="AC518" s="4" t="s">
        <v>756</v>
      </c>
      <c r="AD518" s="4"/>
    </row>
    <row r="519" spans="1:30" ht="53.5" customHeight="1">
      <c r="A519" s="12" t="s">
        <v>801</v>
      </c>
      <c r="B519" s="12" t="s">
        <v>807</v>
      </c>
      <c r="C519" s="24" t="s">
        <v>24</v>
      </c>
      <c r="D519" s="24" t="s">
        <v>27</v>
      </c>
      <c r="E519" s="12" t="s">
        <v>136</v>
      </c>
      <c r="F519" s="20" t="s">
        <v>167</v>
      </c>
      <c r="G519" s="20" t="s">
        <v>2308</v>
      </c>
      <c r="H519" s="4" t="s">
        <v>531</v>
      </c>
      <c r="I519" s="12">
        <v>1996</v>
      </c>
      <c r="J519" s="22" t="s">
        <v>2308</v>
      </c>
      <c r="K519" s="22" t="s">
        <v>2308</v>
      </c>
      <c r="L519" s="22" t="s">
        <v>2308</v>
      </c>
      <c r="M519" s="22" t="s">
        <v>2308</v>
      </c>
      <c r="N519" s="22" t="s">
        <v>2308</v>
      </c>
      <c r="O519" s="22" t="s">
        <v>2308</v>
      </c>
      <c r="P519" s="22" t="s">
        <v>2308</v>
      </c>
      <c r="Q519" s="22" t="s">
        <v>2308</v>
      </c>
      <c r="R519" s="22" t="s">
        <v>2308</v>
      </c>
      <c r="S519" s="22" t="s">
        <v>2308</v>
      </c>
      <c r="T519" s="22" t="s">
        <v>2308</v>
      </c>
      <c r="U519" s="22" t="s">
        <v>2308</v>
      </c>
      <c r="V519" s="80" t="s">
        <v>2308</v>
      </c>
      <c r="W519" s="80" t="s">
        <v>2308</v>
      </c>
      <c r="X519" s="22" t="s">
        <v>2308</v>
      </c>
      <c r="Y519" s="22">
        <v>9.8000000000000007</v>
      </c>
      <c r="Z519" s="4" t="s">
        <v>2308</v>
      </c>
      <c r="AA519" s="4" t="s">
        <v>2308</v>
      </c>
      <c r="AB519" s="4" t="s">
        <v>2308</v>
      </c>
      <c r="AC519" s="4"/>
      <c r="AD519" s="5" t="s">
        <v>2083</v>
      </c>
    </row>
    <row r="520" spans="1:30" ht="35" customHeight="1">
      <c r="A520" s="12" t="s">
        <v>801</v>
      </c>
      <c r="B520" s="12" t="s">
        <v>808</v>
      </c>
      <c r="C520" s="24" t="s">
        <v>24</v>
      </c>
      <c r="D520" s="24" t="s">
        <v>27</v>
      </c>
      <c r="E520" s="20" t="s">
        <v>404</v>
      </c>
      <c r="F520" s="20" t="s">
        <v>28</v>
      </c>
      <c r="G520" s="20" t="s">
        <v>2308</v>
      </c>
      <c r="H520" s="4" t="s">
        <v>532</v>
      </c>
      <c r="I520" s="4"/>
      <c r="J520" s="22">
        <v>0</v>
      </c>
      <c r="K520" s="22">
        <v>0</v>
      </c>
      <c r="L520" s="22">
        <v>0</v>
      </c>
      <c r="M520" s="22">
        <v>0</v>
      </c>
      <c r="N520" s="22">
        <v>0</v>
      </c>
      <c r="O520" s="22">
        <v>0</v>
      </c>
      <c r="P520" s="22">
        <v>0</v>
      </c>
      <c r="Q520" s="22" t="s">
        <v>2308</v>
      </c>
      <c r="R520" s="22" t="s">
        <v>2308</v>
      </c>
      <c r="S520" s="22">
        <v>0</v>
      </c>
      <c r="T520" s="22">
        <v>0</v>
      </c>
      <c r="U520" s="22">
        <v>0</v>
      </c>
      <c r="V520" s="22">
        <v>0</v>
      </c>
      <c r="W520" s="22">
        <v>0</v>
      </c>
      <c r="X520" s="22">
        <v>0</v>
      </c>
      <c r="Y520" s="22" t="s">
        <v>2308</v>
      </c>
      <c r="Z520" s="4" t="s">
        <v>2308</v>
      </c>
      <c r="AA520" s="4" t="s">
        <v>2308</v>
      </c>
      <c r="AB520" s="4" t="s">
        <v>2308</v>
      </c>
      <c r="AC520" s="4" t="s">
        <v>756</v>
      </c>
      <c r="AD520" s="4"/>
    </row>
    <row r="521" spans="1:30" ht="34.5" customHeight="1">
      <c r="A521" s="13" t="s">
        <v>809</v>
      </c>
      <c r="B521" s="12" t="s">
        <v>822</v>
      </c>
      <c r="C521" s="24" t="s">
        <v>24</v>
      </c>
      <c r="D521" s="24" t="s">
        <v>27</v>
      </c>
      <c r="E521" s="12" t="s">
        <v>136</v>
      </c>
      <c r="F521" s="20" t="s">
        <v>167</v>
      </c>
      <c r="G521" s="20" t="s">
        <v>2308</v>
      </c>
      <c r="H521" s="4" t="s">
        <v>531</v>
      </c>
      <c r="I521" s="4"/>
      <c r="J521" s="22" t="s">
        <v>2308</v>
      </c>
      <c r="K521" s="22" t="s">
        <v>2308</v>
      </c>
      <c r="L521" s="22" t="s">
        <v>2308</v>
      </c>
      <c r="M521" s="22" t="s">
        <v>2308</v>
      </c>
      <c r="N521" s="22" t="s">
        <v>2308</v>
      </c>
      <c r="O521" s="22" t="s">
        <v>2308</v>
      </c>
      <c r="P521" s="22" t="s">
        <v>2308</v>
      </c>
      <c r="Q521" s="22" t="s">
        <v>2308</v>
      </c>
      <c r="R521" s="22" t="s">
        <v>2308</v>
      </c>
      <c r="S521" s="22" t="s">
        <v>2308</v>
      </c>
      <c r="T521" s="22" t="s">
        <v>2308</v>
      </c>
      <c r="U521" s="22" t="s">
        <v>2308</v>
      </c>
      <c r="V521" s="22" t="s">
        <v>2308</v>
      </c>
      <c r="W521" s="22" t="s">
        <v>2308</v>
      </c>
      <c r="X521" s="22" t="s">
        <v>2308</v>
      </c>
      <c r="Y521" s="22" t="s">
        <v>2308</v>
      </c>
      <c r="Z521" s="4" t="s">
        <v>2308</v>
      </c>
      <c r="AA521" s="4" t="s">
        <v>2308</v>
      </c>
      <c r="AB521" s="4" t="s">
        <v>2308</v>
      </c>
      <c r="AC521" s="4"/>
      <c r="AD521" s="4" t="s">
        <v>728</v>
      </c>
    </row>
    <row r="522" spans="1:30" ht="75" customHeight="1">
      <c r="A522" s="12" t="s">
        <v>810</v>
      </c>
      <c r="B522" s="12" t="s">
        <v>823</v>
      </c>
      <c r="C522" s="24" t="s">
        <v>24</v>
      </c>
      <c r="D522" s="24" t="s">
        <v>27</v>
      </c>
      <c r="E522" s="5" t="s">
        <v>403</v>
      </c>
      <c r="F522" s="20" t="s">
        <v>28</v>
      </c>
      <c r="G522" s="20" t="s">
        <v>2308</v>
      </c>
      <c r="H522" s="4" t="s">
        <v>532</v>
      </c>
      <c r="I522" s="4"/>
      <c r="J522" s="22">
        <v>0</v>
      </c>
      <c r="K522" s="22">
        <v>0</v>
      </c>
      <c r="L522" s="22">
        <v>0</v>
      </c>
      <c r="M522" s="22">
        <v>0</v>
      </c>
      <c r="N522" s="22">
        <v>0</v>
      </c>
      <c r="O522" s="22">
        <v>0</v>
      </c>
      <c r="P522" s="22">
        <v>0</v>
      </c>
      <c r="Q522" s="22" t="s">
        <v>2308</v>
      </c>
      <c r="R522" s="22" t="s">
        <v>2308</v>
      </c>
      <c r="S522" s="22">
        <v>0</v>
      </c>
      <c r="T522" s="22">
        <v>0</v>
      </c>
      <c r="U522" s="22">
        <v>0</v>
      </c>
      <c r="V522" s="22">
        <v>0</v>
      </c>
      <c r="W522" s="22">
        <v>0</v>
      </c>
      <c r="X522" s="22">
        <v>0</v>
      </c>
      <c r="Y522" s="22" t="s">
        <v>2308</v>
      </c>
      <c r="Z522" s="4" t="s">
        <v>2308</v>
      </c>
      <c r="AA522" s="4" t="s">
        <v>2308</v>
      </c>
      <c r="AB522" s="4" t="s">
        <v>2308</v>
      </c>
      <c r="AC522" s="5" t="s">
        <v>828</v>
      </c>
      <c r="AD522" s="4"/>
    </row>
    <row r="523" spans="1:30" ht="76" customHeight="1">
      <c r="A523" s="12" t="s">
        <v>811</v>
      </c>
      <c r="B523" s="12" t="s">
        <v>824</v>
      </c>
      <c r="C523" s="24" t="s">
        <v>24</v>
      </c>
      <c r="D523" s="24" t="s">
        <v>27</v>
      </c>
      <c r="E523" s="5" t="s">
        <v>403</v>
      </c>
      <c r="F523" s="20" t="s">
        <v>28</v>
      </c>
      <c r="G523" s="20" t="s">
        <v>2308</v>
      </c>
      <c r="H523" s="4" t="s">
        <v>532</v>
      </c>
      <c r="I523" s="4"/>
      <c r="J523" s="22">
        <v>0</v>
      </c>
      <c r="K523" s="22">
        <v>0</v>
      </c>
      <c r="L523" s="22">
        <v>0</v>
      </c>
      <c r="M523" s="22">
        <v>0</v>
      </c>
      <c r="N523" s="22">
        <v>0</v>
      </c>
      <c r="O523" s="22">
        <v>0</v>
      </c>
      <c r="P523" s="22">
        <v>0</v>
      </c>
      <c r="Q523" s="22" t="s">
        <v>2308</v>
      </c>
      <c r="R523" s="22" t="s">
        <v>2308</v>
      </c>
      <c r="S523" s="22">
        <v>0</v>
      </c>
      <c r="T523" s="22">
        <v>0</v>
      </c>
      <c r="U523" s="22">
        <v>0</v>
      </c>
      <c r="V523" s="22">
        <v>0</v>
      </c>
      <c r="W523" s="22">
        <v>0</v>
      </c>
      <c r="X523" s="22">
        <v>0</v>
      </c>
      <c r="Y523" s="22" t="s">
        <v>2308</v>
      </c>
      <c r="Z523" s="4" t="s">
        <v>2308</v>
      </c>
      <c r="AA523" s="4" t="s">
        <v>2308</v>
      </c>
      <c r="AB523" s="4" t="s">
        <v>2308</v>
      </c>
      <c r="AC523" s="5" t="s">
        <v>828</v>
      </c>
      <c r="AD523" s="4"/>
    </row>
    <row r="524" spans="1:30" ht="27" customHeight="1">
      <c r="A524" s="12" t="s">
        <v>812</v>
      </c>
      <c r="B524" s="12" t="s">
        <v>825</v>
      </c>
      <c r="C524" s="24" t="s">
        <v>24</v>
      </c>
      <c r="D524" s="24" t="s">
        <v>27</v>
      </c>
      <c r="E524" s="12" t="s">
        <v>136</v>
      </c>
      <c r="F524" s="20" t="s">
        <v>167</v>
      </c>
      <c r="G524" s="20" t="s">
        <v>2308</v>
      </c>
      <c r="H524" s="4" t="s">
        <v>531</v>
      </c>
      <c r="I524" s="4"/>
      <c r="J524" s="22" t="s">
        <v>2308</v>
      </c>
      <c r="K524" s="22" t="s">
        <v>2308</v>
      </c>
      <c r="L524" s="22" t="s">
        <v>2308</v>
      </c>
      <c r="M524" s="22" t="s">
        <v>2308</v>
      </c>
      <c r="N524" s="22" t="s">
        <v>2308</v>
      </c>
      <c r="O524" s="22" t="s">
        <v>2308</v>
      </c>
      <c r="P524" s="22" t="s">
        <v>2308</v>
      </c>
      <c r="Q524" s="22" t="s">
        <v>2308</v>
      </c>
      <c r="R524" s="22" t="s">
        <v>2308</v>
      </c>
      <c r="S524" s="22" t="s">
        <v>2308</v>
      </c>
      <c r="T524" s="22" t="s">
        <v>2308</v>
      </c>
      <c r="U524" s="22" t="s">
        <v>2308</v>
      </c>
      <c r="V524" s="22" t="s">
        <v>2308</v>
      </c>
      <c r="W524" s="22" t="s">
        <v>2308</v>
      </c>
      <c r="X524" s="22" t="s">
        <v>2308</v>
      </c>
      <c r="Y524" s="22">
        <v>12</v>
      </c>
      <c r="Z524" s="4" t="s">
        <v>2308</v>
      </c>
      <c r="AA524" s="4" t="s">
        <v>2308</v>
      </c>
      <c r="AB524" s="4" t="s">
        <v>2308</v>
      </c>
      <c r="AC524" s="4"/>
      <c r="AD524" s="4" t="s">
        <v>2087</v>
      </c>
    </row>
    <row r="525" spans="1:30" ht="24.5" customHeight="1">
      <c r="A525" s="12" t="s">
        <v>813</v>
      </c>
      <c r="B525" s="12" t="s">
        <v>826</v>
      </c>
      <c r="C525" s="24" t="s">
        <v>24</v>
      </c>
      <c r="D525" s="24" t="s">
        <v>27</v>
      </c>
      <c r="E525" s="12" t="s">
        <v>136</v>
      </c>
      <c r="F525" s="20" t="s">
        <v>167</v>
      </c>
      <c r="G525" s="20" t="s">
        <v>2308</v>
      </c>
      <c r="H525" s="4" t="s">
        <v>531</v>
      </c>
      <c r="I525" s="4"/>
      <c r="J525" s="22" t="s">
        <v>2308</v>
      </c>
      <c r="K525" s="22" t="s">
        <v>2308</v>
      </c>
      <c r="L525" s="22" t="s">
        <v>2308</v>
      </c>
      <c r="M525" s="22" t="s">
        <v>2308</v>
      </c>
      <c r="N525" s="22" t="s">
        <v>2308</v>
      </c>
      <c r="O525" s="22" t="s">
        <v>2308</v>
      </c>
      <c r="P525" s="22" t="s">
        <v>2308</v>
      </c>
      <c r="Q525" s="22" t="s">
        <v>2308</v>
      </c>
      <c r="R525" s="22" t="s">
        <v>2308</v>
      </c>
      <c r="S525" s="22" t="s">
        <v>2308</v>
      </c>
      <c r="T525" s="22" t="s">
        <v>2308</v>
      </c>
      <c r="U525" s="22" t="s">
        <v>2308</v>
      </c>
      <c r="V525" s="22" t="s">
        <v>2308</v>
      </c>
      <c r="W525" s="22" t="s">
        <v>2308</v>
      </c>
      <c r="X525" s="22" t="s">
        <v>2308</v>
      </c>
      <c r="Y525" s="22" t="s">
        <v>2308</v>
      </c>
      <c r="Z525" s="4" t="s">
        <v>2308</v>
      </c>
      <c r="AA525" s="4" t="s">
        <v>2308</v>
      </c>
      <c r="AB525" s="4" t="s">
        <v>2308</v>
      </c>
      <c r="AC525" s="4"/>
      <c r="AD525" s="4" t="s">
        <v>2088</v>
      </c>
    </row>
    <row r="526" spans="1:30" ht="27" customHeight="1">
      <c r="A526" s="12" t="s">
        <v>814</v>
      </c>
      <c r="B526" s="12" t="s">
        <v>827</v>
      </c>
      <c r="C526" s="24" t="s">
        <v>24</v>
      </c>
      <c r="D526" s="24" t="s">
        <v>27</v>
      </c>
      <c r="E526" s="12" t="s">
        <v>136</v>
      </c>
      <c r="F526" s="20" t="s">
        <v>167</v>
      </c>
      <c r="G526" s="20" t="s">
        <v>2308</v>
      </c>
      <c r="H526" s="4" t="s">
        <v>531</v>
      </c>
      <c r="I526" s="4"/>
      <c r="J526" s="22" t="s">
        <v>2308</v>
      </c>
      <c r="K526" s="22" t="s">
        <v>2308</v>
      </c>
      <c r="L526" s="22" t="s">
        <v>2308</v>
      </c>
      <c r="M526" s="22" t="s">
        <v>2308</v>
      </c>
      <c r="N526" s="22" t="s">
        <v>2308</v>
      </c>
      <c r="O526" s="22" t="s">
        <v>2308</v>
      </c>
      <c r="P526" s="22" t="s">
        <v>2308</v>
      </c>
      <c r="Q526" s="22" t="s">
        <v>2308</v>
      </c>
      <c r="R526" s="22" t="s">
        <v>2308</v>
      </c>
      <c r="S526" s="22" t="s">
        <v>2308</v>
      </c>
      <c r="T526" s="22" t="s">
        <v>2308</v>
      </c>
      <c r="U526" s="22" t="s">
        <v>2308</v>
      </c>
      <c r="V526" s="22" t="s">
        <v>2308</v>
      </c>
      <c r="W526" s="22" t="s">
        <v>2308</v>
      </c>
      <c r="X526" s="22" t="s">
        <v>2308</v>
      </c>
      <c r="Y526" s="22" t="s">
        <v>2308</v>
      </c>
      <c r="Z526" s="4" t="s">
        <v>2308</v>
      </c>
      <c r="AA526" s="4" t="s">
        <v>2308</v>
      </c>
      <c r="AB526" s="4" t="s">
        <v>2308</v>
      </c>
      <c r="AC526" s="4"/>
      <c r="AD526" s="4" t="s">
        <v>728</v>
      </c>
    </row>
    <row r="527" spans="1:30" ht="32" customHeight="1">
      <c r="A527" s="12" t="s">
        <v>829</v>
      </c>
      <c r="B527" s="12" t="s">
        <v>832</v>
      </c>
      <c r="C527" s="24" t="s">
        <v>24</v>
      </c>
      <c r="D527" s="24" t="s">
        <v>27</v>
      </c>
      <c r="E527" s="12" t="s">
        <v>136</v>
      </c>
      <c r="F527" s="20" t="s">
        <v>167</v>
      </c>
      <c r="G527" s="20"/>
      <c r="H527" s="4" t="s">
        <v>531</v>
      </c>
      <c r="I527" s="4"/>
      <c r="J527" s="22" t="s">
        <v>2308</v>
      </c>
      <c r="K527" s="22" t="s">
        <v>2308</v>
      </c>
      <c r="L527" s="22" t="s">
        <v>2308</v>
      </c>
      <c r="M527" s="22" t="s">
        <v>2308</v>
      </c>
      <c r="N527" s="22" t="s">
        <v>2308</v>
      </c>
      <c r="O527" s="22" t="s">
        <v>2308</v>
      </c>
      <c r="P527" s="22" t="s">
        <v>2308</v>
      </c>
      <c r="Q527" s="22" t="s">
        <v>2308</v>
      </c>
      <c r="R527" s="22" t="s">
        <v>2308</v>
      </c>
      <c r="S527" s="22" t="s">
        <v>2308</v>
      </c>
      <c r="T527" s="22" t="s">
        <v>2308</v>
      </c>
      <c r="U527" s="22" t="s">
        <v>2308</v>
      </c>
      <c r="V527" s="22" t="s">
        <v>2308</v>
      </c>
      <c r="W527" s="22" t="s">
        <v>2308</v>
      </c>
      <c r="X527" s="22" t="s">
        <v>2308</v>
      </c>
      <c r="Y527" s="22">
        <v>22</v>
      </c>
      <c r="Z527" s="4" t="s">
        <v>2308</v>
      </c>
      <c r="AA527" s="4" t="s">
        <v>2308</v>
      </c>
      <c r="AB527" s="4" t="s">
        <v>2308</v>
      </c>
      <c r="AC527" s="4"/>
      <c r="AD527" s="4" t="s">
        <v>728</v>
      </c>
    </row>
    <row r="528" spans="1:30" ht="54.5" customHeight="1">
      <c r="A528" s="12" t="s">
        <v>837</v>
      </c>
      <c r="B528" s="12" t="s">
        <v>838</v>
      </c>
      <c r="C528" s="24" t="s">
        <v>24</v>
      </c>
      <c r="D528" s="24" t="s">
        <v>27</v>
      </c>
      <c r="E528" s="12" t="s">
        <v>136</v>
      </c>
      <c r="F528" s="20" t="s">
        <v>167</v>
      </c>
      <c r="G528" s="20"/>
      <c r="H528" s="4" t="s">
        <v>531</v>
      </c>
      <c r="I528" s="4"/>
      <c r="J528" s="22" t="s">
        <v>2308</v>
      </c>
      <c r="K528" s="22" t="s">
        <v>2308</v>
      </c>
      <c r="L528" s="22" t="s">
        <v>2308</v>
      </c>
      <c r="M528" s="22" t="s">
        <v>2308</v>
      </c>
      <c r="N528" s="22" t="s">
        <v>2308</v>
      </c>
      <c r="O528" s="22" t="s">
        <v>2308</v>
      </c>
      <c r="P528" s="22" t="s">
        <v>2308</v>
      </c>
      <c r="Q528" s="22" t="s">
        <v>2308</v>
      </c>
      <c r="R528" s="22" t="s">
        <v>2308</v>
      </c>
      <c r="S528" s="22" t="s">
        <v>2308</v>
      </c>
      <c r="T528" s="22" t="s">
        <v>2308</v>
      </c>
      <c r="U528" s="22" t="s">
        <v>2308</v>
      </c>
      <c r="V528" s="22" t="s">
        <v>2308</v>
      </c>
      <c r="W528" s="22" t="s">
        <v>2308</v>
      </c>
      <c r="X528" s="22" t="s">
        <v>2308</v>
      </c>
      <c r="Y528" s="22" t="s">
        <v>2308</v>
      </c>
      <c r="Z528" s="4" t="s">
        <v>2308</v>
      </c>
      <c r="AA528" s="4" t="s">
        <v>2308</v>
      </c>
      <c r="AB528" s="4" t="s">
        <v>2308</v>
      </c>
      <c r="AC528" s="5"/>
      <c r="AD528" s="5" t="s">
        <v>5079</v>
      </c>
    </row>
    <row r="529" spans="1:30" ht="41" customHeight="1">
      <c r="A529" s="12" t="s">
        <v>837</v>
      </c>
      <c r="B529" s="12" t="s">
        <v>839</v>
      </c>
      <c r="C529" s="24" t="s">
        <v>24</v>
      </c>
      <c r="D529" s="24" t="s">
        <v>27</v>
      </c>
      <c r="E529" s="12" t="s">
        <v>136</v>
      </c>
      <c r="F529" s="20" t="s">
        <v>74</v>
      </c>
      <c r="G529" s="20"/>
      <c r="H529" s="12" t="s">
        <v>532</v>
      </c>
      <c r="I529" s="4"/>
      <c r="J529" s="22">
        <v>0</v>
      </c>
      <c r="K529" s="22">
        <v>0</v>
      </c>
      <c r="L529" s="22">
        <v>0</v>
      </c>
      <c r="M529" s="22">
        <v>0</v>
      </c>
      <c r="N529" s="22">
        <v>0</v>
      </c>
      <c r="O529" s="22">
        <v>0</v>
      </c>
      <c r="P529" s="22">
        <v>0</v>
      </c>
      <c r="Q529" s="22" t="s">
        <v>2308</v>
      </c>
      <c r="R529" s="22" t="s">
        <v>2308</v>
      </c>
      <c r="S529" s="22">
        <v>0</v>
      </c>
      <c r="T529" s="22">
        <v>0</v>
      </c>
      <c r="U529" s="22">
        <v>0</v>
      </c>
      <c r="V529" s="22">
        <v>0</v>
      </c>
      <c r="W529" s="22">
        <v>0</v>
      </c>
      <c r="X529" s="22">
        <v>0</v>
      </c>
      <c r="Y529" s="22" t="s">
        <v>2308</v>
      </c>
      <c r="Z529" s="4" t="s">
        <v>2308</v>
      </c>
      <c r="AA529" s="4" t="s">
        <v>2308</v>
      </c>
      <c r="AB529" s="4" t="s">
        <v>2308</v>
      </c>
      <c r="AC529" s="4"/>
      <c r="AD529" s="4"/>
    </row>
    <row r="530" spans="1:30" ht="56" customHeight="1">
      <c r="A530" s="12" t="s">
        <v>837</v>
      </c>
      <c r="B530" s="12" t="s">
        <v>840</v>
      </c>
      <c r="C530" s="24" t="s">
        <v>24</v>
      </c>
      <c r="D530" s="24" t="s">
        <v>149</v>
      </c>
      <c r="E530" s="5" t="s">
        <v>404</v>
      </c>
      <c r="F530" s="20" t="s">
        <v>74</v>
      </c>
      <c r="G530" s="20"/>
      <c r="H530" s="12" t="s">
        <v>532</v>
      </c>
      <c r="I530" s="4"/>
      <c r="J530" s="22">
        <v>0</v>
      </c>
      <c r="K530" s="22">
        <v>0</v>
      </c>
      <c r="L530" s="22">
        <v>0</v>
      </c>
      <c r="M530" s="22">
        <v>0</v>
      </c>
      <c r="N530" s="22">
        <v>0</v>
      </c>
      <c r="O530" s="22">
        <v>0</v>
      </c>
      <c r="P530" s="22">
        <v>0</v>
      </c>
      <c r="Q530" s="22" t="s">
        <v>2308</v>
      </c>
      <c r="R530" s="22" t="s">
        <v>2308</v>
      </c>
      <c r="S530" s="22">
        <v>0</v>
      </c>
      <c r="T530" s="22">
        <v>0</v>
      </c>
      <c r="U530" s="22">
        <v>0</v>
      </c>
      <c r="V530" s="22">
        <v>0</v>
      </c>
      <c r="W530" s="22">
        <v>0</v>
      </c>
      <c r="X530" s="22">
        <v>0</v>
      </c>
      <c r="Y530" s="22" t="s">
        <v>2308</v>
      </c>
      <c r="Z530" s="4" t="s">
        <v>2308</v>
      </c>
      <c r="AA530" s="4" t="s">
        <v>2308</v>
      </c>
      <c r="AB530" s="4" t="s">
        <v>2308</v>
      </c>
      <c r="AC530" s="4"/>
      <c r="AD530" s="4"/>
    </row>
    <row r="531" spans="1:30" ht="51" customHeight="1">
      <c r="A531" s="12" t="s">
        <v>841</v>
      </c>
      <c r="B531" s="12" t="s">
        <v>845</v>
      </c>
      <c r="C531" s="24" t="s">
        <v>24</v>
      </c>
      <c r="D531" s="24" t="s">
        <v>27</v>
      </c>
      <c r="E531" s="12" t="s">
        <v>136</v>
      </c>
      <c r="F531" s="20" t="s">
        <v>167</v>
      </c>
      <c r="G531" s="20"/>
      <c r="H531" s="4" t="s">
        <v>531</v>
      </c>
      <c r="I531" s="4"/>
      <c r="J531" s="22" t="s">
        <v>2308</v>
      </c>
      <c r="K531" s="22" t="s">
        <v>2308</v>
      </c>
      <c r="L531" s="22" t="s">
        <v>2308</v>
      </c>
      <c r="M531" s="22" t="s">
        <v>2308</v>
      </c>
      <c r="N531" s="22" t="s">
        <v>2308</v>
      </c>
      <c r="O531" s="22" t="s">
        <v>2308</v>
      </c>
      <c r="P531" s="22" t="s">
        <v>2308</v>
      </c>
      <c r="Q531" s="22" t="s">
        <v>2308</v>
      </c>
      <c r="R531" s="22" t="s">
        <v>2308</v>
      </c>
      <c r="S531" s="22" t="s">
        <v>2308</v>
      </c>
      <c r="T531" s="22" t="s">
        <v>2308</v>
      </c>
      <c r="U531" s="22" t="s">
        <v>2308</v>
      </c>
      <c r="V531" s="22" t="s">
        <v>2308</v>
      </c>
      <c r="W531" s="22" t="s">
        <v>2308</v>
      </c>
      <c r="X531" s="22" t="s">
        <v>2308</v>
      </c>
      <c r="Y531" s="22">
        <v>14</v>
      </c>
      <c r="Z531" s="4" t="s">
        <v>2308</v>
      </c>
      <c r="AA531" s="4" t="s">
        <v>2308</v>
      </c>
      <c r="AB531" s="4" t="s">
        <v>2308</v>
      </c>
      <c r="AC531" s="5" t="s">
        <v>847</v>
      </c>
      <c r="AD531" s="5" t="s">
        <v>2098</v>
      </c>
    </row>
    <row r="532" spans="1:30" ht="42" customHeight="1">
      <c r="A532" s="12" t="s">
        <v>841</v>
      </c>
      <c r="B532" s="12" t="s">
        <v>845</v>
      </c>
      <c r="C532" s="24" t="s">
        <v>24</v>
      </c>
      <c r="D532" s="24" t="s">
        <v>27</v>
      </c>
      <c r="E532" s="20" t="s">
        <v>404</v>
      </c>
      <c r="F532" s="20" t="s">
        <v>28</v>
      </c>
      <c r="G532" s="20"/>
      <c r="H532" s="4" t="s">
        <v>532</v>
      </c>
      <c r="I532" s="4"/>
      <c r="J532" s="22">
        <v>0</v>
      </c>
      <c r="K532" s="22">
        <v>0</v>
      </c>
      <c r="L532" s="22">
        <v>0</v>
      </c>
      <c r="M532" s="22">
        <v>0</v>
      </c>
      <c r="N532" s="22">
        <v>0</v>
      </c>
      <c r="O532" s="22">
        <v>0</v>
      </c>
      <c r="P532" s="22">
        <v>0</v>
      </c>
      <c r="Q532" s="22" t="s">
        <v>2308</v>
      </c>
      <c r="R532" s="22" t="s">
        <v>2308</v>
      </c>
      <c r="S532" s="22">
        <v>0</v>
      </c>
      <c r="T532" s="22">
        <v>0</v>
      </c>
      <c r="U532" s="22">
        <v>0</v>
      </c>
      <c r="V532" s="22">
        <v>0</v>
      </c>
      <c r="W532" s="22">
        <v>0</v>
      </c>
      <c r="X532" s="22">
        <v>0</v>
      </c>
      <c r="Y532" s="22" t="s">
        <v>2308</v>
      </c>
      <c r="Z532" s="4" t="s">
        <v>2308</v>
      </c>
      <c r="AA532" s="4" t="s">
        <v>2308</v>
      </c>
      <c r="AB532" s="4" t="s">
        <v>2308</v>
      </c>
      <c r="AC532" s="4" t="s">
        <v>846</v>
      </c>
      <c r="AD532" s="4"/>
    </row>
    <row r="533" spans="1:30" ht="38" customHeight="1">
      <c r="A533" s="12" t="s">
        <v>849</v>
      </c>
      <c r="B533" s="12" t="s">
        <v>852</v>
      </c>
      <c r="C533" s="24" t="s">
        <v>24</v>
      </c>
      <c r="D533" s="24" t="s">
        <v>27</v>
      </c>
      <c r="E533" s="12" t="s">
        <v>136</v>
      </c>
      <c r="F533" s="20" t="s">
        <v>167</v>
      </c>
      <c r="G533" s="20"/>
      <c r="H533" s="4" t="s">
        <v>531</v>
      </c>
      <c r="I533" s="4"/>
      <c r="J533" s="22" t="s">
        <v>2308</v>
      </c>
      <c r="K533" s="22" t="s">
        <v>2308</v>
      </c>
      <c r="L533" s="22" t="s">
        <v>2308</v>
      </c>
      <c r="M533" s="22" t="s">
        <v>2308</v>
      </c>
      <c r="N533" s="22" t="s">
        <v>2308</v>
      </c>
      <c r="O533" s="22" t="s">
        <v>2308</v>
      </c>
      <c r="P533" s="22" t="s">
        <v>2308</v>
      </c>
      <c r="Q533" s="22" t="s">
        <v>2308</v>
      </c>
      <c r="R533" s="22" t="s">
        <v>2308</v>
      </c>
      <c r="S533" s="22" t="s">
        <v>2308</v>
      </c>
      <c r="T533" s="22" t="s">
        <v>2308</v>
      </c>
      <c r="U533" s="22" t="s">
        <v>2308</v>
      </c>
      <c r="V533" s="22" t="s">
        <v>2308</v>
      </c>
      <c r="W533" s="22" t="s">
        <v>2308</v>
      </c>
      <c r="X533" s="22" t="s">
        <v>2308</v>
      </c>
      <c r="Y533" s="22" t="s">
        <v>2308</v>
      </c>
      <c r="Z533" s="4" t="s">
        <v>2308</v>
      </c>
      <c r="AA533" s="4" t="s">
        <v>2308</v>
      </c>
      <c r="AB533" s="4" t="s">
        <v>2308</v>
      </c>
      <c r="AC533" s="5"/>
      <c r="AD533" s="4" t="s">
        <v>728</v>
      </c>
    </row>
    <row r="534" spans="1:30" ht="38.5" customHeight="1">
      <c r="A534" s="12" t="s">
        <v>853</v>
      </c>
      <c r="B534" s="12" t="s">
        <v>853</v>
      </c>
      <c r="C534" s="24" t="s">
        <v>24</v>
      </c>
      <c r="D534" s="24" t="s">
        <v>27</v>
      </c>
      <c r="E534" s="20" t="s">
        <v>404</v>
      </c>
      <c r="F534" s="20" t="s">
        <v>167</v>
      </c>
      <c r="G534" s="20"/>
      <c r="H534" s="4" t="s">
        <v>532</v>
      </c>
      <c r="I534" s="4"/>
      <c r="J534" s="22" t="s">
        <v>2308</v>
      </c>
      <c r="K534" s="22" t="s">
        <v>2308</v>
      </c>
      <c r="L534" s="22" t="s">
        <v>2308</v>
      </c>
      <c r="M534" s="22" t="s">
        <v>2308</v>
      </c>
      <c r="N534" s="22" t="s">
        <v>2308</v>
      </c>
      <c r="O534" s="22" t="s">
        <v>2308</v>
      </c>
      <c r="P534" s="22" t="s">
        <v>2308</v>
      </c>
      <c r="Q534" s="22" t="s">
        <v>2308</v>
      </c>
      <c r="R534" s="22" t="s">
        <v>2308</v>
      </c>
      <c r="S534" s="22" t="s">
        <v>2308</v>
      </c>
      <c r="T534" s="22" t="s">
        <v>2308</v>
      </c>
      <c r="U534" s="22" t="s">
        <v>2308</v>
      </c>
      <c r="V534" s="22" t="s">
        <v>2308</v>
      </c>
      <c r="W534" s="22" t="s">
        <v>2308</v>
      </c>
      <c r="X534" s="22" t="s">
        <v>2308</v>
      </c>
      <c r="Y534" s="22" t="s">
        <v>2308</v>
      </c>
      <c r="Z534" s="4" t="s">
        <v>2308</v>
      </c>
      <c r="AA534" s="4" t="s">
        <v>2308</v>
      </c>
      <c r="AB534" s="4" t="s">
        <v>2308</v>
      </c>
      <c r="AC534" s="5" t="s">
        <v>866</v>
      </c>
      <c r="AD534" s="5"/>
    </row>
    <row r="535" spans="1:30" ht="63.5" customHeight="1">
      <c r="A535" s="12" t="s">
        <v>856</v>
      </c>
      <c r="B535" s="12" t="s">
        <v>865</v>
      </c>
      <c r="C535" s="24" t="s">
        <v>24</v>
      </c>
      <c r="D535" s="24" t="s">
        <v>27</v>
      </c>
      <c r="E535" s="12" t="s">
        <v>136</v>
      </c>
      <c r="F535" s="20" t="s">
        <v>167</v>
      </c>
      <c r="G535" s="20"/>
      <c r="H535" s="4" t="s">
        <v>531</v>
      </c>
      <c r="I535" s="4"/>
      <c r="J535" s="22" t="s">
        <v>2308</v>
      </c>
      <c r="K535" s="22" t="s">
        <v>2308</v>
      </c>
      <c r="L535" s="22" t="s">
        <v>2308</v>
      </c>
      <c r="M535" s="22" t="s">
        <v>2308</v>
      </c>
      <c r="N535" s="22" t="s">
        <v>2308</v>
      </c>
      <c r="O535" s="22" t="s">
        <v>2308</v>
      </c>
      <c r="P535" s="22" t="s">
        <v>2308</v>
      </c>
      <c r="Q535" s="22" t="s">
        <v>2308</v>
      </c>
      <c r="R535" s="22" t="s">
        <v>2308</v>
      </c>
      <c r="S535" s="22" t="s">
        <v>2308</v>
      </c>
      <c r="T535" s="22" t="s">
        <v>2308</v>
      </c>
      <c r="U535" s="22" t="s">
        <v>2308</v>
      </c>
      <c r="V535" s="22" t="s">
        <v>2308</v>
      </c>
      <c r="W535" s="22" t="s">
        <v>2308</v>
      </c>
      <c r="X535" s="22" t="s">
        <v>2308</v>
      </c>
      <c r="Y535" s="22" t="s">
        <v>2308</v>
      </c>
      <c r="Z535" s="4" t="s">
        <v>2308</v>
      </c>
      <c r="AA535" s="4" t="s">
        <v>2308</v>
      </c>
      <c r="AB535" s="4" t="s">
        <v>2308</v>
      </c>
      <c r="AC535" s="5"/>
      <c r="AD535" s="5" t="s">
        <v>2452</v>
      </c>
    </row>
    <row r="536" spans="1:30" ht="43.5" customHeight="1">
      <c r="A536" s="12" t="s">
        <v>857</v>
      </c>
      <c r="B536" s="12" t="s">
        <v>857</v>
      </c>
      <c r="C536" s="24" t="s">
        <v>24</v>
      </c>
      <c r="D536" s="24" t="s">
        <v>27</v>
      </c>
      <c r="E536" s="20" t="s">
        <v>404</v>
      </c>
      <c r="F536" s="20" t="s">
        <v>167</v>
      </c>
      <c r="G536" s="20"/>
      <c r="H536" s="4" t="s">
        <v>532</v>
      </c>
      <c r="I536" s="4"/>
      <c r="J536" s="22">
        <v>0</v>
      </c>
      <c r="K536" s="22">
        <v>0</v>
      </c>
      <c r="L536" s="22">
        <v>0</v>
      </c>
      <c r="M536" s="22">
        <v>0</v>
      </c>
      <c r="N536" s="22">
        <v>0</v>
      </c>
      <c r="O536" s="22">
        <v>0</v>
      </c>
      <c r="P536" s="22">
        <v>0</v>
      </c>
      <c r="Q536" s="22" t="s">
        <v>2308</v>
      </c>
      <c r="R536" s="22" t="s">
        <v>2308</v>
      </c>
      <c r="S536" s="22">
        <v>0</v>
      </c>
      <c r="T536" s="22">
        <v>0</v>
      </c>
      <c r="U536" s="22">
        <v>0</v>
      </c>
      <c r="V536" s="22">
        <v>0</v>
      </c>
      <c r="W536" s="22">
        <v>0</v>
      </c>
      <c r="X536" s="22">
        <v>0</v>
      </c>
      <c r="Y536" s="22" t="s">
        <v>2308</v>
      </c>
      <c r="Z536" s="4" t="s">
        <v>2308</v>
      </c>
      <c r="AA536" s="4" t="s">
        <v>2308</v>
      </c>
      <c r="AB536" s="4" t="s">
        <v>2308</v>
      </c>
      <c r="AC536" s="5" t="s">
        <v>866</v>
      </c>
      <c r="AD536" s="5"/>
    </row>
    <row r="537" spans="1:30" ht="56" customHeight="1">
      <c r="A537" s="12" t="s">
        <v>858</v>
      </c>
      <c r="B537" s="12" t="s">
        <v>863</v>
      </c>
      <c r="C537" s="24" t="s">
        <v>24</v>
      </c>
      <c r="D537" s="24" t="s">
        <v>27</v>
      </c>
      <c r="E537" s="12" t="s">
        <v>136</v>
      </c>
      <c r="F537" s="20" t="s">
        <v>167</v>
      </c>
      <c r="G537" s="20"/>
      <c r="H537" s="4" t="s">
        <v>531</v>
      </c>
      <c r="I537" s="4"/>
      <c r="J537" s="22" t="s">
        <v>2308</v>
      </c>
      <c r="K537" s="22" t="s">
        <v>2308</v>
      </c>
      <c r="L537" s="22" t="s">
        <v>2308</v>
      </c>
      <c r="M537" s="22" t="s">
        <v>2308</v>
      </c>
      <c r="N537" s="22" t="s">
        <v>2308</v>
      </c>
      <c r="O537" s="22" t="s">
        <v>2308</v>
      </c>
      <c r="P537" s="22" t="s">
        <v>2308</v>
      </c>
      <c r="Q537" s="22" t="s">
        <v>2308</v>
      </c>
      <c r="R537" s="22" t="s">
        <v>2308</v>
      </c>
      <c r="S537" s="22" t="s">
        <v>2308</v>
      </c>
      <c r="T537" s="22" t="s">
        <v>2308</v>
      </c>
      <c r="U537" s="22" t="s">
        <v>2308</v>
      </c>
      <c r="V537" s="22" t="s">
        <v>2308</v>
      </c>
      <c r="W537" s="22" t="s">
        <v>2308</v>
      </c>
      <c r="X537" s="22" t="s">
        <v>2308</v>
      </c>
      <c r="Y537" s="22" t="s">
        <v>2308</v>
      </c>
      <c r="Z537" s="4" t="s">
        <v>2308</v>
      </c>
      <c r="AA537" s="4" t="s">
        <v>2308</v>
      </c>
      <c r="AB537" s="4" t="s">
        <v>2308</v>
      </c>
      <c r="AC537" s="5"/>
      <c r="AD537" s="5" t="s">
        <v>2452</v>
      </c>
    </row>
    <row r="538" spans="1:30" ht="37.5" customHeight="1">
      <c r="A538" s="4" t="s">
        <v>859</v>
      </c>
      <c r="B538" s="4" t="s">
        <v>859</v>
      </c>
      <c r="C538" s="24" t="s">
        <v>24</v>
      </c>
      <c r="D538" s="24" t="s">
        <v>27</v>
      </c>
      <c r="E538" s="20" t="s">
        <v>404</v>
      </c>
      <c r="F538" s="20" t="s">
        <v>167</v>
      </c>
      <c r="G538" s="20"/>
      <c r="H538" s="4" t="s">
        <v>532</v>
      </c>
      <c r="I538" s="4"/>
      <c r="J538" s="22">
        <v>0</v>
      </c>
      <c r="K538" s="22">
        <v>0</v>
      </c>
      <c r="L538" s="22">
        <v>0</v>
      </c>
      <c r="M538" s="22">
        <v>0</v>
      </c>
      <c r="N538" s="22">
        <v>0</v>
      </c>
      <c r="O538" s="22">
        <v>0</v>
      </c>
      <c r="P538" s="22">
        <v>0</v>
      </c>
      <c r="Q538" s="22" t="s">
        <v>2308</v>
      </c>
      <c r="R538" s="22" t="s">
        <v>2308</v>
      </c>
      <c r="S538" s="22">
        <v>0</v>
      </c>
      <c r="T538" s="22">
        <v>0</v>
      </c>
      <c r="U538" s="22">
        <v>0</v>
      </c>
      <c r="V538" s="22">
        <v>0</v>
      </c>
      <c r="W538" s="22">
        <v>0</v>
      </c>
      <c r="X538" s="22">
        <v>0</v>
      </c>
      <c r="Y538" s="22" t="s">
        <v>2308</v>
      </c>
      <c r="Z538" s="4" t="s">
        <v>2308</v>
      </c>
      <c r="AA538" s="4" t="s">
        <v>2308</v>
      </c>
      <c r="AB538" s="4" t="s">
        <v>2308</v>
      </c>
      <c r="AC538" s="5" t="s">
        <v>866</v>
      </c>
      <c r="AD538" s="5"/>
    </row>
    <row r="539" spans="1:30" ht="47" customHeight="1">
      <c r="A539" s="46" t="s">
        <v>860</v>
      </c>
      <c r="B539" s="46" t="s">
        <v>864</v>
      </c>
      <c r="C539" s="47" t="s">
        <v>24</v>
      </c>
      <c r="D539" s="47" t="s">
        <v>27</v>
      </c>
      <c r="E539" s="46" t="s">
        <v>136</v>
      </c>
      <c r="F539" s="54" t="s">
        <v>167</v>
      </c>
      <c r="G539" s="54"/>
      <c r="H539" s="6" t="s">
        <v>531</v>
      </c>
      <c r="I539" s="4"/>
      <c r="J539" s="22" t="s">
        <v>2308</v>
      </c>
      <c r="K539" s="22" t="s">
        <v>2308</v>
      </c>
      <c r="L539" s="22" t="s">
        <v>2308</v>
      </c>
      <c r="M539" s="22" t="s">
        <v>2308</v>
      </c>
      <c r="N539" s="22" t="s">
        <v>2308</v>
      </c>
      <c r="O539" s="22" t="s">
        <v>2308</v>
      </c>
      <c r="P539" s="22" t="s">
        <v>2308</v>
      </c>
      <c r="Q539" s="22" t="s">
        <v>2308</v>
      </c>
      <c r="R539" s="22" t="s">
        <v>2308</v>
      </c>
      <c r="S539" s="22" t="s">
        <v>2308</v>
      </c>
      <c r="T539" s="22" t="s">
        <v>2308</v>
      </c>
      <c r="U539" s="22" t="s">
        <v>2308</v>
      </c>
      <c r="V539" s="22" t="s">
        <v>2308</v>
      </c>
      <c r="W539" s="22" t="s">
        <v>2308</v>
      </c>
      <c r="X539" s="22" t="s">
        <v>2308</v>
      </c>
      <c r="Y539" s="22" t="s">
        <v>2308</v>
      </c>
      <c r="Z539" s="4" t="s">
        <v>2308</v>
      </c>
      <c r="AA539" s="4" t="s">
        <v>2308</v>
      </c>
      <c r="AB539" s="4" t="s">
        <v>2308</v>
      </c>
      <c r="AC539" s="5" t="s">
        <v>866</v>
      </c>
      <c r="AD539" s="5"/>
    </row>
    <row r="540" spans="1:30" ht="45.5" customHeight="1">
      <c r="A540" s="12" t="s">
        <v>876</v>
      </c>
      <c r="B540" s="12" t="s">
        <v>878</v>
      </c>
      <c r="C540" s="24" t="s">
        <v>24</v>
      </c>
      <c r="D540" s="24" t="s">
        <v>27</v>
      </c>
      <c r="E540" s="12" t="s">
        <v>136</v>
      </c>
      <c r="F540" s="20" t="s">
        <v>167</v>
      </c>
      <c r="G540" s="20"/>
      <c r="H540" s="4" t="s">
        <v>531</v>
      </c>
      <c r="I540" s="4"/>
      <c r="J540" s="22" t="s">
        <v>2308</v>
      </c>
      <c r="K540" s="22" t="s">
        <v>2308</v>
      </c>
      <c r="L540" s="22" t="s">
        <v>2308</v>
      </c>
      <c r="M540" s="22" t="s">
        <v>2308</v>
      </c>
      <c r="N540" s="22" t="s">
        <v>2308</v>
      </c>
      <c r="O540" s="22" t="s">
        <v>2308</v>
      </c>
      <c r="P540" s="22" t="s">
        <v>2308</v>
      </c>
      <c r="Q540" s="22" t="s">
        <v>2308</v>
      </c>
      <c r="R540" s="22" t="s">
        <v>2308</v>
      </c>
      <c r="S540" s="22" t="s">
        <v>2308</v>
      </c>
      <c r="T540" s="22" t="s">
        <v>2308</v>
      </c>
      <c r="U540" s="22" t="s">
        <v>2308</v>
      </c>
      <c r="V540" s="22" t="s">
        <v>2308</v>
      </c>
      <c r="W540" s="22" t="s">
        <v>2308</v>
      </c>
      <c r="X540" s="22" t="s">
        <v>2308</v>
      </c>
      <c r="Y540" s="22" t="s">
        <v>2308</v>
      </c>
      <c r="Z540" s="4" t="s">
        <v>2308</v>
      </c>
      <c r="AA540" s="4" t="s">
        <v>2308</v>
      </c>
      <c r="AB540" s="4" t="s">
        <v>2308</v>
      </c>
      <c r="AC540" s="4"/>
      <c r="AD540" s="4" t="s">
        <v>2103</v>
      </c>
    </row>
    <row r="541" spans="1:30" ht="83.5" customHeight="1">
      <c r="A541" s="12" t="s">
        <v>876</v>
      </c>
      <c r="B541" s="12" t="s">
        <v>879</v>
      </c>
      <c r="C541" s="24" t="s">
        <v>24</v>
      </c>
      <c r="D541" s="24" t="s">
        <v>149</v>
      </c>
      <c r="E541" s="12" t="s">
        <v>877</v>
      </c>
      <c r="F541" s="20" t="s">
        <v>74</v>
      </c>
      <c r="G541" s="20"/>
      <c r="H541" s="12" t="s">
        <v>532</v>
      </c>
      <c r="I541" s="4"/>
      <c r="J541" s="22">
        <v>0</v>
      </c>
      <c r="K541" s="22">
        <v>0</v>
      </c>
      <c r="L541" s="22">
        <v>0</v>
      </c>
      <c r="M541" s="22">
        <v>0</v>
      </c>
      <c r="N541" s="22">
        <v>0</v>
      </c>
      <c r="O541" s="22">
        <v>0</v>
      </c>
      <c r="P541" s="22">
        <v>0</v>
      </c>
      <c r="Q541" s="22" t="s">
        <v>2308</v>
      </c>
      <c r="R541" s="22" t="s">
        <v>2308</v>
      </c>
      <c r="S541" s="22">
        <v>0</v>
      </c>
      <c r="T541" s="22">
        <v>0</v>
      </c>
      <c r="U541" s="22">
        <v>0</v>
      </c>
      <c r="V541" s="22">
        <v>0</v>
      </c>
      <c r="W541" s="22">
        <v>0</v>
      </c>
      <c r="X541" s="22">
        <v>0</v>
      </c>
      <c r="Y541" s="22" t="s">
        <v>2308</v>
      </c>
      <c r="Z541" s="4" t="s">
        <v>2308</v>
      </c>
      <c r="AA541" s="4" t="s">
        <v>2308</v>
      </c>
      <c r="AB541" s="4" t="s">
        <v>2308</v>
      </c>
      <c r="AC541" s="5" t="s">
        <v>882</v>
      </c>
      <c r="AD541" s="4"/>
    </row>
    <row r="542" spans="1:30" ht="63" customHeight="1">
      <c r="A542" s="12" t="s">
        <v>876</v>
      </c>
      <c r="B542" s="12" t="s">
        <v>880</v>
      </c>
      <c r="C542" s="24" t="s">
        <v>24</v>
      </c>
      <c r="D542" s="24" t="s">
        <v>27</v>
      </c>
      <c r="E542" s="20" t="s">
        <v>404</v>
      </c>
      <c r="F542" s="20" t="s">
        <v>28</v>
      </c>
      <c r="G542" s="20"/>
      <c r="H542" s="4" t="s">
        <v>532</v>
      </c>
      <c r="I542" s="4"/>
      <c r="J542" s="22">
        <v>0</v>
      </c>
      <c r="K542" s="22">
        <v>0</v>
      </c>
      <c r="L542" s="22">
        <v>0</v>
      </c>
      <c r="M542" s="22">
        <v>0</v>
      </c>
      <c r="N542" s="22">
        <v>0</v>
      </c>
      <c r="O542" s="22">
        <v>0</v>
      </c>
      <c r="P542" s="22">
        <v>0</v>
      </c>
      <c r="Q542" s="22" t="s">
        <v>2308</v>
      </c>
      <c r="R542" s="22" t="s">
        <v>2308</v>
      </c>
      <c r="S542" s="22">
        <v>0</v>
      </c>
      <c r="T542" s="22">
        <v>0</v>
      </c>
      <c r="U542" s="22">
        <v>0</v>
      </c>
      <c r="V542" s="22">
        <v>0</v>
      </c>
      <c r="W542" s="22">
        <v>0</v>
      </c>
      <c r="X542" s="22">
        <v>0</v>
      </c>
      <c r="Y542" s="22" t="s">
        <v>2308</v>
      </c>
      <c r="Z542" s="4" t="s">
        <v>2308</v>
      </c>
      <c r="AA542" s="4" t="s">
        <v>2308</v>
      </c>
      <c r="AB542" s="4" t="s">
        <v>2308</v>
      </c>
      <c r="AC542" s="20" t="s">
        <v>881</v>
      </c>
      <c r="AD542" s="4"/>
    </row>
    <row r="543" spans="1:30" ht="83.5" customHeight="1">
      <c r="A543" s="12" t="s">
        <v>883</v>
      </c>
      <c r="B543" s="12" t="s">
        <v>888</v>
      </c>
      <c r="C543" s="24" t="s">
        <v>24</v>
      </c>
      <c r="D543" s="24" t="s">
        <v>27</v>
      </c>
      <c r="E543" s="12" t="s">
        <v>136</v>
      </c>
      <c r="F543" s="20" t="s">
        <v>167</v>
      </c>
      <c r="G543" s="20"/>
      <c r="H543" s="12" t="s">
        <v>531</v>
      </c>
      <c r="I543" s="12"/>
      <c r="J543" s="80" t="s">
        <v>2308</v>
      </c>
      <c r="K543" s="96">
        <v>0.2</v>
      </c>
      <c r="L543" s="96" t="s">
        <v>2308</v>
      </c>
      <c r="M543" s="96">
        <v>0.5</v>
      </c>
      <c r="N543" s="96" t="s">
        <v>2308</v>
      </c>
      <c r="O543" s="96">
        <v>0.35</v>
      </c>
      <c r="P543" s="96" t="s">
        <v>2308</v>
      </c>
      <c r="Q543" s="96" t="s">
        <v>2308</v>
      </c>
      <c r="R543" s="96" t="s">
        <v>2308</v>
      </c>
      <c r="S543" s="96" t="s">
        <v>2308</v>
      </c>
      <c r="T543" s="96" t="s">
        <v>2308</v>
      </c>
      <c r="U543" s="96" t="s">
        <v>2308</v>
      </c>
      <c r="V543" s="96" t="s">
        <v>2308</v>
      </c>
      <c r="W543" s="96" t="s">
        <v>2308</v>
      </c>
      <c r="X543" s="96" t="s">
        <v>2308</v>
      </c>
      <c r="Y543" s="80">
        <v>12</v>
      </c>
      <c r="Z543" s="12" t="s">
        <v>75</v>
      </c>
      <c r="AA543" s="12" t="s">
        <v>35</v>
      </c>
      <c r="AB543" s="12" t="s">
        <v>64</v>
      </c>
      <c r="AC543" s="20" t="s">
        <v>894</v>
      </c>
      <c r="AD543" s="20" t="s">
        <v>5084</v>
      </c>
    </row>
    <row r="544" spans="1:30" ht="83.5" customHeight="1">
      <c r="A544" s="12" t="s">
        <v>2104</v>
      </c>
      <c r="B544" s="12" t="s">
        <v>2158</v>
      </c>
      <c r="C544" s="24" t="s">
        <v>24</v>
      </c>
      <c r="D544" s="24" t="s">
        <v>27</v>
      </c>
      <c r="E544" s="12" t="s">
        <v>136</v>
      </c>
      <c r="F544" s="20" t="s">
        <v>167</v>
      </c>
      <c r="G544" s="20"/>
      <c r="H544" s="12" t="s">
        <v>531</v>
      </c>
      <c r="I544" s="12"/>
      <c r="J544" s="80" t="s">
        <v>2308</v>
      </c>
      <c r="K544" s="96">
        <v>0.2</v>
      </c>
      <c r="L544" s="96" t="s">
        <v>2308</v>
      </c>
      <c r="M544" s="96">
        <v>0.5</v>
      </c>
      <c r="N544" s="96" t="s">
        <v>2308</v>
      </c>
      <c r="O544" s="96">
        <v>0.35</v>
      </c>
      <c r="P544" s="96" t="s">
        <v>2308</v>
      </c>
      <c r="Q544" s="96" t="s">
        <v>2308</v>
      </c>
      <c r="R544" s="96" t="s">
        <v>2308</v>
      </c>
      <c r="S544" s="96" t="s">
        <v>2308</v>
      </c>
      <c r="T544" s="96" t="s">
        <v>2308</v>
      </c>
      <c r="U544" s="96" t="s">
        <v>2308</v>
      </c>
      <c r="V544" s="96" t="s">
        <v>2308</v>
      </c>
      <c r="W544" s="96" t="s">
        <v>2308</v>
      </c>
      <c r="X544" s="96" t="s">
        <v>2308</v>
      </c>
      <c r="Y544" s="80">
        <v>12</v>
      </c>
      <c r="Z544" s="12" t="s">
        <v>75</v>
      </c>
      <c r="AA544" s="12" t="s">
        <v>35</v>
      </c>
      <c r="AB544" s="12" t="s">
        <v>64</v>
      </c>
      <c r="AC544" s="20" t="s">
        <v>894</v>
      </c>
      <c r="AD544" s="20" t="s">
        <v>5084</v>
      </c>
    </row>
    <row r="545" spans="1:30" ht="83.5" customHeight="1">
      <c r="A545" s="12" t="s">
        <v>2105</v>
      </c>
      <c r="B545" s="12" t="s">
        <v>2159</v>
      </c>
      <c r="C545" s="24" t="s">
        <v>24</v>
      </c>
      <c r="D545" s="24" t="s">
        <v>27</v>
      </c>
      <c r="E545" s="12" t="s">
        <v>136</v>
      </c>
      <c r="F545" s="20" t="s">
        <v>167</v>
      </c>
      <c r="G545" s="20"/>
      <c r="H545" s="12" t="s">
        <v>531</v>
      </c>
      <c r="I545" s="12"/>
      <c r="J545" s="80" t="s">
        <v>2308</v>
      </c>
      <c r="K545" s="96">
        <v>0.2</v>
      </c>
      <c r="L545" s="96" t="s">
        <v>2308</v>
      </c>
      <c r="M545" s="96">
        <v>0.5</v>
      </c>
      <c r="N545" s="96" t="s">
        <v>2308</v>
      </c>
      <c r="O545" s="96">
        <v>0.35</v>
      </c>
      <c r="P545" s="96" t="s">
        <v>2308</v>
      </c>
      <c r="Q545" s="96" t="s">
        <v>2308</v>
      </c>
      <c r="R545" s="96" t="s">
        <v>2308</v>
      </c>
      <c r="S545" s="96" t="s">
        <v>2308</v>
      </c>
      <c r="T545" s="96" t="s">
        <v>2308</v>
      </c>
      <c r="U545" s="96" t="s">
        <v>2308</v>
      </c>
      <c r="V545" s="96" t="s">
        <v>2308</v>
      </c>
      <c r="W545" s="96" t="s">
        <v>2308</v>
      </c>
      <c r="X545" s="96" t="s">
        <v>2308</v>
      </c>
      <c r="Y545" s="80">
        <v>12</v>
      </c>
      <c r="Z545" s="12" t="s">
        <v>75</v>
      </c>
      <c r="AA545" s="12" t="s">
        <v>35</v>
      </c>
      <c r="AB545" s="12" t="s">
        <v>64</v>
      </c>
      <c r="AC545" s="20" t="s">
        <v>894</v>
      </c>
      <c r="AD545" s="20" t="s">
        <v>5084</v>
      </c>
    </row>
    <row r="546" spans="1:30" ht="83.5" customHeight="1">
      <c r="A546" s="12" t="s">
        <v>2106</v>
      </c>
      <c r="B546" s="12" t="s">
        <v>2160</v>
      </c>
      <c r="C546" s="24" t="s">
        <v>24</v>
      </c>
      <c r="D546" s="24" t="s">
        <v>27</v>
      </c>
      <c r="E546" s="12" t="s">
        <v>136</v>
      </c>
      <c r="F546" s="20" t="s">
        <v>167</v>
      </c>
      <c r="G546" s="20"/>
      <c r="H546" s="12" t="s">
        <v>531</v>
      </c>
      <c r="I546" s="12"/>
      <c r="J546" s="80" t="s">
        <v>2308</v>
      </c>
      <c r="K546" s="96">
        <v>0.2</v>
      </c>
      <c r="L546" s="96" t="s">
        <v>2308</v>
      </c>
      <c r="M546" s="96">
        <v>0.5</v>
      </c>
      <c r="N546" s="96" t="s">
        <v>2308</v>
      </c>
      <c r="O546" s="96">
        <v>0.35</v>
      </c>
      <c r="P546" s="96" t="s">
        <v>2308</v>
      </c>
      <c r="Q546" s="96" t="s">
        <v>2308</v>
      </c>
      <c r="R546" s="96" t="s">
        <v>2308</v>
      </c>
      <c r="S546" s="96" t="s">
        <v>2308</v>
      </c>
      <c r="T546" s="96" t="s">
        <v>2308</v>
      </c>
      <c r="U546" s="96" t="s">
        <v>2308</v>
      </c>
      <c r="V546" s="96" t="s">
        <v>2308</v>
      </c>
      <c r="W546" s="96" t="s">
        <v>2308</v>
      </c>
      <c r="X546" s="96" t="s">
        <v>2308</v>
      </c>
      <c r="Y546" s="80">
        <v>12</v>
      </c>
      <c r="Z546" s="12" t="s">
        <v>75</v>
      </c>
      <c r="AA546" s="12" t="s">
        <v>35</v>
      </c>
      <c r="AB546" s="12" t="s">
        <v>64</v>
      </c>
      <c r="AC546" s="20" t="s">
        <v>894</v>
      </c>
      <c r="AD546" s="20" t="s">
        <v>5084</v>
      </c>
    </row>
    <row r="547" spans="1:30" ht="83.5" customHeight="1">
      <c r="A547" s="12" t="s">
        <v>2107</v>
      </c>
      <c r="B547" s="12" t="s">
        <v>2161</v>
      </c>
      <c r="C547" s="24" t="s">
        <v>24</v>
      </c>
      <c r="D547" s="24" t="s">
        <v>27</v>
      </c>
      <c r="E547" s="12" t="s">
        <v>136</v>
      </c>
      <c r="F547" s="20" t="s">
        <v>167</v>
      </c>
      <c r="G547" s="20"/>
      <c r="H547" s="12" t="s">
        <v>531</v>
      </c>
      <c r="I547" s="12"/>
      <c r="J547" s="80" t="s">
        <v>2308</v>
      </c>
      <c r="K547" s="96">
        <v>0.2</v>
      </c>
      <c r="L547" s="96" t="s">
        <v>2308</v>
      </c>
      <c r="M547" s="96">
        <v>0.5</v>
      </c>
      <c r="N547" s="96" t="s">
        <v>2308</v>
      </c>
      <c r="O547" s="96">
        <v>0.35</v>
      </c>
      <c r="P547" s="96" t="s">
        <v>2308</v>
      </c>
      <c r="Q547" s="96" t="s">
        <v>2308</v>
      </c>
      <c r="R547" s="96" t="s">
        <v>2308</v>
      </c>
      <c r="S547" s="96" t="s">
        <v>2308</v>
      </c>
      <c r="T547" s="96" t="s">
        <v>2308</v>
      </c>
      <c r="U547" s="96" t="s">
        <v>2308</v>
      </c>
      <c r="V547" s="96" t="s">
        <v>2308</v>
      </c>
      <c r="W547" s="96" t="s">
        <v>2308</v>
      </c>
      <c r="X547" s="96" t="s">
        <v>2308</v>
      </c>
      <c r="Y547" s="80">
        <v>12</v>
      </c>
      <c r="Z547" s="12" t="s">
        <v>75</v>
      </c>
      <c r="AA547" s="12" t="s">
        <v>35</v>
      </c>
      <c r="AB547" s="12" t="s">
        <v>64</v>
      </c>
      <c r="AC547" s="20" t="s">
        <v>894</v>
      </c>
      <c r="AD547" s="20" t="s">
        <v>5084</v>
      </c>
    </row>
    <row r="548" spans="1:30" ht="83.5" customHeight="1">
      <c r="A548" s="12" t="s">
        <v>2108</v>
      </c>
      <c r="B548" s="12" t="s">
        <v>2162</v>
      </c>
      <c r="C548" s="24" t="s">
        <v>24</v>
      </c>
      <c r="D548" s="24" t="s">
        <v>27</v>
      </c>
      <c r="E548" s="12" t="s">
        <v>136</v>
      </c>
      <c r="F548" s="20" t="s">
        <v>167</v>
      </c>
      <c r="G548" s="20"/>
      <c r="H548" s="12" t="s">
        <v>531</v>
      </c>
      <c r="I548" s="12"/>
      <c r="J548" s="80" t="s">
        <v>2308</v>
      </c>
      <c r="K548" s="96">
        <v>0.2</v>
      </c>
      <c r="L548" s="96" t="s">
        <v>2308</v>
      </c>
      <c r="M548" s="96">
        <v>0.5</v>
      </c>
      <c r="N548" s="96" t="s">
        <v>2308</v>
      </c>
      <c r="O548" s="96">
        <v>0.35</v>
      </c>
      <c r="P548" s="96" t="s">
        <v>2308</v>
      </c>
      <c r="Q548" s="96" t="s">
        <v>2308</v>
      </c>
      <c r="R548" s="96" t="s">
        <v>2308</v>
      </c>
      <c r="S548" s="96" t="s">
        <v>2308</v>
      </c>
      <c r="T548" s="96" t="s">
        <v>2308</v>
      </c>
      <c r="U548" s="96" t="s">
        <v>2308</v>
      </c>
      <c r="V548" s="96" t="s">
        <v>2308</v>
      </c>
      <c r="W548" s="96" t="s">
        <v>2308</v>
      </c>
      <c r="X548" s="96" t="s">
        <v>2308</v>
      </c>
      <c r="Y548" s="80">
        <v>12</v>
      </c>
      <c r="Z548" s="12" t="s">
        <v>75</v>
      </c>
      <c r="AA548" s="12" t="s">
        <v>35</v>
      </c>
      <c r="AB548" s="12" t="s">
        <v>64</v>
      </c>
      <c r="AC548" s="20" t="s">
        <v>894</v>
      </c>
      <c r="AD548" s="20" t="s">
        <v>5084</v>
      </c>
    </row>
    <row r="549" spans="1:30" ht="83.5" customHeight="1">
      <c r="A549" s="12" t="s">
        <v>2109</v>
      </c>
      <c r="B549" s="12" t="s">
        <v>2163</v>
      </c>
      <c r="C549" s="24" t="s">
        <v>24</v>
      </c>
      <c r="D549" s="24" t="s">
        <v>27</v>
      </c>
      <c r="E549" s="12" t="s">
        <v>136</v>
      </c>
      <c r="F549" s="20" t="s">
        <v>167</v>
      </c>
      <c r="G549" s="20"/>
      <c r="H549" s="12" t="s">
        <v>531</v>
      </c>
      <c r="I549" s="12"/>
      <c r="J549" s="80" t="s">
        <v>2308</v>
      </c>
      <c r="K549" s="96">
        <v>0.2</v>
      </c>
      <c r="L549" s="96" t="s">
        <v>2308</v>
      </c>
      <c r="M549" s="96">
        <v>0.5</v>
      </c>
      <c r="N549" s="96" t="s">
        <v>2308</v>
      </c>
      <c r="O549" s="96">
        <v>0.35</v>
      </c>
      <c r="P549" s="96" t="s">
        <v>2308</v>
      </c>
      <c r="Q549" s="96" t="s">
        <v>2308</v>
      </c>
      <c r="R549" s="96" t="s">
        <v>2308</v>
      </c>
      <c r="S549" s="96" t="s">
        <v>2308</v>
      </c>
      <c r="T549" s="96" t="s">
        <v>2308</v>
      </c>
      <c r="U549" s="96" t="s">
        <v>2308</v>
      </c>
      <c r="V549" s="96" t="s">
        <v>2308</v>
      </c>
      <c r="W549" s="96" t="s">
        <v>2308</v>
      </c>
      <c r="X549" s="96" t="s">
        <v>2308</v>
      </c>
      <c r="Y549" s="80">
        <v>12</v>
      </c>
      <c r="Z549" s="12" t="s">
        <v>75</v>
      </c>
      <c r="AA549" s="12" t="s">
        <v>35</v>
      </c>
      <c r="AB549" s="12" t="s">
        <v>64</v>
      </c>
      <c r="AC549" s="20" t="s">
        <v>894</v>
      </c>
      <c r="AD549" s="20" t="s">
        <v>5084</v>
      </c>
    </row>
    <row r="550" spans="1:30" ht="83.5" customHeight="1">
      <c r="A550" s="12" t="s">
        <v>2110</v>
      </c>
      <c r="B550" s="12" t="s">
        <v>2164</v>
      </c>
      <c r="C550" s="24" t="s">
        <v>24</v>
      </c>
      <c r="D550" s="24" t="s">
        <v>27</v>
      </c>
      <c r="E550" s="12" t="s">
        <v>136</v>
      </c>
      <c r="F550" s="20" t="s">
        <v>167</v>
      </c>
      <c r="G550" s="20"/>
      <c r="H550" s="12" t="s">
        <v>531</v>
      </c>
      <c r="I550" s="12"/>
      <c r="J550" s="80" t="s">
        <v>2308</v>
      </c>
      <c r="K550" s="96">
        <v>0.2</v>
      </c>
      <c r="L550" s="96" t="s">
        <v>2308</v>
      </c>
      <c r="M550" s="96">
        <v>0.5</v>
      </c>
      <c r="N550" s="96" t="s">
        <v>2308</v>
      </c>
      <c r="O550" s="96">
        <v>0.35</v>
      </c>
      <c r="P550" s="96" t="s">
        <v>2308</v>
      </c>
      <c r="Q550" s="96" t="s">
        <v>2308</v>
      </c>
      <c r="R550" s="96" t="s">
        <v>2308</v>
      </c>
      <c r="S550" s="96" t="s">
        <v>2308</v>
      </c>
      <c r="T550" s="96" t="s">
        <v>2308</v>
      </c>
      <c r="U550" s="96" t="s">
        <v>2308</v>
      </c>
      <c r="V550" s="96" t="s">
        <v>2308</v>
      </c>
      <c r="W550" s="96" t="s">
        <v>2308</v>
      </c>
      <c r="X550" s="96" t="s">
        <v>2308</v>
      </c>
      <c r="Y550" s="80">
        <v>12</v>
      </c>
      <c r="Z550" s="12" t="s">
        <v>75</v>
      </c>
      <c r="AA550" s="12" t="s">
        <v>35</v>
      </c>
      <c r="AB550" s="12" t="s">
        <v>64</v>
      </c>
      <c r="AC550" s="20" t="s">
        <v>894</v>
      </c>
      <c r="AD550" s="20" t="s">
        <v>5084</v>
      </c>
    </row>
    <row r="551" spans="1:30" ht="83.5" customHeight="1">
      <c r="A551" s="12" t="s">
        <v>2111</v>
      </c>
      <c r="B551" s="12" t="s">
        <v>2165</v>
      </c>
      <c r="C551" s="24" t="s">
        <v>24</v>
      </c>
      <c r="D551" s="24" t="s">
        <v>27</v>
      </c>
      <c r="E551" s="12" t="s">
        <v>136</v>
      </c>
      <c r="F551" s="20" t="s">
        <v>167</v>
      </c>
      <c r="G551" s="20"/>
      <c r="H551" s="12" t="s">
        <v>531</v>
      </c>
      <c r="I551" s="12"/>
      <c r="J551" s="80" t="s">
        <v>2308</v>
      </c>
      <c r="K551" s="96">
        <v>0.2</v>
      </c>
      <c r="L551" s="96" t="s">
        <v>2308</v>
      </c>
      <c r="M551" s="96">
        <v>0.5</v>
      </c>
      <c r="N551" s="96" t="s">
        <v>2308</v>
      </c>
      <c r="O551" s="96">
        <v>0.35</v>
      </c>
      <c r="P551" s="96" t="s">
        <v>2308</v>
      </c>
      <c r="Q551" s="96" t="s">
        <v>2308</v>
      </c>
      <c r="R551" s="96" t="s">
        <v>2308</v>
      </c>
      <c r="S551" s="96" t="s">
        <v>2308</v>
      </c>
      <c r="T551" s="96" t="s">
        <v>2308</v>
      </c>
      <c r="U551" s="96" t="s">
        <v>2308</v>
      </c>
      <c r="V551" s="96" t="s">
        <v>2308</v>
      </c>
      <c r="W551" s="96" t="s">
        <v>2308</v>
      </c>
      <c r="X551" s="96" t="s">
        <v>2308</v>
      </c>
      <c r="Y551" s="80">
        <v>12</v>
      </c>
      <c r="Z551" s="12" t="s">
        <v>75</v>
      </c>
      <c r="AA551" s="12" t="s">
        <v>35</v>
      </c>
      <c r="AB551" s="12" t="s">
        <v>64</v>
      </c>
      <c r="AC551" s="20" t="s">
        <v>894</v>
      </c>
      <c r="AD551" s="20" t="s">
        <v>5084</v>
      </c>
    </row>
    <row r="552" spans="1:30" ht="83.5" customHeight="1">
      <c r="A552" s="12" t="s">
        <v>2112</v>
      </c>
      <c r="B552" s="12" t="s">
        <v>2166</v>
      </c>
      <c r="C552" s="24" t="s">
        <v>24</v>
      </c>
      <c r="D552" s="24" t="s">
        <v>27</v>
      </c>
      <c r="E552" s="12" t="s">
        <v>136</v>
      </c>
      <c r="F552" s="20" t="s">
        <v>167</v>
      </c>
      <c r="G552" s="20"/>
      <c r="H552" s="12" t="s">
        <v>531</v>
      </c>
      <c r="I552" s="12"/>
      <c r="J552" s="80" t="s">
        <v>2308</v>
      </c>
      <c r="K552" s="96">
        <v>0.2</v>
      </c>
      <c r="L552" s="96" t="s">
        <v>2308</v>
      </c>
      <c r="M552" s="96">
        <v>0.5</v>
      </c>
      <c r="N552" s="96" t="s">
        <v>2308</v>
      </c>
      <c r="O552" s="96">
        <v>0.35</v>
      </c>
      <c r="P552" s="96" t="s">
        <v>2308</v>
      </c>
      <c r="Q552" s="96" t="s">
        <v>2308</v>
      </c>
      <c r="R552" s="96" t="s">
        <v>2308</v>
      </c>
      <c r="S552" s="96" t="s">
        <v>2308</v>
      </c>
      <c r="T552" s="96" t="s">
        <v>2308</v>
      </c>
      <c r="U552" s="96" t="s">
        <v>2308</v>
      </c>
      <c r="V552" s="96" t="s">
        <v>2308</v>
      </c>
      <c r="W552" s="96" t="s">
        <v>2308</v>
      </c>
      <c r="X552" s="96" t="s">
        <v>2308</v>
      </c>
      <c r="Y552" s="80">
        <v>12</v>
      </c>
      <c r="Z552" s="12" t="s">
        <v>75</v>
      </c>
      <c r="AA552" s="12" t="s">
        <v>35</v>
      </c>
      <c r="AB552" s="12" t="s">
        <v>64</v>
      </c>
      <c r="AC552" s="20" t="s">
        <v>894</v>
      </c>
      <c r="AD552" s="20" t="s">
        <v>5084</v>
      </c>
    </row>
    <row r="553" spans="1:30" ht="83.5" customHeight="1">
      <c r="A553" s="12" t="s">
        <v>2113</v>
      </c>
      <c r="B553" s="12" t="s">
        <v>2167</v>
      </c>
      <c r="C553" s="24" t="s">
        <v>24</v>
      </c>
      <c r="D553" s="24" t="s">
        <v>27</v>
      </c>
      <c r="E553" s="12" t="s">
        <v>136</v>
      </c>
      <c r="F553" s="20" t="s">
        <v>167</v>
      </c>
      <c r="G553" s="20"/>
      <c r="H553" s="12" t="s">
        <v>531</v>
      </c>
      <c r="I553" s="12"/>
      <c r="J553" s="80" t="s">
        <v>2308</v>
      </c>
      <c r="K553" s="96">
        <v>0.2</v>
      </c>
      <c r="L553" s="96" t="s">
        <v>2308</v>
      </c>
      <c r="M553" s="96">
        <v>0.5</v>
      </c>
      <c r="N553" s="96" t="s">
        <v>2308</v>
      </c>
      <c r="O553" s="96">
        <v>0.35</v>
      </c>
      <c r="P553" s="96" t="s">
        <v>2308</v>
      </c>
      <c r="Q553" s="96" t="s">
        <v>2308</v>
      </c>
      <c r="R553" s="96" t="s">
        <v>2308</v>
      </c>
      <c r="S553" s="96" t="s">
        <v>2308</v>
      </c>
      <c r="T553" s="96" t="s">
        <v>2308</v>
      </c>
      <c r="U553" s="96" t="s">
        <v>2308</v>
      </c>
      <c r="V553" s="96" t="s">
        <v>2308</v>
      </c>
      <c r="W553" s="96" t="s">
        <v>2308</v>
      </c>
      <c r="X553" s="96" t="s">
        <v>2308</v>
      </c>
      <c r="Y553" s="80">
        <v>12</v>
      </c>
      <c r="Z553" s="12" t="s">
        <v>75</v>
      </c>
      <c r="AA553" s="12" t="s">
        <v>35</v>
      </c>
      <c r="AB553" s="12" t="s">
        <v>64</v>
      </c>
      <c r="AC553" s="20" t="s">
        <v>894</v>
      </c>
      <c r="AD553" s="20" t="s">
        <v>5084</v>
      </c>
    </row>
    <row r="554" spans="1:30" ht="83.5" customHeight="1">
      <c r="A554" s="12" t="s">
        <v>2114</v>
      </c>
      <c r="B554" s="12" t="s">
        <v>2168</v>
      </c>
      <c r="C554" s="24" t="s">
        <v>24</v>
      </c>
      <c r="D554" s="24" t="s">
        <v>27</v>
      </c>
      <c r="E554" s="12" t="s">
        <v>136</v>
      </c>
      <c r="F554" s="20" t="s">
        <v>167</v>
      </c>
      <c r="G554" s="20"/>
      <c r="H554" s="12" t="s">
        <v>531</v>
      </c>
      <c r="I554" s="12"/>
      <c r="J554" s="80" t="s">
        <v>2308</v>
      </c>
      <c r="K554" s="96">
        <v>0.2</v>
      </c>
      <c r="L554" s="96" t="s">
        <v>2308</v>
      </c>
      <c r="M554" s="96">
        <v>0.5</v>
      </c>
      <c r="N554" s="96" t="s">
        <v>2308</v>
      </c>
      <c r="O554" s="96">
        <v>0.35</v>
      </c>
      <c r="P554" s="96" t="s">
        <v>2308</v>
      </c>
      <c r="Q554" s="96" t="s">
        <v>2308</v>
      </c>
      <c r="R554" s="96" t="s">
        <v>2308</v>
      </c>
      <c r="S554" s="96" t="s">
        <v>2308</v>
      </c>
      <c r="T554" s="96" t="s">
        <v>2308</v>
      </c>
      <c r="U554" s="96" t="s">
        <v>2308</v>
      </c>
      <c r="V554" s="96" t="s">
        <v>2308</v>
      </c>
      <c r="W554" s="96" t="s">
        <v>2308</v>
      </c>
      <c r="X554" s="96" t="s">
        <v>2308</v>
      </c>
      <c r="Y554" s="80">
        <v>12</v>
      </c>
      <c r="Z554" s="12" t="s">
        <v>75</v>
      </c>
      <c r="AA554" s="12" t="s">
        <v>35</v>
      </c>
      <c r="AB554" s="12" t="s">
        <v>64</v>
      </c>
      <c r="AC554" s="20" t="s">
        <v>894</v>
      </c>
      <c r="AD554" s="20" t="s">
        <v>5084</v>
      </c>
    </row>
    <row r="555" spans="1:30" ht="83.5" customHeight="1">
      <c r="A555" s="12" t="s">
        <v>2115</v>
      </c>
      <c r="B555" s="12" t="s">
        <v>2169</v>
      </c>
      <c r="C555" s="24" t="s">
        <v>24</v>
      </c>
      <c r="D555" s="24" t="s">
        <v>27</v>
      </c>
      <c r="E555" s="12" t="s">
        <v>136</v>
      </c>
      <c r="F555" s="20" t="s">
        <v>167</v>
      </c>
      <c r="G555" s="20"/>
      <c r="H555" s="12" t="s">
        <v>531</v>
      </c>
      <c r="I555" s="12"/>
      <c r="J555" s="80" t="s">
        <v>2308</v>
      </c>
      <c r="K555" s="96">
        <v>0.2</v>
      </c>
      <c r="L555" s="96" t="s">
        <v>2308</v>
      </c>
      <c r="M555" s="96">
        <v>0.5</v>
      </c>
      <c r="N555" s="96" t="s">
        <v>2308</v>
      </c>
      <c r="O555" s="96">
        <v>0.35</v>
      </c>
      <c r="P555" s="96" t="s">
        <v>2308</v>
      </c>
      <c r="Q555" s="96" t="s">
        <v>2308</v>
      </c>
      <c r="R555" s="96" t="s">
        <v>2308</v>
      </c>
      <c r="S555" s="96" t="s">
        <v>2308</v>
      </c>
      <c r="T555" s="96" t="s">
        <v>2308</v>
      </c>
      <c r="U555" s="96" t="s">
        <v>2308</v>
      </c>
      <c r="V555" s="96" t="s">
        <v>2308</v>
      </c>
      <c r="W555" s="96" t="s">
        <v>2308</v>
      </c>
      <c r="X555" s="96" t="s">
        <v>2308</v>
      </c>
      <c r="Y555" s="80">
        <v>12</v>
      </c>
      <c r="Z555" s="12" t="s">
        <v>75</v>
      </c>
      <c r="AA555" s="12" t="s">
        <v>35</v>
      </c>
      <c r="AB555" s="12" t="s">
        <v>64</v>
      </c>
      <c r="AC555" s="20" t="s">
        <v>894</v>
      </c>
      <c r="AD555" s="20" t="s">
        <v>5084</v>
      </c>
    </row>
    <row r="556" spans="1:30" ht="83.5" customHeight="1">
      <c r="A556" s="12" t="s">
        <v>2116</v>
      </c>
      <c r="B556" s="12" t="s">
        <v>2170</v>
      </c>
      <c r="C556" s="24" t="s">
        <v>24</v>
      </c>
      <c r="D556" s="24" t="s">
        <v>27</v>
      </c>
      <c r="E556" s="12" t="s">
        <v>136</v>
      </c>
      <c r="F556" s="20" t="s">
        <v>167</v>
      </c>
      <c r="G556" s="20"/>
      <c r="H556" s="12" t="s">
        <v>531</v>
      </c>
      <c r="I556" s="12"/>
      <c r="J556" s="80" t="s">
        <v>2308</v>
      </c>
      <c r="K556" s="96">
        <v>0.2</v>
      </c>
      <c r="L556" s="96" t="s">
        <v>2308</v>
      </c>
      <c r="M556" s="96">
        <v>0.5</v>
      </c>
      <c r="N556" s="96" t="s">
        <v>2308</v>
      </c>
      <c r="O556" s="96">
        <v>0.35</v>
      </c>
      <c r="P556" s="96" t="s">
        <v>2308</v>
      </c>
      <c r="Q556" s="96" t="s">
        <v>2308</v>
      </c>
      <c r="R556" s="96" t="s">
        <v>2308</v>
      </c>
      <c r="S556" s="96" t="s">
        <v>2308</v>
      </c>
      <c r="T556" s="96" t="s">
        <v>2308</v>
      </c>
      <c r="U556" s="96" t="s">
        <v>2308</v>
      </c>
      <c r="V556" s="96" t="s">
        <v>2308</v>
      </c>
      <c r="W556" s="96" t="s">
        <v>2308</v>
      </c>
      <c r="X556" s="96" t="s">
        <v>2308</v>
      </c>
      <c r="Y556" s="80">
        <v>12</v>
      </c>
      <c r="Z556" s="12" t="s">
        <v>75</v>
      </c>
      <c r="AA556" s="12" t="s">
        <v>35</v>
      </c>
      <c r="AB556" s="12" t="s">
        <v>64</v>
      </c>
      <c r="AC556" s="20" t="s">
        <v>894</v>
      </c>
      <c r="AD556" s="20" t="s">
        <v>5084</v>
      </c>
    </row>
    <row r="557" spans="1:30" ht="83.5" customHeight="1">
      <c r="A557" s="12" t="s">
        <v>2117</v>
      </c>
      <c r="B557" s="12" t="s">
        <v>2171</v>
      </c>
      <c r="C557" s="24" t="s">
        <v>24</v>
      </c>
      <c r="D557" s="24" t="s">
        <v>27</v>
      </c>
      <c r="E557" s="12" t="s">
        <v>136</v>
      </c>
      <c r="F557" s="20" t="s">
        <v>167</v>
      </c>
      <c r="G557" s="20"/>
      <c r="H557" s="12" t="s">
        <v>531</v>
      </c>
      <c r="I557" s="12"/>
      <c r="J557" s="80" t="s">
        <v>2308</v>
      </c>
      <c r="K557" s="96">
        <v>0.2</v>
      </c>
      <c r="L557" s="96" t="s">
        <v>2308</v>
      </c>
      <c r="M557" s="96">
        <v>0.5</v>
      </c>
      <c r="N557" s="96" t="s">
        <v>2308</v>
      </c>
      <c r="O557" s="96">
        <v>0.35</v>
      </c>
      <c r="P557" s="96" t="s">
        <v>2308</v>
      </c>
      <c r="Q557" s="96" t="s">
        <v>2308</v>
      </c>
      <c r="R557" s="96" t="s">
        <v>2308</v>
      </c>
      <c r="S557" s="96" t="s">
        <v>2308</v>
      </c>
      <c r="T557" s="96" t="s">
        <v>2308</v>
      </c>
      <c r="U557" s="96" t="s">
        <v>2308</v>
      </c>
      <c r="V557" s="96" t="s">
        <v>2308</v>
      </c>
      <c r="W557" s="96" t="s">
        <v>2308</v>
      </c>
      <c r="X557" s="96" t="s">
        <v>2308</v>
      </c>
      <c r="Y557" s="80">
        <v>12</v>
      </c>
      <c r="Z557" s="12" t="s">
        <v>75</v>
      </c>
      <c r="AA557" s="12" t="s">
        <v>35</v>
      </c>
      <c r="AB557" s="12" t="s">
        <v>64</v>
      </c>
      <c r="AC557" s="20" t="s">
        <v>894</v>
      </c>
      <c r="AD557" s="20" t="s">
        <v>5084</v>
      </c>
    </row>
    <row r="558" spans="1:30" ht="83.5" customHeight="1">
      <c r="A558" s="12" t="s">
        <v>2118</v>
      </c>
      <c r="B558" s="12" t="s">
        <v>2172</v>
      </c>
      <c r="C558" s="24" t="s">
        <v>24</v>
      </c>
      <c r="D558" s="24" t="s">
        <v>27</v>
      </c>
      <c r="E558" s="12" t="s">
        <v>136</v>
      </c>
      <c r="F558" s="20" t="s">
        <v>167</v>
      </c>
      <c r="G558" s="20"/>
      <c r="H558" s="12" t="s">
        <v>531</v>
      </c>
      <c r="I558" s="12"/>
      <c r="J558" s="80" t="s">
        <v>2308</v>
      </c>
      <c r="K558" s="96">
        <v>0.2</v>
      </c>
      <c r="L558" s="96" t="s">
        <v>2308</v>
      </c>
      <c r="M558" s="96">
        <v>0.5</v>
      </c>
      <c r="N558" s="96" t="s">
        <v>2308</v>
      </c>
      <c r="O558" s="96">
        <v>0.35</v>
      </c>
      <c r="P558" s="96" t="s">
        <v>2308</v>
      </c>
      <c r="Q558" s="96" t="s">
        <v>2308</v>
      </c>
      <c r="R558" s="96" t="s">
        <v>2308</v>
      </c>
      <c r="S558" s="96" t="s">
        <v>2308</v>
      </c>
      <c r="T558" s="96" t="s">
        <v>2308</v>
      </c>
      <c r="U558" s="96" t="s">
        <v>2308</v>
      </c>
      <c r="V558" s="96" t="s">
        <v>2308</v>
      </c>
      <c r="W558" s="96" t="s">
        <v>2308</v>
      </c>
      <c r="X558" s="96" t="s">
        <v>2308</v>
      </c>
      <c r="Y558" s="80">
        <v>12</v>
      </c>
      <c r="Z558" s="12" t="s">
        <v>75</v>
      </c>
      <c r="AA558" s="12" t="s">
        <v>35</v>
      </c>
      <c r="AB558" s="12" t="s">
        <v>64</v>
      </c>
      <c r="AC558" s="20" t="s">
        <v>894</v>
      </c>
      <c r="AD558" s="20" t="s">
        <v>5084</v>
      </c>
    </row>
    <row r="559" spans="1:30" ht="83.5" customHeight="1">
      <c r="A559" s="12" t="s">
        <v>2119</v>
      </c>
      <c r="B559" s="12" t="s">
        <v>2173</v>
      </c>
      <c r="C559" s="24" t="s">
        <v>24</v>
      </c>
      <c r="D559" s="24" t="s">
        <v>27</v>
      </c>
      <c r="E559" s="12" t="s">
        <v>136</v>
      </c>
      <c r="F559" s="20" t="s">
        <v>167</v>
      </c>
      <c r="G559" s="20"/>
      <c r="H559" s="12" t="s">
        <v>531</v>
      </c>
      <c r="I559" s="12"/>
      <c r="J559" s="80" t="s">
        <v>2308</v>
      </c>
      <c r="K559" s="96">
        <v>0.2</v>
      </c>
      <c r="L559" s="96" t="s">
        <v>2308</v>
      </c>
      <c r="M559" s="96">
        <v>0.5</v>
      </c>
      <c r="N559" s="96" t="s">
        <v>2308</v>
      </c>
      <c r="O559" s="96">
        <v>0.35</v>
      </c>
      <c r="P559" s="96" t="s">
        <v>2308</v>
      </c>
      <c r="Q559" s="96" t="s">
        <v>2308</v>
      </c>
      <c r="R559" s="96" t="s">
        <v>2308</v>
      </c>
      <c r="S559" s="96" t="s">
        <v>2308</v>
      </c>
      <c r="T559" s="96" t="s">
        <v>2308</v>
      </c>
      <c r="U559" s="96" t="s">
        <v>2308</v>
      </c>
      <c r="V559" s="96" t="s">
        <v>2308</v>
      </c>
      <c r="W559" s="96" t="s">
        <v>2308</v>
      </c>
      <c r="X559" s="96" t="s">
        <v>2308</v>
      </c>
      <c r="Y559" s="80">
        <v>12</v>
      </c>
      <c r="Z559" s="12" t="s">
        <v>75</v>
      </c>
      <c r="AA559" s="12" t="s">
        <v>35</v>
      </c>
      <c r="AB559" s="12" t="s">
        <v>64</v>
      </c>
      <c r="AC559" s="20" t="s">
        <v>894</v>
      </c>
      <c r="AD559" s="20" t="s">
        <v>5084</v>
      </c>
    </row>
    <row r="560" spans="1:30" ht="83.5" customHeight="1">
      <c r="A560" s="12" t="s">
        <v>2120</v>
      </c>
      <c r="B560" s="12" t="s">
        <v>2174</v>
      </c>
      <c r="C560" s="24" t="s">
        <v>24</v>
      </c>
      <c r="D560" s="24" t="s">
        <v>27</v>
      </c>
      <c r="E560" s="12" t="s">
        <v>136</v>
      </c>
      <c r="F560" s="20" t="s">
        <v>167</v>
      </c>
      <c r="G560" s="20"/>
      <c r="H560" s="12" t="s">
        <v>531</v>
      </c>
      <c r="I560" s="12"/>
      <c r="J560" s="80" t="s">
        <v>2308</v>
      </c>
      <c r="K560" s="96">
        <v>0.2</v>
      </c>
      <c r="L560" s="96" t="s">
        <v>2308</v>
      </c>
      <c r="M560" s="96">
        <v>0.5</v>
      </c>
      <c r="N560" s="96" t="s">
        <v>2308</v>
      </c>
      <c r="O560" s="96">
        <v>0.35</v>
      </c>
      <c r="P560" s="96" t="s">
        <v>2308</v>
      </c>
      <c r="Q560" s="96" t="s">
        <v>2308</v>
      </c>
      <c r="R560" s="96" t="s">
        <v>2308</v>
      </c>
      <c r="S560" s="96" t="s">
        <v>2308</v>
      </c>
      <c r="T560" s="96" t="s">
        <v>2308</v>
      </c>
      <c r="U560" s="96" t="s">
        <v>2308</v>
      </c>
      <c r="V560" s="96" t="s">
        <v>2308</v>
      </c>
      <c r="W560" s="96" t="s">
        <v>2308</v>
      </c>
      <c r="X560" s="96" t="s">
        <v>2308</v>
      </c>
      <c r="Y560" s="80">
        <v>12</v>
      </c>
      <c r="Z560" s="12" t="s">
        <v>75</v>
      </c>
      <c r="AA560" s="12" t="s">
        <v>35</v>
      </c>
      <c r="AB560" s="12" t="s">
        <v>64</v>
      </c>
      <c r="AC560" s="20" t="s">
        <v>894</v>
      </c>
      <c r="AD560" s="20" t="s">
        <v>5084</v>
      </c>
    </row>
    <row r="561" spans="1:30" ht="83.5" customHeight="1">
      <c r="A561" s="12" t="s">
        <v>2121</v>
      </c>
      <c r="B561" s="12" t="s">
        <v>2175</v>
      </c>
      <c r="C561" s="24" t="s">
        <v>24</v>
      </c>
      <c r="D561" s="24" t="s">
        <v>27</v>
      </c>
      <c r="E561" s="12" t="s">
        <v>136</v>
      </c>
      <c r="F561" s="20" t="s">
        <v>167</v>
      </c>
      <c r="G561" s="20"/>
      <c r="H561" s="12" t="s">
        <v>531</v>
      </c>
      <c r="I561" s="12"/>
      <c r="J561" s="80" t="s">
        <v>2308</v>
      </c>
      <c r="K561" s="96">
        <v>0.2</v>
      </c>
      <c r="L561" s="96" t="s">
        <v>2308</v>
      </c>
      <c r="M561" s="96">
        <v>0.5</v>
      </c>
      <c r="N561" s="96" t="s">
        <v>2308</v>
      </c>
      <c r="O561" s="96">
        <v>0.35</v>
      </c>
      <c r="P561" s="96" t="s">
        <v>2308</v>
      </c>
      <c r="Q561" s="96" t="s">
        <v>2308</v>
      </c>
      <c r="R561" s="96" t="s">
        <v>2308</v>
      </c>
      <c r="S561" s="96" t="s">
        <v>2308</v>
      </c>
      <c r="T561" s="96" t="s">
        <v>2308</v>
      </c>
      <c r="U561" s="96" t="s">
        <v>2308</v>
      </c>
      <c r="V561" s="96" t="s">
        <v>2308</v>
      </c>
      <c r="W561" s="96" t="s">
        <v>2308</v>
      </c>
      <c r="X561" s="96" t="s">
        <v>2308</v>
      </c>
      <c r="Y561" s="80">
        <v>12</v>
      </c>
      <c r="Z561" s="12" t="s">
        <v>75</v>
      </c>
      <c r="AA561" s="12" t="s">
        <v>35</v>
      </c>
      <c r="AB561" s="12" t="s">
        <v>64</v>
      </c>
      <c r="AC561" s="20" t="s">
        <v>894</v>
      </c>
      <c r="AD561" s="20" t="s">
        <v>5084</v>
      </c>
    </row>
    <row r="562" spans="1:30" ht="83.5" customHeight="1">
      <c r="A562" s="12" t="s">
        <v>2122</v>
      </c>
      <c r="B562" s="12" t="s">
        <v>2176</v>
      </c>
      <c r="C562" s="24" t="s">
        <v>24</v>
      </c>
      <c r="D562" s="24" t="s">
        <v>27</v>
      </c>
      <c r="E562" s="12" t="s">
        <v>136</v>
      </c>
      <c r="F562" s="20" t="s">
        <v>167</v>
      </c>
      <c r="G562" s="20"/>
      <c r="H562" s="12" t="s">
        <v>531</v>
      </c>
      <c r="I562" s="12"/>
      <c r="J562" s="80" t="s">
        <v>2308</v>
      </c>
      <c r="K562" s="96">
        <v>0.2</v>
      </c>
      <c r="L562" s="96" t="s">
        <v>2308</v>
      </c>
      <c r="M562" s="96">
        <v>0.5</v>
      </c>
      <c r="N562" s="96" t="s">
        <v>2308</v>
      </c>
      <c r="O562" s="96">
        <v>0.35</v>
      </c>
      <c r="P562" s="96" t="s">
        <v>2308</v>
      </c>
      <c r="Q562" s="96" t="s">
        <v>2308</v>
      </c>
      <c r="R562" s="96" t="s">
        <v>2308</v>
      </c>
      <c r="S562" s="96" t="s">
        <v>2308</v>
      </c>
      <c r="T562" s="96" t="s">
        <v>2308</v>
      </c>
      <c r="U562" s="96" t="s">
        <v>2308</v>
      </c>
      <c r="V562" s="96" t="s">
        <v>2308</v>
      </c>
      <c r="W562" s="96" t="s">
        <v>2308</v>
      </c>
      <c r="X562" s="96" t="s">
        <v>2308</v>
      </c>
      <c r="Y562" s="80">
        <v>12</v>
      </c>
      <c r="Z562" s="12" t="s">
        <v>75</v>
      </c>
      <c r="AA562" s="12" t="s">
        <v>35</v>
      </c>
      <c r="AB562" s="12" t="s">
        <v>64</v>
      </c>
      <c r="AC562" s="20" t="s">
        <v>894</v>
      </c>
      <c r="AD562" s="20" t="s">
        <v>5084</v>
      </c>
    </row>
    <row r="563" spans="1:30" ht="83.5" customHeight="1">
      <c r="A563" s="12" t="s">
        <v>2123</v>
      </c>
      <c r="B563" s="12" t="s">
        <v>2177</v>
      </c>
      <c r="C563" s="24" t="s">
        <v>24</v>
      </c>
      <c r="D563" s="24" t="s">
        <v>27</v>
      </c>
      <c r="E563" s="12" t="s">
        <v>136</v>
      </c>
      <c r="F563" s="20" t="s">
        <v>167</v>
      </c>
      <c r="G563" s="20"/>
      <c r="H563" s="12" t="s">
        <v>531</v>
      </c>
      <c r="I563" s="12"/>
      <c r="J563" s="80" t="s">
        <v>2308</v>
      </c>
      <c r="K563" s="96">
        <v>0.2</v>
      </c>
      <c r="L563" s="96" t="s">
        <v>2308</v>
      </c>
      <c r="M563" s="96">
        <v>0.5</v>
      </c>
      <c r="N563" s="96" t="s">
        <v>2308</v>
      </c>
      <c r="O563" s="96">
        <v>0.35</v>
      </c>
      <c r="P563" s="96" t="s">
        <v>2308</v>
      </c>
      <c r="Q563" s="96" t="s">
        <v>2308</v>
      </c>
      <c r="R563" s="96" t="s">
        <v>2308</v>
      </c>
      <c r="S563" s="96" t="s">
        <v>2308</v>
      </c>
      <c r="T563" s="96" t="s">
        <v>2308</v>
      </c>
      <c r="U563" s="96" t="s">
        <v>2308</v>
      </c>
      <c r="V563" s="96" t="s">
        <v>2308</v>
      </c>
      <c r="W563" s="96" t="s">
        <v>2308</v>
      </c>
      <c r="X563" s="96" t="s">
        <v>2308</v>
      </c>
      <c r="Y563" s="80">
        <v>12</v>
      </c>
      <c r="Z563" s="12" t="s">
        <v>75</v>
      </c>
      <c r="AA563" s="12" t="s">
        <v>35</v>
      </c>
      <c r="AB563" s="12" t="s">
        <v>64</v>
      </c>
      <c r="AC563" s="20" t="s">
        <v>894</v>
      </c>
      <c r="AD563" s="20" t="s">
        <v>5084</v>
      </c>
    </row>
    <row r="564" spans="1:30" ht="83.5" customHeight="1">
      <c r="A564" s="12" t="s">
        <v>2124</v>
      </c>
      <c r="B564" s="12" t="s">
        <v>2178</v>
      </c>
      <c r="C564" s="24" t="s">
        <v>24</v>
      </c>
      <c r="D564" s="24" t="s">
        <v>27</v>
      </c>
      <c r="E564" s="12" t="s">
        <v>136</v>
      </c>
      <c r="F564" s="20" t="s">
        <v>167</v>
      </c>
      <c r="G564" s="20"/>
      <c r="H564" s="12" t="s">
        <v>531</v>
      </c>
      <c r="I564" s="12"/>
      <c r="J564" s="80" t="s">
        <v>2308</v>
      </c>
      <c r="K564" s="96">
        <v>0.2</v>
      </c>
      <c r="L564" s="96" t="s">
        <v>2308</v>
      </c>
      <c r="M564" s="96">
        <v>0.5</v>
      </c>
      <c r="N564" s="96" t="s">
        <v>2308</v>
      </c>
      <c r="O564" s="96">
        <v>0.35</v>
      </c>
      <c r="P564" s="96" t="s">
        <v>2308</v>
      </c>
      <c r="Q564" s="96" t="s">
        <v>2308</v>
      </c>
      <c r="R564" s="96" t="s">
        <v>2308</v>
      </c>
      <c r="S564" s="96" t="s">
        <v>2308</v>
      </c>
      <c r="T564" s="96" t="s">
        <v>2308</v>
      </c>
      <c r="U564" s="96" t="s">
        <v>2308</v>
      </c>
      <c r="V564" s="96" t="s">
        <v>2308</v>
      </c>
      <c r="W564" s="96" t="s">
        <v>2308</v>
      </c>
      <c r="X564" s="96" t="s">
        <v>2308</v>
      </c>
      <c r="Y564" s="80">
        <v>12</v>
      </c>
      <c r="Z564" s="12" t="s">
        <v>75</v>
      </c>
      <c r="AA564" s="12" t="s">
        <v>35</v>
      </c>
      <c r="AB564" s="12" t="s">
        <v>64</v>
      </c>
      <c r="AC564" s="20" t="s">
        <v>894</v>
      </c>
      <c r="AD564" s="20" t="s">
        <v>5084</v>
      </c>
    </row>
    <row r="565" spans="1:30" ht="83.5" customHeight="1">
      <c r="A565" s="12" t="s">
        <v>2125</v>
      </c>
      <c r="B565" s="12" t="s">
        <v>2179</v>
      </c>
      <c r="C565" s="24" t="s">
        <v>24</v>
      </c>
      <c r="D565" s="24" t="s">
        <v>27</v>
      </c>
      <c r="E565" s="12" t="s">
        <v>136</v>
      </c>
      <c r="F565" s="20" t="s">
        <v>167</v>
      </c>
      <c r="G565" s="20"/>
      <c r="H565" s="12" t="s">
        <v>531</v>
      </c>
      <c r="I565" s="12"/>
      <c r="J565" s="80" t="s">
        <v>2308</v>
      </c>
      <c r="K565" s="96">
        <v>0.2</v>
      </c>
      <c r="L565" s="96" t="s">
        <v>2308</v>
      </c>
      <c r="M565" s="96">
        <v>0.5</v>
      </c>
      <c r="N565" s="96" t="s">
        <v>2308</v>
      </c>
      <c r="O565" s="96">
        <v>0.35</v>
      </c>
      <c r="P565" s="96" t="s">
        <v>2308</v>
      </c>
      <c r="Q565" s="96" t="s">
        <v>2308</v>
      </c>
      <c r="R565" s="96" t="s">
        <v>2308</v>
      </c>
      <c r="S565" s="96" t="s">
        <v>2308</v>
      </c>
      <c r="T565" s="96" t="s">
        <v>2308</v>
      </c>
      <c r="U565" s="96" t="s">
        <v>2308</v>
      </c>
      <c r="V565" s="96" t="s">
        <v>2308</v>
      </c>
      <c r="W565" s="96" t="s">
        <v>2308</v>
      </c>
      <c r="X565" s="96" t="s">
        <v>2308</v>
      </c>
      <c r="Y565" s="80">
        <v>12</v>
      </c>
      <c r="Z565" s="12" t="s">
        <v>75</v>
      </c>
      <c r="AA565" s="12" t="s">
        <v>35</v>
      </c>
      <c r="AB565" s="12" t="s">
        <v>64</v>
      </c>
      <c r="AC565" s="20" t="s">
        <v>894</v>
      </c>
      <c r="AD565" s="20" t="s">
        <v>5084</v>
      </c>
    </row>
    <row r="566" spans="1:30" ht="83.5" customHeight="1">
      <c r="A566" s="12" t="s">
        <v>2126</v>
      </c>
      <c r="B566" s="12" t="s">
        <v>2180</v>
      </c>
      <c r="C566" s="24" t="s">
        <v>24</v>
      </c>
      <c r="D566" s="24" t="s">
        <v>27</v>
      </c>
      <c r="E566" s="12" t="s">
        <v>136</v>
      </c>
      <c r="F566" s="20" t="s">
        <v>167</v>
      </c>
      <c r="G566" s="20"/>
      <c r="H566" s="12" t="s">
        <v>531</v>
      </c>
      <c r="I566" s="12"/>
      <c r="J566" s="80" t="s">
        <v>2308</v>
      </c>
      <c r="K566" s="96">
        <v>0.2</v>
      </c>
      <c r="L566" s="96" t="s">
        <v>2308</v>
      </c>
      <c r="M566" s="96">
        <v>0.5</v>
      </c>
      <c r="N566" s="96" t="s">
        <v>2308</v>
      </c>
      <c r="O566" s="96">
        <v>0.35</v>
      </c>
      <c r="P566" s="96" t="s">
        <v>2308</v>
      </c>
      <c r="Q566" s="96" t="s">
        <v>2308</v>
      </c>
      <c r="R566" s="96" t="s">
        <v>2308</v>
      </c>
      <c r="S566" s="96" t="s">
        <v>2308</v>
      </c>
      <c r="T566" s="96" t="s">
        <v>2308</v>
      </c>
      <c r="U566" s="96" t="s">
        <v>2308</v>
      </c>
      <c r="V566" s="96" t="s">
        <v>2308</v>
      </c>
      <c r="W566" s="96" t="s">
        <v>2308</v>
      </c>
      <c r="X566" s="96" t="s">
        <v>2308</v>
      </c>
      <c r="Y566" s="80">
        <v>12</v>
      </c>
      <c r="Z566" s="12" t="s">
        <v>75</v>
      </c>
      <c r="AA566" s="12" t="s">
        <v>35</v>
      </c>
      <c r="AB566" s="12" t="s">
        <v>64</v>
      </c>
      <c r="AC566" s="20" t="s">
        <v>894</v>
      </c>
      <c r="AD566" s="20" t="s">
        <v>5084</v>
      </c>
    </row>
    <row r="567" spans="1:30" ht="83.5" customHeight="1">
      <c r="A567" s="12" t="s">
        <v>2127</v>
      </c>
      <c r="B567" s="12" t="s">
        <v>2181</v>
      </c>
      <c r="C567" s="24" t="s">
        <v>24</v>
      </c>
      <c r="D567" s="24" t="s">
        <v>27</v>
      </c>
      <c r="E567" s="12" t="s">
        <v>136</v>
      </c>
      <c r="F567" s="20" t="s">
        <v>167</v>
      </c>
      <c r="G567" s="20"/>
      <c r="H567" s="12" t="s">
        <v>531</v>
      </c>
      <c r="I567" s="12"/>
      <c r="J567" s="80" t="s">
        <v>2308</v>
      </c>
      <c r="K567" s="96">
        <v>0.2</v>
      </c>
      <c r="L567" s="96" t="s">
        <v>2308</v>
      </c>
      <c r="M567" s="96">
        <v>0.5</v>
      </c>
      <c r="N567" s="96" t="s">
        <v>2308</v>
      </c>
      <c r="O567" s="96">
        <v>0.35</v>
      </c>
      <c r="P567" s="96" t="s">
        <v>2308</v>
      </c>
      <c r="Q567" s="96" t="s">
        <v>2308</v>
      </c>
      <c r="R567" s="96" t="s">
        <v>2308</v>
      </c>
      <c r="S567" s="96" t="s">
        <v>2308</v>
      </c>
      <c r="T567" s="96" t="s">
        <v>2308</v>
      </c>
      <c r="U567" s="96" t="s">
        <v>2308</v>
      </c>
      <c r="V567" s="96" t="s">
        <v>2308</v>
      </c>
      <c r="W567" s="96" t="s">
        <v>2308</v>
      </c>
      <c r="X567" s="96" t="s">
        <v>2308</v>
      </c>
      <c r="Y567" s="80">
        <v>12</v>
      </c>
      <c r="Z567" s="12" t="s">
        <v>75</v>
      </c>
      <c r="AA567" s="12" t="s">
        <v>35</v>
      </c>
      <c r="AB567" s="12" t="s">
        <v>64</v>
      </c>
      <c r="AC567" s="20" t="s">
        <v>894</v>
      </c>
      <c r="AD567" s="20" t="s">
        <v>5084</v>
      </c>
    </row>
    <row r="568" spans="1:30" ht="83.5" customHeight="1">
      <c r="A568" s="12" t="s">
        <v>2128</v>
      </c>
      <c r="B568" s="12" t="s">
        <v>2182</v>
      </c>
      <c r="C568" s="24" t="s">
        <v>24</v>
      </c>
      <c r="D568" s="24" t="s">
        <v>27</v>
      </c>
      <c r="E568" s="12" t="s">
        <v>136</v>
      </c>
      <c r="F568" s="20" t="s">
        <v>167</v>
      </c>
      <c r="G568" s="20"/>
      <c r="H568" s="12" t="s">
        <v>531</v>
      </c>
      <c r="I568" s="12"/>
      <c r="J568" s="80" t="s">
        <v>2308</v>
      </c>
      <c r="K568" s="96">
        <v>0.2</v>
      </c>
      <c r="L568" s="96" t="s">
        <v>2308</v>
      </c>
      <c r="M568" s="96">
        <v>0.5</v>
      </c>
      <c r="N568" s="96" t="s">
        <v>2308</v>
      </c>
      <c r="O568" s="96">
        <v>0.35</v>
      </c>
      <c r="P568" s="96" t="s">
        <v>2308</v>
      </c>
      <c r="Q568" s="96" t="s">
        <v>2308</v>
      </c>
      <c r="R568" s="96" t="s">
        <v>2308</v>
      </c>
      <c r="S568" s="96" t="s">
        <v>2308</v>
      </c>
      <c r="T568" s="96" t="s">
        <v>2308</v>
      </c>
      <c r="U568" s="96" t="s">
        <v>2308</v>
      </c>
      <c r="V568" s="96" t="s">
        <v>2308</v>
      </c>
      <c r="W568" s="96" t="s">
        <v>2308</v>
      </c>
      <c r="X568" s="96" t="s">
        <v>2308</v>
      </c>
      <c r="Y568" s="80">
        <v>12</v>
      </c>
      <c r="Z568" s="12" t="s">
        <v>75</v>
      </c>
      <c r="AA568" s="12" t="s">
        <v>35</v>
      </c>
      <c r="AB568" s="12" t="s">
        <v>64</v>
      </c>
      <c r="AC568" s="20" t="s">
        <v>894</v>
      </c>
      <c r="AD568" s="20" t="s">
        <v>5084</v>
      </c>
    </row>
    <row r="569" spans="1:30" ht="83.5" customHeight="1">
      <c r="A569" s="12" t="s">
        <v>2129</v>
      </c>
      <c r="B569" s="12" t="s">
        <v>2183</v>
      </c>
      <c r="C569" s="24" t="s">
        <v>24</v>
      </c>
      <c r="D569" s="24" t="s">
        <v>27</v>
      </c>
      <c r="E569" s="12" t="s">
        <v>136</v>
      </c>
      <c r="F569" s="20" t="s">
        <v>167</v>
      </c>
      <c r="G569" s="20"/>
      <c r="H569" s="12" t="s">
        <v>531</v>
      </c>
      <c r="I569" s="12"/>
      <c r="J569" s="80" t="s">
        <v>2308</v>
      </c>
      <c r="K569" s="96">
        <v>0.2</v>
      </c>
      <c r="L569" s="96" t="s">
        <v>2308</v>
      </c>
      <c r="M569" s="96">
        <v>0.5</v>
      </c>
      <c r="N569" s="96" t="s">
        <v>2308</v>
      </c>
      <c r="O569" s="96">
        <v>0.35</v>
      </c>
      <c r="P569" s="96" t="s">
        <v>2308</v>
      </c>
      <c r="Q569" s="96" t="s">
        <v>2308</v>
      </c>
      <c r="R569" s="96" t="s">
        <v>2308</v>
      </c>
      <c r="S569" s="96" t="s">
        <v>2308</v>
      </c>
      <c r="T569" s="96" t="s">
        <v>2308</v>
      </c>
      <c r="U569" s="96" t="s">
        <v>2308</v>
      </c>
      <c r="V569" s="96" t="s">
        <v>2308</v>
      </c>
      <c r="W569" s="96" t="s">
        <v>2308</v>
      </c>
      <c r="X569" s="96" t="s">
        <v>2308</v>
      </c>
      <c r="Y569" s="80">
        <v>12</v>
      </c>
      <c r="Z569" s="12" t="s">
        <v>75</v>
      </c>
      <c r="AA569" s="12" t="s">
        <v>35</v>
      </c>
      <c r="AB569" s="12" t="s">
        <v>64</v>
      </c>
      <c r="AC569" s="20" t="s">
        <v>894</v>
      </c>
      <c r="AD569" s="20" t="s">
        <v>5084</v>
      </c>
    </row>
    <row r="570" spans="1:30" ht="83.5" customHeight="1">
      <c r="A570" s="12" t="s">
        <v>2130</v>
      </c>
      <c r="B570" s="12" t="s">
        <v>2184</v>
      </c>
      <c r="C570" s="24" t="s">
        <v>24</v>
      </c>
      <c r="D570" s="24" t="s">
        <v>27</v>
      </c>
      <c r="E570" s="12" t="s">
        <v>136</v>
      </c>
      <c r="F570" s="20" t="s">
        <v>167</v>
      </c>
      <c r="G570" s="20"/>
      <c r="H570" s="12" t="s">
        <v>531</v>
      </c>
      <c r="I570" s="12"/>
      <c r="J570" s="80" t="s">
        <v>2308</v>
      </c>
      <c r="K570" s="96">
        <v>0.2</v>
      </c>
      <c r="L570" s="96" t="s">
        <v>2308</v>
      </c>
      <c r="M570" s="96">
        <v>0.5</v>
      </c>
      <c r="N570" s="96" t="s">
        <v>2308</v>
      </c>
      <c r="O570" s="96">
        <v>0.35</v>
      </c>
      <c r="P570" s="96" t="s">
        <v>2308</v>
      </c>
      <c r="Q570" s="96" t="s">
        <v>2308</v>
      </c>
      <c r="R570" s="96" t="s">
        <v>2308</v>
      </c>
      <c r="S570" s="96" t="s">
        <v>2308</v>
      </c>
      <c r="T570" s="96" t="s">
        <v>2308</v>
      </c>
      <c r="U570" s="96" t="s">
        <v>2308</v>
      </c>
      <c r="V570" s="96" t="s">
        <v>2308</v>
      </c>
      <c r="W570" s="96" t="s">
        <v>2308</v>
      </c>
      <c r="X570" s="96" t="s">
        <v>2308</v>
      </c>
      <c r="Y570" s="80">
        <v>12</v>
      </c>
      <c r="Z570" s="12" t="s">
        <v>75</v>
      </c>
      <c r="AA570" s="12" t="s">
        <v>35</v>
      </c>
      <c r="AB570" s="12" t="s">
        <v>64</v>
      </c>
      <c r="AC570" s="20" t="s">
        <v>894</v>
      </c>
      <c r="AD570" s="20" t="s">
        <v>5084</v>
      </c>
    </row>
    <row r="571" spans="1:30" ht="83.5" customHeight="1">
      <c r="A571" s="12" t="s">
        <v>2131</v>
      </c>
      <c r="B571" s="12" t="s">
        <v>2185</v>
      </c>
      <c r="C571" s="24" t="s">
        <v>24</v>
      </c>
      <c r="D571" s="24" t="s">
        <v>27</v>
      </c>
      <c r="E571" s="12" t="s">
        <v>136</v>
      </c>
      <c r="F571" s="20" t="s">
        <v>167</v>
      </c>
      <c r="G571" s="20"/>
      <c r="H571" s="12" t="s">
        <v>531</v>
      </c>
      <c r="I571" s="12"/>
      <c r="J571" s="80" t="s">
        <v>2308</v>
      </c>
      <c r="K571" s="96">
        <v>0.2</v>
      </c>
      <c r="L571" s="96" t="s">
        <v>2308</v>
      </c>
      <c r="M571" s="96">
        <v>0.5</v>
      </c>
      <c r="N571" s="96" t="s">
        <v>2308</v>
      </c>
      <c r="O571" s="96">
        <v>0.35</v>
      </c>
      <c r="P571" s="96" t="s">
        <v>2308</v>
      </c>
      <c r="Q571" s="96" t="s">
        <v>2308</v>
      </c>
      <c r="R571" s="96" t="s">
        <v>2308</v>
      </c>
      <c r="S571" s="96" t="s">
        <v>2308</v>
      </c>
      <c r="T571" s="96" t="s">
        <v>2308</v>
      </c>
      <c r="U571" s="96" t="s">
        <v>2308</v>
      </c>
      <c r="V571" s="96" t="s">
        <v>2308</v>
      </c>
      <c r="W571" s="96" t="s">
        <v>2308</v>
      </c>
      <c r="X571" s="96" t="s">
        <v>2308</v>
      </c>
      <c r="Y571" s="80">
        <v>12</v>
      </c>
      <c r="Z571" s="12" t="s">
        <v>75</v>
      </c>
      <c r="AA571" s="12" t="s">
        <v>35</v>
      </c>
      <c r="AB571" s="12" t="s">
        <v>64</v>
      </c>
      <c r="AC571" s="20" t="s">
        <v>894</v>
      </c>
      <c r="AD571" s="20" t="s">
        <v>5084</v>
      </c>
    </row>
    <row r="572" spans="1:30" ht="83.5" customHeight="1">
      <c r="A572" s="12" t="s">
        <v>2132</v>
      </c>
      <c r="B572" s="12" t="s">
        <v>2186</v>
      </c>
      <c r="C572" s="24" t="s">
        <v>24</v>
      </c>
      <c r="D572" s="24" t="s">
        <v>27</v>
      </c>
      <c r="E572" s="12" t="s">
        <v>136</v>
      </c>
      <c r="F572" s="20" t="s">
        <v>167</v>
      </c>
      <c r="G572" s="20"/>
      <c r="H572" s="12" t="s">
        <v>531</v>
      </c>
      <c r="I572" s="12"/>
      <c r="J572" s="80" t="s">
        <v>2308</v>
      </c>
      <c r="K572" s="96">
        <v>0.2</v>
      </c>
      <c r="L572" s="96" t="s">
        <v>2308</v>
      </c>
      <c r="M572" s="96">
        <v>0.5</v>
      </c>
      <c r="N572" s="96" t="s">
        <v>2308</v>
      </c>
      <c r="O572" s="96">
        <v>0.35</v>
      </c>
      <c r="P572" s="96" t="s">
        <v>2308</v>
      </c>
      <c r="Q572" s="96" t="s">
        <v>2308</v>
      </c>
      <c r="R572" s="96" t="s">
        <v>2308</v>
      </c>
      <c r="S572" s="96" t="s">
        <v>2308</v>
      </c>
      <c r="T572" s="96" t="s">
        <v>2308</v>
      </c>
      <c r="U572" s="96" t="s">
        <v>2308</v>
      </c>
      <c r="V572" s="96" t="s">
        <v>2308</v>
      </c>
      <c r="W572" s="96" t="s">
        <v>2308</v>
      </c>
      <c r="X572" s="96" t="s">
        <v>2308</v>
      </c>
      <c r="Y572" s="80">
        <v>12</v>
      </c>
      <c r="Z572" s="12" t="s">
        <v>75</v>
      </c>
      <c r="AA572" s="12" t="s">
        <v>35</v>
      </c>
      <c r="AB572" s="12" t="s">
        <v>64</v>
      </c>
      <c r="AC572" s="20" t="s">
        <v>894</v>
      </c>
      <c r="AD572" s="20" t="s">
        <v>5084</v>
      </c>
    </row>
    <row r="573" spans="1:30" ht="83.5" customHeight="1">
      <c r="A573" s="12" t="s">
        <v>2133</v>
      </c>
      <c r="B573" s="12" t="s">
        <v>2187</v>
      </c>
      <c r="C573" s="24" t="s">
        <v>24</v>
      </c>
      <c r="D573" s="24" t="s">
        <v>27</v>
      </c>
      <c r="E573" s="12" t="s">
        <v>136</v>
      </c>
      <c r="F573" s="20" t="s">
        <v>167</v>
      </c>
      <c r="G573" s="20"/>
      <c r="H573" s="12" t="s">
        <v>531</v>
      </c>
      <c r="I573" s="12"/>
      <c r="J573" s="80" t="s">
        <v>2308</v>
      </c>
      <c r="K573" s="96">
        <v>0.2</v>
      </c>
      <c r="L573" s="96" t="s">
        <v>2308</v>
      </c>
      <c r="M573" s="96">
        <v>0.5</v>
      </c>
      <c r="N573" s="96" t="s">
        <v>2308</v>
      </c>
      <c r="O573" s="96">
        <v>0.35</v>
      </c>
      <c r="P573" s="96" t="s">
        <v>2308</v>
      </c>
      <c r="Q573" s="96" t="s">
        <v>2308</v>
      </c>
      <c r="R573" s="96" t="s">
        <v>2308</v>
      </c>
      <c r="S573" s="96" t="s">
        <v>2308</v>
      </c>
      <c r="T573" s="96" t="s">
        <v>2308</v>
      </c>
      <c r="U573" s="96" t="s">
        <v>2308</v>
      </c>
      <c r="V573" s="96" t="s">
        <v>2308</v>
      </c>
      <c r="W573" s="96" t="s">
        <v>2308</v>
      </c>
      <c r="X573" s="96" t="s">
        <v>2308</v>
      </c>
      <c r="Y573" s="80">
        <v>12</v>
      </c>
      <c r="Z573" s="12" t="s">
        <v>75</v>
      </c>
      <c r="AA573" s="12" t="s">
        <v>35</v>
      </c>
      <c r="AB573" s="12" t="s">
        <v>64</v>
      </c>
      <c r="AC573" s="20" t="s">
        <v>894</v>
      </c>
      <c r="AD573" s="20" t="s">
        <v>5084</v>
      </c>
    </row>
    <row r="574" spans="1:30" ht="83.5" customHeight="1">
      <c r="A574" s="12" t="s">
        <v>2134</v>
      </c>
      <c r="B574" s="12" t="s">
        <v>2188</v>
      </c>
      <c r="C574" s="24" t="s">
        <v>24</v>
      </c>
      <c r="D574" s="24" t="s">
        <v>27</v>
      </c>
      <c r="E574" s="12" t="s">
        <v>136</v>
      </c>
      <c r="F574" s="20" t="s">
        <v>167</v>
      </c>
      <c r="G574" s="20"/>
      <c r="H574" s="12" t="s">
        <v>531</v>
      </c>
      <c r="I574" s="12"/>
      <c r="J574" s="80" t="s">
        <v>2308</v>
      </c>
      <c r="K574" s="96">
        <v>0.2</v>
      </c>
      <c r="L574" s="96" t="s">
        <v>2308</v>
      </c>
      <c r="M574" s="96">
        <v>0.5</v>
      </c>
      <c r="N574" s="96" t="s">
        <v>2308</v>
      </c>
      <c r="O574" s="96">
        <v>0.35</v>
      </c>
      <c r="P574" s="96" t="s">
        <v>2308</v>
      </c>
      <c r="Q574" s="96" t="s">
        <v>2308</v>
      </c>
      <c r="R574" s="96" t="s">
        <v>2308</v>
      </c>
      <c r="S574" s="96" t="s">
        <v>2308</v>
      </c>
      <c r="T574" s="96" t="s">
        <v>2308</v>
      </c>
      <c r="U574" s="96" t="s">
        <v>2308</v>
      </c>
      <c r="V574" s="96" t="s">
        <v>2308</v>
      </c>
      <c r="W574" s="96" t="s">
        <v>2308</v>
      </c>
      <c r="X574" s="96" t="s">
        <v>2308</v>
      </c>
      <c r="Y574" s="80">
        <v>12</v>
      </c>
      <c r="Z574" s="12" t="s">
        <v>75</v>
      </c>
      <c r="AA574" s="12" t="s">
        <v>35</v>
      </c>
      <c r="AB574" s="12" t="s">
        <v>64</v>
      </c>
      <c r="AC574" s="20" t="s">
        <v>894</v>
      </c>
      <c r="AD574" s="20" t="s">
        <v>5084</v>
      </c>
    </row>
    <row r="575" spans="1:30" ht="83.5" customHeight="1">
      <c r="A575" s="12" t="s">
        <v>2135</v>
      </c>
      <c r="B575" s="12" t="s">
        <v>2189</v>
      </c>
      <c r="C575" s="24" t="s">
        <v>24</v>
      </c>
      <c r="D575" s="24" t="s">
        <v>27</v>
      </c>
      <c r="E575" s="12" t="s">
        <v>136</v>
      </c>
      <c r="F575" s="20" t="s">
        <v>167</v>
      </c>
      <c r="G575" s="20"/>
      <c r="H575" s="12" t="s">
        <v>531</v>
      </c>
      <c r="I575" s="12"/>
      <c r="J575" s="80" t="s">
        <v>2308</v>
      </c>
      <c r="K575" s="96">
        <v>0.2</v>
      </c>
      <c r="L575" s="96" t="s">
        <v>2308</v>
      </c>
      <c r="M575" s="96">
        <v>0.5</v>
      </c>
      <c r="N575" s="96" t="s">
        <v>2308</v>
      </c>
      <c r="O575" s="96">
        <v>0.35</v>
      </c>
      <c r="P575" s="96" t="s">
        <v>2308</v>
      </c>
      <c r="Q575" s="96" t="s">
        <v>2308</v>
      </c>
      <c r="R575" s="96" t="s">
        <v>2308</v>
      </c>
      <c r="S575" s="96" t="s">
        <v>2308</v>
      </c>
      <c r="T575" s="96" t="s">
        <v>2308</v>
      </c>
      <c r="U575" s="96" t="s">
        <v>2308</v>
      </c>
      <c r="V575" s="96" t="s">
        <v>2308</v>
      </c>
      <c r="W575" s="96" t="s">
        <v>2308</v>
      </c>
      <c r="X575" s="96" t="s">
        <v>2308</v>
      </c>
      <c r="Y575" s="80">
        <v>12</v>
      </c>
      <c r="Z575" s="12" t="s">
        <v>75</v>
      </c>
      <c r="AA575" s="12" t="s">
        <v>35</v>
      </c>
      <c r="AB575" s="12" t="s">
        <v>64</v>
      </c>
      <c r="AC575" s="20" t="s">
        <v>894</v>
      </c>
      <c r="AD575" s="20" t="s">
        <v>5084</v>
      </c>
    </row>
    <row r="576" spans="1:30" ht="83.5" customHeight="1">
      <c r="A576" s="12" t="s">
        <v>2136</v>
      </c>
      <c r="B576" s="12" t="s">
        <v>2190</v>
      </c>
      <c r="C576" s="24" t="s">
        <v>24</v>
      </c>
      <c r="D576" s="24" t="s">
        <v>27</v>
      </c>
      <c r="E576" s="12" t="s">
        <v>136</v>
      </c>
      <c r="F576" s="20" t="s">
        <v>167</v>
      </c>
      <c r="G576" s="20"/>
      <c r="H576" s="12" t="s">
        <v>531</v>
      </c>
      <c r="I576" s="12"/>
      <c r="J576" s="80" t="s">
        <v>2308</v>
      </c>
      <c r="K576" s="96">
        <v>0.2</v>
      </c>
      <c r="L576" s="96" t="s">
        <v>2308</v>
      </c>
      <c r="M576" s="96">
        <v>0.5</v>
      </c>
      <c r="N576" s="96" t="s">
        <v>2308</v>
      </c>
      <c r="O576" s="96">
        <v>0.35</v>
      </c>
      <c r="P576" s="96" t="s">
        <v>2308</v>
      </c>
      <c r="Q576" s="96" t="s">
        <v>2308</v>
      </c>
      <c r="R576" s="96" t="s">
        <v>2308</v>
      </c>
      <c r="S576" s="96" t="s">
        <v>2308</v>
      </c>
      <c r="T576" s="96" t="s">
        <v>2308</v>
      </c>
      <c r="U576" s="96" t="s">
        <v>2308</v>
      </c>
      <c r="V576" s="96" t="s">
        <v>2308</v>
      </c>
      <c r="W576" s="96" t="s">
        <v>2308</v>
      </c>
      <c r="X576" s="96" t="s">
        <v>2308</v>
      </c>
      <c r="Y576" s="80">
        <v>12</v>
      </c>
      <c r="Z576" s="12" t="s">
        <v>75</v>
      </c>
      <c r="AA576" s="12" t="s">
        <v>35</v>
      </c>
      <c r="AB576" s="12" t="s">
        <v>64</v>
      </c>
      <c r="AC576" s="20" t="s">
        <v>894</v>
      </c>
      <c r="AD576" s="20" t="s">
        <v>5084</v>
      </c>
    </row>
    <row r="577" spans="1:30" ht="83.5" customHeight="1">
      <c r="A577" s="12" t="s">
        <v>2137</v>
      </c>
      <c r="B577" s="12" t="s">
        <v>2191</v>
      </c>
      <c r="C577" s="24" t="s">
        <v>24</v>
      </c>
      <c r="D577" s="24" t="s">
        <v>27</v>
      </c>
      <c r="E577" s="12" t="s">
        <v>136</v>
      </c>
      <c r="F577" s="20" t="s">
        <v>167</v>
      </c>
      <c r="G577" s="20"/>
      <c r="H577" s="12" t="s">
        <v>531</v>
      </c>
      <c r="I577" s="12"/>
      <c r="J577" s="80" t="s">
        <v>2308</v>
      </c>
      <c r="K577" s="96">
        <v>0.2</v>
      </c>
      <c r="L577" s="96" t="s">
        <v>2308</v>
      </c>
      <c r="M577" s="96">
        <v>0.5</v>
      </c>
      <c r="N577" s="96" t="s">
        <v>2308</v>
      </c>
      <c r="O577" s="96">
        <v>0.35</v>
      </c>
      <c r="P577" s="96" t="s">
        <v>2308</v>
      </c>
      <c r="Q577" s="96" t="s">
        <v>2308</v>
      </c>
      <c r="R577" s="96" t="s">
        <v>2308</v>
      </c>
      <c r="S577" s="96" t="s">
        <v>2308</v>
      </c>
      <c r="T577" s="96" t="s">
        <v>2308</v>
      </c>
      <c r="U577" s="96" t="s">
        <v>2308</v>
      </c>
      <c r="V577" s="96" t="s">
        <v>2308</v>
      </c>
      <c r="W577" s="96" t="s">
        <v>2308</v>
      </c>
      <c r="X577" s="96" t="s">
        <v>2308</v>
      </c>
      <c r="Y577" s="80">
        <v>12</v>
      </c>
      <c r="Z577" s="12" t="s">
        <v>75</v>
      </c>
      <c r="AA577" s="12" t="s">
        <v>35</v>
      </c>
      <c r="AB577" s="12" t="s">
        <v>64</v>
      </c>
      <c r="AC577" s="20" t="s">
        <v>894</v>
      </c>
      <c r="AD577" s="20" t="s">
        <v>5084</v>
      </c>
    </row>
    <row r="578" spans="1:30" ht="83.5" customHeight="1">
      <c r="A578" s="12" t="s">
        <v>2138</v>
      </c>
      <c r="B578" s="12" t="s">
        <v>2192</v>
      </c>
      <c r="C578" s="24" t="s">
        <v>24</v>
      </c>
      <c r="D578" s="24" t="s">
        <v>27</v>
      </c>
      <c r="E578" s="12" t="s">
        <v>136</v>
      </c>
      <c r="F578" s="20" t="s">
        <v>167</v>
      </c>
      <c r="G578" s="20"/>
      <c r="H578" s="12" t="s">
        <v>531</v>
      </c>
      <c r="I578" s="12"/>
      <c r="J578" s="80" t="s">
        <v>2308</v>
      </c>
      <c r="K578" s="96">
        <v>0.2</v>
      </c>
      <c r="L578" s="96" t="s">
        <v>2308</v>
      </c>
      <c r="M578" s="96">
        <v>0.5</v>
      </c>
      <c r="N578" s="96" t="s">
        <v>2308</v>
      </c>
      <c r="O578" s="96">
        <v>0.35</v>
      </c>
      <c r="P578" s="96" t="s">
        <v>2308</v>
      </c>
      <c r="Q578" s="96" t="s">
        <v>2308</v>
      </c>
      <c r="R578" s="96" t="s">
        <v>2308</v>
      </c>
      <c r="S578" s="96" t="s">
        <v>2308</v>
      </c>
      <c r="T578" s="96" t="s">
        <v>2308</v>
      </c>
      <c r="U578" s="96" t="s">
        <v>2308</v>
      </c>
      <c r="V578" s="96" t="s">
        <v>2308</v>
      </c>
      <c r="W578" s="96" t="s">
        <v>2308</v>
      </c>
      <c r="X578" s="96" t="s">
        <v>2308</v>
      </c>
      <c r="Y578" s="80">
        <v>12</v>
      </c>
      <c r="Z578" s="12" t="s">
        <v>75</v>
      </c>
      <c r="AA578" s="12" t="s">
        <v>35</v>
      </c>
      <c r="AB578" s="12" t="s">
        <v>64</v>
      </c>
      <c r="AC578" s="20" t="s">
        <v>894</v>
      </c>
      <c r="AD578" s="20" t="s">
        <v>5084</v>
      </c>
    </row>
    <row r="579" spans="1:30" ht="83.5" customHeight="1">
      <c r="A579" s="12" t="s">
        <v>2139</v>
      </c>
      <c r="B579" s="12" t="s">
        <v>2193</v>
      </c>
      <c r="C579" s="24" t="s">
        <v>24</v>
      </c>
      <c r="D579" s="24" t="s">
        <v>27</v>
      </c>
      <c r="E579" s="12" t="s">
        <v>136</v>
      </c>
      <c r="F579" s="20" t="s">
        <v>167</v>
      </c>
      <c r="G579" s="20"/>
      <c r="H579" s="12" t="s">
        <v>531</v>
      </c>
      <c r="I579" s="12"/>
      <c r="J579" s="80" t="s">
        <v>2308</v>
      </c>
      <c r="K579" s="96">
        <v>0.2</v>
      </c>
      <c r="L579" s="96" t="s">
        <v>2308</v>
      </c>
      <c r="M579" s="96">
        <v>0.5</v>
      </c>
      <c r="N579" s="96" t="s">
        <v>2308</v>
      </c>
      <c r="O579" s="96">
        <v>0.35</v>
      </c>
      <c r="P579" s="96" t="s">
        <v>2308</v>
      </c>
      <c r="Q579" s="96" t="s">
        <v>2308</v>
      </c>
      <c r="R579" s="96" t="s">
        <v>2308</v>
      </c>
      <c r="S579" s="96" t="s">
        <v>2308</v>
      </c>
      <c r="T579" s="96" t="s">
        <v>2308</v>
      </c>
      <c r="U579" s="96" t="s">
        <v>2308</v>
      </c>
      <c r="V579" s="96" t="s">
        <v>2308</v>
      </c>
      <c r="W579" s="96" t="s">
        <v>2308</v>
      </c>
      <c r="X579" s="96" t="s">
        <v>2308</v>
      </c>
      <c r="Y579" s="80">
        <v>12</v>
      </c>
      <c r="Z579" s="12" t="s">
        <v>75</v>
      </c>
      <c r="AA579" s="12" t="s">
        <v>35</v>
      </c>
      <c r="AB579" s="12" t="s">
        <v>64</v>
      </c>
      <c r="AC579" s="20" t="s">
        <v>894</v>
      </c>
      <c r="AD579" s="20" t="s">
        <v>5084</v>
      </c>
    </row>
    <row r="580" spans="1:30" ht="83.5" customHeight="1">
      <c r="A580" s="12" t="s">
        <v>2140</v>
      </c>
      <c r="B580" s="12" t="s">
        <v>2194</v>
      </c>
      <c r="C580" s="24" t="s">
        <v>24</v>
      </c>
      <c r="D580" s="24" t="s">
        <v>27</v>
      </c>
      <c r="E580" s="12" t="s">
        <v>136</v>
      </c>
      <c r="F580" s="20" t="s">
        <v>167</v>
      </c>
      <c r="G580" s="20"/>
      <c r="H580" s="12" t="s">
        <v>531</v>
      </c>
      <c r="I580" s="12"/>
      <c r="J580" s="80" t="s">
        <v>2308</v>
      </c>
      <c r="K580" s="96">
        <v>0.2</v>
      </c>
      <c r="L580" s="96" t="s">
        <v>2308</v>
      </c>
      <c r="M580" s="96">
        <v>0.5</v>
      </c>
      <c r="N580" s="96" t="s">
        <v>2308</v>
      </c>
      <c r="O580" s="96">
        <v>0.35</v>
      </c>
      <c r="P580" s="96" t="s">
        <v>2308</v>
      </c>
      <c r="Q580" s="96" t="s">
        <v>2308</v>
      </c>
      <c r="R580" s="96" t="s">
        <v>2308</v>
      </c>
      <c r="S580" s="96" t="s">
        <v>2308</v>
      </c>
      <c r="T580" s="96" t="s">
        <v>2308</v>
      </c>
      <c r="U580" s="96" t="s">
        <v>2308</v>
      </c>
      <c r="V580" s="96" t="s">
        <v>2308</v>
      </c>
      <c r="W580" s="96" t="s">
        <v>2308</v>
      </c>
      <c r="X580" s="96" t="s">
        <v>2308</v>
      </c>
      <c r="Y580" s="80">
        <v>12</v>
      </c>
      <c r="Z580" s="12" t="s">
        <v>75</v>
      </c>
      <c r="AA580" s="12" t="s">
        <v>35</v>
      </c>
      <c r="AB580" s="12" t="s">
        <v>64</v>
      </c>
      <c r="AC580" s="20" t="s">
        <v>894</v>
      </c>
      <c r="AD580" s="20" t="s">
        <v>5084</v>
      </c>
    </row>
    <row r="581" spans="1:30" ht="83.5" customHeight="1">
      <c r="A581" s="12" t="s">
        <v>2141</v>
      </c>
      <c r="B581" s="12" t="s">
        <v>2195</v>
      </c>
      <c r="C581" s="24" t="s">
        <v>24</v>
      </c>
      <c r="D581" s="24" t="s">
        <v>27</v>
      </c>
      <c r="E581" s="12" t="s">
        <v>136</v>
      </c>
      <c r="F581" s="20" t="s">
        <v>167</v>
      </c>
      <c r="G581" s="20"/>
      <c r="H581" s="12" t="s">
        <v>531</v>
      </c>
      <c r="I581" s="12"/>
      <c r="J581" s="80" t="s">
        <v>2308</v>
      </c>
      <c r="K581" s="96">
        <v>0.2</v>
      </c>
      <c r="L581" s="96" t="s">
        <v>2308</v>
      </c>
      <c r="M581" s="96">
        <v>0.5</v>
      </c>
      <c r="N581" s="96" t="s">
        <v>2308</v>
      </c>
      <c r="O581" s="96">
        <v>0.35</v>
      </c>
      <c r="P581" s="96" t="s">
        <v>2308</v>
      </c>
      <c r="Q581" s="96" t="s">
        <v>2308</v>
      </c>
      <c r="R581" s="96" t="s">
        <v>2308</v>
      </c>
      <c r="S581" s="96" t="s">
        <v>2308</v>
      </c>
      <c r="T581" s="96" t="s">
        <v>2308</v>
      </c>
      <c r="U581" s="96" t="s">
        <v>2308</v>
      </c>
      <c r="V581" s="96" t="s">
        <v>2308</v>
      </c>
      <c r="W581" s="96" t="s">
        <v>2308</v>
      </c>
      <c r="X581" s="96" t="s">
        <v>2308</v>
      </c>
      <c r="Y581" s="80">
        <v>12</v>
      </c>
      <c r="Z581" s="12" t="s">
        <v>75</v>
      </c>
      <c r="AA581" s="12" t="s">
        <v>35</v>
      </c>
      <c r="AB581" s="12" t="s">
        <v>64</v>
      </c>
      <c r="AC581" s="20" t="s">
        <v>894</v>
      </c>
      <c r="AD581" s="20" t="s">
        <v>5084</v>
      </c>
    </row>
    <row r="582" spans="1:30" ht="83.5" customHeight="1">
      <c r="A582" s="12" t="s">
        <v>2142</v>
      </c>
      <c r="B582" s="12" t="s">
        <v>2196</v>
      </c>
      <c r="C582" s="24" t="s">
        <v>24</v>
      </c>
      <c r="D582" s="24" t="s">
        <v>27</v>
      </c>
      <c r="E582" s="12" t="s">
        <v>136</v>
      </c>
      <c r="F582" s="20" t="s">
        <v>167</v>
      </c>
      <c r="G582" s="20"/>
      <c r="H582" s="12" t="s">
        <v>531</v>
      </c>
      <c r="I582" s="12"/>
      <c r="J582" s="80" t="s">
        <v>2308</v>
      </c>
      <c r="K582" s="96">
        <v>0.2</v>
      </c>
      <c r="L582" s="96" t="s">
        <v>2308</v>
      </c>
      <c r="M582" s="96">
        <v>0.5</v>
      </c>
      <c r="N582" s="96" t="s">
        <v>2308</v>
      </c>
      <c r="O582" s="96">
        <v>0.35</v>
      </c>
      <c r="P582" s="96" t="s">
        <v>2308</v>
      </c>
      <c r="Q582" s="96" t="s">
        <v>2308</v>
      </c>
      <c r="R582" s="96" t="s">
        <v>2308</v>
      </c>
      <c r="S582" s="96" t="s">
        <v>2308</v>
      </c>
      <c r="T582" s="96" t="s">
        <v>2308</v>
      </c>
      <c r="U582" s="96" t="s">
        <v>2308</v>
      </c>
      <c r="V582" s="96" t="s">
        <v>2308</v>
      </c>
      <c r="W582" s="96" t="s">
        <v>2308</v>
      </c>
      <c r="X582" s="96" t="s">
        <v>2308</v>
      </c>
      <c r="Y582" s="80">
        <v>12</v>
      </c>
      <c r="Z582" s="12" t="s">
        <v>75</v>
      </c>
      <c r="AA582" s="12" t="s">
        <v>35</v>
      </c>
      <c r="AB582" s="12" t="s">
        <v>64</v>
      </c>
      <c r="AC582" s="20" t="s">
        <v>894</v>
      </c>
      <c r="AD582" s="20" t="s">
        <v>5084</v>
      </c>
    </row>
    <row r="583" spans="1:30" ht="83.5" customHeight="1">
      <c r="A583" s="12" t="s">
        <v>2143</v>
      </c>
      <c r="B583" s="12" t="s">
        <v>2197</v>
      </c>
      <c r="C583" s="24" t="s">
        <v>24</v>
      </c>
      <c r="D583" s="24" t="s">
        <v>27</v>
      </c>
      <c r="E583" s="12" t="s">
        <v>136</v>
      </c>
      <c r="F583" s="20" t="s">
        <v>167</v>
      </c>
      <c r="G583" s="20"/>
      <c r="H583" s="12" t="s">
        <v>531</v>
      </c>
      <c r="I583" s="12"/>
      <c r="J583" s="80" t="s">
        <v>2308</v>
      </c>
      <c r="K583" s="96">
        <v>0.2</v>
      </c>
      <c r="L583" s="96" t="s">
        <v>2308</v>
      </c>
      <c r="M583" s="96">
        <v>0.5</v>
      </c>
      <c r="N583" s="96" t="s">
        <v>2308</v>
      </c>
      <c r="O583" s="96">
        <v>0.35</v>
      </c>
      <c r="P583" s="96" t="s">
        <v>2308</v>
      </c>
      <c r="Q583" s="96" t="s">
        <v>2308</v>
      </c>
      <c r="R583" s="96" t="s">
        <v>2308</v>
      </c>
      <c r="S583" s="96" t="s">
        <v>2308</v>
      </c>
      <c r="T583" s="96" t="s">
        <v>2308</v>
      </c>
      <c r="U583" s="96" t="s">
        <v>2308</v>
      </c>
      <c r="V583" s="96" t="s">
        <v>2308</v>
      </c>
      <c r="W583" s="96" t="s">
        <v>2308</v>
      </c>
      <c r="X583" s="96" t="s">
        <v>2308</v>
      </c>
      <c r="Y583" s="80">
        <v>12</v>
      </c>
      <c r="Z583" s="12" t="s">
        <v>75</v>
      </c>
      <c r="AA583" s="12" t="s">
        <v>35</v>
      </c>
      <c r="AB583" s="12" t="s">
        <v>64</v>
      </c>
      <c r="AC583" s="20" t="s">
        <v>894</v>
      </c>
      <c r="AD583" s="20" t="s">
        <v>5084</v>
      </c>
    </row>
    <row r="584" spans="1:30" ht="83.5" customHeight="1">
      <c r="A584" s="12" t="s">
        <v>2144</v>
      </c>
      <c r="B584" s="12" t="s">
        <v>2198</v>
      </c>
      <c r="C584" s="24" t="s">
        <v>24</v>
      </c>
      <c r="D584" s="24" t="s">
        <v>27</v>
      </c>
      <c r="E584" s="12" t="s">
        <v>136</v>
      </c>
      <c r="F584" s="20" t="s">
        <v>167</v>
      </c>
      <c r="G584" s="20"/>
      <c r="H584" s="12" t="s">
        <v>531</v>
      </c>
      <c r="I584" s="12"/>
      <c r="J584" s="80" t="s">
        <v>2308</v>
      </c>
      <c r="K584" s="96">
        <v>0.2</v>
      </c>
      <c r="L584" s="96" t="s">
        <v>2308</v>
      </c>
      <c r="M584" s="96">
        <v>0.5</v>
      </c>
      <c r="N584" s="96" t="s">
        <v>2308</v>
      </c>
      <c r="O584" s="96">
        <v>0.35</v>
      </c>
      <c r="P584" s="96" t="s">
        <v>2308</v>
      </c>
      <c r="Q584" s="96" t="s">
        <v>2308</v>
      </c>
      <c r="R584" s="96" t="s">
        <v>2308</v>
      </c>
      <c r="S584" s="96" t="s">
        <v>2308</v>
      </c>
      <c r="T584" s="96" t="s">
        <v>2308</v>
      </c>
      <c r="U584" s="96" t="s">
        <v>2308</v>
      </c>
      <c r="V584" s="96" t="s">
        <v>2308</v>
      </c>
      <c r="W584" s="96" t="s">
        <v>2308</v>
      </c>
      <c r="X584" s="96" t="s">
        <v>2308</v>
      </c>
      <c r="Y584" s="80">
        <v>12</v>
      </c>
      <c r="Z584" s="12" t="s">
        <v>75</v>
      </c>
      <c r="AA584" s="12" t="s">
        <v>35</v>
      </c>
      <c r="AB584" s="12" t="s">
        <v>64</v>
      </c>
      <c r="AC584" s="20" t="s">
        <v>894</v>
      </c>
      <c r="AD584" s="20" t="s">
        <v>5084</v>
      </c>
    </row>
    <row r="585" spans="1:30" ht="83.5" customHeight="1">
      <c r="A585" s="12" t="s">
        <v>2145</v>
      </c>
      <c r="B585" s="12" t="s">
        <v>2199</v>
      </c>
      <c r="C585" s="24" t="s">
        <v>24</v>
      </c>
      <c r="D585" s="24" t="s">
        <v>27</v>
      </c>
      <c r="E585" s="12" t="s">
        <v>136</v>
      </c>
      <c r="F585" s="20" t="s">
        <v>167</v>
      </c>
      <c r="G585" s="20"/>
      <c r="H585" s="12" t="s">
        <v>531</v>
      </c>
      <c r="I585" s="12"/>
      <c r="J585" s="80" t="s">
        <v>2308</v>
      </c>
      <c r="K585" s="96">
        <v>0.2</v>
      </c>
      <c r="L585" s="96" t="s">
        <v>2308</v>
      </c>
      <c r="M585" s="96">
        <v>0.5</v>
      </c>
      <c r="N585" s="96" t="s">
        <v>2308</v>
      </c>
      <c r="O585" s="96">
        <v>0.35</v>
      </c>
      <c r="P585" s="96" t="s">
        <v>2308</v>
      </c>
      <c r="Q585" s="96" t="s">
        <v>2308</v>
      </c>
      <c r="R585" s="96" t="s">
        <v>2308</v>
      </c>
      <c r="S585" s="96" t="s">
        <v>2308</v>
      </c>
      <c r="T585" s="96" t="s">
        <v>2308</v>
      </c>
      <c r="U585" s="96" t="s">
        <v>2308</v>
      </c>
      <c r="V585" s="96" t="s">
        <v>2308</v>
      </c>
      <c r="W585" s="96" t="s">
        <v>2308</v>
      </c>
      <c r="X585" s="96" t="s">
        <v>2308</v>
      </c>
      <c r="Y585" s="80">
        <v>12</v>
      </c>
      <c r="Z585" s="12" t="s">
        <v>75</v>
      </c>
      <c r="AA585" s="12" t="s">
        <v>35</v>
      </c>
      <c r="AB585" s="12" t="s">
        <v>64</v>
      </c>
      <c r="AC585" s="20" t="s">
        <v>894</v>
      </c>
      <c r="AD585" s="20" t="s">
        <v>5084</v>
      </c>
    </row>
    <row r="586" spans="1:30" ht="83.5" customHeight="1">
      <c r="A586" s="12" t="s">
        <v>2146</v>
      </c>
      <c r="B586" s="12" t="s">
        <v>2200</v>
      </c>
      <c r="C586" s="24" t="s">
        <v>24</v>
      </c>
      <c r="D586" s="24" t="s">
        <v>27</v>
      </c>
      <c r="E586" s="12" t="s">
        <v>136</v>
      </c>
      <c r="F586" s="20" t="s">
        <v>167</v>
      </c>
      <c r="G586" s="20"/>
      <c r="H586" s="12" t="s">
        <v>531</v>
      </c>
      <c r="I586" s="12"/>
      <c r="J586" s="80" t="s">
        <v>2308</v>
      </c>
      <c r="K586" s="96">
        <v>0.2</v>
      </c>
      <c r="L586" s="96" t="s">
        <v>2308</v>
      </c>
      <c r="M586" s="96">
        <v>0.5</v>
      </c>
      <c r="N586" s="96" t="s">
        <v>2308</v>
      </c>
      <c r="O586" s="96">
        <v>0.35</v>
      </c>
      <c r="P586" s="96" t="s">
        <v>2308</v>
      </c>
      <c r="Q586" s="96" t="s">
        <v>2308</v>
      </c>
      <c r="R586" s="96" t="s">
        <v>2308</v>
      </c>
      <c r="S586" s="96" t="s">
        <v>2308</v>
      </c>
      <c r="T586" s="96" t="s">
        <v>2308</v>
      </c>
      <c r="U586" s="96" t="s">
        <v>2308</v>
      </c>
      <c r="V586" s="96" t="s">
        <v>2308</v>
      </c>
      <c r="W586" s="96" t="s">
        <v>2308</v>
      </c>
      <c r="X586" s="96" t="s">
        <v>2308</v>
      </c>
      <c r="Y586" s="80">
        <v>12</v>
      </c>
      <c r="Z586" s="12" t="s">
        <v>75</v>
      </c>
      <c r="AA586" s="12" t="s">
        <v>35</v>
      </c>
      <c r="AB586" s="12" t="s">
        <v>64</v>
      </c>
      <c r="AC586" s="20" t="s">
        <v>894</v>
      </c>
      <c r="AD586" s="20" t="s">
        <v>5084</v>
      </c>
    </row>
    <row r="587" spans="1:30" ht="83.5" customHeight="1">
      <c r="A587" s="12" t="s">
        <v>2147</v>
      </c>
      <c r="B587" s="12" t="s">
        <v>2201</v>
      </c>
      <c r="C587" s="24" t="s">
        <v>24</v>
      </c>
      <c r="D587" s="24" t="s">
        <v>27</v>
      </c>
      <c r="E587" s="12" t="s">
        <v>136</v>
      </c>
      <c r="F587" s="20" t="s">
        <v>167</v>
      </c>
      <c r="G587" s="20"/>
      <c r="H587" s="12" t="s">
        <v>531</v>
      </c>
      <c r="I587" s="12"/>
      <c r="J587" s="80" t="s">
        <v>2308</v>
      </c>
      <c r="K587" s="96">
        <v>0.2</v>
      </c>
      <c r="L587" s="96" t="s">
        <v>2308</v>
      </c>
      <c r="M587" s="96">
        <v>0.5</v>
      </c>
      <c r="N587" s="96" t="s">
        <v>2308</v>
      </c>
      <c r="O587" s="96">
        <v>0.35</v>
      </c>
      <c r="P587" s="96" t="s">
        <v>2308</v>
      </c>
      <c r="Q587" s="96" t="s">
        <v>2308</v>
      </c>
      <c r="R587" s="96" t="s">
        <v>2308</v>
      </c>
      <c r="S587" s="96" t="s">
        <v>2308</v>
      </c>
      <c r="T587" s="96" t="s">
        <v>2308</v>
      </c>
      <c r="U587" s="96" t="s">
        <v>2308</v>
      </c>
      <c r="V587" s="96" t="s">
        <v>2308</v>
      </c>
      <c r="W587" s="96" t="s">
        <v>2308</v>
      </c>
      <c r="X587" s="96" t="s">
        <v>2308</v>
      </c>
      <c r="Y587" s="80">
        <v>12</v>
      </c>
      <c r="Z587" s="12" t="s">
        <v>75</v>
      </c>
      <c r="AA587" s="12" t="s">
        <v>35</v>
      </c>
      <c r="AB587" s="12" t="s">
        <v>64</v>
      </c>
      <c r="AC587" s="20" t="s">
        <v>894</v>
      </c>
      <c r="AD587" s="20" t="s">
        <v>5084</v>
      </c>
    </row>
    <row r="588" spans="1:30" ht="83.5" customHeight="1">
      <c r="A588" s="12" t="s">
        <v>2148</v>
      </c>
      <c r="B588" s="12" t="s">
        <v>2202</v>
      </c>
      <c r="C588" s="24" t="s">
        <v>24</v>
      </c>
      <c r="D588" s="24" t="s">
        <v>27</v>
      </c>
      <c r="E588" s="12" t="s">
        <v>136</v>
      </c>
      <c r="F588" s="20" t="s">
        <v>167</v>
      </c>
      <c r="G588" s="20"/>
      <c r="H588" s="12" t="s">
        <v>531</v>
      </c>
      <c r="I588" s="12"/>
      <c r="J588" s="80" t="s">
        <v>2308</v>
      </c>
      <c r="K588" s="96">
        <v>0.2</v>
      </c>
      <c r="L588" s="96" t="s">
        <v>2308</v>
      </c>
      <c r="M588" s="96">
        <v>0.5</v>
      </c>
      <c r="N588" s="96" t="s">
        <v>2308</v>
      </c>
      <c r="O588" s="96">
        <v>0.35</v>
      </c>
      <c r="P588" s="96" t="s">
        <v>2308</v>
      </c>
      <c r="Q588" s="96" t="s">
        <v>2308</v>
      </c>
      <c r="R588" s="96" t="s">
        <v>2308</v>
      </c>
      <c r="S588" s="96" t="s">
        <v>2308</v>
      </c>
      <c r="T588" s="96" t="s">
        <v>2308</v>
      </c>
      <c r="U588" s="96" t="s">
        <v>2308</v>
      </c>
      <c r="V588" s="96" t="s">
        <v>2308</v>
      </c>
      <c r="W588" s="96" t="s">
        <v>2308</v>
      </c>
      <c r="X588" s="96" t="s">
        <v>2308</v>
      </c>
      <c r="Y588" s="80">
        <v>12</v>
      </c>
      <c r="Z588" s="12" t="s">
        <v>75</v>
      </c>
      <c r="AA588" s="12" t="s">
        <v>35</v>
      </c>
      <c r="AB588" s="12" t="s">
        <v>64</v>
      </c>
      <c r="AC588" s="20" t="s">
        <v>894</v>
      </c>
      <c r="AD588" s="20" t="s">
        <v>5084</v>
      </c>
    </row>
    <row r="589" spans="1:30" ht="83.5" customHeight="1">
      <c r="A589" s="12" t="s">
        <v>2149</v>
      </c>
      <c r="B589" s="12" t="s">
        <v>2203</v>
      </c>
      <c r="C589" s="24" t="s">
        <v>24</v>
      </c>
      <c r="D589" s="24" t="s">
        <v>27</v>
      </c>
      <c r="E589" s="12" t="s">
        <v>136</v>
      </c>
      <c r="F589" s="20" t="s">
        <v>167</v>
      </c>
      <c r="G589" s="20"/>
      <c r="H589" s="12" t="s">
        <v>531</v>
      </c>
      <c r="I589" s="12"/>
      <c r="J589" s="80" t="s">
        <v>2308</v>
      </c>
      <c r="K589" s="96">
        <v>0.2</v>
      </c>
      <c r="L589" s="96" t="s">
        <v>2308</v>
      </c>
      <c r="M589" s="96">
        <v>0.5</v>
      </c>
      <c r="N589" s="96" t="s">
        <v>2308</v>
      </c>
      <c r="O589" s="96">
        <v>0.35</v>
      </c>
      <c r="P589" s="96" t="s">
        <v>2308</v>
      </c>
      <c r="Q589" s="96" t="s">
        <v>2308</v>
      </c>
      <c r="R589" s="96" t="s">
        <v>2308</v>
      </c>
      <c r="S589" s="96" t="s">
        <v>2308</v>
      </c>
      <c r="T589" s="96" t="s">
        <v>2308</v>
      </c>
      <c r="U589" s="96" t="s">
        <v>2308</v>
      </c>
      <c r="V589" s="96" t="s">
        <v>2308</v>
      </c>
      <c r="W589" s="96" t="s">
        <v>2308</v>
      </c>
      <c r="X589" s="96" t="s">
        <v>2308</v>
      </c>
      <c r="Y589" s="80">
        <v>12</v>
      </c>
      <c r="Z589" s="12" t="s">
        <v>75</v>
      </c>
      <c r="AA589" s="12" t="s">
        <v>35</v>
      </c>
      <c r="AB589" s="12" t="s">
        <v>64</v>
      </c>
      <c r="AC589" s="20" t="s">
        <v>894</v>
      </c>
      <c r="AD589" s="20" t="s">
        <v>5084</v>
      </c>
    </row>
    <row r="590" spans="1:30" ht="83.5" customHeight="1">
      <c r="A590" s="12" t="s">
        <v>2150</v>
      </c>
      <c r="B590" s="12" t="s">
        <v>2204</v>
      </c>
      <c r="C590" s="24" t="s">
        <v>24</v>
      </c>
      <c r="D590" s="24" t="s">
        <v>27</v>
      </c>
      <c r="E590" s="12" t="s">
        <v>136</v>
      </c>
      <c r="F590" s="20" t="s">
        <v>167</v>
      </c>
      <c r="G590" s="20"/>
      <c r="H590" s="12" t="s">
        <v>531</v>
      </c>
      <c r="I590" s="12"/>
      <c r="J590" s="80" t="s">
        <v>2308</v>
      </c>
      <c r="K590" s="96">
        <v>0.2</v>
      </c>
      <c r="L590" s="96" t="s">
        <v>2308</v>
      </c>
      <c r="M590" s="96">
        <v>0.5</v>
      </c>
      <c r="N590" s="96" t="s">
        <v>2308</v>
      </c>
      <c r="O590" s="96">
        <v>0.35</v>
      </c>
      <c r="P590" s="96" t="s">
        <v>2308</v>
      </c>
      <c r="Q590" s="96" t="s">
        <v>2308</v>
      </c>
      <c r="R590" s="96" t="s">
        <v>2308</v>
      </c>
      <c r="S590" s="96" t="s">
        <v>2308</v>
      </c>
      <c r="T590" s="96" t="s">
        <v>2308</v>
      </c>
      <c r="U590" s="96" t="s">
        <v>2308</v>
      </c>
      <c r="V590" s="96" t="s">
        <v>2308</v>
      </c>
      <c r="W590" s="96" t="s">
        <v>2308</v>
      </c>
      <c r="X590" s="96" t="s">
        <v>2308</v>
      </c>
      <c r="Y590" s="80">
        <v>12</v>
      </c>
      <c r="Z590" s="12" t="s">
        <v>75</v>
      </c>
      <c r="AA590" s="12" t="s">
        <v>35</v>
      </c>
      <c r="AB590" s="12" t="s">
        <v>64</v>
      </c>
      <c r="AC590" s="20" t="s">
        <v>894</v>
      </c>
      <c r="AD590" s="20" t="s">
        <v>5084</v>
      </c>
    </row>
    <row r="591" spans="1:30" ht="83.5" customHeight="1">
      <c r="A591" s="12" t="s">
        <v>2151</v>
      </c>
      <c r="B591" s="12" t="s">
        <v>2205</v>
      </c>
      <c r="C591" s="24" t="s">
        <v>24</v>
      </c>
      <c r="D591" s="24" t="s">
        <v>27</v>
      </c>
      <c r="E591" s="12" t="s">
        <v>136</v>
      </c>
      <c r="F591" s="20" t="s">
        <v>167</v>
      </c>
      <c r="G591" s="20"/>
      <c r="H591" s="12" t="s">
        <v>531</v>
      </c>
      <c r="I591" s="12"/>
      <c r="J591" s="80" t="s">
        <v>2308</v>
      </c>
      <c r="K591" s="96">
        <v>0.2</v>
      </c>
      <c r="L591" s="96" t="s">
        <v>2308</v>
      </c>
      <c r="M591" s="96">
        <v>0.5</v>
      </c>
      <c r="N591" s="96" t="s">
        <v>2308</v>
      </c>
      <c r="O591" s="96">
        <v>0.35</v>
      </c>
      <c r="P591" s="96" t="s">
        <v>2308</v>
      </c>
      <c r="Q591" s="96" t="s">
        <v>2308</v>
      </c>
      <c r="R591" s="96" t="s">
        <v>2308</v>
      </c>
      <c r="S591" s="96" t="s">
        <v>2308</v>
      </c>
      <c r="T591" s="96" t="s">
        <v>2308</v>
      </c>
      <c r="U591" s="96" t="s">
        <v>2308</v>
      </c>
      <c r="V591" s="96" t="s">
        <v>2308</v>
      </c>
      <c r="W591" s="96" t="s">
        <v>2308</v>
      </c>
      <c r="X591" s="96" t="s">
        <v>2308</v>
      </c>
      <c r="Y591" s="80">
        <v>12</v>
      </c>
      <c r="Z591" s="12" t="s">
        <v>75</v>
      </c>
      <c r="AA591" s="12" t="s">
        <v>35</v>
      </c>
      <c r="AB591" s="12" t="s">
        <v>64</v>
      </c>
      <c r="AC591" s="20" t="s">
        <v>894</v>
      </c>
      <c r="AD591" s="20" t="s">
        <v>5084</v>
      </c>
    </row>
    <row r="592" spans="1:30" ht="83.5" customHeight="1">
      <c r="A592" s="12" t="s">
        <v>2152</v>
      </c>
      <c r="B592" s="12" t="s">
        <v>2206</v>
      </c>
      <c r="C592" s="24" t="s">
        <v>24</v>
      </c>
      <c r="D592" s="24" t="s">
        <v>27</v>
      </c>
      <c r="E592" s="12" t="s">
        <v>136</v>
      </c>
      <c r="F592" s="20" t="s">
        <v>167</v>
      </c>
      <c r="G592" s="20"/>
      <c r="H592" s="12" t="s">
        <v>531</v>
      </c>
      <c r="I592" s="12"/>
      <c r="J592" s="80" t="s">
        <v>2308</v>
      </c>
      <c r="K592" s="96">
        <v>0.2</v>
      </c>
      <c r="L592" s="96" t="s">
        <v>2308</v>
      </c>
      <c r="M592" s="96">
        <v>0.5</v>
      </c>
      <c r="N592" s="96" t="s">
        <v>2308</v>
      </c>
      <c r="O592" s="96">
        <v>0.35</v>
      </c>
      <c r="P592" s="96" t="s">
        <v>2308</v>
      </c>
      <c r="Q592" s="96" t="s">
        <v>2308</v>
      </c>
      <c r="R592" s="96" t="s">
        <v>2308</v>
      </c>
      <c r="S592" s="96" t="s">
        <v>2308</v>
      </c>
      <c r="T592" s="96" t="s">
        <v>2308</v>
      </c>
      <c r="U592" s="96" t="s">
        <v>2308</v>
      </c>
      <c r="V592" s="96" t="s">
        <v>2308</v>
      </c>
      <c r="W592" s="96" t="s">
        <v>2308</v>
      </c>
      <c r="X592" s="96" t="s">
        <v>2308</v>
      </c>
      <c r="Y592" s="80">
        <v>12</v>
      </c>
      <c r="Z592" s="12" t="s">
        <v>75</v>
      </c>
      <c r="AA592" s="12" t="s">
        <v>35</v>
      </c>
      <c r="AB592" s="12" t="s">
        <v>64</v>
      </c>
      <c r="AC592" s="20" t="s">
        <v>894</v>
      </c>
      <c r="AD592" s="20" t="s">
        <v>5084</v>
      </c>
    </row>
    <row r="593" spans="1:30" ht="83.5" customHeight="1">
      <c r="A593" s="12" t="s">
        <v>2153</v>
      </c>
      <c r="B593" s="12" t="s">
        <v>2207</v>
      </c>
      <c r="C593" s="24" t="s">
        <v>24</v>
      </c>
      <c r="D593" s="24" t="s">
        <v>27</v>
      </c>
      <c r="E593" s="12" t="s">
        <v>136</v>
      </c>
      <c r="F593" s="20" t="s">
        <v>167</v>
      </c>
      <c r="G593" s="20"/>
      <c r="H593" s="12" t="s">
        <v>531</v>
      </c>
      <c r="I593" s="12"/>
      <c r="J593" s="80" t="s">
        <v>2308</v>
      </c>
      <c r="K593" s="96">
        <v>0.2</v>
      </c>
      <c r="L593" s="96" t="s">
        <v>2308</v>
      </c>
      <c r="M593" s="96">
        <v>0.5</v>
      </c>
      <c r="N593" s="96" t="s">
        <v>2308</v>
      </c>
      <c r="O593" s="96">
        <v>0.35</v>
      </c>
      <c r="P593" s="96" t="s">
        <v>2308</v>
      </c>
      <c r="Q593" s="96" t="s">
        <v>2308</v>
      </c>
      <c r="R593" s="96" t="s">
        <v>2308</v>
      </c>
      <c r="S593" s="96" t="s">
        <v>2308</v>
      </c>
      <c r="T593" s="96" t="s">
        <v>2308</v>
      </c>
      <c r="U593" s="96" t="s">
        <v>2308</v>
      </c>
      <c r="V593" s="96" t="s">
        <v>2308</v>
      </c>
      <c r="W593" s="96" t="s">
        <v>2308</v>
      </c>
      <c r="X593" s="96" t="s">
        <v>2308</v>
      </c>
      <c r="Y593" s="80">
        <v>12</v>
      </c>
      <c r="Z593" s="12" t="s">
        <v>75</v>
      </c>
      <c r="AA593" s="12" t="s">
        <v>35</v>
      </c>
      <c r="AB593" s="12" t="s">
        <v>64</v>
      </c>
      <c r="AC593" s="20" t="s">
        <v>894</v>
      </c>
      <c r="AD593" s="20" t="s">
        <v>5084</v>
      </c>
    </row>
    <row r="594" spans="1:30" ht="83.5" customHeight="1">
      <c r="A594" s="12" t="s">
        <v>2154</v>
      </c>
      <c r="B594" s="12" t="s">
        <v>2208</v>
      </c>
      <c r="C594" s="24" t="s">
        <v>24</v>
      </c>
      <c r="D594" s="24" t="s">
        <v>27</v>
      </c>
      <c r="E594" s="12" t="s">
        <v>136</v>
      </c>
      <c r="F594" s="20" t="s">
        <v>167</v>
      </c>
      <c r="G594" s="20"/>
      <c r="H594" s="12" t="s">
        <v>531</v>
      </c>
      <c r="I594" s="12"/>
      <c r="J594" s="80" t="s">
        <v>2308</v>
      </c>
      <c r="K594" s="96">
        <v>0.2</v>
      </c>
      <c r="L594" s="96" t="s">
        <v>2308</v>
      </c>
      <c r="M594" s="96">
        <v>0.5</v>
      </c>
      <c r="N594" s="96" t="s">
        <v>2308</v>
      </c>
      <c r="O594" s="96">
        <v>0.35</v>
      </c>
      <c r="P594" s="96" t="s">
        <v>2308</v>
      </c>
      <c r="Q594" s="96" t="s">
        <v>2308</v>
      </c>
      <c r="R594" s="96" t="s">
        <v>2308</v>
      </c>
      <c r="S594" s="96" t="s">
        <v>2308</v>
      </c>
      <c r="T594" s="96" t="s">
        <v>2308</v>
      </c>
      <c r="U594" s="96" t="s">
        <v>2308</v>
      </c>
      <c r="V594" s="96" t="s">
        <v>2308</v>
      </c>
      <c r="W594" s="96" t="s">
        <v>2308</v>
      </c>
      <c r="X594" s="96" t="s">
        <v>2308</v>
      </c>
      <c r="Y594" s="80">
        <v>12</v>
      </c>
      <c r="Z594" s="12" t="s">
        <v>75</v>
      </c>
      <c r="AA594" s="12" t="s">
        <v>35</v>
      </c>
      <c r="AB594" s="12" t="s">
        <v>64</v>
      </c>
      <c r="AC594" s="20" t="s">
        <v>894</v>
      </c>
      <c r="AD594" s="20" t="s">
        <v>5084</v>
      </c>
    </row>
    <row r="595" spans="1:30" ht="75" customHeight="1">
      <c r="A595" s="12" t="s">
        <v>890</v>
      </c>
      <c r="B595" s="12" t="s">
        <v>893</v>
      </c>
      <c r="C595" s="24" t="s">
        <v>24</v>
      </c>
      <c r="D595" s="24" t="s">
        <v>27</v>
      </c>
      <c r="E595" s="12" t="s">
        <v>136</v>
      </c>
      <c r="F595" s="20" t="s">
        <v>167</v>
      </c>
      <c r="G595" s="20"/>
      <c r="H595" s="4" t="s">
        <v>531</v>
      </c>
      <c r="I595" s="4"/>
      <c r="J595" s="22" t="s">
        <v>2308</v>
      </c>
      <c r="K595" s="80">
        <v>0.2</v>
      </c>
      <c r="L595" s="80" t="s">
        <v>2308</v>
      </c>
      <c r="M595" s="80">
        <v>0.7</v>
      </c>
      <c r="N595" s="22" t="s">
        <v>2308</v>
      </c>
      <c r="O595" s="80">
        <v>0.45</v>
      </c>
      <c r="P595" s="80" t="s">
        <v>2308</v>
      </c>
      <c r="Q595" s="22" t="s">
        <v>2308</v>
      </c>
      <c r="R595" s="22" t="s">
        <v>2308</v>
      </c>
      <c r="S595" s="80" t="s">
        <v>2308</v>
      </c>
      <c r="T595" s="22" t="s">
        <v>2308</v>
      </c>
      <c r="U595" s="22" t="s">
        <v>2308</v>
      </c>
      <c r="V595" s="22" t="s">
        <v>2308</v>
      </c>
      <c r="W595" s="22" t="s">
        <v>2308</v>
      </c>
      <c r="X595" s="22" t="s">
        <v>2308</v>
      </c>
      <c r="Y595" s="22" t="s">
        <v>2308</v>
      </c>
      <c r="Z595" s="4" t="s">
        <v>75</v>
      </c>
      <c r="AA595" s="4" t="s">
        <v>35</v>
      </c>
      <c r="AB595" s="4" t="s">
        <v>64</v>
      </c>
      <c r="AC595" s="5" t="s">
        <v>894</v>
      </c>
      <c r="AD595" s="4"/>
    </row>
    <row r="596" spans="1:30" ht="67.5" customHeight="1">
      <c r="A596" s="12" t="s">
        <v>895</v>
      </c>
      <c r="B596" s="12" t="s">
        <v>897</v>
      </c>
      <c r="C596" s="24" t="s">
        <v>24</v>
      </c>
      <c r="D596" s="24" t="s">
        <v>27</v>
      </c>
      <c r="E596" s="12" t="s">
        <v>136</v>
      </c>
      <c r="F596" s="20" t="s">
        <v>167</v>
      </c>
      <c r="G596" s="20"/>
      <c r="H596" s="4" t="s">
        <v>531</v>
      </c>
      <c r="I596" s="4"/>
      <c r="J596" s="22" t="s">
        <v>2308</v>
      </c>
      <c r="K596" s="22" t="s">
        <v>2308</v>
      </c>
      <c r="L596" s="22" t="s">
        <v>2308</v>
      </c>
      <c r="M596" s="22" t="s">
        <v>2308</v>
      </c>
      <c r="N596" s="22" t="s">
        <v>2308</v>
      </c>
      <c r="O596" s="22" t="s">
        <v>2308</v>
      </c>
      <c r="P596" s="22" t="s">
        <v>2308</v>
      </c>
      <c r="Q596" s="22" t="s">
        <v>2308</v>
      </c>
      <c r="R596" s="22" t="s">
        <v>2308</v>
      </c>
      <c r="S596" s="22" t="s">
        <v>2308</v>
      </c>
      <c r="T596" s="22" t="s">
        <v>2308</v>
      </c>
      <c r="U596" s="22" t="s">
        <v>2308</v>
      </c>
      <c r="V596" s="22" t="s">
        <v>2308</v>
      </c>
      <c r="W596" s="22" t="s">
        <v>2308</v>
      </c>
      <c r="X596" s="22" t="s">
        <v>2308</v>
      </c>
      <c r="Y596" s="22" t="s">
        <v>2308</v>
      </c>
      <c r="Z596" s="4" t="s">
        <v>38</v>
      </c>
      <c r="AA596" s="4" t="s">
        <v>86</v>
      </c>
      <c r="AB596" s="4" t="s">
        <v>76</v>
      </c>
      <c r="AC596" s="5" t="s">
        <v>2237</v>
      </c>
      <c r="AD596" s="5" t="s">
        <v>2238</v>
      </c>
    </row>
    <row r="597" spans="1:30" ht="75" customHeight="1">
      <c r="A597" s="12" t="s">
        <v>900</v>
      </c>
      <c r="B597" s="12" t="s">
        <v>906</v>
      </c>
      <c r="C597" s="24" t="s">
        <v>24</v>
      </c>
      <c r="D597" s="24" t="s">
        <v>27</v>
      </c>
      <c r="E597" s="12" t="s">
        <v>136</v>
      </c>
      <c r="F597" s="20" t="s">
        <v>167</v>
      </c>
      <c r="G597" s="20"/>
      <c r="H597" s="4" t="s">
        <v>531</v>
      </c>
      <c r="I597" s="4"/>
      <c r="J597" s="22" t="s">
        <v>2308</v>
      </c>
      <c r="K597" s="22" t="s">
        <v>2308</v>
      </c>
      <c r="L597" s="80" t="s">
        <v>2308</v>
      </c>
      <c r="M597" s="80" t="s">
        <v>2308</v>
      </c>
      <c r="N597" s="22" t="s">
        <v>2308</v>
      </c>
      <c r="O597" s="22" t="s">
        <v>2308</v>
      </c>
      <c r="P597" s="80" t="s">
        <v>2308</v>
      </c>
      <c r="Q597" s="22" t="s">
        <v>2308</v>
      </c>
      <c r="R597" s="22" t="s">
        <v>2308</v>
      </c>
      <c r="S597" s="80" t="s">
        <v>2308</v>
      </c>
      <c r="T597" s="22" t="s">
        <v>2308</v>
      </c>
      <c r="U597" s="22" t="s">
        <v>2308</v>
      </c>
      <c r="V597" s="22" t="s">
        <v>2308</v>
      </c>
      <c r="W597" s="22" t="s">
        <v>2308</v>
      </c>
      <c r="X597" s="22" t="s">
        <v>2308</v>
      </c>
      <c r="Y597" s="22">
        <v>23.5</v>
      </c>
      <c r="Z597" s="4" t="s">
        <v>38</v>
      </c>
      <c r="AA597" s="4" t="s">
        <v>38</v>
      </c>
      <c r="AB597" s="4" t="s">
        <v>64</v>
      </c>
      <c r="AC597" s="5" t="s">
        <v>2240</v>
      </c>
      <c r="AD597" s="4" t="s">
        <v>2239</v>
      </c>
    </row>
    <row r="598" spans="1:30" ht="53" customHeight="1">
      <c r="A598" s="12" t="s">
        <v>912</v>
      </c>
      <c r="B598" s="12" t="s">
        <v>913</v>
      </c>
      <c r="C598" s="24" t="s">
        <v>24</v>
      </c>
      <c r="D598" s="24" t="s">
        <v>27</v>
      </c>
      <c r="E598" s="12" t="s">
        <v>136</v>
      </c>
      <c r="F598" s="20" t="s">
        <v>167</v>
      </c>
      <c r="G598" s="20"/>
      <c r="H598" s="4" t="s">
        <v>531</v>
      </c>
      <c r="I598" s="4"/>
      <c r="J598" s="22" t="s">
        <v>2308</v>
      </c>
      <c r="K598" s="22" t="s">
        <v>2308</v>
      </c>
      <c r="L598" s="22" t="s">
        <v>2308</v>
      </c>
      <c r="M598" s="22" t="s">
        <v>2308</v>
      </c>
      <c r="N598" s="22" t="s">
        <v>2308</v>
      </c>
      <c r="O598" s="22" t="s">
        <v>2308</v>
      </c>
      <c r="P598" s="22" t="s">
        <v>2308</v>
      </c>
      <c r="Q598" s="22" t="s">
        <v>2308</v>
      </c>
      <c r="R598" s="22" t="s">
        <v>2308</v>
      </c>
      <c r="S598" s="22" t="s">
        <v>2308</v>
      </c>
      <c r="T598" s="22" t="s">
        <v>2308</v>
      </c>
      <c r="U598" s="22" t="s">
        <v>2308</v>
      </c>
      <c r="V598" s="22" t="s">
        <v>2308</v>
      </c>
      <c r="W598" s="22" t="s">
        <v>2308</v>
      </c>
      <c r="X598" s="22" t="s">
        <v>2308</v>
      </c>
      <c r="Y598" s="22" t="s">
        <v>2308</v>
      </c>
      <c r="Z598" s="4" t="s">
        <v>2308</v>
      </c>
      <c r="AA598" s="4" t="s">
        <v>2308</v>
      </c>
      <c r="AB598" s="4" t="s">
        <v>2308</v>
      </c>
      <c r="AC598" s="4"/>
      <c r="AD598" s="4" t="s">
        <v>728</v>
      </c>
    </row>
    <row r="599" spans="1:30" ht="75" customHeight="1">
      <c r="A599" s="12" t="s">
        <v>915</v>
      </c>
      <c r="B599" s="12" t="s">
        <v>918</v>
      </c>
      <c r="C599" s="24" t="s">
        <v>24</v>
      </c>
      <c r="D599" s="24" t="s">
        <v>27</v>
      </c>
      <c r="E599" s="12" t="s">
        <v>136</v>
      </c>
      <c r="F599" s="20" t="s">
        <v>167</v>
      </c>
      <c r="G599" s="20"/>
      <c r="H599" s="4" t="s">
        <v>531</v>
      </c>
      <c r="I599" s="4"/>
      <c r="J599" s="22" t="s">
        <v>2308</v>
      </c>
      <c r="K599" s="22" t="s">
        <v>2308</v>
      </c>
      <c r="L599" s="22" t="s">
        <v>2308</v>
      </c>
      <c r="M599" s="22" t="s">
        <v>2308</v>
      </c>
      <c r="N599" s="22" t="s">
        <v>2308</v>
      </c>
      <c r="O599" s="22" t="s">
        <v>2308</v>
      </c>
      <c r="P599" s="22" t="s">
        <v>2308</v>
      </c>
      <c r="Q599" s="22" t="s">
        <v>2308</v>
      </c>
      <c r="R599" s="22" t="s">
        <v>2308</v>
      </c>
      <c r="S599" s="22" t="s">
        <v>2308</v>
      </c>
      <c r="T599" s="22" t="s">
        <v>2308</v>
      </c>
      <c r="U599" s="22" t="s">
        <v>2308</v>
      </c>
      <c r="V599" s="22" t="s">
        <v>2308</v>
      </c>
      <c r="W599" s="22" t="s">
        <v>2308</v>
      </c>
      <c r="X599" s="22" t="s">
        <v>2308</v>
      </c>
      <c r="Y599" s="22" t="s">
        <v>2308</v>
      </c>
      <c r="Z599" s="4" t="s">
        <v>38</v>
      </c>
      <c r="AA599" s="4" t="s">
        <v>86</v>
      </c>
      <c r="AB599" s="4" t="s">
        <v>64</v>
      </c>
      <c r="AC599" s="4"/>
      <c r="AD599" s="5" t="s">
        <v>919</v>
      </c>
    </row>
    <row r="600" spans="1:30" ht="75" customHeight="1">
      <c r="A600" s="12" t="s">
        <v>920</v>
      </c>
      <c r="B600" s="12" t="s">
        <v>2241</v>
      </c>
      <c r="C600" s="24" t="s">
        <v>24</v>
      </c>
      <c r="D600" s="24" t="s">
        <v>27</v>
      </c>
      <c r="E600" s="12" t="s">
        <v>136</v>
      </c>
      <c r="F600" s="20" t="s">
        <v>167</v>
      </c>
      <c r="G600" s="20"/>
      <c r="H600" s="4" t="s">
        <v>531</v>
      </c>
      <c r="I600" s="4"/>
      <c r="J600" s="22" t="s">
        <v>2308</v>
      </c>
      <c r="K600" s="22" t="s">
        <v>2308</v>
      </c>
      <c r="L600" s="22" t="s">
        <v>2308</v>
      </c>
      <c r="M600" s="22" t="s">
        <v>2308</v>
      </c>
      <c r="N600" s="22" t="s">
        <v>2308</v>
      </c>
      <c r="O600" s="22" t="s">
        <v>2308</v>
      </c>
      <c r="P600" s="22" t="s">
        <v>2308</v>
      </c>
      <c r="Q600" s="22" t="s">
        <v>2308</v>
      </c>
      <c r="R600" s="22" t="s">
        <v>2308</v>
      </c>
      <c r="S600" s="22" t="s">
        <v>2308</v>
      </c>
      <c r="T600" s="22" t="s">
        <v>2308</v>
      </c>
      <c r="U600" s="22" t="s">
        <v>2308</v>
      </c>
      <c r="V600" s="22" t="s">
        <v>2308</v>
      </c>
      <c r="W600" s="22" t="s">
        <v>2308</v>
      </c>
      <c r="X600" s="22" t="s">
        <v>2308</v>
      </c>
      <c r="Y600" s="22" t="s">
        <v>2308</v>
      </c>
      <c r="Z600" s="4" t="s">
        <v>2308</v>
      </c>
      <c r="AA600" s="4" t="s">
        <v>2308</v>
      </c>
      <c r="AB600" s="4" t="s">
        <v>2308</v>
      </c>
      <c r="AC600" s="4"/>
      <c r="AD600" s="5"/>
    </row>
    <row r="601" spans="1:30" ht="75" customHeight="1">
      <c r="A601" s="12" t="s">
        <v>923</v>
      </c>
      <c r="B601" s="12" t="s">
        <v>941</v>
      </c>
      <c r="C601" s="24" t="s">
        <v>24</v>
      </c>
      <c r="D601" s="24" t="s">
        <v>27</v>
      </c>
      <c r="E601" s="12" t="s">
        <v>136</v>
      </c>
      <c r="F601" s="20" t="s">
        <v>167</v>
      </c>
      <c r="G601" s="20"/>
      <c r="H601" s="4" t="s">
        <v>531</v>
      </c>
      <c r="I601" s="4"/>
      <c r="J601" s="22" t="s">
        <v>2308</v>
      </c>
      <c r="K601" s="22" t="s">
        <v>2308</v>
      </c>
      <c r="L601" s="22" t="s">
        <v>2308</v>
      </c>
      <c r="M601" s="22" t="s">
        <v>2308</v>
      </c>
      <c r="N601" s="22" t="s">
        <v>2308</v>
      </c>
      <c r="O601" s="22" t="s">
        <v>2308</v>
      </c>
      <c r="P601" s="22" t="s">
        <v>2308</v>
      </c>
      <c r="Q601" s="22" t="s">
        <v>2308</v>
      </c>
      <c r="R601" s="22" t="s">
        <v>2308</v>
      </c>
      <c r="S601" s="22" t="s">
        <v>2308</v>
      </c>
      <c r="T601" s="22" t="s">
        <v>2308</v>
      </c>
      <c r="U601" s="22" t="s">
        <v>2308</v>
      </c>
      <c r="V601" s="22" t="s">
        <v>2308</v>
      </c>
      <c r="W601" s="22" t="s">
        <v>2308</v>
      </c>
      <c r="X601" s="22" t="s">
        <v>2308</v>
      </c>
      <c r="Y601" s="22" t="s">
        <v>2308</v>
      </c>
      <c r="Z601" s="4" t="s">
        <v>2308</v>
      </c>
      <c r="AA601" s="4" t="s">
        <v>2308</v>
      </c>
      <c r="AB601" s="4" t="s">
        <v>2308</v>
      </c>
      <c r="AC601" s="4"/>
      <c r="AD601" s="5"/>
    </row>
    <row r="602" spans="1:30" ht="75" customHeight="1">
      <c r="A602" s="12" t="s">
        <v>937</v>
      </c>
      <c r="B602" s="12" t="s">
        <v>942</v>
      </c>
      <c r="C602" s="24" t="s">
        <v>24</v>
      </c>
      <c r="D602" s="24" t="s">
        <v>27</v>
      </c>
      <c r="E602" s="12" t="s">
        <v>136</v>
      </c>
      <c r="F602" s="20" t="s">
        <v>167</v>
      </c>
      <c r="G602" s="20"/>
      <c r="H602" s="4" t="s">
        <v>531</v>
      </c>
      <c r="I602" s="4"/>
      <c r="J602" s="22" t="s">
        <v>2308</v>
      </c>
      <c r="K602" s="22" t="s">
        <v>2308</v>
      </c>
      <c r="L602" s="22" t="s">
        <v>2308</v>
      </c>
      <c r="M602" s="22" t="s">
        <v>2308</v>
      </c>
      <c r="N602" s="22" t="s">
        <v>2308</v>
      </c>
      <c r="O602" s="22" t="s">
        <v>2308</v>
      </c>
      <c r="P602" s="22" t="s">
        <v>2308</v>
      </c>
      <c r="Q602" s="22" t="s">
        <v>2308</v>
      </c>
      <c r="R602" s="22" t="s">
        <v>2308</v>
      </c>
      <c r="S602" s="22" t="s">
        <v>2308</v>
      </c>
      <c r="T602" s="22" t="s">
        <v>2308</v>
      </c>
      <c r="U602" s="22" t="s">
        <v>2308</v>
      </c>
      <c r="V602" s="22" t="s">
        <v>2308</v>
      </c>
      <c r="W602" s="22" t="s">
        <v>2308</v>
      </c>
      <c r="X602" s="22" t="s">
        <v>2308</v>
      </c>
      <c r="Y602" s="22" t="s">
        <v>2308</v>
      </c>
      <c r="Z602" s="4" t="s">
        <v>2308</v>
      </c>
      <c r="AA602" s="4" t="s">
        <v>2308</v>
      </c>
      <c r="AB602" s="4" t="s">
        <v>2308</v>
      </c>
      <c r="AC602" s="4"/>
      <c r="AD602" s="5"/>
    </row>
    <row r="603" spans="1:30" ht="75" customHeight="1">
      <c r="A603" s="12" t="s">
        <v>938</v>
      </c>
      <c r="B603" s="12" t="s">
        <v>943</v>
      </c>
      <c r="C603" s="24" t="s">
        <v>24</v>
      </c>
      <c r="D603" s="24" t="s">
        <v>27</v>
      </c>
      <c r="E603" s="12" t="s">
        <v>136</v>
      </c>
      <c r="F603" s="20" t="s">
        <v>167</v>
      </c>
      <c r="G603" s="20"/>
      <c r="H603" s="4" t="s">
        <v>531</v>
      </c>
      <c r="I603" s="4"/>
      <c r="J603" s="22" t="s">
        <v>2308</v>
      </c>
      <c r="K603" s="22" t="s">
        <v>2308</v>
      </c>
      <c r="L603" s="22" t="s">
        <v>2308</v>
      </c>
      <c r="M603" s="22" t="s">
        <v>2308</v>
      </c>
      <c r="N603" s="22" t="s">
        <v>2308</v>
      </c>
      <c r="O603" s="22" t="s">
        <v>2308</v>
      </c>
      <c r="P603" s="22" t="s">
        <v>2308</v>
      </c>
      <c r="Q603" s="22" t="s">
        <v>2308</v>
      </c>
      <c r="R603" s="22" t="s">
        <v>2308</v>
      </c>
      <c r="S603" s="22" t="s">
        <v>2308</v>
      </c>
      <c r="T603" s="22" t="s">
        <v>2308</v>
      </c>
      <c r="U603" s="22" t="s">
        <v>2308</v>
      </c>
      <c r="V603" s="22" t="s">
        <v>2308</v>
      </c>
      <c r="W603" s="22" t="s">
        <v>2308</v>
      </c>
      <c r="X603" s="22" t="s">
        <v>2308</v>
      </c>
      <c r="Y603" s="22" t="s">
        <v>2308</v>
      </c>
      <c r="Z603" s="4" t="s">
        <v>2308</v>
      </c>
      <c r="AA603" s="4" t="s">
        <v>2308</v>
      </c>
      <c r="AB603" s="4" t="s">
        <v>2308</v>
      </c>
      <c r="AC603" s="4"/>
      <c r="AD603" s="5"/>
    </row>
    <row r="604" spans="1:30" ht="75" customHeight="1">
      <c r="A604" s="12" t="s">
        <v>939</v>
      </c>
      <c r="B604" s="12" t="s">
        <v>944</v>
      </c>
      <c r="C604" s="24" t="s">
        <v>24</v>
      </c>
      <c r="D604" s="24" t="s">
        <v>27</v>
      </c>
      <c r="E604" s="12" t="s">
        <v>136</v>
      </c>
      <c r="F604" s="20" t="s">
        <v>167</v>
      </c>
      <c r="G604" s="20"/>
      <c r="H604" s="4" t="s">
        <v>531</v>
      </c>
      <c r="I604" s="4"/>
      <c r="J604" s="22" t="s">
        <v>2308</v>
      </c>
      <c r="K604" s="22" t="s">
        <v>2308</v>
      </c>
      <c r="L604" s="22" t="s">
        <v>2308</v>
      </c>
      <c r="M604" s="22" t="s">
        <v>2308</v>
      </c>
      <c r="N604" s="22" t="s">
        <v>2308</v>
      </c>
      <c r="O604" s="22" t="s">
        <v>2308</v>
      </c>
      <c r="P604" s="22" t="s">
        <v>2308</v>
      </c>
      <c r="Q604" s="22" t="s">
        <v>2308</v>
      </c>
      <c r="R604" s="22" t="s">
        <v>2308</v>
      </c>
      <c r="S604" s="22" t="s">
        <v>2308</v>
      </c>
      <c r="T604" s="22" t="s">
        <v>2308</v>
      </c>
      <c r="U604" s="22" t="s">
        <v>2308</v>
      </c>
      <c r="V604" s="22" t="s">
        <v>2308</v>
      </c>
      <c r="W604" s="22" t="s">
        <v>2308</v>
      </c>
      <c r="X604" s="22" t="s">
        <v>2308</v>
      </c>
      <c r="Y604" s="22" t="s">
        <v>2308</v>
      </c>
      <c r="Z604" s="4" t="s">
        <v>2308</v>
      </c>
      <c r="AA604" s="4" t="s">
        <v>2308</v>
      </c>
      <c r="AB604" s="4" t="s">
        <v>2308</v>
      </c>
      <c r="AC604" s="4"/>
      <c r="AD604" s="5"/>
    </row>
    <row r="605" spans="1:30" ht="151" customHeight="1">
      <c r="A605" s="4" t="s">
        <v>929</v>
      </c>
      <c r="B605" s="4" t="s">
        <v>930</v>
      </c>
      <c r="C605" s="4" t="s">
        <v>24</v>
      </c>
      <c r="D605" s="4" t="s">
        <v>25</v>
      </c>
      <c r="E605" s="4" t="s">
        <v>45</v>
      </c>
      <c r="F605" s="20" t="s">
        <v>29</v>
      </c>
      <c r="G605" s="20"/>
      <c r="H605" s="4" t="s">
        <v>531</v>
      </c>
      <c r="I605" s="4"/>
      <c r="J605" s="22" t="s">
        <v>2308</v>
      </c>
      <c r="K605" s="22" t="s">
        <v>2308</v>
      </c>
      <c r="L605" s="22" t="s">
        <v>2308</v>
      </c>
      <c r="M605" s="22" t="s">
        <v>2308</v>
      </c>
      <c r="N605" s="22" t="s">
        <v>2308</v>
      </c>
      <c r="O605" s="22" t="s">
        <v>2308</v>
      </c>
      <c r="P605" s="22" t="s">
        <v>2308</v>
      </c>
      <c r="Q605" s="22" t="s">
        <v>2308</v>
      </c>
      <c r="R605" s="22" t="s">
        <v>2308</v>
      </c>
      <c r="S605" s="22" t="s">
        <v>2308</v>
      </c>
      <c r="T605" s="22" t="s">
        <v>2308</v>
      </c>
      <c r="U605" s="22" t="s">
        <v>2308</v>
      </c>
      <c r="V605" s="22" t="s">
        <v>2308</v>
      </c>
      <c r="W605" s="22" t="s">
        <v>2308</v>
      </c>
      <c r="X605" s="22" t="s">
        <v>2308</v>
      </c>
      <c r="Y605" s="22" t="s">
        <v>2308</v>
      </c>
      <c r="Z605" s="4" t="s">
        <v>432</v>
      </c>
      <c r="AA605" s="4" t="s">
        <v>68</v>
      </c>
      <c r="AB605" s="4" t="s">
        <v>64</v>
      </c>
      <c r="AC605" s="5" t="s">
        <v>928</v>
      </c>
      <c r="AD605" s="4"/>
    </row>
    <row r="606" spans="1:30" ht="89.5" customHeight="1">
      <c r="A606" s="4" t="s">
        <v>929</v>
      </c>
      <c r="B606" s="4" t="s">
        <v>931</v>
      </c>
      <c r="C606" s="24" t="s">
        <v>24</v>
      </c>
      <c r="D606" s="24" t="s">
        <v>27</v>
      </c>
      <c r="E606" s="12" t="s">
        <v>136</v>
      </c>
      <c r="F606" s="20" t="s">
        <v>167</v>
      </c>
      <c r="G606" s="20"/>
      <c r="H606" s="4" t="s">
        <v>531</v>
      </c>
      <c r="I606" s="4"/>
      <c r="J606" s="22" t="s">
        <v>2308</v>
      </c>
      <c r="K606" s="22" t="s">
        <v>2308</v>
      </c>
      <c r="L606" s="22" t="s">
        <v>2308</v>
      </c>
      <c r="M606" s="22" t="s">
        <v>2308</v>
      </c>
      <c r="N606" s="22" t="s">
        <v>2308</v>
      </c>
      <c r="O606" s="22" t="s">
        <v>2308</v>
      </c>
      <c r="P606" s="22" t="s">
        <v>2308</v>
      </c>
      <c r="Q606" s="22" t="s">
        <v>2308</v>
      </c>
      <c r="R606" s="22" t="s">
        <v>2308</v>
      </c>
      <c r="S606" s="22" t="s">
        <v>2308</v>
      </c>
      <c r="T606" s="22" t="s">
        <v>2308</v>
      </c>
      <c r="U606" s="22" t="s">
        <v>2308</v>
      </c>
      <c r="V606" s="22" t="s">
        <v>2308</v>
      </c>
      <c r="W606" s="22" t="s">
        <v>2308</v>
      </c>
      <c r="X606" s="22" t="s">
        <v>2308</v>
      </c>
      <c r="Y606" s="22" t="s">
        <v>2308</v>
      </c>
      <c r="Z606" s="4" t="s">
        <v>432</v>
      </c>
      <c r="AA606" s="4" t="s">
        <v>68</v>
      </c>
      <c r="AB606" s="4" t="s">
        <v>64</v>
      </c>
      <c r="AC606" s="5" t="s">
        <v>5080</v>
      </c>
      <c r="AD606" s="4" t="s">
        <v>728</v>
      </c>
    </row>
    <row r="607" spans="1:30" ht="45.5" customHeight="1">
      <c r="A607" s="12" t="s">
        <v>929</v>
      </c>
      <c r="B607" s="12" t="s">
        <v>933</v>
      </c>
      <c r="C607" s="24" t="s">
        <v>24</v>
      </c>
      <c r="D607" s="24" t="s">
        <v>27</v>
      </c>
      <c r="E607" s="12" t="s">
        <v>136</v>
      </c>
      <c r="F607" s="20" t="s">
        <v>28</v>
      </c>
      <c r="G607" s="20"/>
      <c r="H607" s="4" t="s">
        <v>532</v>
      </c>
      <c r="I607" s="4"/>
      <c r="J607" s="22">
        <v>0</v>
      </c>
      <c r="K607" s="22">
        <v>0</v>
      </c>
      <c r="L607" s="22">
        <v>0</v>
      </c>
      <c r="M607" s="22">
        <v>0</v>
      </c>
      <c r="N607" s="22">
        <v>0</v>
      </c>
      <c r="O607" s="22">
        <v>0</v>
      </c>
      <c r="P607" s="22">
        <v>0</v>
      </c>
      <c r="Q607" s="22" t="s">
        <v>2308</v>
      </c>
      <c r="R607" s="22" t="s">
        <v>2308</v>
      </c>
      <c r="S607" s="22">
        <v>0</v>
      </c>
      <c r="T607" s="22">
        <v>0</v>
      </c>
      <c r="U607" s="22">
        <v>0</v>
      </c>
      <c r="V607" s="22">
        <v>0</v>
      </c>
      <c r="W607" s="22">
        <v>0</v>
      </c>
      <c r="X607" s="22">
        <v>0</v>
      </c>
      <c r="Y607" s="22" t="s">
        <v>2308</v>
      </c>
      <c r="Z607" s="4" t="s">
        <v>2308</v>
      </c>
      <c r="AA607" s="4" t="s">
        <v>2308</v>
      </c>
      <c r="AB607" s="4" t="s">
        <v>2308</v>
      </c>
      <c r="AC607" s="4"/>
      <c r="AD607" s="4"/>
    </row>
    <row r="608" spans="1:30" ht="41.5" customHeight="1">
      <c r="A608" s="12" t="s">
        <v>929</v>
      </c>
      <c r="B608" s="12" t="s">
        <v>934</v>
      </c>
      <c r="C608" s="24" t="s">
        <v>24</v>
      </c>
      <c r="D608" s="24" t="s">
        <v>61</v>
      </c>
      <c r="E608" s="27" t="s">
        <v>2683</v>
      </c>
      <c r="F608" s="20" t="s">
        <v>167</v>
      </c>
      <c r="G608" s="20"/>
      <c r="H608" s="4" t="s">
        <v>532</v>
      </c>
      <c r="I608" s="4"/>
      <c r="J608" s="22">
        <v>0</v>
      </c>
      <c r="K608" s="22">
        <v>0</v>
      </c>
      <c r="L608" s="22">
        <v>0</v>
      </c>
      <c r="M608" s="22">
        <v>0</v>
      </c>
      <c r="N608" s="22">
        <v>0</v>
      </c>
      <c r="O608" s="22">
        <v>0</v>
      </c>
      <c r="P608" s="22">
        <v>0</v>
      </c>
      <c r="Q608" s="22" t="s">
        <v>2308</v>
      </c>
      <c r="R608" s="22" t="s">
        <v>2308</v>
      </c>
      <c r="S608" s="22">
        <v>0</v>
      </c>
      <c r="T608" s="22">
        <v>0</v>
      </c>
      <c r="U608" s="22">
        <v>0</v>
      </c>
      <c r="V608" s="22">
        <v>0</v>
      </c>
      <c r="W608" s="22">
        <v>0</v>
      </c>
      <c r="X608" s="22">
        <v>0</v>
      </c>
      <c r="Y608" s="22" t="s">
        <v>2308</v>
      </c>
      <c r="Z608" s="4" t="s">
        <v>2308</v>
      </c>
      <c r="AA608" s="4" t="s">
        <v>2308</v>
      </c>
      <c r="AB608" s="4" t="s">
        <v>2308</v>
      </c>
      <c r="AC608" s="4"/>
      <c r="AD608" s="4"/>
    </row>
    <row r="609" spans="1:30" ht="41.5" customHeight="1">
      <c r="A609" s="12" t="s">
        <v>945</v>
      </c>
      <c r="B609" s="12" t="s">
        <v>952</v>
      </c>
      <c r="C609" s="24" t="s">
        <v>24</v>
      </c>
      <c r="D609" s="24" t="s">
        <v>149</v>
      </c>
      <c r="E609" s="12" t="s">
        <v>45</v>
      </c>
      <c r="F609" s="20" t="s">
        <v>74</v>
      </c>
      <c r="G609" s="20"/>
      <c r="H609" s="12" t="s">
        <v>531</v>
      </c>
      <c r="I609" s="4"/>
      <c r="J609" s="22" t="s">
        <v>2308</v>
      </c>
      <c r="K609" s="22" t="s">
        <v>2308</v>
      </c>
      <c r="L609" s="22" t="s">
        <v>2308</v>
      </c>
      <c r="M609" s="22" t="s">
        <v>2308</v>
      </c>
      <c r="N609" s="22" t="s">
        <v>2308</v>
      </c>
      <c r="O609" s="22" t="s">
        <v>2308</v>
      </c>
      <c r="P609" s="22" t="s">
        <v>2308</v>
      </c>
      <c r="Q609" s="22" t="s">
        <v>2308</v>
      </c>
      <c r="R609" s="22" t="s">
        <v>2308</v>
      </c>
      <c r="S609" s="22" t="s">
        <v>2308</v>
      </c>
      <c r="T609" s="22" t="s">
        <v>2308</v>
      </c>
      <c r="U609" s="22" t="s">
        <v>2308</v>
      </c>
      <c r="V609" s="22" t="s">
        <v>2308</v>
      </c>
      <c r="W609" s="22" t="s">
        <v>2308</v>
      </c>
      <c r="X609" s="22" t="s">
        <v>2308</v>
      </c>
      <c r="Y609" s="22" t="s">
        <v>2308</v>
      </c>
      <c r="Z609" s="4" t="s">
        <v>2308</v>
      </c>
      <c r="AA609" s="4" t="s">
        <v>2308</v>
      </c>
      <c r="AB609" s="4" t="s">
        <v>2308</v>
      </c>
      <c r="AC609" s="4"/>
      <c r="AD609" s="4"/>
    </row>
    <row r="610" spans="1:30" ht="39.5" customHeight="1">
      <c r="A610" s="12" t="s">
        <v>950</v>
      </c>
      <c r="B610" s="12" t="s">
        <v>953</v>
      </c>
      <c r="C610" s="24" t="s">
        <v>24</v>
      </c>
      <c r="D610" s="24" t="s">
        <v>27</v>
      </c>
      <c r="E610" s="12" t="s">
        <v>136</v>
      </c>
      <c r="F610" s="20" t="s">
        <v>167</v>
      </c>
      <c r="G610" s="20"/>
      <c r="H610" s="4" t="s">
        <v>531</v>
      </c>
      <c r="I610" s="4"/>
      <c r="J610" s="22" t="s">
        <v>2308</v>
      </c>
      <c r="K610" s="22" t="s">
        <v>2308</v>
      </c>
      <c r="L610" s="22" t="s">
        <v>2308</v>
      </c>
      <c r="M610" s="22" t="s">
        <v>2308</v>
      </c>
      <c r="N610" s="22" t="s">
        <v>2308</v>
      </c>
      <c r="O610" s="22" t="s">
        <v>2308</v>
      </c>
      <c r="P610" s="22" t="s">
        <v>2308</v>
      </c>
      <c r="Q610" s="22" t="s">
        <v>2308</v>
      </c>
      <c r="R610" s="22" t="s">
        <v>2308</v>
      </c>
      <c r="S610" s="22" t="s">
        <v>2308</v>
      </c>
      <c r="T610" s="22" t="s">
        <v>2308</v>
      </c>
      <c r="U610" s="22" t="s">
        <v>2308</v>
      </c>
      <c r="V610" s="22" t="s">
        <v>2308</v>
      </c>
      <c r="W610" s="22" t="s">
        <v>2308</v>
      </c>
      <c r="X610" s="22" t="s">
        <v>2308</v>
      </c>
      <c r="Y610" s="22" t="s">
        <v>2308</v>
      </c>
      <c r="Z610" s="4" t="s">
        <v>2308</v>
      </c>
      <c r="AA610" s="4" t="s">
        <v>2308</v>
      </c>
      <c r="AB610" s="4" t="s">
        <v>2308</v>
      </c>
      <c r="AC610" s="4"/>
      <c r="AD610" s="4"/>
    </row>
    <row r="611" spans="1:30" ht="41" customHeight="1">
      <c r="A611" s="12" t="s">
        <v>956</v>
      </c>
      <c r="B611" s="12" t="s">
        <v>960</v>
      </c>
      <c r="C611" s="24" t="s">
        <v>24</v>
      </c>
      <c r="D611" s="24" t="s">
        <v>27</v>
      </c>
      <c r="E611" s="12" t="s">
        <v>136</v>
      </c>
      <c r="F611" s="20" t="s">
        <v>167</v>
      </c>
      <c r="G611" s="20"/>
      <c r="H611" s="4" t="s">
        <v>531</v>
      </c>
      <c r="I611" s="4"/>
      <c r="J611" s="22" t="s">
        <v>2308</v>
      </c>
      <c r="K611" s="22" t="s">
        <v>2308</v>
      </c>
      <c r="L611" s="22" t="s">
        <v>2308</v>
      </c>
      <c r="M611" s="22" t="s">
        <v>2308</v>
      </c>
      <c r="N611" s="22" t="s">
        <v>2308</v>
      </c>
      <c r="O611" s="22" t="s">
        <v>2308</v>
      </c>
      <c r="P611" s="22" t="s">
        <v>2308</v>
      </c>
      <c r="Q611" s="22" t="s">
        <v>2308</v>
      </c>
      <c r="R611" s="22" t="s">
        <v>2308</v>
      </c>
      <c r="S611" s="22" t="s">
        <v>2308</v>
      </c>
      <c r="T611" s="22" t="s">
        <v>2308</v>
      </c>
      <c r="U611" s="22" t="s">
        <v>2308</v>
      </c>
      <c r="V611" s="22" t="s">
        <v>2308</v>
      </c>
      <c r="W611" s="22" t="s">
        <v>2308</v>
      </c>
      <c r="X611" s="22" t="s">
        <v>2308</v>
      </c>
      <c r="Y611" s="22">
        <v>17.5</v>
      </c>
      <c r="Z611" s="4" t="s">
        <v>2308</v>
      </c>
      <c r="AA611" s="4" t="s">
        <v>2308</v>
      </c>
      <c r="AB611" s="4" t="s">
        <v>2308</v>
      </c>
      <c r="AC611" s="4"/>
      <c r="AD611" s="5" t="s">
        <v>2247</v>
      </c>
    </row>
    <row r="612" spans="1:30" ht="52" customHeight="1">
      <c r="A612" s="12" t="s">
        <v>962</v>
      </c>
      <c r="B612" s="12" t="s">
        <v>966</v>
      </c>
      <c r="C612" s="24" t="s">
        <v>24</v>
      </c>
      <c r="D612" s="24" t="s">
        <v>149</v>
      </c>
      <c r="E612" s="12" t="s">
        <v>877</v>
      </c>
      <c r="F612" s="20" t="s">
        <v>74</v>
      </c>
      <c r="G612" s="20"/>
      <c r="H612" s="12" t="s">
        <v>532</v>
      </c>
      <c r="I612" s="4"/>
      <c r="J612" s="22" t="s">
        <v>2308</v>
      </c>
      <c r="K612" s="22" t="s">
        <v>2308</v>
      </c>
      <c r="L612" s="22" t="s">
        <v>2308</v>
      </c>
      <c r="M612" s="22" t="s">
        <v>2308</v>
      </c>
      <c r="N612" s="22" t="s">
        <v>2308</v>
      </c>
      <c r="O612" s="22" t="s">
        <v>2308</v>
      </c>
      <c r="P612" s="22" t="s">
        <v>2308</v>
      </c>
      <c r="Q612" s="22" t="s">
        <v>2308</v>
      </c>
      <c r="R612" s="22" t="s">
        <v>2308</v>
      </c>
      <c r="S612" s="22" t="s">
        <v>2308</v>
      </c>
      <c r="T612" s="22" t="s">
        <v>2308</v>
      </c>
      <c r="U612" s="22" t="s">
        <v>2308</v>
      </c>
      <c r="V612" s="22" t="s">
        <v>2308</v>
      </c>
      <c r="W612" s="22" t="s">
        <v>2308</v>
      </c>
      <c r="X612" s="22" t="s">
        <v>2308</v>
      </c>
      <c r="Y612" s="22" t="s">
        <v>2308</v>
      </c>
      <c r="Z612" s="4" t="s">
        <v>2308</v>
      </c>
      <c r="AA612" s="4" t="s">
        <v>2308</v>
      </c>
      <c r="AB612" s="4" t="s">
        <v>2308</v>
      </c>
      <c r="AC612" s="5" t="s">
        <v>2248</v>
      </c>
      <c r="AD612" s="4"/>
    </row>
    <row r="613" spans="1:30" ht="39.5" customHeight="1">
      <c r="A613" s="12" t="s">
        <v>962</v>
      </c>
      <c r="B613" s="12" t="s">
        <v>968</v>
      </c>
      <c r="C613" s="24" t="s">
        <v>24</v>
      </c>
      <c r="D613" s="24" t="s">
        <v>27</v>
      </c>
      <c r="E613" s="12" t="s">
        <v>136</v>
      </c>
      <c r="F613" s="20" t="s">
        <v>167</v>
      </c>
      <c r="G613" s="20"/>
      <c r="H613" s="4" t="s">
        <v>531</v>
      </c>
      <c r="I613" s="4"/>
      <c r="J613" s="22" t="s">
        <v>2308</v>
      </c>
      <c r="K613" s="22" t="s">
        <v>2308</v>
      </c>
      <c r="L613" s="22" t="s">
        <v>2308</v>
      </c>
      <c r="M613" s="22" t="s">
        <v>2308</v>
      </c>
      <c r="N613" s="22" t="s">
        <v>2308</v>
      </c>
      <c r="O613" s="22" t="s">
        <v>2308</v>
      </c>
      <c r="P613" s="22" t="s">
        <v>2308</v>
      </c>
      <c r="Q613" s="22" t="s">
        <v>2308</v>
      </c>
      <c r="R613" s="22" t="s">
        <v>2308</v>
      </c>
      <c r="S613" s="22" t="s">
        <v>2308</v>
      </c>
      <c r="T613" s="22" t="s">
        <v>2308</v>
      </c>
      <c r="U613" s="22" t="s">
        <v>2308</v>
      </c>
      <c r="V613" s="22" t="s">
        <v>2308</v>
      </c>
      <c r="W613" s="22" t="s">
        <v>2308</v>
      </c>
      <c r="X613" s="22" t="s">
        <v>2308</v>
      </c>
      <c r="Y613" s="22" t="s">
        <v>2308</v>
      </c>
      <c r="Z613" s="4" t="s">
        <v>2308</v>
      </c>
      <c r="AA613" s="4" t="s">
        <v>2308</v>
      </c>
      <c r="AB613" s="4" t="s">
        <v>2308</v>
      </c>
      <c r="AC613" s="5"/>
      <c r="AD613" s="4"/>
    </row>
    <row r="614" spans="1:30" ht="48.5" customHeight="1">
      <c r="A614" s="12" t="s">
        <v>964</v>
      </c>
      <c r="B614" s="12" t="s">
        <v>967</v>
      </c>
      <c r="C614" s="24" t="s">
        <v>24</v>
      </c>
      <c r="D614" s="24" t="s">
        <v>149</v>
      </c>
      <c r="E614" s="12" t="s">
        <v>877</v>
      </c>
      <c r="F614" s="20" t="s">
        <v>74</v>
      </c>
      <c r="G614" s="20"/>
      <c r="H614" s="12" t="s">
        <v>532</v>
      </c>
      <c r="I614" s="4"/>
      <c r="J614" s="22" t="s">
        <v>2308</v>
      </c>
      <c r="K614" s="22" t="s">
        <v>2308</v>
      </c>
      <c r="L614" s="22" t="s">
        <v>2308</v>
      </c>
      <c r="M614" s="22" t="s">
        <v>2308</v>
      </c>
      <c r="N614" s="22" t="s">
        <v>2308</v>
      </c>
      <c r="O614" s="22" t="s">
        <v>2308</v>
      </c>
      <c r="P614" s="22" t="s">
        <v>2308</v>
      </c>
      <c r="Q614" s="22" t="s">
        <v>2308</v>
      </c>
      <c r="R614" s="22" t="s">
        <v>2308</v>
      </c>
      <c r="S614" s="22" t="s">
        <v>2308</v>
      </c>
      <c r="T614" s="22" t="s">
        <v>2308</v>
      </c>
      <c r="U614" s="22" t="s">
        <v>2308</v>
      </c>
      <c r="V614" s="22" t="s">
        <v>2308</v>
      </c>
      <c r="W614" s="22" t="s">
        <v>2308</v>
      </c>
      <c r="X614" s="22" t="s">
        <v>2308</v>
      </c>
      <c r="Y614" s="22" t="s">
        <v>2308</v>
      </c>
      <c r="Z614" s="4" t="s">
        <v>2308</v>
      </c>
      <c r="AA614" s="4" t="s">
        <v>2308</v>
      </c>
      <c r="AB614" s="4" t="s">
        <v>2308</v>
      </c>
      <c r="AC614" s="5" t="s">
        <v>2248</v>
      </c>
      <c r="AD614" s="4"/>
    </row>
    <row r="615" spans="1:30" ht="55" customHeight="1">
      <c r="A615" s="12" t="s">
        <v>964</v>
      </c>
      <c r="B615" s="12" t="s">
        <v>969</v>
      </c>
      <c r="C615" s="24" t="s">
        <v>24</v>
      </c>
      <c r="D615" s="24" t="s">
        <v>27</v>
      </c>
      <c r="E615" s="12" t="s">
        <v>136</v>
      </c>
      <c r="F615" s="20" t="s">
        <v>167</v>
      </c>
      <c r="G615" s="20"/>
      <c r="H615" s="4" t="s">
        <v>531</v>
      </c>
      <c r="I615" s="4"/>
      <c r="J615" s="22" t="s">
        <v>2308</v>
      </c>
      <c r="K615" s="22" t="s">
        <v>2308</v>
      </c>
      <c r="L615" s="22" t="s">
        <v>2308</v>
      </c>
      <c r="M615" s="22" t="s">
        <v>2308</v>
      </c>
      <c r="N615" s="22" t="s">
        <v>2308</v>
      </c>
      <c r="O615" s="22" t="s">
        <v>2308</v>
      </c>
      <c r="P615" s="22" t="s">
        <v>2308</v>
      </c>
      <c r="Q615" s="22" t="s">
        <v>2308</v>
      </c>
      <c r="R615" s="22" t="s">
        <v>2308</v>
      </c>
      <c r="S615" s="22" t="s">
        <v>2308</v>
      </c>
      <c r="T615" s="22" t="s">
        <v>2308</v>
      </c>
      <c r="U615" s="22" t="s">
        <v>2308</v>
      </c>
      <c r="V615" s="22" t="s">
        <v>2308</v>
      </c>
      <c r="W615" s="22" t="s">
        <v>2308</v>
      </c>
      <c r="X615" s="22" t="s">
        <v>2308</v>
      </c>
      <c r="Y615" s="22" t="s">
        <v>2308</v>
      </c>
      <c r="Z615" s="4" t="s">
        <v>2308</v>
      </c>
      <c r="AA615" s="4" t="s">
        <v>2308</v>
      </c>
      <c r="AB615" s="4" t="s">
        <v>2308</v>
      </c>
      <c r="AC615" s="4"/>
      <c r="AD615" s="4"/>
    </row>
    <row r="616" spans="1:30" ht="72" customHeight="1">
      <c r="A616" s="12" t="s">
        <v>972</v>
      </c>
      <c r="B616" s="12" t="s">
        <v>981</v>
      </c>
      <c r="C616" s="24" t="s">
        <v>24</v>
      </c>
      <c r="D616" s="24" t="s">
        <v>27</v>
      </c>
      <c r="E616" s="12" t="s">
        <v>136</v>
      </c>
      <c r="F616" s="20" t="s">
        <v>167</v>
      </c>
      <c r="G616" s="20"/>
      <c r="H616" s="4" t="s">
        <v>531</v>
      </c>
      <c r="I616" s="4"/>
      <c r="J616" s="22" t="s">
        <v>2308</v>
      </c>
      <c r="K616" s="22" t="s">
        <v>2308</v>
      </c>
      <c r="L616" s="22" t="s">
        <v>2308</v>
      </c>
      <c r="M616" s="22" t="s">
        <v>2308</v>
      </c>
      <c r="N616" s="22" t="s">
        <v>2308</v>
      </c>
      <c r="O616" s="22" t="s">
        <v>2308</v>
      </c>
      <c r="P616" s="22" t="s">
        <v>2308</v>
      </c>
      <c r="Q616" s="22" t="s">
        <v>2308</v>
      </c>
      <c r="R616" s="22" t="s">
        <v>2308</v>
      </c>
      <c r="S616" s="22" t="s">
        <v>2308</v>
      </c>
      <c r="T616" s="22" t="s">
        <v>2308</v>
      </c>
      <c r="U616" s="22" t="s">
        <v>2308</v>
      </c>
      <c r="V616" s="22" t="s">
        <v>2308</v>
      </c>
      <c r="W616" s="22" t="s">
        <v>2308</v>
      </c>
      <c r="X616" s="22" t="s">
        <v>2308</v>
      </c>
      <c r="Y616" s="22" t="s">
        <v>2308</v>
      </c>
      <c r="Z616" s="4" t="s">
        <v>432</v>
      </c>
      <c r="AA616" s="4" t="s">
        <v>68</v>
      </c>
      <c r="AB616" s="4" t="s">
        <v>2308</v>
      </c>
      <c r="AC616" s="5" t="s">
        <v>976</v>
      </c>
      <c r="AD616" s="4" t="s">
        <v>728</v>
      </c>
    </row>
    <row r="617" spans="1:30" ht="46.5" customHeight="1">
      <c r="A617" s="12" t="s">
        <v>972</v>
      </c>
      <c r="B617" s="12" t="s">
        <v>982</v>
      </c>
      <c r="C617" s="24" t="s">
        <v>24</v>
      </c>
      <c r="D617" s="24" t="s">
        <v>149</v>
      </c>
      <c r="E617" s="12" t="s">
        <v>45</v>
      </c>
      <c r="F617" s="20" t="s">
        <v>74</v>
      </c>
      <c r="G617" s="20"/>
      <c r="H617" s="12" t="s">
        <v>531</v>
      </c>
      <c r="I617" s="4"/>
      <c r="J617" s="22" t="s">
        <v>2308</v>
      </c>
      <c r="K617" s="22" t="s">
        <v>2308</v>
      </c>
      <c r="L617" s="22" t="s">
        <v>2308</v>
      </c>
      <c r="M617" s="22" t="s">
        <v>2308</v>
      </c>
      <c r="N617" s="22" t="s">
        <v>2308</v>
      </c>
      <c r="O617" s="22" t="s">
        <v>2308</v>
      </c>
      <c r="P617" s="22" t="s">
        <v>2308</v>
      </c>
      <c r="Q617" s="22" t="s">
        <v>2308</v>
      </c>
      <c r="R617" s="22" t="s">
        <v>2308</v>
      </c>
      <c r="S617" s="22" t="s">
        <v>2308</v>
      </c>
      <c r="T617" s="22" t="s">
        <v>2308</v>
      </c>
      <c r="U617" s="22" t="s">
        <v>2308</v>
      </c>
      <c r="V617" s="22" t="s">
        <v>2308</v>
      </c>
      <c r="W617" s="22" t="s">
        <v>2308</v>
      </c>
      <c r="X617" s="22" t="s">
        <v>2308</v>
      </c>
      <c r="Y617" s="22" t="s">
        <v>2308</v>
      </c>
      <c r="Z617" s="4" t="s">
        <v>2308</v>
      </c>
      <c r="AA617" s="4" t="s">
        <v>2308</v>
      </c>
      <c r="AB617" s="4" t="s">
        <v>2308</v>
      </c>
      <c r="AC617" s="5" t="s">
        <v>977</v>
      </c>
      <c r="AD617" s="4"/>
    </row>
    <row r="618" spans="1:30" ht="71.5" customHeight="1">
      <c r="A618" s="12" t="s">
        <v>978</v>
      </c>
      <c r="B618" s="12" t="s">
        <v>983</v>
      </c>
      <c r="C618" s="24" t="s">
        <v>24</v>
      </c>
      <c r="D618" s="24" t="s">
        <v>27</v>
      </c>
      <c r="E618" s="12" t="s">
        <v>136</v>
      </c>
      <c r="F618" s="20" t="s">
        <v>167</v>
      </c>
      <c r="G618" s="20"/>
      <c r="H618" s="4" t="s">
        <v>531</v>
      </c>
      <c r="I618" s="4"/>
      <c r="J618" s="22" t="s">
        <v>2308</v>
      </c>
      <c r="K618" s="22" t="s">
        <v>2308</v>
      </c>
      <c r="L618" s="22" t="s">
        <v>2308</v>
      </c>
      <c r="M618" s="22" t="s">
        <v>2308</v>
      </c>
      <c r="N618" s="22" t="s">
        <v>2308</v>
      </c>
      <c r="O618" s="22" t="s">
        <v>2308</v>
      </c>
      <c r="P618" s="22" t="s">
        <v>2308</v>
      </c>
      <c r="Q618" s="22" t="s">
        <v>2308</v>
      </c>
      <c r="R618" s="22" t="s">
        <v>2308</v>
      </c>
      <c r="S618" s="22" t="s">
        <v>2308</v>
      </c>
      <c r="T618" s="22" t="s">
        <v>2308</v>
      </c>
      <c r="U618" s="22" t="s">
        <v>2308</v>
      </c>
      <c r="V618" s="22" t="s">
        <v>2308</v>
      </c>
      <c r="W618" s="22" t="s">
        <v>2308</v>
      </c>
      <c r="X618" s="22" t="s">
        <v>2308</v>
      </c>
      <c r="Y618" s="22">
        <v>5</v>
      </c>
      <c r="Z618" s="4" t="s">
        <v>2308</v>
      </c>
      <c r="AA618" s="4" t="s">
        <v>2308</v>
      </c>
      <c r="AB618" s="4" t="s">
        <v>2308</v>
      </c>
      <c r="AC618" s="4" t="s">
        <v>987</v>
      </c>
      <c r="AD618" s="25" t="s">
        <v>2254</v>
      </c>
    </row>
    <row r="619" spans="1:30" ht="64.5" customHeight="1">
      <c r="A619" s="12" t="s">
        <v>984</v>
      </c>
      <c r="B619" s="12" t="s">
        <v>988</v>
      </c>
      <c r="C619" s="24" t="s">
        <v>24</v>
      </c>
      <c r="D619" s="24" t="s">
        <v>27</v>
      </c>
      <c r="E619" s="12" t="s">
        <v>136</v>
      </c>
      <c r="F619" s="20" t="s">
        <v>167</v>
      </c>
      <c r="G619" s="20"/>
      <c r="H619" s="4" t="s">
        <v>531</v>
      </c>
      <c r="I619" s="4"/>
      <c r="J619" s="22" t="s">
        <v>2308</v>
      </c>
      <c r="K619" s="22" t="s">
        <v>2308</v>
      </c>
      <c r="L619" s="22" t="s">
        <v>2308</v>
      </c>
      <c r="M619" s="22" t="s">
        <v>2308</v>
      </c>
      <c r="N619" s="22" t="s">
        <v>2308</v>
      </c>
      <c r="O619" s="22" t="s">
        <v>2308</v>
      </c>
      <c r="P619" s="22" t="s">
        <v>2308</v>
      </c>
      <c r="Q619" s="22" t="s">
        <v>2308</v>
      </c>
      <c r="R619" s="22" t="s">
        <v>2308</v>
      </c>
      <c r="S619" s="22" t="s">
        <v>2308</v>
      </c>
      <c r="T619" s="22" t="s">
        <v>2308</v>
      </c>
      <c r="U619" s="22" t="s">
        <v>2308</v>
      </c>
      <c r="V619" s="22" t="s">
        <v>2308</v>
      </c>
      <c r="W619" s="22" t="s">
        <v>2308</v>
      </c>
      <c r="X619" s="22" t="s">
        <v>2308</v>
      </c>
      <c r="Y619" s="22">
        <v>4.8</v>
      </c>
      <c r="Z619" s="4" t="s">
        <v>2308</v>
      </c>
      <c r="AA619" s="4" t="s">
        <v>2308</v>
      </c>
      <c r="AB619" s="4" t="s">
        <v>2308</v>
      </c>
      <c r="AC619" s="4" t="s">
        <v>987</v>
      </c>
      <c r="AD619" s="5" t="s">
        <v>2255</v>
      </c>
    </row>
    <row r="620" spans="1:30" ht="70" customHeight="1">
      <c r="A620" s="12" t="s">
        <v>985</v>
      </c>
      <c r="B620" s="12" t="s">
        <v>989</v>
      </c>
      <c r="C620" s="24" t="s">
        <v>24</v>
      </c>
      <c r="D620" s="24" t="s">
        <v>27</v>
      </c>
      <c r="E620" s="12" t="s">
        <v>136</v>
      </c>
      <c r="F620" s="20" t="s">
        <v>167</v>
      </c>
      <c r="G620" s="20"/>
      <c r="H620" s="4" t="s">
        <v>531</v>
      </c>
      <c r="I620" s="4"/>
      <c r="J620" s="22" t="s">
        <v>2308</v>
      </c>
      <c r="K620" s="22" t="s">
        <v>2308</v>
      </c>
      <c r="L620" s="22" t="s">
        <v>2308</v>
      </c>
      <c r="M620" s="22" t="s">
        <v>2308</v>
      </c>
      <c r="N620" s="22" t="s">
        <v>2308</v>
      </c>
      <c r="O620" s="22" t="s">
        <v>2308</v>
      </c>
      <c r="P620" s="22" t="s">
        <v>2308</v>
      </c>
      <c r="Q620" s="22" t="s">
        <v>2308</v>
      </c>
      <c r="R620" s="22" t="s">
        <v>2308</v>
      </c>
      <c r="S620" s="22" t="s">
        <v>2308</v>
      </c>
      <c r="T620" s="22" t="s">
        <v>2308</v>
      </c>
      <c r="U620" s="22" t="s">
        <v>2308</v>
      </c>
      <c r="V620" s="22" t="s">
        <v>2308</v>
      </c>
      <c r="W620" s="22" t="s">
        <v>2308</v>
      </c>
      <c r="X620" s="22" t="s">
        <v>2308</v>
      </c>
      <c r="Y620" s="22">
        <v>5.8</v>
      </c>
      <c r="Z620" s="4" t="s">
        <v>2308</v>
      </c>
      <c r="AA620" s="4" t="s">
        <v>2308</v>
      </c>
      <c r="AB620" s="4" t="s">
        <v>2308</v>
      </c>
      <c r="AC620" s="4" t="s">
        <v>987</v>
      </c>
      <c r="AD620" s="5" t="s">
        <v>2255</v>
      </c>
    </row>
    <row r="621" spans="1:30" ht="68.5" customHeight="1">
      <c r="A621" s="12" t="s">
        <v>990</v>
      </c>
      <c r="B621" s="12" t="s">
        <v>996</v>
      </c>
      <c r="C621" s="24" t="s">
        <v>24</v>
      </c>
      <c r="D621" s="24" t="s">
        <v>27</v>
      </c>
      <c r="E621" s="12" t="s">
        <v>136</v>
      </c>
      <c r="F621" s="20" t="s">
        <v>167</v>
      </c>
      <c r="G621" s="20"/>
      <c r="H621" s="4" t="s">
        <v>531</v>
      </c>
      <c r="I621" s="4"/>
      <c r="J621" s="22" t="s">
        <v>2308</v>
      </c>
      <c r="K621" s="22" t="s">
        <v>2308</v>
      </c>
      <c r="L621" s="22" t="s">
        <v>2308</v>
      </c>
      <c r="M621" s="22" t="s">
        <v>2308</v>
      </c>
      <c r="N621" s="22" t="s">
        <v>2308</v>
      </c>
      <c r="O621" s="22" t="s">
        <v>2308</v>
      </c>
      <c r="P621" s="22" t="s">
        <v>2308</v>
      </c>
      <c r="Q621" s="22" t="s">
        <v>2308</v>
      </c>
      <c r="R621" s="22" t="s">
        <v>2308</v>
      </c>
      <c r="S621" s="22" t="s">
        <v>2308</v>
      </c>
      <c r="T621" s="22" t="s">
        <v>2308</v>
      </c>
      <c r="U621" s="22" t="s">
        <v>2308</v>
      </c>
      <c r="V621" s="22" t="s">
        <v>2308</v>
      </c>
      <c r="W621" s="22" t="s">
        <v>2308</v>
      </c>
      <c r="X621" s="22" t="s">
        <v>2308</v>
      </c>
      <c r="Y621" s="80">
        <v>5</v>
      </c>
      <c r="Z621" s="4" t="s">
        <v>2308</v>
      </c>
      <c r="AA621" s="4" t="s">
        <v>2308</v>
      </c>
      <c r="AB621" s="4" t="s">
        <v>2308</v>
      </c>
      <c r="AC621" s="4"/>
      <c r="AD621" s="5" t="s">
        <v>2257</v>
      </c>
    </row>
    <row r="622" spans="1:30" ht="38.5" customHeight="1">
      <c r="A622" s="12" t="s">
        <v>997</v>
      </c>
      <c r="B622" s="12" t="s">
        <v>1007</v>
      </c>
      <c r="C622" s="24" t="s">
        <v>24</v>
      </c>
      <c r="D622" s="24" t="s">
        <v>149</v>
      </c>
      <c r="E622" s="5" t="s">
        <v>404</v>
      </c>
      <c r="F622" s="20" t="s">
        <v>74</v>
      </c>
      <c r="G622" s="20"/>
      <c r="H622" s="12" t="s">
        <v>531</v>
      </c>
      <c r="I622" s="4"/>
      <c r="J622" s="22" t="s">
        <v>2308</v>
      </c>
      <c r="K622" s="22" t="s">
        <v>2308</v>
      </c>
      <c r="L622" s="22" t="s">
        <v>2308</v>
      </c>
      <c r="M622" s="22" t="s">
        <v>2308</v>
      </c>
      <c r="N622" s="22" t="s">
        <v>2308</v>
      </c>
      <c r="O622" s="22" t="s">
        <v>2308</v>
      </c>
      <c r="P622" s="22" t="s">
        <v>2308</v>
      </c>
      <c r="Q622" s="22" t="s">
        <v>2308</v>
      </c>
      <c r="R622" s="22" t="s">
        <v>2308</v>
      </c>
      <c r="S622" s="22" t="s">
        <v>2308</v>
      </c>
      <c r="T622" s="22" t="s">
        <v>2308</v>
      </c>
      <c r="U622" s="22" t="s">
        <v>2308</v>
      </c>
      <c r="V622" s="22" t="s">
        <v>2308</v>
      </c>
      <c r="W622" s="22" t="s">
        <v>2308</v>
      </c>
      <c r="X622" s="22" t="s">
        <v>2308</v>
      </c>
      <c r="Y622" s="22" t="s">
        <v>2308</v>
      </c>
      <c r="Z622" s="4" t="s">
        <v>2308</v>
      </c>
      <c r="AA622" s="4" t="s">
        <v>2308</v>
      </c>
      <c r="AB622" s="4" t="s">
        <v>2308</v>
      </c>
      <c r="AC622" s="4"/>
      <c r="AD622" s="4"/>
    </row>
    <row r="623" spans="1:30" ht="36" customHeight="1">
      <c r="A623" s="12" t="s">
        <v>1001</v>
      </c>
      <c r="B623" s="12" t="s">
        <v>1008</v>
      </c>
      <c r="C623" s="24" t="s">
        <v>24</v>
      </c>
      <c r="D623" s="24" t="s">
        <v>27</v>
      </c>
      <c r="E623" s="12" t="s">
        <v>136</v>
      </c>
      <c r="F623" s="20" t="s">
        <v>167</v>
      </c>
      <c r="G623" s="20"/>
      <c r="H623" s="4" t="s">
        <v>531</v>
      </c>
      <c r="I623" s="4"/>
      <c r="J623" s="22" t="s">
        <v>2308</v>
      </c>
      <c r="K623" s="22" t="s">
        <v>2308</v>
      </c>
      <c r="L623" s="22" t="s">
        <v>2308</v>
      </c>
      <c r="M623" s="22" t="s">
        <v>2308</v>
      </c>
      <c r="N623" s="22" t="s">
        <v>2308</v>
      </c>
      <c r="O623" s="22" t="s">
        <v>2308</v>
      </c>
      <c r="P623" s="22" t="s">
        <v>2308</v>
      </c>
      <c r="Q623" s="22" t="s">
        <v>2308</v>
      </c>
      <c r="R623" s="22" t="s">
        <v>2308</v>
      </c>
      <c r="S623" s="22" t="s">
        <v>2308</v>
      </c>
      <c r="T623" s="22" t="s">
        <v>2308</v>
      </c>
      <c r="U623" s="22" t="s">
        <v>2308</v>
      </c>
      <c r="V623" s="22" t="s">
        <v>2308</v>
      </c>
      <c r="W623" s="22" t="s">
        <v>2308</v>
      </c>
      <c r="X623" s="22" t="s">
        <v>2308</v>
      </c>
      <c r="Y623" s="22" t="s">
        <v>2308</v>
      </c>
      <c r="Z623" s="4" t="s">
        <v>2308</v>
      </c>
      <c r="AA623" s="4" t="s">
        <v>2308</v>
      </c>
      <c r="AB623" s="4" t="s">
        <v>2308</v>
      </c>
      <c r="AC623" s="4"/>
      <c r="AD623" s="4"/>
    </row>
    <row r="624" spans="1:30" ht="34.5" customHeight="1">
      <c r="A624" s="12" t="s">
        <v>1009</v>
      </c>
      <c r="B624" s="12" t="s">
        <v>1022</v>
      </c>
      <c r="C624" s="24" t="s">
        <v>24</v>
      </c>
      <c r="D624" s="24" t="s">
        <v>27</v>
      </c>
      <c r="E624" s="12" t="s">
        <v>136</v>
      </c>
      <c r="F624" s="20" t="s">
        <v>167</v>
      </c>
      <c r="G624" s="20"/>
      <c r="H624" s="4" t="s">
        <v>531</v>
      </c>
      <c r="I624" s="4"/>
      <c r="J624" s="22" t="s">
        <v>2308</v>
      </c>
      <c r="K624" s="22" t="s">
        <v>2308</v>
      </c>
      <c r="L624" s="22" t="s">
        <v>2308</v>
      </c>
      <c r="M624" s="22" t="s">
        <v>2308</v>
      </c>
      <c r="N624" s="22" t="s">
        <v>2308</v>
      </c>
      <c r="O624" s="22" t="s">
        <v>2308</v>
      </c>
      <c r="P624" s="22" t="s">
        <v>2308</v>
      </c>
      <c r="Q624" s="22" t="s">
        <v>2308</v>
      </c>
      <c r="R624" s="22" t="s">
        <v>2308</v>
      </c>
      <c r="S624" s="22" t="s">
        <v>2308</v>
      </c>
      <c r="T624" s="22" t="s">
        <v>2308</v>
      </c>
      <c r="U624" s="22" t="s">
        <v>2308</v>
      </c>
      <c r="V624" s="22" t="s">
        <v>2308</v>
      </c>
      <c r="W624" s="22" t="s">
        <v>2308</v>
      </c>
      <c r="X624" s="22" t="s">
        <v>2308</v>
      </c>
      <c r="Y624" s="22" t="s">
        <v>2308</v>
      </c>
      <c r="Z624" s="4" t="s">
        <v>2308</v>
      </c>
      <c r="AA624" s="4" t="s">
        <v>2308</v>
      </c>
      <c r="AB624" s="4" t="s">
        <v>2308</v>
      </c>
      <c r="AC624" s="4" t="s">
        <v>1027</v>
      </c>
      <c r="AD624" s="5" t="s">
        <v>728</v>
      </c>
    </row>
    <row r="625" spans="1:30" ht="61" customHeight="1">
      <c r="A625" s="12" t="s">
        <v>1009</v>
      </c>
      <c r="B625" s="12" t="s">
        <v>2262</v>
      </c>
      <c r="C625" s="24" t="s">
        <v>24</v>
      </c>
      <c r="D625" s="24" t="s">
        <v>2263</v>
      </c>
      <c r="E625" s="20" t="s">
        <v>403</v>
      </c>
      <c r="F625" s="20" t="s">
        <v>167</v>
      </c>
      <c r="G625" s="20"/>
      <c r="H625" s="4" t="s">
        <v>531</v>
      </c>
      <c r="I625" s="4"/>
      <c r="J625" s="22" t="s">
        <v>2308</v>
      </c>
      <c r="K625" s="22" t="s">
        <v>2308</v>
      </c>
      <c r="L625" s="22" t="s">
        <v>2308</v>
      </c>
      <c r="M625" s="22" t="s">
        <v>2308</v>
      </c>
      <c r="N625" s="22" t="s">
        <v>2308</v>
      </c>
      <c r="O625" s="22" t="s">
        <v>2308</v>
      </c>
      <c r="P625" s="22" t="s">
        <v>2308</v>
      </c>
      <c r="Q625" s="22" t="s">
        <v>2308</v>
      </c>
      <c r="R625" s="22" t="s">
        <v>2308</v>
      </c>
      <c r="S625" s="22" t="s">
        <v>2308</v>
      </c>
      <c r="T625" s="22" t="s">
        <v>2308</v>
      </c>
      <c r="U625" s="22" t="s">
        <v>2308</v>
      </c>
      <c r="V625" s="22" t="s">
        <v>2308</v>
      </c>
      <c r="W625" s="22" t="s">
        <v>2308</v>
      </c>
      <c r="X625" s="22" t="s">
        <v>2308</v>
      </c>
      <c r="Y625" s="22" t="s">
        <v>2308</v>
      </c>
      <c r="Z625" s="4" t="s">
        <v>2308</v>
      </c>
      <c r="AA625" s="4" t="s">
        <v>2308</v>
      </c>
      <c r="AB625" s="4" t="s">
        <v>2308</v>
      </c>
      <c r="AC625" s="5" t="s">
        <v>2264</v>
      </c>
      <c r="AD625" s="5"/>
    </row>
    <row r="626" spans="1:30" ht="65" customHeight="1">
      <c r="A626" s="12" t="s">
        <v>1010</v>
      </c>
      <c r="B626" s="12" t="s">
        <v>1023</v>
      </c>
      <c r="C626" s="24" t="s">
        <v>24</v>
      </c>
      <c r="D626" s="24" t="s">
        <v>27</v>
      </c>
      <c r="E626" s="12" t="s">
        <v>136</v>
      </c>
      <c r="F626" s="20" t="s">
        <v>167</v>
      </c>
      <c r="G626" s="20"/>
      <c r="H626" s="4" t="s">
        <v>531</v>
      </c>
      <c r="I626" s="4"/>
      <c r="J626" s="22" t="s">
        <v>2308</v>
      </c>
      <c r="K626" s="22" t="s">
        <v>2308</v>
      </c>
      <c r="L626" s="22" t="s">
        <v>2308</v>
      </c>
      <c r="M626" s="22" t="s">
        <v>2308</v>
      </c>
      <c r="N626" s="22" t="s">
        <v>2308</v>
      </c>
      <c r="O626" s="22" t="s">
        <v>2308</v>
      </c>
      <c r="P626" s="22" t="s">
        <v>2308</v>
      </c>
      <c r="Q626" s="22" t="s">
        <v>2308</v>
      </c>
      <c r="R626" s="22" t="s">
        <v>2308</v>
      </c>
      <c r="S626" s="22" t="s">
        <v>2308</v>
      </c>
      <c r="T626" s="22" t="s">
        <v>2308</v>
      </c>
      <c r="U626" s="22" t="s">
        <v>2308</v>
      </c>
      <c r="V626" s="22" t="s">
        <v>2308</v>
      </c>
      <c r="W626" s="22" t="s">
        <v>2308</v>
      </c>
      <c r="X626" s="22" t="s">
        <v>2308</v>
      </c>
      <c r="Y626" s="22" t="s">
        <v>2308</v>
      </c>
      <c r="Z626" s="4" t="s">
        <v>2308</v>
      </c>
      <c r="AA626" s="4" t="s">
        <v>2308</v>
      </c>
      <c r="AB626" s="4" t="s">
        <v>2308</v>
      </c>
      <c r="AC626" s="4" t="s">
        <v>1027</v>
      </c>
      <c r="AD626" s="5" t="s">
        <v>1028</v>
      </c>
    </row>
    <row r="627" spans="1:30" ht="65" customHeight="1">
      <c r="A627" s="12" t="s">
        <v>1010</v>
      </c>
      <c r="B627" s="12" t="s">
        <v>2265</v>
      </c>
      <c r="C627" s="24" t="s">
        <v>24</v>
      </c>
      <c r="D627" s="24" t="s">
        <v>2263</v>
      </c>
      <c r="E627" s="20" t="s">
        <v>403</v>
      </c>
      <c r="F627" s="20" t="s">
        <v>167</v>
      </c>
      <c r="G627" s="20"/>
      <c r="H627" s="4" t="s">
        <v>531</v>
      </c>
      <c r="I627" s="4"/>
      <c r="J627" s="22" t="s">
        <v>2308</v>
      </c>
      <c r="K627" s="22" t="s">
        <v>2308</v>
      </c>
      <c r="L627" s="22" t="s">
        <v>2308</v>
      </c>
      <c r="M627" s="22" t="s">
        <v>2308</v>
      </c>
      <c r="N627" s="22" t="s">
        <v>2308</v>
      </c>
      <c r="O627" s="22" t="s">
        <v>2308</v>
      </c>
      <c r="P627" s="22" t="s">
        <v>2308</v>
      </c>
      <c r="Q627" s="22" t="s">
        <v>2308</v>
      </c>
      <c r="R627" s="22" t="s">
        <v>2308</v>
      </c>
      <c r="S627" s="22" t="s">
        <v>2308</v>
      </c>
      <c r="T627" s="22" t="s">
        <v>2308</v>
      </c>
      <c r="U627" s="22" t="s">
        <v>2308</v>
      </c>
      <c r="V627" s="22" t="s">
        <v>2308</v>
      </c>
      <c r="W627" s="22" t="s">
        <v>2308</v>
      </c>
      <c r="X627" s="22" t="s">
        <v>2308</v>
      </c>
      <c r="Y627" s="22" t="s">
        <v>2308</v>
      </c>
      <c r="Z627" s="4" t="s">
        <v>2308</v>
      </c>
      <c r="AA627" s="4" t="s">
        <v>2308</v>
      </c>
      <c r="AB627" s="4" t="s">
        <v>2308</v>
      </c>
      <c r="AC627" s="5" t="s">
        <v>2269</v>
      </c>
      <c r="AD627" s="5"/>
    </row>
    <row r="628" spans="1:30" ht="60.5" customHeight="1">
      <c r="A628" s="12" t="s">
        <v>1011</v>
      </c>
      <c r="B628" s="12" t="s">
        <v>1024</v>
      </c>
      <c r="C628" s="24" t="s">
        <v>24</v>
      </c>
      <c r="D628" s="24" t="s">
        <v>27</v>
      </c>
      <c r="E628" s="12" t="s">
        <v>136</v>
      </c>
      <c r="F628" s="20" t="s">
        <v>167</v>
      </c>
      <c r="G628" s="20"/>
      <c r="H628" s="4" t="s">
        <v>531</v>
      </c>
      <c r="I628" s="4"/>
      <c r="J628" s="22" t="s">
        <v>2308</v>
      </c>
      <c r="K628" s="22" t="s">
        <v>2308</v>
      </c>
      <c r="L628" s="22" t="s">
        <v>2308</v>
      </c>
      <c r="M628" s="22" t="s">
        <v>2308</v>
      </c>
      <c r="N628" s="22" t="s">
        <v>2308</v>
      </c>
      <c r="O628" s="22" t="s">
        <v>2308</v>
      </c>
      <c r="P628" s="22" t="s">
        <v>2308</v>
      </c>
      <c r="Q628" s="22" t="s">
        <v>2308</v>
      </c>
      <c r="R628" s="22" t="s">
        <v>2308</v>
      </c>
      <c r="S628" s="22" t="s">
        <v>2308</v>
      </c>
      <c r="T628" s="22" t="s">
        <v>2308</v>
      </c>
      <c r="U628" s="22" t="s">
        <v>2308</v>
      </c>
      <c r="V628" s="22" t="s">
        <v>2308</v>
      </c>
      <c r="W628" s="22" t="s">
        <v>2308</v>
      </c>
      <c r="X628" s="22" t="s">
        <v>2308</v>
      </c>
      <c r="Y628" s="22" t="s">
        <v>2308</v>
      </c>
      <c r="Z628" s="4" t="s">
        <v>2308</v>
      </c>
      <c r="AA628" s="4" t="s">
        <v>2308</v>
      </c>
      <c r="AB628" s="4" t="s">
        <v>2308</v>
      </c>
      <c r="AC628" s="4" t="s">
        <v>1027</v>
      </c>
      <c r="AD628" s="5" t="s">
        <v>1028</v>
      </c>
    </row>
    <row r="629" spans="1:30" ht="60.5" customHeight="1">
      <c r="A629" s="12" t="s">
        <v>1011</v>
      </c>
      <c r="B629" s="12" t="s">
        <v>2266</v>
      </c>
      <c r="C629" s="24" t="s">
        <v>24</v>
      </c>
      <c r="D629" s="24" t="s">
        <v>2263</v>
      </c>
      <c r="E629" s="20" t="s">
        <v>403</v>
      </c>
      <c r="F629" s="20" t="s">
        <v>167</v>
      </c>
      <c r="G629" s="20"/>
      <c r="H629" s="4" t="s">
        <v>531</v>
      </c>
      <c r="I629" s="4"/>
      <c r="J629" s="22" t="s">
        <v>2308</v>
      </c>
      <c r="K629" s="22" t="s">
        <v>2308</v>
      </c>
      <c r="L629" s="22" t="s">
        <v>2308</v>
      </c>
      <c r="M629" s="22" t="s">
        <v>2308</v>
      </c>
      <c r="N629" s="22" t="s">
        <v>2308</v>
      </c>
      <c r="O629" s="22" t="s">
        <v>2308</v>
      </c>
      <c r="P629" s="22" t="s">
        <v>2308</v>
      </c>
      <c r="Q629" s="22" t="s">
        <v>2308</v>
      </c>
      <c r="R629" s="22" t="s">
        <v>2308</v>
      </c>
      <c r="S629" s="22" t="s">
        <v>2308</v>
      </c>
      <c r="T629" s="22" t="s">
        <v>2308</v>
      </c>
      <c r="U629" s="22" t="s">
        <v>2308</v>
      </c>
      <c r="V629" s="22" t="s">
        <v>2308</v>
      </c>
      <c r="W629" s="22" t="s">
        <v>2308</v>
      </c>
      <c r="X629" s="22" t="s">
        <v>2308</v>
      </c>
      <c r="Y629" s="22" t="s">
        <v>2308</v>
      </c>
      <c r="Z629" s="4" t="s">
        <v>2308</v>
      </c>
      <c r="AA629" s="4" t="s">
        <v>2308</v>
      </c>
      <c r="AB629" s="4" t="s">
        <v>2308</v>
      </c>
      <c r="AC629" s="5" t="s">
        <v>2270</v>
      </c>
      <c r="AD629" s="5"/>
    </row>
    <row r="630" spans="1:30" ht="60" customHeight="1">
      <c r="A630" s="12" t="s">
        <v>1012</v>
      </c>
      <c r="B630" s="12" t="s">
        <v>1025</v>
      </c>
      <c r="C630" s="24" t="s">
        <v>24</v>
      </c>
      <c r="D630" s="24" t="s">
        <v>27</v>
      </c>
      <c r="E630" s="12" t="s">
        <v>136</v>
      </c>
      <c r="F630" s="20" t="s">
        <v>167</v>
      </c>
      <c r="G630" s="20"/>
      <c r="H630" s="4" t="s">
        <v>531</v>
      </c>
      <c r="I630" s="4"/>
      <c r="J630" s="22" t="s">
        <v>2308</v>
      </c>
      <c r="K630" s="22" t="s">
        <v>2308</v>
      </c>
      <c r="L630" s="22" t="s">
        <v>2308</v>
      </c>
      <c r="M630" s="22" t="s">
        <v>2308</v>
      </c>
      <c r="N630" s="22" t="s">
        <v>2308</v>
      </c>
      <c r="O630" s="22" t="s">
        <v>2308</v>
      </c>
      <c r="P630" s="22" t="s">
        <v>2308</v>
      </c>
      <c r="Q630" s="22" t="s">
        <v>2308</v>
      </c>
      <c r="R630" s="22" t="s">
        <v>2308</v>
      </c>
      <c r="S630" s="22" t="s">
        <v>2308</v>
      </c>
      <c r="T630" s="22" t="s">
        <v>2308</v>
      </c>
      <c r="U630" s="22" t="s">
        <v>2308</v>
      </c>
      <c r="V630" s="22" t="s">
        <v>2308</v>
      </c>
      <c r="W630" s="22" t="s">
        <v>2308</v>
      </c>
      <c r="X630" s="22" t="s">
        <v>2308</v>
      </c>
      <c r="Y630" s="22" t="s">
        <v>2308</v>
      </c>
      <c r="Z630" s="4" t="s">
        <v>2308</v>
      </c>
      <c r="AA630" s="4" t="s">
        <v>2308</v>
      </c>
      <c r="AB630" s="4" t="s">
        <v>2308</v>
      </c>
      <c r="AC630" s="4" t="s">
        <v>1027</v>
      </c>
      <c r="AD630" s="5" t="s">
        <v>1028</v>
      </c>
    </row>
    <row r="631" spans="1:30" ht="60" customHeight="1">
      <c r="A631" s="12" t="s">
        <v>1012</v>
      </c>
      <c r="B631" s="12" t="s">
        <v>2267</v>
      </c>
      <c r="C631" s="24" t="s">
        <v>24</v>
      </c>
      <c r="D631" s="24" t="s">
        <v>2263</v>
      </c>
      <c r="E631" s="20" t="s">
        <v>403</v>
      </c>
      <c r="F631" s="20" t="s">
        <v>167</v>
      </c>
      <c r="G631" s="20"/>
      <c r="H631" s="4" t="s">
        <v>531</v>
      </c>
      <c r="I631" s="4"/>
      <c r="J631" s="22" t="s">
        <v>2308</v>
      </c>
      <c r="K631" s="22" t="s">
        <v>2308</v>
      </c>
      <c r="L631" s="22" t="s">
        <v>2308</v>
      </c>
      <c r="M631" s="22" t="s">
        <v>2308</v>
      </c>
      <c r="N631" s="22" t="s">
        <v>2308</v>
      </c>
      <c r="O631" s="22" t="s">
        <v>2308</v>
      </c>
      <c r="P631" s="22" t="s">
        <v>2308</v>
      </c>
      <c r="Q631" s="22" t="s">
        <v>2308</v>
      </c>
      <c r="R631" s="22" t="s">
        <v>2308</v>
      </c>
      <c r="S631" s="22" t="s">
        <v>2308</v>
      </c>
      <c r="T631" s="22" t="s">
        <v>2308</v>
      </c>
      <c r="U631" s="22" t="s">
        <v>2308</v>
      </c>
      <c r="V631" s="22" t="s">
        <v>2308</v>
      </c>
      <c r="W631" s="22" t="s">
        <v>2308</v>
      </c>
      <c r="X631" s="22" t="s">
        <v>2308</v>
      </c>
      <c r="Y631" s="22" t="s">
        <v>2308</v>
      </c>
      <c r="Z631" s="4" t="s">
        <v>2308</v>
      </c>
      <c r="AA631" s="4" t="s">
        <v>2308</v>
      </c>
      <c r="AB631" s="4" t="s">
        <v>2308</v>
      </c>
      <c r="AC631" s="5" t="s">
        <v>2271</v>
      </c>
      <c r="AD631" s="5"/>
    </row>
    <row r="632" spans="1:30" ht="57.5" customHeight="1">
      <c r="A632" s="12" t="s">
        <v>1013</v>
      </c>
      <c r="B632" s="12" t="s">
        <v>1026</v>
      </c>
      <c r="C632" s="24" t="s">
        <v>24</v>
      </c>
      <c r="D632" s="24" t="s">
        <v>27</v>
      </c>
      <c r="E632" s="12" t="s">
        <v>136</v>
      </c>
      <c r="F632" s="20" t="s">
        <v>167</v>
      </c>
      <c r="G632" s="20"/>
      <c r="H632" s="4" t="s">
        <v>531</v>
      </c>
      <c r="I632" s="4"/>
      <c r="J632" s="22" t="s">
        <v>2308</v>
      </c>
      <c r="K632" s="22" t="s">
        <v>2308</v>
      </c>
      <c r="L632" s="22" t="s">
        <v>2308</v>
      </c>
      <c r="M632" s="22" t="s">
        <v>2308</v>
      </c>
      <c r="N632" s="22" t="s">
        <v>2308</v>
      </c>
      <c r="O632" s="22" t="s">
        <v>2308</v>
      </c>
      <c r="P632" s="22" t="s">
        <v>2308</v>
      </c>
      <c r="Q632" s="22" t="s">
        <v>2308</v>
      </c>
      <c r="R632" s="22" t="s">
        <v>2308</v>
      </c>
      <c r="S632" s="22" t="s">
        <v>2308</v>
      </c>
      <c r="T632" s="22" t="s">
        <v>2308</v>
      </c>
      <c r="U632" s="22" t="s">
        <v>2308</v>
      </c>
      <c r="V632" s="22" t="s">
        <v>2308</v>
      </c>
      <c r="W632" s="22" t="s">
        <v>2308</v>
      </c>
      <c r="X632" s="22" t="s">
        <v>2308</v>
      </c>
      <c r="Y632" s="22" t="s">
        <v>2308</v>
      </c>
      <c r="Z632" s="4" t="s">
        <v>2308</v>
      </c>
      <c r="AA632" s="4" t="s">
        <v>2308</v>
      </c>
      <c r="AB632" s="4" t="s">
        <v>2308</v>
      </c>
      <c r="AC632" s="4" t="s">
        <v>1027</v>
      </c>
      <c r="AD632" s="5" t="s">
        <v>728</v>
      </c>
    </row>
    <row r="633" spans="1:30" ht="57.5" customHeight="1">
      <c r="A633" s="12" t="s">
        <v>1013</v>
      </c>
      <c r="B633" s="12" t="s">
        <v>2268</v>
      </c>
      <c r="C633" s="24" t="s">
        <v>24</v>
      </c>
      <c r="D633" s="24" t="s">
        <v>2263</v>
      </c>
      <c r="E633" s="20" t="s">
        <v>403</v>
      </c>
      <c r="F633" s="20" t="s">
        <v>167</v>
      </c>
      <c r="G633" s="20"/>
      <c r="H633" s="4" t="s">
        <v>531</v>
      </c>
      <c r="I633" s="4"/>
      <c r="J633" s="22" t="s">
        <v>2308</v>
      </c>
      <c r="K633" s="22" t="s">
        <v>2308</v>
      </c>
      <c r="L633" s="22" t="s">
        <v>2308</v>
      </c>
      <c r="M633" s="22" t="s">
        <v>2308</v>
      </c>
      <c r="N633" s="22" t="s">
        <v>2308</v>
      </c>
      <c r="O633" s="22" t="s">
        <v>2308</v>
      </c>
      <c r="P633" s="22" t="s">
        <v>2308</v>
      </c>
      <c r="Q633" s="22" t="s">
        <v>2308</v>
      </c>
      <c r="R633" s="22" t="s">
        <v>2308</v>
      </c>
      <c r="S633" s="22" t="s">
        <v>2308</v>
      </c>
      <c r="T633" s="22" t="s">
        <v>2308</v>
      </c>
      <c r="U633" s="22" t="s">
        <v>2308</v>
      </c>
      <c r="V633" s="22" t="s">
        <v>2308</v>
      </c>
      <c r="W633" s="22" t="s">
        <v>2308</v>
      </c>
      <c r="X633" s="22" t="s">
        <v>2308</v>
      </c>
      <c r="Y633" s="22" t="s">
        <v>2308</v>
      </c>
      <c r="Z633" s="4" t="s">
        <v>2308</v>
      </c>
      <c r="AA633" s="4" t="s">
        <v>2308</v>
      </c>
      <c r="AB633" s="4" t="s">
        <v>2308</v>
      </c>
      <c r="AC633" s="5" t="s">
        <v>2272</v>
      </c>
      <c r="AD633" s="5"/>
    </row>
    <row r="634" spans="1:30" ht="61" customHeight="1">
      <c r="A634" s="12" t="s">
        <v>1014</v>
      </c>
      <c r="B634" s="12" t="s">
        <v>1032</v>
      </c>
      <c r="C634" s="24" t="s">
        <v>24</v>
      </c>
      <c r="D634" s="24" t="s">
        <v>27</v>
      </c>
      <c r="E634" s="12" t="s">
        <v>136</v>
      </c>
      <c r="F634" s="20" t="s">
        <v>167</v>
      </c>
      <c r="G634" s="20"/>
      <c r="H634" s="4" t="s">
        <v>531</v>
      </c>
      <c r="I634" s="4"/>
      <c r="J634" s="22" t="s">
        <v>2308</v>
      </c>
      <c r="K634" s="22" t="s">
        <v>2308</v>
      </c>
      <c r="L634" s="22" t="s">
        <v>2308</v>
      </c>
      <c r="M634" s="22" t="s">
        <v>2308</v>
      </c>
      <c r="N634" s="22" t="s">
        <v>2308</v>
      </c>
      <c r="O634" s="22" t="s">
        <v>2308</v>
      </c>
      <c r="P634" s="22" t="s">
        <v>2308</v>
      </c>
      <c r="Q634" s="22" t="s">
        <v>2308</v>
      </c>
      <c r="R634" s="22" t="s">
        <v>2308</v>
      </c>
      <c r="S634" s="22" t="s">
        <v>2308</v>
      </c>
      <c r="T634" s="22" t="s">
        <v>2308</v>
      </c>
      <c r="U634" s="22" t="s">
        <v>2308</v>
      </c>
      <c r="V634" s="22" t="s">
        <v>2308</v>
      </c>
      <c r="W634" s="22" t="s">
        <v>2308</v>
      </c>
      <c r="X634" s="22" t="s">
        <v>2308</v>
      </c>
      <c r="Y634" s="22" t="s">
        <v>2308</v>
      </c>
      <c r="Z634" s="4" t="s">
        <v>2308</v>
      </c>
      <c r="AA634" s="4" t="s">
        <v>2308</v>
      </c>
      <c r="AB634" s="4" t="s">
        <v>2308</v>
      </c>
      <c r="AC634" s="4" t="s">
        <v>1027</v>
      </c>
      <c r="AD634" s="5" t="s">
        <v>2260</v>
      </c>
    </row>
    <row r="635" spans="1:30" ht="71.5" customHeight="1">
      <c r="A635" s="12" t="s">
        <v>1016</v>
      </c>
      <c r="B635" s="12" t="s">
        <v>1033</v>
      </c>
      <c r="C635" s="24" t="s">
        <v>24</v>
      </c>
      <c r="D635" s="24" t="s">
        <v>27</v>
      </c>
      <c r="E635" s="12" t="s">
        <v>136</v>
      </c>
      <c r="F635" s="20" t="s">
        <v>167</v>
      </c>
      <c r="G635" s="20"/>
      <c r="H635" s="4" t="s">
        <v>531</v>
      </c>
      <c r="I635" s="4"/>
      <c r="J635" s="22" t="s">
        <v>2308</v>
      </c>
      <c r="K635" s="22" t="s">
        <v>2308</v>
      </c>
      <c r="L635" s="22" t="s">
        <v>2308</v>
      </c>
      <c r="M635" s="22" t="s">
        <v>2308</v>
      </c>
      <c r="N635" s="22" t="s">
        <v>2308</v>
      </c>
      <c r="O635" s="22" t="s">
        <v>2308</v>
      </c>
      <c r="P635" s="22" t="s">
        <v>2308</v>
      </c>
      <c r="Q635" s="22" t="s">
        <v>2308</v>
      </c>
      <c r="R635" s="22" t="s">
        <v>2308</v>
      </c>
      <c r="S635" s="22" t="s">
        <v>2308</v>
      </c>
      <c r="T635" s="22" t="s">
        <v>2308</v>
      </c>
      <c r="U635" s="22" t="s">
        <v>2308</v>
      </c>
      <c r="V635" s="22" t="s">
        <v>2308</v>
      </c>
      <c r="W635" s="22" t="s">
        <v>2308</v>
      </c>
      <c r="X635" s="22" t="s">
        <v>2308</v>
      </c>
      <c r="Y635" s="22" t="s">
        <v>2308</v>
      </c>
      <c r="Z635" s="4" t="s">
        <v>2308</v>
      </c>
      <c r="AA635" s="4" t="s">
        <v>2308</v>
      </c>
      <c r="AB635" s="4" t="s">
        <v>2308</v>
      </c>
      <c r="AC635" s="4" t="s">
        <v>1027</v>
      </c>
      <c r="AD635" s="5" t="s">
        <v>2261</v>
      </c>
    </row>
    <row r="636" spans="1:30" ht="74" customHeight="1">
      <c r="A636" s="12" t="s">
        <v>1015</v>
      </c>
      <c r="B636" s="12" t="s">
        <v>1034</v>
      </c>
      <c r="C636" s="24" t="s">
        <v>24</v>
      </c>
      <c r="D636" s="24" t="s">
        <v>27</v>
      </c>
      <c r="E636" s="12" t="s">
        <v>136</v>
      </c>
      <c r="F636" s="20" t="s">
        <v>167</v>
      </c>
      <c r="G636" s="20"/>
      <c r="H636" s="4" t="s">
        <v>531</v>
      </c>
      <c r="I636" s="4"/>
      <c r="J636" s="22" t="s">
        <v>2308</v>
      </c>
      <c r="K636" s="22" t="s">
        <v>2308</v>
      </c>
      <c r="L636" s="22" t="s">
        <v>2308</v>
      </c>
      <c r="M636" s="22" t="s">
        <v>2308</v>
      </c>
      <c r="N636" s="22" t="s">
        <v>2308</v>
      </c>
      <c r="O636" s="22" t="s">
        <v>2308</v>
      </c>
      <c r="P636" s="22" t="s">
        <v>2308</v>
      </c>
      <c r="Q636" s="22" t="s">
        <v>2308</v>
      </c>
      <c r="R636" s="22" t="s">
        <v>2308</v>
      </c>
      <c r="S636" s="22" t="s">
        <v>2308</v>
      </c>
      <c r="T636" s="22" t="s">
        <v>2308</v>
      </c>
      <c r="U636" s="22" t="s">
        <v>2308</v>
      </c>
      <c r="V636" s="22" t="s">
        <v>2308</v>
      </c>
      <c r="W636" s="22" t="s">
        <v>2308</v>
      </c>
      <c r="X636" s="22" t="s">
        <v>2308</v>
      </c>
      <c r="Y636" s="22" t="s">
        <v>2308</v>
      </c>
      <c r="Z636" s="4" t="s">
        <v>2308</v>
      </c>
      <c r="AA636" s="4" t="s">
        <v>2308</v>
      </c>
      <c r="AB636" s="4" t="s">
        <v>2308</v>
      </c>
      <c r="AC636" s="4" t="s">
        <v>1027</v>
      </c>
      <c r="AD636" s="5" t="s">
        <v>2261</v>
      </c>
    </row>
    <row r="637" spans="1:30" ht="74" customHeight="1">
      <c r="A637" s="12" t="s">
        <v>1015</v>
      </c>
      <c r="B637" s="12" t="s">
        <v>2273</v>
      </c>
      <c r="C637" s="24" t="s">
        <v>24</v>
      </c>
      <c r="D637" s="24" t="s">
        <v>2263</v>
      </c>
      <c r="E637" s="20" t="s">
        <v>403</v>
      </c>
      <c r="F637" s="20" t="s">
        <v>167</v>
      </c>
      <c r="G637" s="20"/>
      <c r="H637" s="4" t="s">
        <v>531</v>
      </c>
      <c r="I637" s="4"/>
      <c r="J637" s="22" t="s">
        <v>2308</v>
      </c>
      <c r="K637" s="22" t="s">
        <v>2308</v>
      </c>
      <c r="L637" s="22" t="s">
        <v>2308</v>
      </c>
      <c r="M637" s="22" t="s">
        <v>2308</v>
      </c>
      <c r="N637" s="22" t="s">
        <v>2308</v>
      </c>
      <c r="O637" s="22" t="s">
        <v>2308</v>
      </c>
      <c r="P637" s="22" t="s">
        <v>2308</v>
      </c>
      <c r="Q637" s="22" t="s">
        <v>2308</v>
      </c>
      <c r="R637" s="22" t="s">
        <v>2308</v>
      </c>
      <c r="S637" s="22" t="s">
        <v>2308</v>
      </c>
      <c r="T637" s="22" t="s">
        <v>2308</v>
      </c>
      <c r="U637" s="22" t="s">
        <v>2308</v>
      </c>
      <c r="V637" s="22" t="s">
        <v>2308</v>
      </c>
      <c r="W637" s="22" t="s">
        <v>2308</v>
      </c>
      <c r="X637" s="22" t="s">
        <v>2308</v>
      </c>
      <c r="Y637" s="22" t="s">
        <v>2308</v>
      </c>
      <c r="Z637" s="4" t="s">
        <v>2308</v>
      </c>
      <c r="AA637" s="4" t="s">
        <v>2308</v>
      </c>
      <c r="AB637" s="4" t="s">
        <v>2308</v>
      </c>
      <c r="AC637" s="5" t="s">
        <v>2275</v>
      </c>
      <c r="AD637" s="5"/>
    </row>
    <row r="638" spans="1:30" ht="62.5" customHeight="1">
      <c r="A638" s="12" t="s">
        <v>1017</v>
      </c>
      <c r="B638" s="12" t="s">
        <v>1035</v>
      </c>
      <c r="C638" s="24" t="s">
        <v>24</v>
      </c>
      <c r="D638" s="24" t="s">
        <v>27</v>
      </c>
      <c r="E638" s="12" t="s">
        <v>136</v>
      </c>
      <c r="F638" s="20" t="s">
        <v>167</v>
      </c>
      <c r="G638" s="20"/>
      <c r="H638" s="4" t="s">
        <v>531</v>
      </c>
      <c r="I638" s="4"/>
      <c r="J638" s="22" t="s">
        <v>2308</v>
      </c>
      <c r="K638" s="22" t="s">
        <v>2308</v>
      </c>
      <c r="L638" s="22" t="s">
        <v>2308</v>
      </c>
      <c r="M638" s="22" t="s">
        <v>2308</v>
      </c>
      <c r="N638" s="22" t="s">
        <v>2308</v>
      </c>
      <c r="O638" s="22" t="s">
        <v>2308</v>
      </c>
      <c r="P638" s="22" t="s">
        <v>2308</v>
      </c>
      <c r="Q638" s="22" t="s">
        <v>2308</v>
      </c>
      <c r="R638" s="22" t="s">
        <v>2308</v>
      </c>
      <c r="S638" s="22" t="s">
        <v>2308</v>
      </c>
      <c r="T638" s="22" t="s">
        <v>2308</v>
      </c>
      <c r="U638" s="22" t="s">
        <v>2308</v>
      </c>
      <c r="V638" s="22" t="s">
        <v>2308</v>
      </c>
      <c r="W638" s="22" t="s">
        <v>2308</v>
      </c>
      <c r="X638" s="22" t="s">
        <v>2308</v>
      </c>
      <c r="Y638" s="22" t="s">
        <v>2308</v>
      </c>
      <c r="Z638" s="4" t="s">
        <v>2308</v>
      </c>
      <c r="AA638" s="4" t="s">
        <v>2308</v>
      </c>
      <c r="AB638" s="4" t="s">
        <v>2308</v>
      </c>
      <c r="AC638" s="4" t="s">
        <v>1027</v>
      </c>
      <c r="AD638" s="5" t="s">
        <v>2260</v>
      </c>
    </row>
    <row r="639" spans="1:30" ht="69" customHeight="1">
      <c r="A639" s="12" t="s">
        <v>1017</v>
      </c>
      <c r="B639" s="12" t="s">
        <v>2274</v>
      </c>
      <c r="C639" s="24" t="s">
        <v>24</v>
      </c>
      <c r="D639" s="24" t="s">
        <v>2263</v>
      </c>
      <c r="E639" s="20" t="s">
        <v>403</v>
      </c>
      <c r="F639" s="20" t="s">
        <v>167</v>
      </c>
      <c r="G639" s="20"/>
      <c r="H639" s="4" t="s">
        <v>531</v>
      </c>
      <c r="I639" s="4"/>
      <c r="J639" s="22" t="s">
        <v>2308</v>
      </c>
      <c r="K639" s="22" t="s">
        <v>2308</v>
      </c>
      <c r="L639" s="22" t="s">
        <v>2308</v>
      </c>
      <c r="M639" s="22" t="s">
        <v>2308</v>
      </c>
      <c r="N639" s="22" t="s">
        <v>2308</v>
      </c>
      <c r="O639" s="22" t="s">
        <v>2308</v>
      </c>
      <c r="P639" s="22" t="s">
        <v>2308</v>
      </c>
      <c r="Q639" s="22" t="s">
        <v>2308</v>
      </c>
      <c r="R639" s="22" t="s">
        <v>2308</v>
      </c>
      <c r="S639" s="22" t="s">
        <v>2308</v>
      </c>
      <c r="T639" s="22" t="s">
        <v>2308</v>
      </c>
      <c r="U639" s="22" t="s">
        <v>2308</v>
      </c>
      <c r="V639" s="22" t="s">
        <v>2308</v>
      </c>
      <c r="W639" s="22" t="s">
        <v>2308</v>
      </c>
      <c r="X639" s="22" t="s">
        <v>2308</v>
      </c>
      <c r="Y639" s="22" t="s">
        <v>2308</v>
      </c>
      <c r="Z639" s="4" t="s">
        <v>2308</v>
      </c>
      <c r="AA639" s="4" t="s">
        <v>2308</v>
      </c>
      <c r="AB639" s="4" t="s">
        <v>2308</v>
      </c>
      <c r="AC639" s="5" t="s">
        <v>2272</v>
      </c>
      <c r="AD639" s="5"/>
    </row>
    <row r="640" spans="1:30" ht="70" customHeight="1">
      <c r="A640" s="12" t="s">
        <v>1036</v>
      </c>
      <c r="B640" s="12" t="s">
        <v>1041</v>
      </c>
      <c r="C640" s="24" t="s">
        <v>24</v>
      </c>
      <c r="D640" s="24" t="s">
        <v>27</v>
      </c>
      <c r="E640" s="12" t="s">
        <v>136</v>
      </c>
      <c r="F640" s="20" t="s">
        <v>167</v>
      </c>
      <c r="G640" s="20"/>
      <c r="H640" s="4" t="s">
        <v>531</v>
      </c>
      <c r="I640" s="4"/>
      <c r="J640" s="22" t="s">
        <v>2308</v>
      </c>
      <c r="K640" s="22" t="s">
        <v>2308</v>
      </c>
      <c r="L640" s="22" t="s">
        <v>2308</v>
      </c>
      <c r="M640" s="22" t="s">
        <v>2308</v>
      </c>
      <c r="N640" s="22" t="s">
        <v>2308</v>
      </c>
      <c r="O640" s="22" t="s">
        <v>2308</v>
      </c>
      <c r="P640" s="22" t="s">
        <v>2308</v>
      </c>
      <c r="Q640" s="22" t="s">
        <v>2308</v>
      </c>
      <c r="R640" s="22" t="s">
        <v>2308</v>
      </c>
      <c r="S640" s="22" t="s">
        <v>2308</v>
      </c>
      <c r="T640" s="22" t="s">
        <v>2308</v>
      </c>
      <c r="U640" s="22" t="s">
        <v>2308</v>
      </c>
      <c r="V640" s="22" t="s">
        <v>2308</v>
      </c>
      <c r="W640" s="22" t="s">
        <v>2308</v>
      </c>
      <c r="X640" s="22" t="s">
        <v>2308</v>
      </c>
      <c r="Y640" s="22" t="s">
        <v>2308</v>
      </c>
      <c r="Z640" s="4" t="s">
        <v>2308</v>
      </c>
      <c r="AA640" s="4" t="s">
        <v>2308</v>
      </c>
      <c r="AB640" s="4" t="s">
        <v>2308</v>
      </c>
      <c r="AC640" s="4" t="s">
        <v>1027</v>
      </c>
      <c r="AD640" s="5" t="s">
        <v>2276</v>
      </c>
    </row>
    <row r="641" spans="1:30" ht="67.5" customHeight="1">
      <c r="A641" s="12" t="s">
        <v>1039</v>
      </c>
      <c r="B641" s="12" t="s">
        <v>1042</v>
      </c>
      <c r="C641" s="24" t="s">
        <v>24</v>
      </c>
      <c r="D641" s="24" t="s">
        <v>27</v>
      </c>
      <c r="E641" s="12" t="s">
        <v>136</v>
      </c>
      <c r="F641" s="20" t="s">
        <v>167</v>
      </c>
      <c r="G641" s="20"/>
      <c r="H641" s="4" t="s">
        <v>531</v>
      </c>
      <c r="I641" s="4"/>
      <c r="J641" s="22" t="s">
        <v>2308</v>
      </c>
      <c r="K641" s="22" t="s">
        <v>2308</v>
      </c>
      <c r="L641" s="22" t="s">
        <v>2308</v>
      </c>
      <c r="M641" s="22" t="s">
        <v>2308</v>
      </c>
      <c r="N641" s="22" t="s">
        <v>2308</v>
      </c>
      <c r="O641" s="22" t="s">
        <v>2308</v>
      </c>
      <c r="P641" s="22" t="s">
        <v>2308</v>
      </c>
      <c r="Q641" s="22" t="s">
        <v>2308</v>
      </c>
      <c r="R641" s="22" t="s">
        <v>2308</v>
      </c>
      <c r="S641" s="22" t="s">
        <v>2308</v>
      </c>
      <c r="T641" s="22" t="s">
        <v>2308</v>
      </c>
      <c r="U641" s="22" t="s">
        <v>2308</v>
      </c>
      <c r="V641" s="22" t="s">
        <v>2308</v>
      </c>
      <c r="W641" s="22" t="s">
        <v>2308</v>
      </c>
      <c r="X641" s="22" t="s">
        <v>2308</v>
      </c>
      <c r="Y641" s="22" t="s">
        <v>2308</v>
      </c>
      <c r="Z641" s="4" t="s">
        <v>2308</v>
      </c>
      <c r="AA641" s="4" t="s">
        <v>2308</v>
      </c>
      <c r="AB641" s="4" t="s">
        <v>2308</v>
      </c>
      <c r="AC641" s="4" t="s">
        <v>1027</v>
      </c>
      <c r="AD641" s="5" t="s">
        <v>2276</v>
      </c>
    </row>
    <row r="642" spans="1:30" ht="48.5" customHeight="1">
      <c r="A642" s="12" t="s">
        <v>1043</v>
      </c>
      <c r="B642" s="12" t="s">
        <v>1048</v>
      </c>
      <c r="C642" s="24" t="s">
        <v>24</v>
      </c>
      <c r="D642" s="24" t="s">
        <v>27</v>
      </c>
      <c r="E642" s="12" t="s">
        <v>136</v>
      </c>
      <c r="F642" s="20" t="s">
        <v>167</v>
      </c>
      <c r="G642" s="20"/>
      <c r="H642" s="4" t="s">
        <v>531</v>
      </c>
      <c r="I642" s="4"/>
      <c r="J642" s="22" t="s">
        <v>2308</v>
      </c>
      <c r="K642" s="22" t="s">
        <v>2308</v>
      </c>
      <c r="L642" s="22" t="s">
        <v>2308</v>
      </c>
      <c r="M642" s="22" t="s">
        <v>2308</v>
      </c>
      <c r="N642" s="22" t="s">
        <v>2308</v>
      </c>
      <c r="O642" s="22" t="s">
        <v>2308</v>
      </c>
      <c r="P642" s="22" t="s">
        <v>2308</v>
      </c>
      <c r="Q642" s="22" t="s">
        <v>2308</v>
      </c>
      <c r="R642" s="22" t="s">
        <v>2308</v>
      </c>
      <c r="S642" s="22" t="s">
        <v>2308</v>
      </c>
      <c r="T642" s="22" t="s">
        <v>2308</v>
      </c>
      <c r="U642" s="22" t="s">
        <v>2308</v>
      </c>
      <c r="V642" s="22" t="s">
        <v>2308</v>
      </c>
      <c r="W642" s="22" t="s">
        <v>2308</v>
      </c>
      <c r="X642" s="22" t="s">
        <v>2308</v>
      </c>
      <c r="Y642" s="22" t="s">
        <v>2308</v>
      </c>
      <c r="Z642" s="4" t="s">
        <v>2308</v>
      </c>
      <c r="AA642" s="4" t="s">
        <v>2308</v>
      </c>
      <c r="AB642" s="4" t="s">
        <v>2308</v>
      </c>
      <c r="AC642" s="5" t="s">
        <v>2278</v>
      </c>
      <c r="AD642" s="5" t="s">
        <v>2103</v>
      </c>
    </row>
    <row r="643" spans="1:30" ht="54" customHeight="1">
      <c r="A643" s="12" t="s">
        <v>1044</v>
      </c>
      <c r="B643" s="12" t="s">
        <v>1049</v>
      </c>
      <c r="C643" s="24" t="s">
        <v>24</v>
      </c>
      <c r="D643" s="24" t="s">
        <v>27</v>
      </c>
      <c r="E643" s="12" t="s">
        <v>136</v>
      </c>
      <c r="F643" s="20" t="s">
        <v>167</v>
      </c>
      <c r="G643" s="20"/>
      <c r="H643" s="4" t="s">
        <v>531</v>
      </c>
      <c r="I643" s="4"/>
      <c r="J643" s="22" t="s">
        <v>2308</v>
      </c>
      <c r="K643" s="22" t="s">
        <v>2308</v>
      </c>
      <c r="L643" s="22" t="s">
        <v>2308</v>
      </c>
      <c r="M643" s="22" t="s">
        <v>2308</v>
      </c>
      <c r="N643" s="22" t="s">
        <v>2308</v>
      </c>
      <c r="O643" s="22" t="s">
        <v>2308</v>
      </c>
      <c r="P643" s="22" t="s">
        <v>2308</v>
      </c>
      <c r="Q643" s="22" t="s">
        <v>2308</v>
      </c>
      <c r="R643" s="22" t="s">
        <v>2308</v>
      </c>
      <c r="S643" s="22" t="s">
        <v>2308</v>
      </c>
      <c r="T643" s="22" t="s">
        <v>2308</v>
      </c>
      <c r="U643" s="22" t="s">
        <v>2308</v>
      </c>
      <c r="V643" s="22" t="s">
        <v>2308</v>
      </c>
      <c r="W643" s="22" t="s">
        <v>2308</v>
      </c>
      <c r="X643" s="22" t="s">
        <v>2308</v>
      </c>
      <c r="Y643" s="22" t="s">
        <v>2308</v>
      </c>
      <c r="Z643" s="4" t="s">
        <v>2308</v>
      </c>
      <c r="AA643" s="4" t="s">
        <v>2308</v>
      </c>
      <c r="AB643" s="4" t="s">
        <v>2308</v>
      </c>
      <c r="AC643" s="5" t="s">
        <v>2278</v>
      </c>
      <c r="AD643" s="5" t="s">
        <v>2103</v>
      </c>
    </row>
    <row r="644" spans="1:30" ht="47.5" customHeight="1">
      <c r="A644" s="12" t="s">
        <v>1091</v>
      </c>
      <c r="B644" s="12" t="s">
        <v>1096</v>
      </c>
      <c r="C644" s="24" t="s">
        <v>24</v>
      </c>
      <c r="D644" s="24" t="s">
        <v>27</v>
      </c>
      <c r="E644" s="12" t="s">
        <v>136</v>
      </c>
      <c r="F644" s="20" t="s">
        <v>167</v>
      </c>
      <c r="G644" s="20"/>
      <c r="H644" s="4" t="s">
        <v>532</v>
      </c>
      <c r="I644" s="4"/>
      <c r="J644" s="22">
        <v>0</v>
      </c>
      <c r="K644" s="22">
        <v>0</v>
      </c>
      <c r="L644" s="22">
        <v>0</v>
      </c>
      <c r="M644" s="22">
        <v>0</v>
      </c>
      <c r="N644" s="22">
        <v>0</v>
      </c>
      <c r="O644" s="22">
        <v>0</v>
      </c>
      <c r="P644" s="22">
        <v>0</v>
      </c>
      <c r="Q644" s="22" t="s">
        <v>2308</v>
      </c>
      <c r="R644" s="22" t="s">
        <v>2308</v>
      </c>
      <c r="S644" s="22">
        <v>0</v>
      </c>
      <c r="T644" s="22">
        <v>0</v>
      </c>
      <c r="U644" s="22">
        <v>0</v>
      </c>
      <c r="V644" s="22">
        <v>0</v>
      </c>
      <c r="W644" s="22">
        <v>0</v>
      </c>
      <c r="X644" s="22">
        <v>0</v>
      </c>
      <c r="Y644" s="22">
        <v>0</v>
      </c>
      <c r="Z644" s="4" t="s">
        <v>2308</v>
      </c>
      <c r="AA644" s="4" t="s">
        <v>2308</v>
      </c>
      <c r="AB644" s="4" t="s">
        <v>2308</v>
      </c>
      <c r="AC644" s="4"/>
      <c r="AD644" s="4"/>
    </row>
    <row r="645" spans="1:30" ht="46.5" customHeight="1">
      <c r="A645" s="12" t="s">
        <v>1091</v>
      </c>
      <c r="B645" s="12" t="s">
        <v>1098</v>
      </c>
      <c r="C645" s="24" t="s">
        <v>24</v>
      </c>
      <c r="D645" s="24" t="s">
        <v>149</v>
      </c>
      <c r="E645" s="12" t="s">
        <v>1</v>
      </c>
      <c r="F645" s="20" t="s">
        <v>74</v>
      </c>
      <c r="G645" s="20"/>
      <c r="H645" s="4" t="s">
        <v>532</v>
      </c>
      <c r="I645" s="4"/>
      <c r="J645" s="22" t="s">
        <v>2308</v>
      </c>
      <c r="K645" s="22" t="s">
        <v>2308</v>
      </c>
      <c r="L645" s="22" t="s">
        <v>2308</v>
      </c>
      <c r="M645" s="22" t="s">
        <v>2308</v>
      </c>
      <c r="N645" s="22" t="s">
        <v>2308</v>
      </c>
      <c r="O645" s="22" t="s">
        <v>2308</v>
      </c>
      <c r="P645" s="22" t="s">
        <v>2308</v>
      </c>
      <c r="Q645" s="22" t="s">
        <v>2308</v>
      </c>
      <c r="R645" s="22" t="s">
        <v>2308</v>
      </c>
      <c r="S645" s="22" t="s">
        <v>2308</v>
      </c>
      <c r="T645" s="22" t="s">
        <v>2308</v>
      </c>
      <c r="U645" s="22" t="s">
        <v>2308</v>
      </c>
      <c r="V645" s="22" t="s">
        <v>2308</v>
      </c>
      <c r="W645" s="22" t="s">
        <v>2308</v>
      </c>
      <c r="X645" s="22" t="s">
        <v>2308</v>
      </c>
      <c r="Y645" s="22" t="s">
        <v>2308</v>
      </c>
      <c r="Z645" s="4" t="s">
        <v>2308</v>
      </c>
      <c r="AA645" s="4" t="s">
        <v>2308</v>
      </c>
      <c r="AB645" s="4" t="s">
        <v>2308</v>
      </c>
      <c r="AC645" s="4"/>
      <c r="AD645" s="5" t="s">
        <v>1099</v>
      </c>
    </row>
    <row r="646" spans="1:30" ht="64" customHeight="1">
      <c r="A646" s="12" t="s">
        <v>1095</v>
      </c>
      <c r="B646" s="12" t="s">
        <v>1097</v>
      </c>
      <c r="C646" s="24" t="s">
        <v>24</v>
      </c>
      <c r="D646" s="24" t="s">
        <v>27</v>
      </c>
      <c r="E646" s="12" t="s">
        <v>136</v>
      </c>
      <c r="F646" s="20" t="s">
        <v>167</v>
      </c>
      <c r="G646" s="20"/>
      <c r="H646" s="4" t="s">
        <v>531</v>
      </c>
      <c r="I646" s="4"/>
      <c r="J646" s="22" t="s">
        <v>2308</v>
      </c>
      <c r="K646" s="22" t="s">
        <v>2308</v>
      </c>
      <c r="L646" s="22" t="s">
        <v>2308</v>
      </c>
      <c r="M646" s="22" t="s">
        <v>2308</v>
      </c>
      <c r="N646" s="22" t="s">
        <v>2308</v>
      </c>
      <c r="O646" s="22" t="s">
        <v>2308</v>
      </c>
      <c r="P646" s="22" t="s">
        <v>2308</v>
      </c>
      <c r="Q646" s="22" t="s">
        <v>2308</v>
      </c>
      <c r="R646" s="22" t="s">
        <v>2308</v>
      </c>
      <c r="S646" s="22" t="s">
        <v>2308</v>
      </c>
      <c r="T646" s="22" t="s">
        <v>2308</v>
      </c>
      <c r="U646" s="22" t="s">
        <v>2308</v>
      </c>
      <c r="V646" s="22" t="s">
        <v>2308</v>
      </c>
      <c r="W646" s="22" t="s">
        <v>2308</v>
      </c>
      <c r="X646" s="22" t="s">
        <v>2308</v>
      </c>
      <c r="Y646" s="22">
        <v>16</v>
      </c>
      <c r="Z646" s="4" t="s">
        <v>195</v>
      </c>
      <c r="AA646" s="4" t="s">
        <v>195</v>
      </c>
      <c r="AB646" s="4" t="s">
        <v>2308</v>
      </c>
      <c r="AC646" s="4" t="s">
        <v>1027</v>
      </c>
      <c r="AD646" s="5" t="s">
        <v>2324</v>
      </c>
    </row>
    <row r="647" spans="1:30" ht="46" customHeight="1">
      <c r="A647" s="12" t="s">
        <v>1095</v>
      </c>
      <c r="B647" s="12" t="s">
        <v>1101</v>
      </c>
      <c r="C647" s="24" t="s">
        <v>24</v>
      </c>
      <c r="D647" s="24" t="s">
        <v>25</v>
      </c>
      <c r="E647" s="12" t="s">
        <v>45</v>
      </c>
      <c r="F647" s="20" t="s">
        <v>167</v>
      </c>
      <c r="G647" s="20"/>
      <c r="H647" s="4" t="s">
        <v>531</v>
      </c>
      <c r="I647" s="4"/>
      <c r="J647" s="22" t="s">
        <v>2308</v>
      </c>
      <c r="K647" s="22" t="s">
        <v>2308</v>
      </c>
      <c r="L647" s="22" t="s">
        <v>2308</v>
      </c>
      <c r="M647" s="22" t="s">
        <v>2308</v>
      </c>
      <c r="N647" s="22" t="s">
        <v>2308</v>
      </c>
      <c r="O647" s="22" t="s">
        <v>2308</v>
      </c>
      <c r="P647" s="22" t="s">
        <v>2308</v>
      </c>
      <c r="Q647" s="22" t="s">
        <v>2308</v>
      </c>
      <c r="R647" s="22" t="s">
        <v>2308</v>
      </c>
      <c r="S647" s="22" t="s">
        <v>2308</v>
      </c>
      <c r="T647" s="22" t="s">
        <v>2308</v>
      </c>
      <c r="U647" s="22" t="s">
        <v>2308</v>
      </c>
      <c r="V647" s="22" t="s">
        <v>2308</v>
      </c>
      <c r="W647" s="22" t="s">
        <v>2308</v>
      </c>
      <c r="X647" s="22" t="s">
        <v>2308</v>
      </c>
      <c r="Y647" s="22" t="s">
        <v>2308</v>
      </c>
      <c r="Z647" s="4" t="s">
        <v>1102</v>
      </c>
      <c r="AA647" s="4" t="s">
        <v>195</v>
      </c>
      <c r="AB647" s="4" t="s">
        <v>2308</v>
      </c>
      <c r="AC647" s="5" t="s">
        <v>2325</v>
      </c>
      <c r="AD647" s="4"/>
    </row>
    <row r="648" spans="1:30" ht="43.5" customHeight="1">
      <c r="A648" s="34" t="s">
        <v>1118</v>
      </c>
      <c r="B648" s="34" t="s">
        <v>1121</v>
      </c>
      <c r="C648" s="57" t="s">
        <v>24</v>
      </c>
      <c r="D648" s="37" t="s">
        <v>25</v>
      </c>
      <c r="E648" s="36" t="s">
        <v>45</v>
      </c>
      <c r="F648" s="56" t="s">
        <v>29</v>
      </c>
      <c r="G648" s="56"/>
      <c r="H648" s="39" t="s">
        <v>531</v>
      </c>
      <c r="I648" s="39"/>
      <c r="J648" s="79" t="s">
        <v>2308</v>
      </c>
      <c r="K648" s="79" t="s">
        <v>2308</v>
      </c>
      <c r="L648" s="79" t="s">
        <v>2308</v>
      </c>
      <c r="M648" s="79" t="s">
        <v>2308</v>
      </c>
      <c r="N648" s="79" t="s">
        <v>2308</v>
      </c>
      <c r="O648" s="79" t="s">
        <v>2308</v>
      </c>
      <c r="P648" s="79" t="s">
        <v>2308</v>
      </c>
      <c r="Q648" s="22" t="s">
        <v>2308</v>
      </c>
      <c r="R648" s="22" t="s">
        <v>2308</v>
      </c>
      <c r="S648" s="79" t="s">
        <v>2308</v>
      </c>
      <c r="T648" s="79" t="s">
        <v>2308</v>
      </c>
      <c r="U648" s="79" t="s">
        <v>2308</v>
      </c>
      <c r="V648" s="79" t="s">
        <v>2308</v>
      </c>
      <c r="W648" s="79" t="s">
        <v>2308</v>
      </c>
      <c r="X648" s="79" t="s">
        <v>2308</v>
      </c>
      <c r="Y648" s="79" t="s">
        <v>2308</v>
      </c>
      <c r="Z648" s="39" t="s">
        <v>194</v>
      </c>
      <c r="AA648" s="39" t="s">
        <v>38</v>
      </c>
      <c r="AB648" s="39" t="s">
        <v>2308</v>
      </c>
      <c r="AC648" s="39"/>
      <c r="AD648" s="39"/>
    </row>
    <row r="649" spans="1:30" ht="44.5" customHeight="1">
      <c r="A649" s="12" t="s">
        <v>1118</v>
      </c>
      <c r="B649" s="12" t="s">
        <v>1122</v>
      </c>
      <c r="C649" s="24" t="s">
        <v>24</v>
      </c>
      <c r="D649" s="24" t="s">
        <v>3529</v>
      </c>
      <c r="E649" s="12" t="s">
        <v>116</v>
      </c>
      <c r="F649" s="20" t="s">
        <v>74</v>
      </c>
      <c r="G649" s="20"/>
      <c r="H649" s="4" t="s">
        <v>531</v>
      </c>
      <c r="I649" s="4"/>
      <c r="J649" s="22" t="s">
        <v>2308</v>
      </c>
      <c r="K649" s="22" t="s">
        <v>2308</v>
      </c>
      <c r="L649" s="22" t="s">
        <v>2308</v>
      </c>
      <c r="M649" s="22" t="s">
        <v>2308</v>
      </c>
      <c r="N649" s="22" t="s">
        <v>2308</v>
      </c>
      <c r="O649" s="22" t="s">
        <v>2308</v>
      </c>
      <c r="P649" s="22" t="s">
        <v>2308</v>
      </c>
      <c r="Q649" s="22" t="s">
        <v>2308</v>
      </c>
      <c r="R649" s="22" t="s">
        <v>2308</v>
      </c>
      <c r="S649" s="22" t="s">
        <v>2308</v>
      </c>
      <c r="T649" s="22" t="s">
        <v>2308</v>
      </c>
      <c r="U649" s="22" t="s">
        <v>2308</v>
      </c>
      <c r="V649" s="22" t="s">
        <v>2308</v>
      </c>
      <c r="W649" s="22" t="s">
        <v>2308</v>
      </c>
      <c r="X649" s="22" t="s">
        <v>2308</v>
      </c>
      <c r="Y649" s="22" t="s">
        <v>2308</v>
      </c>
      <c r="Z649" s="39" t="s">
        <v>194</v>
      </c>
      <c r="AA649" s="39" t="s">
        <v>38</v>
      </c>
      <c r="AB649" s="4" t="s">
        <v>2308</v>
      </c>
      <c r="AC649" s="5" t="s">
        <v>1123</v>
      </c>
      <c r="AD649" s="4"/>
    </row>
    <row r="650" spans="1:30" ht="44.5" customHeight="1">
      <c r="A650" s="12" t="s">
        <v>1118</v>
      </c>
      <c r="B650" s="12" t="s">
        <v>1124</v>
      </c>
      <c r="C650" s="24" t="s">
        <v>24</v>
      </c>
      <c r="D650" s="20" t="s">
        <v>150</v>
      </c>
      <c r="E650" s="20" t="s">
        <v>143</v>
      </c>
      <c r="F650" s="20" t="s">
        <v>74</v>
      </c>
      <c r="G650" s="20"/>
      <c r="H650" s="4" t="s">
        <v>532</v>
      </c>
      <c r="I650" s="4"/>
      <c r="J650" s="22" t="s">
        <v>2308</v>
      </c>
      <c r="K650" s="22" t="s">
        <v>2308</v>
      </c>
      <c r="L650" s="22" t="s">
        <v>2308</v>
      </c>
      <c r="M650" s="22" t="s">
        <v>2308</v>
      </c>
      <c r="N650" s="22" t="s">
        <v>2308</v>
      </c>
      <c r="O650" s="22" t="s">
        <v>2308</v>
      </c>
      <c r="P650" s="22" t="s">
        <v>2308</v>
      </c>
      <c r="Q650" s="22" t="s">
        <v>2308</v>
      </c>
      <c r="R650" s="22" t="s">
        <v>2308</v>
      </c>
      <c r="S650" s="22" t="s">
        <v>2308</v>
      </c>
      <c r="T650" s="22" t="s">
        <v>2308</v>
      </c>
      <c r="U650" s="22" t="s">
        <v>2308</v>
      </c>
      <c r="V650" s="22" t="s">
        <v>2308</v>
      </c>
      <c r="W650" s="22" t="s">
        <v>2308</v>
      </c>
      <c r="X650" s="22" t="s">
        <v>2308</v>
      </c>
      <c r="Y650" s="22" t="s">
        <v>2308</v>
      </c>
      <c r="Z650" s="4" t="s">
        <v>2308</v>
      </c>
      <c r="AA650" s="4" t="s">
        <v>2308</v>
      </c>
      <c r="AB650" s="4" t="s">
        <v>2308</v>
      </c>
      <c r="AC650" s="5"/>
      <c r="AD650" s="4"/>
    </row>
    <row r="651" spans="1:30" ht="66" customHeight="1">
      <c r="A651" s="12" t="s">
        <v>1118</v>
      </c>
      <c r="B651" s="12" t="s">
        <v>1127</v>
      </c>
      <c r="C651" s="24" t="s">
        <v>2689</v>
      </c>
      <c r="D651" s="20" t="s">
        <v>2308</v>
      </c>
      <c r="E651" s="20" t="s">
        <v>2308</v>
      </c>
      <c r="F651" s="20" t="s">
        <v>2308</v>
      </c>
      <c r="G651" s="20" t="s">
        <v>74</v>
      </c>
      <c r="H651" s="4" t="s">
        <v>532</v>
      </c>
      <c r="I651" s="4">
        <v>1992</v>
      </c>
      <c r="J651" s="22" t="s">
        <v>2308</v>
      </c>
      <c r="K651" s="22" t="s">
        <v>2308</v>
      </c>
      <c r="L651" s="22" t="s">
        <v>2308</v>
      </c>
      <c r="M651" s="22" t="s">
        <v>2308</v>
      </c>
      <c r="N651" s="22" t="s">
        <v>2308</v>
      </c>
      <c r="O651" s="22" t="s">
        <v>2308</v>
      </c>
      <c r="P651" s="22" t="s">
        <v>2308</v>
      </c>
      <c r="Q651" s="22" t="s">
        <v>2308</v>
      </c>
      <c r="R651" s="22" t="s">
        <v>2308</v>
      </c>
      <c r="S651" s="22" t="s">
        <v>2308</v>
      </c>
      <c r="T651" s="22" t="s">
        <v>2308</v>
      </c>
      <c r="U651" s="22" t="s">
        <v>2308</v>
      </c>
      <c r="V651" s="22" t="s">
        <v>2308</v>
      </c>
      <c r="W651" s="22" t="s">
        <v>2308</v>
      </c>
      <c r="X651" s="22" t="s">
        <v>2308</v>
      </c>
      <c r="Y651" s="22" t="s">
        <v>2308</v>
      </c>
      <c r="Z651" s="4" t="s">
        <v>2308</v>
      </c>
      <c r="AA651" s="4" t="s">
        <v>2308</v>
      </c>
      <c r="AB651" s="4" t="s">
        <v>2308</v>
      </c>
      <c r="AC651" s="5" t="s">
        <v>1128</v>
      </c>
      <c r="AD651" s="4"/>
    </row>
    <row r="652" spans="1:30" ht="63" customHeight="1">
      <c r="A652" s="12" t="s">
        <v>1118</v>
      </c>
      <c r="B652" s="12" t="s">
        <v>1129</v>
      </c>
      <c r="C652" s="24" t="s">
        <v>2689</v>
      </c>
      <c r="D652" s="20" t="s">
        <v>2308</v>
      </c>
      <c r="E652" s="20" t="s">
        <v>2308</v>
      </c>
      <c r="F652" s="20" t="s">
        <v>2308</v>
      </c>
      <c r="G652" s="20" t="s">
        <v>74</v>
      </c>
      <c r="H652" s="4" t="s">
        <v>532</v>
      </c>
      <c r="I652" s="4">
        <v>1993</v>
      </c>
      <c r="J652" s="22" t="s">
        <v>2308</v>
      </c>
      <c r="K652" s="22" t="s">
        <v>2308</v>
      </c>
      <c r="L652" s="22" t="s">
        <v>2308</v>
      </c>
      <c r="M652" s="22" t="s">
        <v>2308</v>
      </c>
      <c r="N652" s="22" t="s">
        <v>2308</v>
      </c>
      <c r="O652" s="22" t="s">
        <v>2308</v>
      </c>
      <c r="P652" s="22" t="s">
        <v>2308</v>
      </c>
      <c r="Q652" s="22" t="s">
        <v>2308</v>
      </c>
      <c r="R652" s="22" t="s">
        <v>2308</v>
      </c>
      <c r="S652" s="22" t="s">
        <v>2308</v>
      </c>
      <c r="T652" s="22" t="s">
        <v>2308</v>
      </c>
      <c r="U652" s="22" t="s">
        <v>2308</v>
      </c>
      <c r="V652" s="22" t="s">
        <v>2308</v>
      </c>
      <c r="W652" s="22" t="s">
        <v>2308</v>
      </c>
      <c r="X652" s="22" t="s">
        <v>2308</v>
      </c>
      <c r="Y652" s="22" t="s">
        <v>2308</v>
      </c>
      <c r="Z652" s="4" t="s">
        <v>2308</v>
      </c>
      <c r="AA652" s="4" t="s">
        <v>2308</v>
      </c>
      <c r="AB652" s="4" t="s">
        <v>2308</v>
      </c>
      <c r="AC652" s="5" t="s">
        <v>1128</v>
      </c>
      <c r="AD652" s="4"/>
    </row>
    <row r="653" spans="1:30" ht="62" customHeight="1">
      <c r="A653" s="12" t="s">
        <v>1118</v>
      </c>
      <c r="B653" s="12" t="s">
        <v>1130</v>
      </c>
      <c r="C653" s="24" t="s">
        <v>2689</v>
      </c>
      <c r="D653" s="20" t="s">
        <v>2308</v>
      </c>
      <c r="E653" s="20" t="s">
        <v>2308</v>
      </c>
      <c r="F653" s="20" t="s">
        <v>2308</v>
      </c>
      <c r="G653" s="20" t="s">
        <v>74</v>
      </c>
      <c r="H653" s="4" t="s">
        <v>532</v>
      </c>
      <c r="I653" s="4">
        <v>1994</v>
      </c>
      <c r="J653" s="22" t="s">
        <v>2308</v>
      </c>
      <c r="K653" s="22" t="s">
        <v>2308</v>
      </c>
      <c r="L653" s="22" t="s">
        <v>2308</v>
      </c>
      <c r="M653" s="22" t="s">
        <v>2308</v>
      </c>
      <c r="N653" s="22" t="s">
        <v>2308</v>
      </c>
      <c r="O653" s="22" t="s">
        <v>2308</v>
      </c>
      <c r="P653" s="22" t="s">
        <v>2308</v>
      </c>
      <c r="Q653" s="22" t="s">
        <v>2308</v>
      </c>
      <c r="R653" s="22" t="s">
        <v>2308</v>
      </c>
      <c r="S653" s="22" t="s">
        <v>2308</v>
      </c>
      <c r="T653" s="22" t="s">
        <v>2308</v>
      </c>
      <c r="U653" s="22" t="s">
        <v>2308</v>
      </c>
      <c r="V653" s="22" t="s">
        <v>2308</v>
      </c>
      <c r="W653" s="22" t="s">
        <v>2308</v>
      </c>
      <c r="X653" s="22" t="s">
        <v>2308</v>
      </c>
      <c r="Y653" s="22" t="s">
        <v>2308</v>
      </c>
      <c r="Z653" s="4" t="s">
        <v>2308</v>
      </c>
      <c r="AA653" s="4" t="s">
        <v>2308</v>
      </c>
      <c r="AB653" s="4" t="s">
        <v>2308</v>
      </c>
      <c r="AC653" s="5" t="s">
        <v>1128</v>
      </c>
      <c r="AD653" s="4"/>
    </row>
    <row r="654" spans="1:30" ht="64.5" customHeight="1">
      <c r="A654" s="12" t="s">
        <v>1118</v>
      </c>
      <c r="B654" s="12" t="s">
        <v>1131</v>
      </c>
      <c r="C654" s="24" t="s">
        <v>2689</v>
      </c>
      <c r="D654" s="20" t="s">
        <v>2308</v>
      </c>
      <c r="E654" s="20" t="s">
        <v>2308</v>
      </c>
      <c r="F654" s="20" t="s">
        <v>2308</v>
      </c>
      <c r="G654" s="20" t="s">
        <v>74</v>
      </c>
      <c r="H654" s="4" t="s">
        <v>532</v>
      </c>
      <c r="I654" s="4">
        <v>1995</v>
      </c>
      <c r="J654" s="22" t="s">
        <v>2308</v>
      </c>
      <c r="K654" s="22" t="s">
        <v>2308</v>
      </c>
      <c r="L654" s="22" t="s">
        <v>2308</v>
      </c>
      <c r="M654" s="22" t="s">
        <v>2308</v>
      </c>
      <c r="N654" s="22" t="s">
        <v>2308</v>
      </c>
      <c r="O654" s="22" t="s">
        <v>2308</v>
      </c>
      <c r="P654" s="22" t="s">
        <v>2308</v>
      </c>
      <c r="Q654" s="22" t="s">
        <v>2308</v>
      </c>
      <c r="R654" s="22" t="s">
        <v>2308</v>
      </c>
      <c r="S654" s="22" t="s">
        <v>2308</v>
      </c>
      <c r="T654" s="22" t="s">
        <v>2308</v>
      </c>
      <c r="U654" s="22" t="s">
        <v>2308</v>
      </c>
      <c r="V654" s="22" t="s">
        <v>2308</v>
      </c>
      <c r="W654" s="22" t="s">
        <v>2308</v>
      </c>
      <c r="X654" s="22" t="s">
        <v>2308</v>
      </c>
      <c r="Y654" s="22" t="s">
        <v>2308</v>
      </c>
      <c r="Z654" s="4" t="s">
        <v>2308</v>
      </c>
      <c r="AA654" s="4" t="s">
        <v>2308</v>
      </c>
      <c r="AB654" s="4" t="s">
        <v>2308</v>
      </c>
      <c r="AC654" s="5" t="s">
        <v>1128</v>
      </c>
      <c r="AD654" s="4"/>
    </row>
    <row r="655" spans="1:30" ht="65.5" customHeight="1">
      <c r="A655" s="12" t="s">
        <v>1118</v>
      </c>
      <c r="B655" s="12" t="s">
        <v>1132</v>
      </c>
      <c r="C655" s="24" t="s">
        <v>2689</v>
      </c>
      <c r="D655" s="20" t="s">
        <v>2308</v>
      </c>
      <c r="E655" s="20" t="s">
        <v>2308</v>
      </c>
      <c r="F655" s="20" t="s">
        <v>2308</v>
      </c>
      <c r="G655" s="20" t="s">
        <v>74</v>
      </c>
      <c r="H655" s="4" t="s">
        <v>532</v>
      </c>
      <c r="I655" s="4">
        <v>1996</v>
      </c>
      <c r="J655" s="22" t="s">
        <v>2308</v>
      </c>
      <c r="K655" s="22" t="s">
        <v>2308</v>
      </c>
      <c r="L655" s="22" t="s">
        <v>2308</v>
      </c>
      <c r="M655" s="22" t="s">
        <v>2308</v>
      </c>
      <c r="N655" s="22" t="s">
        <v>2308</v>
      </c>
      <c r="O655" s="22" t="s">
        <v>2308</v>
      </c>
      <c r="P655" s="22" t="s">
        <v>2308</v>
      </c>
      <c r="Q655" s="22" t="s">
        <v>2308</v>
      </c>
      <c r="R655" s="22" t="s">
        <v>2308</v>
      </c>
      <c r="S655" s="22" t="s">
        <v>2308</v>
      </c>
      <c r="T655" s="22" t="s">
        <v>2308</v>
      </c>
      <c r="U655" s="22" t="s">
        <v>2308</v>
      </c>
      <c r="V655" s="22" t="s">
        <v>2308</v>
      </c>
      <c r="W655" s="22" t="s">
        <v>2308</v>
      </c>
      <c r="X655" s="22" t="s">
        <v>2308</v>
      </c>
      <c r="Y655" s="22" t="s">
        <v>2308</v>
      </c>
      <c r="Z655" s="4" t="s">
        <v>2308</v>
      </c>
      <c r="AA655" s="4" t="s">
        <v>2308</v>
      </c>
      <c r="AB655" s="4" t="s">
        <v>2308</v>
      </c>
      <c r="AC655" s="5" t="s">
        <v>1128</v>
      </c>
      <c r="AD655" s="4"/>
    </row>
    <row r="656" spans="1:30" ht="64.5" customHeight="1">
      <c r="A656" s="12" t="s">
        <v>1118</v>
      </c>
      <c r="B656" s="12" t="s">
        <v>1133</v>
      </c>
      <c r="C656" s="24" t="s">
        <v>2689</v>
      </c>
      <c r="D656" s="20" t="s">
        <v>2308</v>
      </c>
      <c r="E656" s="20" t="s">
        <v>2308</v>
      </c>
      <c r="F656" s="20" t="s">
        <v>2308</v>
      </c>
      <c r="G656" s="20" t="s">
        <v>74</v>
      </c>
      <c r="H656" s="4" t="s">
        <v>532</v>
      </c>
      <c r="I656" s="4">
        <v>1997</v>
      </c>
      <c r="J656" s="22" t="s">
        <v>2308</v>
      </c>
      <c r="K656" s="22" t="s">
        <v>2308</v>
      </c>
      <c r="L656" s="22" t="s">
        <v>2308</v>
      </c>
      <c r="M656" s="22" t="s">
        <v>2308</v>
      </c>
      <c r="N656" s="22" t="s">
        <v>2308</v>
      </c>
      <c r="O656" s="22" t="s">
        <v>2308</v>
      </c>
      <c r="P656" s="22" t="s">
        <v>2308</v>
      </c>
      <c r="Q656" s="22" t="s">
        <v>2308</v>
      </c>
      <c r="R656" s="22" t="s">
        <v>2308</v>
      </c>
      <c r="S656" s="22" t="s">
        <v>2308</v>
      </c>
      <c r="T656" s="22" t="s">
        <v>2308</v>
      </c>
      <c r="U656" s="22" t="s">
        <v>2308</v>
      </c>
      <c r="V656" s="22" t="s">
        <v>2308</v>
      </c>
      <c r="W656" s="22" t="s">
        <v>2308</v>
      </c>
      <c r="X656" s="22" t="s">
        <v>2308</v>
      </c>
      <c r="Y656" s="22" t="s">
        <v>2308</v>
      </c>
      <c r="Z656" s="4" t="s">
        <v>2308</v>
      </c>
      <c r="AA656" s="4" t="s">
        <v>2308</v>
      </c>
      <c r="AB656" s="4" t="s">
        <v>2308</v>
      </c>
      <c r="AC656" s="5" t="s">
        <v>1128</v>
      </c>
      <c r="AD656" s="4"/>
    </row>
    <row r="657" spans="1:30" ht="63" customHeight="1">
      <c r="A657" s="12" t="s">
        <v>1118</v>
      </c>
      <c r="B657" s="12" t="s">
        <v>1134</v>
      </c>
      <c r="C657" s="24" t="s">
        <v>2689</v>
      </c>
      <c r="D657" s="20" t="s">
        <v>2308</v>
      </c>
      <c r="E657" s="20" t="s">
        <v>2308</v>
      </c>
      <c r="F657" s="20" t="s">
        <v>2308</v>
      </c>
      <c r="G657" s="20" t="s">
        <v>74</v>
      </c>
      <c r="H657" s="4" t="s">
        <v>532</v>
      </c>
      <c r="I657" s="4">
        <v>1998</v>
      </c>
      <c r="J657" s="22" t="s">
        <v>2308</v>
      </c>
      <c r="K657" s="22" t="s">
        <v>2308</v>
      </c>
      <c r="L657" s="22" t="s">
        <v>2308</v>
      </c>
      <c r="M657" s="22" t="s">
        <v>2308</v>
      </c>
      <c r="N657" s="22" t="s">
        <v>2308</v>
      </c>
      <c r="O657" s="22" t="s">
        <v>2308</v>
      </c>
      <c r="P657" s="22" t="s">
        <v>2308</v>
      </c>
      <c r="Q657" s="22" t="s">
        <v>2308</v>
      </c>
      <c r="R657" s="22" t="s">
        <v>2308</v>
      </c>
      <c r="S657" s="22" t="s">
        <v>2308</v>
      </c>
      <c r="T657" s="22" t="s">
        <v>2308</v>
      </c>
      <c r="U657" s="22" t="s">
        <v>2308</v>
      </c>
      <c r="V657" s="22" t="s">
        <v>2308</v>
      </c>
      <c r="W657" s="22" t="s">
        <v>2308</v>
      </c>
      <c r="X657" s="22" t="s">
        <v>2308</v>
      </c>
      <c r="Y657" s="22" t="s">
        <v>2308</v>
      </c>
      <c r="Z657" s="4" t="s">
        <v>2308</v>
      </c>
      <c r="AA657" s="4" t="s">
        <v>2308</v>
      </c>
      <c r="AB657" s="4" t="s">
        <v>2308</v>
      </c>
      <c r="AC657" s="5" t="s">
        <v>1128</v>
      </c>
      <c r="AD657" s="4"/>
    </row>
    <row r="658" spans="1:30" ht="62" customHeight="1">
      <c r="A658" s="12" t="s">
        <v>1118</v>
      </c>
      <c r="B658" s="12" t="s">
        <v>1135</v>
      </c>
      <c r="C658" s="24" t="s">
        <v>2689</v>
      </c>
      <c r="D658" s="20" t="s">
        <v>2308</v>
      </c>
      <c r="E658" s="20" t="s">
        <v>2308</v>
      </c>
      <c r="F658" s="20" t="s">
        <v>2308</v>
      </c>
      <c r="G658" s="20" t="s">
        <v>74</v>
      </c>
      <c r="H658" s="4" t="s">
        <v>532</v>
      </c>
      <c r="I658" s="4">
        <v>1999</v>
      </c>
      <c r="J658" s="22" t="s">
        <v>2308</v>
      </c>
      <c r="K658" s="22" t="s">
        <v>2308</v>
      </c>
      <c r="L658" s="22" t="s">
        <v>2308</v>
      </c>
      <c r="M658" s="22" t="s">
        <v>2308</v>
      </c>
      <c r="N658" s="22" t="s">
        <v>2308</v>
      </c>
      <c r="O658" s="22" t="s">
        <v>2308</v>
      </c>
      <c r="P658" s="22" t="s">
        <v>2308</v>
      </c>
      <c r="Q658" s="22" t="s">
        <v>2308</v>
      </c>
      <c r="R658" s="22" t="s">
        <v>2308</v>
      </c>
      <c r="S658" s="22" t="s">
        <v>2308</v>
      </c>
      <c r="T658" s="22" t="s">
        <v>2308</v>
      </c>
      <c r="U658" s="22" t="s">
        <v>2308</v>
      </c>
      <c r="V658" s="22" t="s">
        <v>2308</v>
      </c>
      <c r="W658" s="22" t="s">
        <v>2308</v>
      </c>
      <c r="X658" s="22" t="s">
        <v>2308</v>
      </c>
      <c r="Y658" s="22" t="s">
        <v>2308</v>
      </c>
      <c r="Z658" s="4" t="s">
        <v>2308</v>
      </c>
      <c r="AA658" s="4" t="s">
        <v>2308</v>
      </c>
      <c r="AB658" s="4" t="s">
        <v>2308</v>
      </c>
      <c r="AC658" s="5" t="s">
        <v>1128</v>
      </c>
      <c r="AD658" s="4"/>
    </row>
    <row r="659" spans="1:30" ht="67" customHeight="1">
      <c r="A659" s="12" t="s">
        <v>1118</v>
      </c>
      <c r="B659" s="12" t="s">
        <v>1136</v>
      </c>
      <c r="C659" s="24" t="s">
        <v>2689</v>
      </c>
      <c r="D659" s="20" t="s">
        <v>2308</v>
      </c>
      <c r="E659" s="20" t="s">
        <v>2308</v>
      </c>
      <c r="F659" s="20" t="s">
        <v>2308</v>
      </c>
      <c r="G659" s="20" t="s">
        <v>74</v>
      </c>
      <c r="H659" s="4" t="s">
        <v>532</v>
      </c>
      <c r="I659" s="4">
        <v>2000</v>
      </c>
      <c r="J659" s="22" t="s">
        <v>2308</v>
      </c>
      <c r="K659" s="22" t="s">
        <v>2308</v>
      </c>
      <c r="L659" s="22" t="s">
        <v>2308</v>
      </c>
      <c r="M659" s="22" t="s">
        <v>2308</v>
      </c>
      <c r="N659" s="22" t="s">
        <v>2308</v>
      </c>
      <c r="O659" s="22" t="s">
        <v>2308</v>
      </c>
      <c r="P659" s="22" t="s">
        <v>2308</v>
      </c>
      <c r="Q659" s="22" t="s">
        <v>2308</v>
      </c>
      <c r="R659" s="22" t="s">
        <v>2308</v>
      </c>
      <c r="S659" s="22" t="s">
        <v>2308</v>
      </c>
      <c r="T659" s="22" t="s">
        <v>2308</v>
      </c>
      <c r="U659" s="22" t="s">
        <v>2308</v>
      </c>
      <c r="V659" s="22" t="s">
        <v>2308</v>
      </c>
      <c r="W659" s="22" t="s">
        <v>2308</v>
      </c>
      <c r="X659" s="22" t="s">
        <v>2308</v>
      </c>
      <c r="Y659" s="22" t="s">
        <v>2308</v>
      </c>
      <c r="Z659" s="4" t="s">
        <v>2308</v>
      </c>
      <c r="AA659" s="4" t="s">
        <v>2308</v>
      </c>
      <c r="AB659" s="4" t="s">
        <v>2308</v>
      </c>
      <c r="AC659" s="5" t="s">
        <v>1128</v>
      </c>
      <c r="AD659" s="4"/>
    </row>
    <row r="660" spans="1:30" ht="93.5" customHeight="1">
      <c r="A660" s="12" t="s">
        <v>1137</v>
      </c>
      <c r="B660" s="12" t="s">
        <v>2363</v>
      </c>
      <c r="C660" s="24" t="s">
        <v>24</v>
      </c>
      <c r="D660" s="20" t="s">
        <v>27</v>
      </c>
      <c r="E660" s="20" t="s">
        <v>136</v>
      </c>
      <c r="F660" s="20" t="s">
        <v>167</v>
      </c>
      <c r="G660" s="20"/>
      <c r="H660" s="4" t="s">
        <v>531</v>
      </c>
      <c r="I660" s="4"/>
      <c r="J660" s="22" t="s">
        <v>2308</v>
      </c>
      <c r="K660" s="22" t="s">
        <v>2308</v>
      </c>
      <c r="L660" s="22" t="s">
        <v>2308</v>
      </c>
      <c r="M660" s="22" t="s">
        <v>2308</v>
      </c>
      <c r="N660" s="22" t="s">
        <v>2308</v>
      </c>
      <c r="O660" s="22" t="s">
        <v>2308</v>
      </c>
      <c r="P660" s="22" t="s">
        <v>2308</v>
      </c>
      <c r="Q660" s="22" t="s">
        <v>2308</v>
      </c>
      <c r="R660" s="22" t="s">
        <v>2308</v>
      </c>
      <c r="S660" s="22" t="s">
        <v>2308</v>
      </c>
      <c r="T660" s="22" t="s">
        <v>2308</v>
      </c>
      <c r="U660" s="22" t="s">
        <v>2308</v>
      </c>
      <c r="V660" s="22" t="s">
        <v>2308</v>
      </c>
      <c r="W660" s="22" t="s">
        <v>2308</v>
      </c>
      <c r="X660" s="22" t="s">
        <v>2308</v>
      </c>
      <c r="Y660" s="22" t="s">
        <v>2308</v>
      </c>
      <c r="Z660" s="4" t="s">
        <v>68</v>
      </c>
      <c r="AA660" s="4" t="s">
        <v>35</v>
      </c>
      <c r="AB660" s="4" t="s">
        <v>2308</v>
      </c>
      <c r="AC660" s="5" t="s">
        <v>2381</v>
      </c>
      <c r="AD660" s="4"/>
    </row>
    <row r="661" spans="1:30" ht="93.5" customHeight="1">
      <c r="A661" s="12" t="s">
        <v>1137</v>
      </c>
      <c r="B661" s="12" t="s">
        <v>2364</v>
      </c>
      <c r="C661" s="24" t="s">
        <v>24</v>
      </c>
      <c r="D661" s="20" t="s">
        <v>149</v>
      </c>
      <c r="E661" s="20" t="s">
        <v>877</v>
      </c>
      <c r="F661" s="20" t="s">
        <v>74</v>
      </c>
      <c r="G661" s="20"/>
      <c r="H661" s="4" t="s">
        <v>531</v>
      </c>
      <c r="I661" s="4"/>
      <c r="J661" s="22" t="s">
        <v>2308</v>
      </c>
      <c r="K661" s="22" t="s">
        <v>2308</v>
      </c>
      <c r="L661" s="22" t="s">
        <v>2308</v>
      </c>
      <c r="M661" s="22" t="s">
        <v>2308</v>
      </c>
      <c r="N661" s="22" t="s">
        <v>2308</v>
      </c>
      <c r="O661" s="22" t="s">
        <v>2308</v>
      </c>
      <c r="P661" s="22" t="s">
        <v>2308</v>
      </c>
      <c r="Q661" s="22" t="s">
        <v>2308</v>
      </c>
      <c r="R661" s="22" t="s">
        <v>2308</v>
      </c>
      <c r="S661" s="22" t="s">
        <v>2308</v>
      </c>
      <c r="T661" s="22" t="s">
        <v>2308</v>
      </c>
      <c r="U661" s="22" t="s">
        <v>2308</v>
      </c>
      <c r="V661" s="22" t="s">
        <v>2308</v>
      </c>
      <c r="W661" s="22" t="s">
        <v>2308</v>
      </c>
      <c r="X661" s="22" t="s">
        <v>2308</v>
      </c>
      <c r="Y661" s="22" t="s">
        <v>2308</v>
      </c>
      <c r="Z661" s="22" t="s">
        <v>2308</v>
      </c>
      <c r="AA661" s="22" t="s">
        <v>2308</v>
      </c>
      <c r="AB661" s="4" t="s">
        <v>2308</v>
      </c>
      <c r="AC661" s="5" t="s">
        <v>2368</v>
      </c>
      <c r="AD661" s="4"/>
    </row>
    <row r="662" spans="1:30" ht="93.5" customHeight="1">
      <c r="A662" s="12" t="s">
        <v>1137</v>
      </c>
      <c r="B662" s="12" t="s">
        <v>2369</v>
      </c>
      <c r="C662" s="24" t="s">
        <v>24</v>
      </c>
      <c r="D662" s="20" t="s">
        <v>61</v>
      </c>
      <c r="E662" s="20" t="s">
        <v>877</v>
      </c>
      <c r="F662" s="20" t="s">
        <v>167</v>
      </c>
      <c r="G662" s="20"/>
      <c r="H662" s="4" t="s">
        <v>531</v>
      </c>
      <c r="I662" s="4"/>
      <c r="J662" s="22" t="s">
        <v>2308</v>
      </c>
      <c r="K662" s="22" t="s">
        <v>2308</v>
      </c>
      <c r="L662" s="22" t="s">
        <v>2308</v>
      </c>
      <c r="M662" s="22" t="s">
        <v>2308</v>
      </c>
      <c r="N662" s="22" t="s">
        <v>2308</v>
      </c>
      <c r="O662" s="22" t="s">
        <v>2308</v>
      </c>
      <c r="P662" s="22" t="s">
        <v>2308</v>
      </c>
      <c r="Q662" s="22" t="s">
        <v>2308</v>
      </c>
      <c r="R662" s="22" t="s">
        <v>2308</v>
      </c>
      <c r="S662" s="22" t="s">
        <v>2308</v>
      </c>
      <c r="T662" s="22" t="s">
        <v>2308</v>
      </c>
      <c r="U662" s="22" t="s">
        <v>2308</v>
      </c>
      <c r="V662" s="22" t="s">
        <v>2308</v>
      </c>
      <c r="W662" s="22" t="s">
        <v>2308</v>
      </c>
      <c r="X662" s="22" t="s">
        <v>2308</v>
      </c>
      <c r="Y662" s="22" t="s">
        <v>2308</v>
      </c>
      <c r="Z662" s="22" t="s">
        <v>2308</v>
      </c>
      <c r="AA662" s="22" t="s">
        <v>2308</v>
      </c>
      <c r="AB662" s="4" t="s">
        <v>2308</v>
      </c>
      <c r="AC662" s="5" t="s">
        <v>2380</v>
      </c>
      <c r="AD662" s="4"/>
    </row>
    <row r="663" spans="1:30" ht="93.5" customHeight="1">
      <c r="A663" s="12" t="s">
        <v>1137</v>
      </c>
      <c r="B663" s="12" t="s">
        <v>2371</v>
      </c>
      <c r="C663" s="24" t="s">
        <v>24</v>
      </c>
      <c r="D663" s="20" t="s">
        <v>1267</v>
      </c>
      <c r="E663" s="20" t="s">
        <v>116</v>
      </c>
      <c r="F663" s="20" t="s">
        <v>74</v>
      </c>
      <c r="G663" s="20"/>
      <c r="H663" s="4" t="s">
        <v>531</v>
      </c>
      <c r="I663" s="4"/>
      <c r="J663" s="22" t="s">
        <v>2308</v>
      </c>
      <c r="K663" s="22" t="s">
        <v>2308</v>
      </c>
      <c r="L663" s="22" t="s">
        <v>2308</v>
      </c>
      <c r="M663" s="22" t="s">
        <v>2308</v>
      </c>
      <c r="N663" s="22" t="s">
        <v>2308</v>
      </c>
      <c r="O663" s="22" t="s">
        <v>2308</v>
      </c>
      <c r="P663" s="22" t="s">
        <v>2308</v>
      </c>
      <c r="Q663" s="22" t="s">
        <v>2308</v>
      </c>
      <c r="R663" s="22" t="s">
        <v>2308</v>
      </c>
      <c r="S663" s="22" t="s">
        <v>2308</v>
      </c>
      <c r="T663" s="22" t="s">
        <v>2308</v>
      </c>
      <c r="U663" s="22" t="s">
        <v>2308</v>
      </c>
      <c r="V663" s="22" t="s">
        <v>2308</v>
      </c>
      <c r="W663" s="22" t="s">
        <v>2308</v>
      </c>
      <c r="X663" s="22" t="s">
        <v>2308</v>
      </c>
      <c r="Y663" s="22" t="s">
        <v>2308</v>
      </c>
      <c r="Z663" s="22" t="s">
        <v>2308</v>
      </c>
      <c r="AA663" s="22" t="s">
        <v>2308</v>
      </c>
      <c r="AB663" s="4" t="s">
        <v>2308</v>
      </c>
      <c r="AC663" s="5" t="s">
        <v>2384</v>
      </c>
      <c r="AD663" s="4"/>
    </row>
    <row r="664" spans="1:30" ht="93.5" customHeight="1">
      <c r="A664" s="12" t="s">
        <v>1137</v>
      </c>
      <c r="B664" s="12" t="s">
        <v>2375</v>
      </c>
      <c r="C664" s="24" t="s">
        <v>24</v>
      </c>
      <c r="D664" s="20" t="s">
        <v>2373</v>
      </c>
      <c r="E664" s="20" t="s">
        <v>1125</v>
      </c>
      <c r="F664" s="20" t="s">
        <v>167</v>
      </c>
      <c r="G664" s="20"/>
      <c r="H664" s="4" t="s">
        <v>531</v>
      </c>
      <c r="I664" s="4"/>
      <c r="J664" s="22" t="s">
        <v>2308</v>
      </c>
      <c r="K664" s="22" t="s">
        <v>2308</v>
      </c>
      <c r="L664" s="22" t="s">
        <v>2308</v>
      </c>
      <c r="M664" s="22" t="s">
        <v>2308</v>
      </c>
      <c r="N664" s="22" t="s">
        <v>2308</v>
      </c>
      <c r="O664" s="22" t="s">
        <v>2308</v>
      </c>
      <c r="P664" s="22" t="s">
        <v>2308</v>
      </c>
      <c r="Q664" s="22" t="s">
        <v>2308</v>
      </c>
      <c r="R664" s="22" t="s">
        <v>2308</v>
      </c>
      <c r="S664" s="22" t="s">
        <v>2308</v>
      </c>
      <c r="T664" s="22" t="s">
        <v>2308</v>
      </c>
      <c r="U664" s="22" t="s">
        <v>2308</v>
      </c>
      <c r="V664" s="22" t="s">
        <v>2308</v>
      </c>
      <c r="W664" s="22" t="s">
        <v>2308</v>
      </c>
      <c r="X664" s="22">
        <v>20.5</v>
      </c>
      <c r="Y664" s="22">
        <v>1</v>
      </c>
      <c r="Z664" s="4" t="s">
        <v>2308</v>
      </c>
      <c r="AA664" s="4" t="s">
        <v>2308</v>
      </c>
      <c r="AB664" s="4" t="s">
        <v>2308</v>
      </c>
      <c r="AC664" s="5" t="s">
        <v>2374</v>
      </c>
      <c r="AD664" s="4"/>
    </row>
    <row r="665" spans="1:30" ht="89.5" customHeight="1">
      <c r="A665" s="12" t="s">
        <v>1138</v>
      </c>
      <c r="B665" s="12" t="s">
        <v>2365</v>
      </c>
      <c r="C665" s="24" t="s">
        <v>24</v>
      </c>
      <c r="D665" s="20" t="s">
        <v>27</v>
      </c>
      <c r="E665" s="20" t="s">
        <v>136</v>
      </c>
      <c r="F665" s="20" t="s">
        <v>167</v>
      </c>
      <c r="G665" s="20"/>
      <c r="H665" s="4" t="s">
        <v>531</v>
      </c>
      <c r="I665" s="4"/>
      <c r="J665" s="22" t="s">
        <v>2308</v>
      </c>
      <c r="K665" s="22" t="s">
        <v>2308</v>
      </c>
      <c r="L665" s="22" t="s">
        <v>2308</v>
      </c>
      <c r="M665" s="22" t="s">
        <v>2308</v>
      </c>
      <c r="N665" s="22" t="s">
        <v>2308</v>
      </c>
      <c r="O665" s="22" t="s">
        <v>2308</v>
      </c>
      <c r="P665" s="22" t="s">
        <v>2308</v>
      </c>
      <c r="Q665" s="22" t="s">
        <v>2308</v>
      </c>
      <c r="R665" s="22" t="s">
        <v>2308</v>
      </c>
      <c r="S665" s="22" t="s">
        <v>2308</v>
      </c>
      <c r="T665" s="22" t="s">
        <v>2308</v>
      </c>
      <c r="U665" s="22" t="s">
        <v>2308</v>
      </c>
      <c r="V665" s="22" t="s">
        <v>2308</v>
      </c>
      <c r="W665" s="22" t="s">
        <v>2308</v>
      </c>
      <c r="X665" s="22" t="s">
        <v>2308</v>
      </c>
      <c r="Y665" s="22" t="s">
        <v>2308</v>
      </c>
      <c r="Z665" s="4" t="s">
        <v>68</v>
      </c>
      <c r="AA665" s="4" t="s">
        <v>35</v>
      </c>
      <c r="AB665" s="4" t="s">
        <v>2308</v>
      </c>
      <c r="AC665" s="5" t="s">
        <v>2381</v>
      </c>
      <c r="AD665" s="4"/>
    </row>
    <row r="666" spans="1:30" ht="102" customHeight="1">
      <c r="A666" s="12" t="s">
        <v>1138</v>
      </c>
      <c r="B666" s="12" t="s">
        <v>2367</v>
      </c>
      <c r="C666" s="24" t="s">
        <v>24</v>
      </c>
      <c r="D666" s="20" t="s">
        <v>149</v>
      </c>
      <c r="E666" s="20" t="s">
        <v>877</v>
      </c>
      <c r="F666" s="20" t="s">
        <v>74</v>
      </c>
      <c r="G666" s="20"/>
      <c r="H666" s="4" t="s">
        <v>531</v>
      </c>
      <c r="I666" s="4"/>
      <c r="J666" s="22" t="s">
        <v>2308</v>
      </c>
      <c r="K666" s="22" t="s">
        <v>2308</v>
      </c>
      <c r="L666" s="22" t="s">
        <v>2308</v>
      </c>
      <c r="M666" s="22" t="s">
        <v>2308</v>
      </c>
      <c r="N666" s="22" t="s">
        <v>2308</v>
      </c>
      <c r="O666" s="22" t="s">
        <v>2308</v>
      </c>
      <c r="P666" s="22" t="s">
        <v>2308</v>
      </c>
      <c r="Q666" s="22" t="s">
        <v>2308</v>
      </c>
      <c r="R666" s="22" t="s">
        <v>2308</v>
      </c>
      <c r="S666" s="22" t="s">
        <v>2308</v>
      </c>
      <c r="T666" s="22" t="s">
        <v>2308</v>
      </c>
      <c r="U666" s="22" t="s">
        <v>2308</v>
      </c>
      <c r="V666" s="22" t="s">
        <v>2308</v>
      </c>
      <c r="W666" s="22" t="s">
        <v>2308</v>
      </c>
      <c r="X666" s="22" t="s">
        <v>2308</v>
      </c>
      <c r="Y666" s="22" t="s">
        <v>2308</v>
      </c>
      <c r="Z666" s="22" t="s">
        <v>2308</v>
      </c>
      <c r="AA666" s="22" t="s">
        <v>2308</v>
      </c>
      <c r="AB666" s="4" t="s">
        <v>2308</v>
      </c>
      <c r="AC666" s="5" t="s">
        <v>2368</v>
      </c>
      <c r="AD666" s="4"/>
    </row>
    <row r="667" spans="1:30" ht="102" customHeight="1">
      <c r="A667" s="12" t="s">
        <v>1138</v>
      </c>
      <c r="B667" s="12" t="s">
        <v>2370</v>
      </c>
      <c r="C667" s="24" t="s">
        <v>24</v>
      </c>
      <c r="D667" s="20" t="s">
        <v>1267</v>
      </c>
      <c r="E667" s="20" t="s">
        <v>116</v>
      </c>
      <c r="F667" s="20" t="s">
        <v>74</v>
      </c>
      <c r="G667" s="20"/>
      <c r="H667" s="4" t="s">
        <v>531</v>
      </c>
      <c r="I667" s="4"/>
      <c r="J667" s="22" t="s">
        <v>2308</v>
      </c>
      <c r="K667" s="22" t="s">
        <v>2308</v>
      </c>
      <c r="L667" s="22" t="s">
        <v>2308</v>
      </c>
      <c r="M667" s="22" t="s">
        <v>2308</v>
      </c>
      <c r="N667" s="22" t="s">
        <v>2308</v>
      </c>
      <c r="O667" s="22" t="s">
        <v>2308</v>
      </c>
      <c r="P667" s="22" t="s">
        <v>2308</v>
      </c>
      <c r="Q667" s="22" t="s">
        <v>2308</v>
      </c>
      <c r="R667" s="22" t="s">
        <v>2308</v>
      </c>
      <c r="S667" s="22" t="s">
        <v>2308</v>
      </c>
      <c r="T667" s="22" t="s">
        <v>2308</v>
      </c>
      <c r="U667" s="22" t="s">
        <v>2308</v>
      </c>
      <c r="V667" s="22" t="s">
        <v>2308</v>
      </c>
      <c r="W667" s="22" t="s">
        <v>2308</v>
      </c>
      <c r="X667" s="22" t="s">
        <v>2308</v>
      </c>
      <c r="Y667" s="22" t="s">
        <v>2308</v>
      </c>
      <c r="Z667" s="22" t="s">
        <v>2308</v>
      </c>
      <c r="AA667" s="22" t="s">
        <v>2308</v>
      </c>
      <c r="AB667" s="4" t="s">
        <v>2308</v>
      </c>
      <c r="AC667" s="5" t="s">
        <v>2384</v>
      </c>
      <c r="AD667" s="4"/>
    </row>
    <row r="668" spans="1:30" ht="102" customHeight="1">
      <c r="A668" s="12" t="s">
        <v>1138</v>
      </c>
      <c r="B668" s="12" t="s">
        <v>2372</v>
      </c>
      <c r="C668" s="24" t="s">
        <v>24</v>
      </c>
      <c r="D668" s="20" t="s">
        <v>2373</v>
      </c>
      <c r="E668" s="20" t="s">
        <v>1125</v>
      </c>
      <c r="F668" s="20" t="s">
        <v>167</v>
      </c>
      <c r="G668" s="20"/>
      <c r="H668" s="4" t="s">
        <v>531</v>
      </c>
      <c r="I668" s="4"/>
      <c r="J668" s="22" t="s">
        <v>2308</v>
      </c>
      <c r="K668" s="22" t="s">
        <v>2308</v>
      </c>
      <c r="L668" s="22" t="s">
        <v>2308</v>
      </c>
      <c r="M668" s="22" t="s">
        <v>2308</v>
      </c>
      <c r="N668" s="22" t="s">
        <v>2308</v>
      </c>
      <c r="O668" s="22" t="s">
        <v>2308</v>
      </c>
      <c r="P668" s="22" t="s">
        <v>2308</v>
      </c>
      <c r="Q668" s="22" t="s">
        <v>2308</v>
      </c>
      <c r="R668" s="22" t="s">
        <v>2308</v>
      </c>
      <c r="S668" s="22" t="s">
        <v>2308</v>
      </c>
      <c r="T668" s="22" t="s">
        <v>2308</v>
      </c>
      <c r="U668" s="22" t="s">
        <v>2308</v>
      </c>
      <c r="V668" s="22" t="s">
        <v>2308</v>
      </c>
      <c r="W668" s="22" t="s">
        <v>2308</v>
      </c>
      <c r="X668" s="22" t="s">
        <v>2308</v>
      </c>
      <c r="Y668" s="22">
        <v>1</v>
      </c>
      <c r="Z668" s="22" t="s">
        <v>2308</v>
      </c>
      <c r="AA668" s="22" t="s">
        <v>2308</v>
      </c>
      <c r="AB668" s="4" t="s">
        <v>2308</v>
      </c>
      <c r="AC668" s="5" t="s">
        <v>2374</v>
      </c>
      <c r="AD668" s="4"/>
    </row>
    <row r="669" spans="1:30" ht="102" customHeight="1">
      <c r="A669" s="12" t="s">
        <v>1138</v>
      </c>
      <c r="B669" s="12" t="s">
        <v>2376</v>
      </c>
      <c r="C669" s="24" t="s">
        <v>24</v>
      </c>
      <c r="D669" s="20" t="s">
        <v>61</v>
      </c>
      <c r="E669" s="20" t="s">
        <v>877</v>
      </c>
      <c r="F669" s="20" t="s">
        <v>167</v>
      </c>
      <c r="G669" s="20"/>
      <c r="H669" s="4" t="s">
        <v>531</v>
      </c>
      <c r="I669" s="4"/>
      <c r="J669" s="22" t="s">
        <v>2308</v>
      </c>
      <c r="K669" s="22" t="s">
        <v>2308</v>
      </c>
      <c r="L669" s="22" t="s">
        <v>2308</v>
      </c>
      <c r="M669" s="22" t="s">
        <v>2308</v>
      </c>
      <c r="N669" s="22" t="s">
        <v>2308</v>
      </c>
      <c r="O669" s="22" t="s">
        <v>2308</v>
      </c>
      <c r="P669" s="22" t="s">
        <v>2308</v>
      </c>
      <c r="Q669" s="22" t="s">
        <v>2308</v>
      </c>
      <c r="R669" s="22" t="s">
        <v>2308</v>
      </c>
      <c r="S669" s="22" t="s">
        <v>2308</v>
      </c>
      <c r="T669" s="22" t="s">
        <v>2308</v>
      </c>
      <c r="U669" s="22" t="s">
        <v>2308</v>
      </c>
      <c r="V669" s="22" t="s">
        <v>2308</v>
      </c>
      <c r="W669" s="22" t="s">
        <v>2308</v>
      </c>
      <c r="X669" s="22" t="s">
        <v>2308</v>
      </c>
      <c r="Y669" s="22" t="s">
        <v>2308</v>
      </c>
      <c r="Z669" s="22" t="s">
        <v>2308</v>
      </c>
      <c r="AA669" s="22" t="s">
        <v>2308</v>
      </c>
      <c r="AB669" s="4" t="s">
        <v>2308</v>
      </c>
      <c r="AC669" s="5" t="s">
        <v>2380</v>
      </c>
      <c r="AD669" s="4"/>
    </row>
    <row r="670" spans="1:30" ht="102" customHeight="1">
      <c r="A670" s="12" t="s">
        <v>1138</v>
      </c>
      <c r="B670" s="12" t="s">
        <v>2459</v>
      </c>
      <c r="C670" s="24" t="s">
        <v>24</v>
      </c>
      <c r="D670" s="20" t="s">
        <v>27</v>
      </c>
      <c r="E670" s="20" t="s">
        <v>84</v>
      </c>
      <c r="F670" s="20" t="s">
        <v>28</v>
      </c>
      <c r="G670" s="20"/>
      <c r="H670" s="4" t="s">
        <v>532</v>
      </c>
      <c r="I670" s="4"/>
      <c r="J670" s="22">
        <v>0</v>
      </c>
      <c r="K670" s="22">
        <v>0</v>
      </c>
      <c r="L670" s="22">
        <v>0</v>
      </c>
      <c r="M670" s="22">
        <v>0</v>
      </c>
      <c r="N670" s="22">
        <v>0</v>
      </c>
      <c r="O670" s="22">
        <v>0</v>
      </c>
      <c r="P670" s="22">
        <v>0</v>
      </c>
      <c r="Q670" s="22" t="s">
        <v>2308</v>
      </c>
      <c r="R670" s="22" t="s">
        <v>2308</v>
      </c>
      <c r="S670" s="22">
        <v>0</v>
      </c>
      <c r="T670" s="22">
        <v>0</v>
      </c>
      <c r="U670" s="22">
        <v>0</v>
      </c>
      <c r="V670" s="22">
        <v>0</v>
      </c>
      <c r="W670" s="22">
        <v>0</v>
      </c>
      <c r="X670" s="22">
        <v>0</v>
      </c>
      <c r="Y670" s="22" t="s">
        <v>2308</v>
      </c>
      <c r="Z670" s="22" t="s">
        <v>2308</v>
      </c>
      <c r="AA670" s="22" t="s">
        <v>2308</v>
      </c>
      <c r="AB670" s="4" t="s">
        <v>2308</v>
      </c>
      <c r="AC670" s="5" t="s">
        <v>2377</v>
      </c>
      <c r="AD670" s="4"/>
    </row>
    <row r="671" spans="1:30" ht="102" customHeight="1">
      <c r="A671" s="12" t="s">
        <v>1138</v>
      </c>
      <c r="B671" s="12" t="s">
        <v>2460</v>
      </c>
      <c r="C671" s="24" t="s">
        <v>24</v>
      </c>
      <c r="D671" s="20" t="s">
        <v>2378</v>
      </c>
      <c r="E671" s="20" t="s">
        <v>136</v>
      </c>
      <c r="F671" s="20" t="s">
        <v>28</v>
      </c>
      <c r="G671" s="20"/>
      <c r="H671" s="4" t="s">
        <v>531</v>
      </c>
      <c r="I671" s="4"/>
      <c r="J671" s="22" t="s">
        <v>2308</v>
      </c>
      <c r="K671" s="22" t="s">
        <v>2308</v>
      </c>
      <c r="L671" s="22" t="s">
        <v>2308</v>
      </c>
      <c r="M671" s="22" t="s">
        <v>2308</v>
      </c>
      <c r="N671" s="22" t="s">
        <v>2308</v>
      </c>
      <c r="O671" s="22" t="s">
        <v>2308</v>
      </c>
      <c r="P671" s="22" t="s">
        <v>2308</v>
      </c>
      <c r="Q671" s="22" t="s">
        <v>2308</v>
      </c>
      <c r="R671" s="22" t="s">
        <v>2308</v>
      </c>
      <c r="S671" s="22" t="s">
        <v>2308</v>
      </c>
      <c r="T671" s="22" t="s">
        <v>2308</v>
      </c>
      <c r="U671" s="22" t="s">
        <v>2308</v>
      </c>
      <c r="V671" s="22" t="s">
        <v>2308</v>
      </c>
      <c r="W671" s="22" t="s">
        <v>2308</v>
      </c>
      <c r="X671" s="22" t="s">
        <v>2308</v>
      </c>
      <c r="Y671" s="22" t="s">
        <v>2308</v>
      </c>
      <c r="Z671" s="22" t="s">
        <v>2308</v>
      </c>
      <c r="AA671" s="22" t="s">
        <v>2308</v>
      </c>
      <c r="AB671" s="4" t="s">
        <v>2308</v>
      </c>
      <c r="AC671" s="5" t="s">
        <v>2379</v>
      </c>
      <c r="AD671" s="4"/>
    </row>
    <row r="672" spans="1:30" ht="102" customHeight="1">
      <c r="A672" s="12" t="s">
        <v>1138</v>
      </c>
      <c r="B672" s="12" t="s">
        <v>2461</v>
      </c>
      <c r="C672" s="24" t="s">
        <v>24</v>
      </c>
      <c r="D672" s="20" t="s">
        <v>2378</v>
      </c>
      <c r="E672" s="20" t="s">
        <v>877</v>
      </c>
      <c r="F672" s="20" t="s">
        <v>28</v>
      </c>
      <c r="G672" s="20"/>
      <c r="H672" s="4" t="s">
        <v>531</v>
      </c>
      <c r="I672" s="4"/>
      <c r="J672" s="22" t="s">
        <v>2308</v>
      </c>
      <c r="K672" s="22" t="s">
        <v>2308</v>
      </c>
      <c r="L672" s="22" t="s">
        <v>2308</v>
      </c>
      <c r="M672" s="22" t="s">
        <v>2308</v>
      </c>
      <c r="N672" s="22" t="s">
        <v>2308</v>
      </c>
      <c r="O672" s="22" t="s">
        <v>2308</v>
      </c>
      <c r="P672" s="22" t="s">
        <v>2308</v>
      </c>
      <c r="Q672" s="22" t="s">
        <v>2308</v>
      </c>
      <c r="R672" s="22" t="s">
        <v>2308</v>
      </c>
      <c r="S672" s="22" t="s">
        <v>2308</v>
      </c>
      <c r="T672" s="22" t="s">
        <v>2308</v>
      </c>
      <c r="U672" s="22" t="s">
        <v>2308</v>
      </c>
      <c r="V672" s="22" t="s">
        <v>2308</v>
      </c>
      <c r="W672" s="22" t="s">
        <v>2308</v>
      </c>
      <c r="X672" s="22" t="s">
        <v>2308</v>
      </c>
      <c r="Y672" s="22" t="s">
        <v>2308</v>
      </c>
      <c r="Z672" s="22" t="s">
        <v>2308</v>
      </c>
      <c r="AA672" s="22" t="s">
        <v>2308</v>
      </c>
      <c r="AB672" s="4" t="s">
        <v>2308</v>
      </c>
      <c r="AC672" s="5" t="s">
        <v>2379</v>
      </c>
      <c r="AD672" s="4"/>
    </row>
    <row r="673" spans="1:30" ht="52" customHeight="1">
      <c r="A673" s="12" t="s">
        <v>1145</v>
      </c>
      <c r="B673" s="12" t="s">
        <v>1147</v>
      </c>
      <c r="C673" s="24" t="s">
        <v>24</v>
      </c>
      <c r="D673" s="4" t="s">
        <v>27</v>
      </c>
      <c r="E673" s="4" t="s">
        <v>136</v>
      </c>
      <c r="F673" s="5" t="s">
        <v>167</v>
      </c>
      <c r="G673" s="4"/>
      <c r="H673" s="4" t="s">
        <v>531</v>
      </c>
      <c r="I673" s="4"/>
      <c r="J673" s="22" t="s">
        <v>2308</v>
      </c>
      <c r="K673" s="22" t="s">
        <v>2308</v>
      </c>
      <c r="L673" s="22" t="s">
        <v>2308</v>
      </c>
      <c r="M673" s="22" t="s">
        <v>2308</v>
      </c>
      <c r="N673" s="22" t="s">
        <v>2308</v>
      </c>
      <c r="O673" s="22" t="s">
        <v>2308</v>
      </c>
      <c r="P673" s="22" t="s">
        <v>2308</v>
      </c>
      <c r="Q673" s="22" t="s">
        <v>2308</v>
      </c>
      <c r="R673" s="22" t="s">
        <v>2308</v>
      </c>
      <c r="S673" s="22" t="s">
        <v>2308</v>
      </c>
      <c r="T673" s="22" t="s">
        <v>2308</v>
      </c>
      <c r="U673" s="22" t="s">
        <v>2308</v>
      </c>
      <c r="V673" s="22" t="s">
        <v>2308</v>
      </c>
      <c r="W673" s="22" t="s">
        <v>2308</v>
      </c>
      <c r="X673" s="22" t="s">
        <v>2308</v>
      </c>
      <c r="Y673" s="22" t="s">
        <v>2308</v>
      </c>
      <c r="Z673" s="4" t="s">
        <v>2308</v>
      </c>
      <c r="AA673" s="4" t="s">
        <v>2308</v>
      </c>
      <c r="AB673" s="4" t="s">
        <v>2308</v>
      </c>
      <c r="AC673" s="4"/>
      <c r="AD673" s="4"/>
    </row>
    <row r="674" spans="1:30" ht="80" customHeight="1">
      <c r="A674" s="12" t="s">
        <v>1145</v>
      </c>
      <c r="B674" s="12" t="s">
        <v>1149</v>
      </c>
      <c r="C674" s="24" t="s">
        <v>24</v>
      </c>
      <c r="D674" s="4" t="s">
        <v>2692</v>
      </c>
      <c r="E674" s="4" t="s">
        <v>136</v>
      </c>
      <c r="F674" s="5" t="s">
        <v>28</v>
      </c>
      <c r="G674" s="4"/>
      <c r="H674" s="4" t="s">
        <v>531</v>
      </c>
      <c r="I674" s="4"/>
      <c r="J674" s="22" t="s">
        <v>2308</v>
      </c>
      <c r="K674" s="22" t="s">
        <v>2308</v>
      </c>
      <c r="L674" s="22" t="s">
        <v>2308</v>
      </c>
      <c r="M674" s="22" t="s">
        <v>2308</v>
      </c>
      <c r="N674" s="22" t="s">
        <v>2308</v>
      </c>
      <c r="O674" s="22" t="s">
        <v>2308</v>
      </c>
      <c r="P674" s="22" t="s">
        <v>2308</v>
      </c>
      <c r="Q674" s="22" t="s">
        <v>2308</v>
      </c>
      <c r="R674" s="22" t="s">
        <v>2308</v>
      </c>
      <c r="S674" s="22" t="s">
        <v>2308</v>
      </c>
      <c r="T674" s="22" t="s">
        <v>2308</v>
      </c>
      <c r="U674" s="22" t="s">
        <v>2308</v>
      </c>
      <c r="V674" s="22" t="s">
        <v>2308</v>
      </c>
      <c r="W674" s="22" t="s">
        <v>2308</v>
      </c>
      <c r="X674" s="22" t="s">
        <v>2308</v>
      </c>
      <c r="Y674" s="22">
        <v>1</v>
      </c>
      <c r="Z674" s="4" t="s">
        <v>2308</v>
      </c>
      <c r="AA674" s="4" t="s">
        <v>2308</v>
      </c>
      <c r="AB674" s="4" t="s">
        <v>2308</v>
      </c>
      <c r="AC674" s="5" t="s">
        <v>1148</v>
      </c>
      <c r="AD674" s="4"/>
    </row>
    <row r="675" spans="1:30" ht="70.5" customHeight="1">
      <c r="A675" s="12" t="s">
        <v>1145</v>
      </c>
      <c r="B675" s="12" t="s">
        <v>1150</v>
      </c>
      <c r="C675" s="24" t="s">
        <v>24</v>
      </c>
      <c r="D675" s="24" t="s">
        <v>1151</v>
      </c>
      <c r="E675" s="4" t="s">
        <v>136</v>
      </c>
      <c r="F675" s="20" t="s">
        <v>74</v>
      </c>
      <c r="G675" s="20"/>
      <c r="H675" s="12" t="s">
        <v>531</v>
      </c>
      <c r="I675" s="4"/>
      <c r="J675" s="22" t="s">
        <v>2308</v>
      </c>
      <c r="K675" s="22" t="s">
        <v>2308</v>
      </c>
      <c r="L675" s="22" t="s">
        <v>2308</v>
      </c>
      <c r="M675" s="22" t="s">
        <v>2308</v>
      </c>
      <c r="N675" s="22" t="s">
        <v>2308</v>
      </c>
      <c r="O675" s="22" t="s">
        <v>2308</v>
      </c>
      <c r="P675" s="22" t="s">
        <v>2308</v>
      </c>
      <c r="Q675" s="22" t="s">
        <v>2308</v>
      </c>
      <c r="R675" s="22" t="s">
        <v>2308</v>
      </c>
      <c r="S675" s="22" t="s">
        <v>2308</v>
      </c>
      <c r="T675" s="22" t="s">
        <v>2308</v>
      </c>
      <c r="U675" s="22" t="s">
        <v>2308</v>
      </c>
      <c r="V675" s="22" t="s">
        <v>2308</v>
      </c>
      <c r="W675" s="22" t="s">
        <v>2308</v>
      </c>
      <c r="X675" s="22" t="s">
        <v>2308</v>
      </c>
      <c r="Y675" s="22" t="s">
        <v>2308</v>
      </c>
      <c r="Z675" s="4" t="s">
        <v>2308</v>
      </c>
      <c r="AA675" s="4" t="s">
        <v>2308</v>
      </c>
      <c r="AB675" s="4" t="s">
        <v>2308</v>
      </c>
      <c r="AC675" s="4"/>
      <c r="AD675" s="4"/>
    </row>
    <row r="676" spans="1:30" ht="49.5" customHeight="1">
      <c r="A676" s="12" t="s">
        <v>1145</v>
      </c>
      <c r="B676" s="12" t="s">
        <v>1152</v>
      </c>
      <c r="C676" s="24" t="s">
        <v>24</v>
      </c>
      <c r="D676" s="24" t="s">
        <v>1151</v>
      </c>
      <c r="E676" s="4" t="s">
        <v>136</v>
      </c>
      <c r="F676" s="20" t="s">
        <v>167</v>
      </c>
      <c r="G676" s="20"/>
      <c r="H676" s="12" t="s">
        <v>531</v>
      </c>
      <c r="I676" s="4"/>
      <c r="J676" s="22" t="s">
        <v>2308</v>
      </c>
      <c r="K676" s="22" t="s">
        <v>2308</v>
      </c>
      <c r="L676" s="22" t="s">
        <v>2308</v>
      </c>
      <c r="M676" s="22" t="s">
        <v>2308</v>
      </c>
      <c r="N676" s="22" t="s">
        <v>2308</v>
      </c>
      <c r="O676" s="22" t="s">
        <v>2308</v>
      </c>
      <c r="P676" s="22" t="s">
        <v>2308</v>
      </c>
      <c r="Q676" s="22" t="s">
        <v>2308</v>
      </c>
      <c r="R676" s="22" t="s">
        <v>2308</v>
      </c>
      <c r="S676" s="22" t="s">
        <v>2308</v>
      </c>
      <c r="T676" s="22" t="s">
        <v>2308</v>
      </c>
      <c r="U676" s="22" t="s">
        <v>2308</v>
      </c>
      <c r="V676" s="22" t="s">
        <v>2308</v>
      </c>
      <c r="W676" s="22" t="s">
        <v>2308</v>
      </c>
      <c r="X676" s="22" t="s">
        <v>2308</v>
      </c>
      <c r="Y676" s="22" t="s">
        <v>2308</v>
      </c>
      <c r="Z676" s="4" t="s">
        <v>2308</v>
      </c>
      <c r="AA676" s="4" t="s">
        <v>2308</v>
      </c>
      <c r="AB676" s="4" t="s">
        <v>2308</v>
      </c>
      <c r="AC676" s="4"/>
      <c r="AD676" s="4"/>
    </row>
    <row r="677" spans="1:30" ht="49.5" customHeight="1">
      <c r="A677" s="24" t="s">
        <v>1166</v>
      </c>
      <c r="B677" s="4" t="s">
        <v>1674</v>
      </c>
      <c r="C677" s="24" t="s">
        <v>24</v>
      </c>
      <c r="D677" s="24" t="s">
        <v>149</v>
      </c>
      <c r="E677" s="4" t="s">
        <v>877</v>
      </c>
      <c r="F677" s="20" t="s">
        <v>74</v>
      </c>
      <c r="G677" s="20"/>
      <c r="H677" s="12" t="s">
        <v>532</v>
      </c>
      <c r="I677" s="4"/>
      <c r="J677" s="22">
        <v>0</v>
      </c>
      <c r="K677" s="22">
        <v>0</v>
      </c>
      <c r="L677" s="22">
        <v>0</v>
      </c>
      <c r="M677" s="22">
        <v>0</v>
      </c>
      <c r="N677" s="22">
        <v>0</v>
      </c>
      <c r="O677" s="22">
        <v>0</v>
      </c>
      <c r="P677" s="22">
        <v>0</v>
      </c>
      <c r="Q677" s="22" t="s">
        <v>2308</v>
      </c>
      <c r="R677" s="22" t="s">
        <v>2308</v>
      </c>
      <c r="S677" s="22">
        <v>0</v>
      </c>
      <c r="T677" s="22">
        <v>0</v>
      </c>
      <c r="U677" s="22">
        <v>0</v>
      </c>
      <c r="V677" s="22">
        <v>0</v>
      </c>
      <c r="W677" s="22">
        <v>0</v>
      </c>
      <c r="X677" s="22">
        <v>0</v>
      </c>
      <c r="Y677" s="22" t="s">
        <v>2308</v>
      </c>
      <c r="Z677" s="4" t="s">
        <v>2308</v>
      </c>
      <c r="AA677" s="4" t="s">
        <v>2308</v>
      </c>
      <c r="AB677" s="4" t="s">
        <v>2308</v>
      </c>
      <c r="AC677" s="5" t="s">
        <v>1749</v>
      </c>
      <c r="AD677" s="4"/>
    </row>
    <row r="678" spans="1:30" ht="49.5" customHeight="1">
      <c r="A678" s="24" t="s">
        <v>1526</v>
      </c>
      <c r="B678" s="4" t="s">
        <v>1676</v>
      </c>
      <c r="C678" s="24" t="s">
        <v>24</v>
      </c>
      <c r="D678" s="24" t="s">
        <v>149</v>
      </c>
      <c r="E678" s="4" t="s">
        <v>877</v>
      </c>
      <c r="F678" s="20" t="s">
        <v>74</v>
      </c>
      <c r="G678" s="20"/>
      <c r="H678" s="12" t="s">
        <v>532</v>
      </c>
      <c r="I678" s="4"/>
      <c r="J678" s="22">
        <v>0</v>
      </c>
      <c r="K678" s="22">
        <v>0</v>
      </c>
      <c r="L678" s="22">
        <v>0</v>
      </c>
      <c r="M678" s="22">
        <v>0</v>
      </c>
      <c r="N678" s="22">
        <v>0</v>
      </c>
      <c r="O678" s="22">
        <v>0</v>
      </c>
      <c r="P678" s="22">
        <v>0</v>
      </c>
      <c r="Q678" s="22" t="s">
        <v>2308</v>
      </c>
      <c r="R678" s="22" t="s">
        <v>2308</v>
      </c>
      <c r="S678" s="22">
        <v>0</v>
      </c>
      <c r="T678" s="22">
        <v>0</v>
      </c>
      <c r="U678" s="22">
        <v>0</v>
      </c>
      <c r="V678" s="22">
        <v>0</v>
      </c>
      <c r="W678" s="22">
        <v>0</v>
      </c>
      <c r="X678" s="22">
        <v>0</v>
      </c>
      <c r="Y678" s="22" t="s">
        <v>2308</v>
      </c>
      <c r="Z678" s="4" t="s">
        <v>2308</v>
      </c>
      <c r="AA678" s="4" t="s">
        <v>2308</v>
      </c>
      <c r="AB678" s="4" t="s">
        <v>2308</v>
      </c>
      <c r="AC678" s="5" t="s">
        <v>1749</v>
      </c>
      <c r="AD678" s="4"/>
    </row>
    <row r="679" spans="1:30" ht="49.5" customHeight="1">
      <c r="A679" s="24" t="s">
        <v>1527</v>
      </c>
      <c r="B679" s="4" t="s">
        <v>1677</v>
      </c>
      <c r="C679" s="24" t="s">
        <v>24</v>
      </c>
      <c r="D679" s="24" t="s">
        <v>149</v>
      </c>
      <c r="E679" s="4" t="s">
        <v>877</v>
      </c>
      <c r="F679" s="20" t="s">
        <v>74</v>
      </c>
      <c r="G679" s="20"/>
      <c r="H679" s="12" t="s">
        <v>532</v>
      </c>
      <c r="I679" s="4"/>
      <c r="J679" s="22">
        <v>0</v>
      </c>
      <c r="K679" s="22">
        <v>0</v>
      </c>
      <c r="L679" s="22">
        <v>0</v>
      </c>
      <c r="M679" s="22">
        <v>0</v>
      </c>
      <c r="N679" s="22">
        <v>0</v>
      </c>
      <c r="O679" s="22">
        <v>0</v>
      </c>
      <c r="P679" s="22">
        <v>0</v>
      </c>
      <c r="Q679" s="22" t="s">
        <v>2308</v>
      </c>
      <c r="R679" s="22" t="s">
        <v>2308</v>
      </c>
      <c r="S679" s="22">
        <v>0</v>
      </c>
      <c r="T679" s="22">
        <v>0</v>
      </c>
      <c r="U679" s="22">
        <v>0</v>
      </c>
      <c r="V679" s="22">
        <v>0</v>
      </c>
      <c r="W679" s="22">
        <v>0</v>
      </c>
      <c r="X679" s="22">
        <v>0</v>
      </c>
      <c r="Y679" s="22" t="s">
        <v>2308</v>
      </c>
      <c r="Z679" s="4" t="s">
        <v>2308</v>
      </c>
      <c r="AA679" s="4" t="s">
        <v>2308</v>
      </c>
      <c r="AB679" s="4" t="s">
        <v>2308</v>
      </c>
      <c r="AC679" s="5" t="s">
        <v>1749</v>
      </c>
      <c r="AD679" s="4"/>
    </row>
    <row r="680" spans="1:30" ht="49.5" customHeight="1">
      <c r="A680" s="24" t="s">
        <v>1528</v>
      </c>
      <c r="B680" s="4" t="s">
        <v>1678</v>
      </c>
      <c r="C680" s="24" t="s">
        <v>24</v>
      </c>
      <c r="D680" s="24" t="s">
        <v>149</v>
      </c>
      <c r="E680" s="4" t="s">
        <v>877</v>
      </c>
      <c r="F680" s="20" t="s">
        <v>74</v>
      </c>
      <c r="G680" s="20"/>
      <c r="H680" s="12" t="s">
        <v>532</v>
      </c>
      <c r="I680" s="4"/>
      <c r="J680" s="22">
        <v>0</v>
      </c>
      <c r="K680" s="22">
        <v>0</v>
      </c>
      <c r="L680" s="22">
        <v>0</v>
      </c>
      <c r="M680" s="22">
        <v>0</v>
      </c>
      <c r="N680" s="22">
        <v>0</v>
      </c>
      <c r="O680" s="22">
        <v>0</v>
      </c>
      <c r="P680" s="22">
        <v>0</v>
      </c>
      <c r="Q680" s="22" t="s">
        <v>2308</v>
      </c>
      <c r="R680" s="22" t="s">
        <v>2308</v>
      </c>
      <c r="S680" s="22">
        <v>0</v>
      </c>
      <c r="T680" s="22">
        <v>0</v>
      </c>
      <c r="U680" s="22">
        <v>0</v>
      </c>
      <c r="V680" s="22">
        <v>0</v>
      </c>
      <c r="W680" s="22">
        <v>0</v>
      </c>
      <c r="X680" s="22">
        <v>0</v>
      </c>
      <c r="Y680" s="22" t="s">
        <v>2308</v>
      </c>
      <c r="Z680" s="4" t="s">
        <v>2308</v>
      </c>
      <c r="AA680" s="4" t="s">
        <v>2308</v>
      </c>
      <c r="AB680" s="4" t="s">
        <v>2308</v>
      </c>
      <c r="AC680" s="5" t="s">
        <v>1749</v>
      </c>
      <c r="AD680" s="4"/>
    </row>
    <row r="681" spans="1:30" ht="49.5" customHeight="1">
      <c r="A681" s="24" t="s">
        <v>1529</v>
      </c>
      <c r="B681" s="4" t="s">
        <v>1679</v>
      </c>
      <c r="C681" s="24" t="s">
        <v>24</v>
      </c>
      <c r="D681" s="24" t="s">
        <v>149</v>
      </c>
      <c r="E681" s="4" t="s">
        <v>877</v>
      </c>
      <c r="F681" s="20" t="s">
        <v>74</v>
      </c>
      <c r="G681" s="20"/>
      <c r="H681" s="12" t="s">
        <v>532</v>
      </c>
      <c r="I681" s="4"/>
      <c r="J681" s="22">
        <v>0</v>
      </c>
      <c r="K681" s="22">
        <v>0</v>
      </c>
      <c r="L681" s="22">
        <v>0</v>
      </c>
      <c r="M681" s="22">
        <v>0</v>
      </c>
      <c r="N681" s="22">
        <v>0</v>
      </c>
      <c r="O681" s="22">
        <v>0</v>
      </c>
      <c r="P681" s="22">
        <v>0</v>
      </c>
      <c r="Q681" s="22" t="s">
        <v>2308</v>
      </c>
      <c r="R681" s="22" t="s">
        <v>2308</v>
      </c>
      <c r="S681" s="22">
        <v>0</v>
      </c>
      <c r="T681" s="22">
        <v>0</v>
      </c>
      <c r="U681" s="22">
        <v>0</v>
      </c>
      <c r="V681" s="22">
        <v>0</v>
      </c>
      <c r="W681" s="22">
        <v>0</v>
      </c>
      <c r="X681" s="22">
        <v>0</v>
      </c>
      <c r="Y681" s="22" t="s">
        <v>2308</v>
      </c>
      <c r="Z681" s="4" t="s">
        <v>2308</v>
      </c>
      <c r="AA681" s="4" t="s">
        <v>2308</v>
      </c>
      <c r="AB681" s="4" t="s">
        <v>2308</v>
      </c>
      <c r="AC681" s="5" t="s">
        <v>1749</v>
      </c>
      <c r="AD681" s="4"/>
    </row>
    <row r="682" spans="1:30" ht="49.5" customHeight="1">
      <c r="A682" s="24" t="s">
        <v>1530</v>
      </c>
      <c r="B682" s="4" t="s">
        <v>1680</v>
      </c>
      <c r="C682" s="24" t="s">
        <v>24</v>
      </c>
      <c r="D682" s="24" t="s">
        <v>149</v>
      </c>
      <c r="E682" s="4" t="s">
        <v>877</v>
      </c>
      <c r="F682" s="20" t="s">
        <v>74</v>
      </c>
      <c r="G682" s="20"/>
      <c r="H682" s="12" t="s">
        <v>532</v>
      </c>
      <c r="I682" s="4"/>
      <c r="J682" s="22">
        <v>0</v>
      </c>
      <c r="K682" s="22">
        <v>0</v>
      </c>
      <c r="L682" s="22">
        <v>0</v>
      </c>
      <c r="M682" s="22">
        <v>0</v>
      </c>
      <c r="N682" s="22">
        <v>0</v>
      </c>
      <c r="O682" s="22">
        <v>0</v>
      </c>
      <c r="P682" s="22">
        <v>0</v>
      </c>
      <c r="Q682" s="22" t="s">
        <v>2308</v>
      </c>
      <c r="R682" s="22" t="s">
        <v>2308</v>
      </c>
      <c r="S682" s="22">
        <v>0</v>
      </c>
      <c r="T682" s="22">
        <v>0</v>
      </c>
      <c r="U682" s="22">
        <v>0</v>
      </c>
      <c r="V682" s="22">
        <v>0</v>
      </c>
      <c r="W682" s="22">
        <v>0</v>
      </c>
      <c r="X682" s="22">
        <v>0</v>
      </c>
      <c r="Y682" s="22" t="s">
        <v>2308</v>
      </c>
      <c r="Z682" s="4" t="s">
        <v>2308</v>
      </c>
      <c r="AA682" s="4" t="s">
        <v>2308</v>
      </c>
      <c r="AB682" s="4" t="s">
        <v>2308</v>
      </c>
      <c r="AC682" s="5" t="s">
        <v>1749</v>
      </c>
      <c r="AD682" s="4"/>
    </row>
    <row r="683" spans="1:30" ht="49.5" customHeight="1">
      <c r="A683" s="24" t="s">
        <v>1531</v>
      </c>
      <c r="B683" s="4" t="s">
        <v>1681</v>
      </c>
      <c r="C683" s="24" t="s">
        <v>24</v>
      </c>
      <c r="D683" s="24" t="s">
        <v>149</v>
      </c>
      <c r="E683" s="4" t="s">
        <v>877</v>
      </c>
      <c r="F683" s="20" t="s">
        <v>74</v>
      </c>
      <c r="G683" s="20"/>
      <c r="H683" s="12" t="s">
        <v>532</v>
      </c>
      <c r="I683" s="4"/>
      <c r="J683" s="22">
        <v>0</v>
      </c>
      <c r="K683" s="22">
        <v>0</v>
      </c>
      <c r="L683" s="22">
        <v>0</v>
      </c>
      <c r="M683" s="22">
        <v>0</v>
      </c>
      <c r="N683" s="22">
        <v>0</v>
      </c>
      <c r="O683" s="22">
        <v>0</v>
      </c>
      <c r="P683" s="22">
        <v>0</v>
      </c>
      <c r="Q683" s="22" t="s">
        <v>2308</v>
      </c>
      <c r="R683" s="22" t="s">
        <v>2308</v>
      </c>
      <c r="S683" s="22">
        <v>0</v>
      </c>
      <c r="T683" s="22">
        <v>0</v>
      </c>
      <c r="U683" s="22">
        <v>0</v>
      </c>
      <c r="V683" s="22">
        <v>0</v>
      </c>
      <c r="W683" s="22">
        <v>0</v>
      </c>
      <c r="X683" s="22">
        <v>0</v>
      </c>
      <c r="Y683" s="22" t="s">
        <v>2308</v>
      </c>
      <c r="Z683" s="4" t="s">
        <v>2308</v>
      </c>
      <c r="AA683" s="4" t="s">
        <v>2308</v>
      </c>
      <c r="AB683" s="4" t="s">
        <v>2308</v>
      </c>
      <c r="AC683" s="5" t="s">
        <v>1749</v>
      </c>
      <c r="AD683" s="4"/>
    </row>
    <row r="684" spans="1:30" ht="49.5" customHeight="1">
      <c r="A684" s="24" t="s">
        <v>1532</v>
      </c>
      <c r="B684" s="4" t="s">
        <v>1682</v>
      </c>
      <c r="C684" s="24" t="s">
        <v>24</v>
      </c>
      <c r="D684" s="24" t="s">
        <v>149</v>
      </c>
      <c r="E684" s="4" t="s">
        <v>877</v>
      </c>
      <c r="F684" s="20" t="s">
        <v>74</v>
      </c>
      <c r="G684" s="20"/>
      <c r="H684" s="12" t="s">
        <v>532</v>
      </c>
      <c r="I684" s="4"/>
      <c r="J684" s="22">
        <v>0</v>
      </c>
      <c r="K684" s="22">
        <v>0</v>
      </c>
      <c r="L684" s="22">
        <v>0</v>
      </c>
      <c r="M684" s="22">
        <v>0</v>
      </c>
      <c r="N684" s="22">
        <v>0</v>
      </c>
      <c r="O684" s="22">
        <v>0</v>
      </c>
      <c r="P684" s="22">
        <v>0</v>
      </c>
      <c r="Q684" s="22" t="s">
        <v>2308</v>
      </c>
      <c r="R684" s="22" t="s">
        <v>2308</v>
      </c>
      <c r="S684" s="22">
        <v>0</v>
      </c>
      <c r="T684" s="22">
        <v>0</v>
      </c>
      <c r="U684" s="22">
        <v>0</v>
      </c>
      <c r="V684" s="22">
        <v>0</v>
      </c>
      <c r="W684" s="22">
        <v>0</v>
      </c>
      <c r="X684" s="22">
        <v>0</v>
      </c>
      <c r="Y684" s="22" t="s">
        <v>2308</v>
      </c>
      <c r="Z684" s="4" t="s">
        <v>2308</v>
      </c>
      <c r="AA684" s="4" t="s">
        <v>2308</v>
      </c>
      <c r="AB684" s="4" t="s">
        <v>2308</v>
      </c>
      <c r="AC684" s="5" t="s">
        <v>1749</v>
      </c>
      <c r="AD684" s="4"/>
    </row>
    <row r="685" spans="1:30" ht="49.5" customHeight="1">
      <c r="A685" s="24" t="s">
        <v>1533</v>
      </c>
      <c r="B685" s="4" t="s">
        <v>1683</v>
      </c>
      <c r="C685" s="24" t="s">
        <v>24</v>
      </c>
      <c r="D685" s="24" t="s">
        <v>149</v>
      </c>
      <c r="E685" s="4" t="s">
        <v>877</v>
      </c>
      <c r="F685" s="20" t="s">
        <v>74</v>
      </c>
      <c r="G685" s="20"/>
      <c r="H685" s="12" t="s">
        <v>532</v>
      </c>
      <c r="I685" s="4"/>
      <c r="J685" s="22">
        <v>0</v>
      </c>
      <c r="K685" s="22">
        <v>0</v>
      </c>
      <c r="L685" s="22">
        <v>0</v>
      </c>
      <c r="M685" s="22">
        <v>0</v>
      </c>
      <c r="N685" s="22">
        <v>0</v>
      </c>
      <c r="O685" s="22">
        <v>0</v>
      </c>
      <c r="P685" s="22">
        <v>0</v>
      </c>
      <c r="Q685" s="22" t="s">
        <v>2308</v>
      </c>
      <c r="R685" s="22" t="s">
        <v>2308</v>
      </c>
      <c r="S685" s="22">
        <v>0</v>
      </c>
      <c r="T685" s="22">
        <v>0</v>
      </c>
      <c r="U685" s="22">
        <v>0</v>
      </c>
      <c r="V685" s="22">
        <v>0</v>
      </c>
      <c r="W685" s="22">
        <v>0</v>
      </c>
      <c r="X685" s="22">
        <v>0</v>
      </c>
      <c r="Y685" s="22" t="s">
        <v>2308</v>
      </c>
      <c r="Z685" s="4" t="s">
        <v>2308</v>
      </c>
      <c r="AA685" s="4" t="s">
        <v>2308</v>
      </c>
      <c r="AB685" s="4" t="s">
        <v>2308</v>
      </c>
      <c r="AC685" s="5" t="s">
        <v>1749</v>
      </c>
      <c r="AD685" s="4"/>
    </row>
    <row r="686" spans="1:30" ht="49.5" customHeight="1">
      <c r="A686" s="24" t="s">
        <v>1534</v>
      </c>
      <c r="B686" s="4" t="s">
        <v>1684</v>
      </c>
      <c r="C686" s="24" t="s">
        <v>24</v>
      </c>
      <c r="D686" s="24" t="s">
        <v>149</v>
      </c>
      <c r="E686" s="4" t="s">
        <v>877</v>
      </c>
      <c r="F686" s="20" t="s">
        <v>74</v>
      </c>
      <c r="G686" s="20"/>
      <c r="H686" s="12" t="s">
        <v>532</v>
      </c>
      <c r="I686" s="4"/>
      <c r="J686" s="22">
        <v>0</v>
      </c>
      <c r="K686" s="22">
        <v>0</v>
      </c>
      <c r="L686" s="22">
        <v>0</v>
      </c>
      <c r="M686" s="22">
        <v>0</v>
      </c>
      <c r="N686" s="22">
        <v>0</v>
      </c>
      <c r="O686" s="22">
        <v>0</v>
      </c>
      <c r="P686" s="22">
        <v>0</v>
      </c>
      <c r="Q686" s="22" t="s">
        <v>2308</v>
      </c>
      <c r="R686" s="22" t="s">
        <v>2308</v>
      </c>
      <c r="S686" s="22">
        <v>0</v>
      </c>
      <c r="T686" s="22">
        <v>0</v>
      </c>
      <c r="U686" s="22">
        <v>0</v>
      </c>
      <c r="V686" s="22">
        <v>0</v>
      </c>
      <c r="W686" s="22">
        <v>0</v>
      </c>
      <c r="X686" s="22">
        <v>0</v>
      </c>
      <c r="Y686" s="22" t="s">
        <v>2308</v>
      </c>
      <c r="Z686" s="4" t="s">
        <v>2308</v>
      </c>
      <c r="AA686" s="4" t="s">
        <v>2308</v>
      </c>
      <c r="AB686" s="4" t="s">
        <v>2308</v>
      </c>
      <c r="AC686" s="5" t="s">
        <v>1749</v>
      </c>
      <c r="AD686" s="4"/>
    </row>
    <row r="687" spans="1:30" ht="49.5" customHeight="1">
      <c r="A687" s="24" t="s">
        <v>1535</v>
      </c>
      <c r="B687" s="4" t="s">
        <v>1685</v>
      </c>
      <c r="C687" s="24" t="s">
        <v>24</v>
      </c>
      <c r="D687" s="24" t="s">
        <v>149</v>
      </c>
      <c r="E687" s="4" t="s">
        <v>877</v>
      </c>
      <c r="F687" s="20" t="s">
        <v>74</v>
      </c>
      <c r="G687" s="20"/>
      <c r="H687" s="12" t="s">
        <v>532</v>
      </c>
      <c r="I687" s="4"/>
      <c r="J687" s="22">
        <v>0</v>
      </c>
      <c r="K687" s="22">
        <v>0</v>
      </c>
      <c r="L687" s="22">
        <v>0</v>
      </c>
      <c r="M687" s="22">
        <v>0</v>
      </c>
      <c r="N687" s="22">
        <v>0</v>
      </c>
      <c r="O687" s="22">
        <v>0</v>
      </c>
      <c r="P687" s="22">
        <v>0</v>
      </c>
      <c r="Q687" s="22" t="s">
        <v>2308</v>
      </c>
      <c r="R687" s="22" t="s">
        <v>2308</v>
      </c>
      <c r="S687" s="22">
        <v>0</v>
      </c>
      <c r="T687" s="22">
        <v>0</v>
      </c>
      <c r="U687" s="22">
        <v>0</v>
      </c>
      <c r="V687" s="22">
        <v>0</v>
      </c>
      <c r="W687" s="22">
        <v>0</v>
      </c>
      <c r="X687" s="22">
        <v>0</v>
      </c>
      <c r="Y687" s="22" t="s">
        <v>2308</v>
      </c>
      <c r="Z687" s="4" t="s">
        <v>2308</v>
      </c>
      <c r="AA687" s="4" t="s">
        <v>2308</v>
      </c>
      <c r="AB687" s="4" t="s">
        <v>2308</v>
      </c>
      <c r="AC687" s="5" t="s">
        <v>1749</v>
      </c>
      <c r="AD687" s="4"/>
    </row>
    <row r="688" spans="1:30" ht="49.5" customHeight="1">
      <c r="A688" s="24" t="s">
        <v>1536</v>
      </c>
      <c r="B688" s="4" t="s">
        <v>1686</v>
      </c>
      <c r="C688" s="24" t="s">
        <v>24</v>
      </c>
      <c r="D688" s="24" t="s">
        <v>149</v>
      </c>
      <c r="E688" s="4" t="s">
        <v>877</v>
      </c>
      <c r="F688" s="20" t="s">
        <v>74</v>
      </c>
      <c r="G688" s="20"/>
      <c r="H688" s="12" t="s">
        <v>532</v>
      </c>
      <c r="I688" s="4"/>
      <c r="J688" s="22">
        <v>0</v>
      </c>
      <c r="K688" s="22">
        <v>0</v>
      </c>
      <c r="L688" s="22">
        <v>0</v>
      </c>
      <c r="M688" s="22">
        <v>0</v>
      </c>
      <c r="N688" s="22">
        <v>0</v>
      </c>
      <c r="O688" s="22">
        <v>0</v>
      </c>
      <c r="P688" s="22">
        <v>0</v>
      </c>
      <c r="Q688" s="22" t="s">
        <v>2308</v>
      </c>
      <c r="R688" s="22" t="s">
        <v>2308</v>
      </c>
      <c r="S688" s="22">
        <v>0</v>
      </c>
      <c r="T688" s="22">
        <v>0</v>
      </c>
      <c r="U688" s="22">
        <v>0</v>
      </c>
      <c r="V688" s="22">
        <v>0</v>
      </c>
      <c r="W688" s="22">
        <v>0</v>
      </c>
      <c r="X688" s="22">
        <v>0</v>
      </c>
      <c r="Y688" s="22" t="s">
        <v>2308</v>
      </c>
      <c r="Z688" s="4" t="s">
        <v>2308</v>
      </c>
      <c r="AA688" s="4" t="s">
        <v>2308</v>
      </c>
      <c r="AB688" s="4" t="s">
        <v>2308</v>
      </c>
      <c r="AC688" s="5" t="s">
        <v>1749</v>
      </c>
      <c r="AD688" s="4"/>
    </row>
    <row r="689" spans="1:30" ht="49.5" customHeight="1">
      <c r="A689" s="24" t="s">
        <v>1537</v>
      </c>
      <c r="B689" s="4" t="s">
        <v>1687</v>
      </c>
      <c r="C689" s="24" t="s">
        <v>24</v>
      </c>
      <c r="D689" s="24" t="s">
        <v>149</v>
      </c>
      <c r="E689" s="4" t="s">
        <v>877</v>
      </c>
      <c r="F689" s="20" t="s">
        <v>74</v>
      </c>
      <c r="G689" s="20"/>
      <c r="H689" s="12" t="s">
        <v>532</v>
      </c>
      <c r="I689" s="4"/>
      <c r="J689" s="22">
        <v>0</v>
      </c>
      <c r="K689" s="22">
        <v>0</v>
      </c>
      <c r="L689" s="22">
        <v>0</v>
      </c>
      <c r="M689" s="22">
        <v>0</v>
      </c>
      <c r="N689" s="22">
        <v>0</v>
      </c>
      <c r="O689" s="22">
        <v>0</v>
      </c>
      <c r="P689" s="22">
        <v>0</v>
      </c>
      <c r="Q689" s="22" t="s">
        <v>2308</v>
      </c>
      <c r="R689" s="22" t="s">
        <v>2308</v>
      </c>
      <c r="S689" s="22">
        <v>0</v>
      </c>
      <c r="T689" s="22">
        <v>0</v>
      </c>
      <c r="U689" s="22">
        <v>0</v>
      </c>
      <c r="V689" s="22">
        <v>0</v>
      </c>
      <c r="W689" s="22">
        <v>0</v>
      </c>
      <c r="X689" s="22">
        <v>0</v>
      </c>
      <c r="Y689" s="22" t="s">
        <v>2308</v>
      </c>
      <c r="Z689" s="4" t="s">
        <v>2308</v>
      </c>
      <c r="AA689" s="4" t="s">
        <v>2308</v>
      </c>
      <c r="AB689" s="4" t="s">
        <v>2308</v>
      </c>
      <c r="AC689" s="5" t="s">
        <v>1749</v>
      </c>
      <c r="AD689" s="4"/>
    </row>
    <row r="690" spans="1:30" ht="49.5" customHeight="1">
      <c r="A690" s="24" t="s">
        <v>1538</v>
      </c>
      <c r="B690" s="4" t="s">
        <v>1688</v>
      </c>
      <c r="C690" s="24" t="s">
        <v>24</v>
      </c>
      <c r="D690" s="24" t="s">
        <v>149</v>
      </c>
      <c r="E690" s="4" t="s">
        <v>877</v>
      </c>
      <c r="F690" s="20" t="s">
        <v>74</v>
      </c>
      <c r="G690" s="20"/>
      <c r="H690" s="12" t="s">
        <v>532</v>
      </c>
      <c r="I690" s="4"/>
      <c r="J690" s="22">
        <v>0</v>
      </c>
      <c r="K690" s="22">
        <v>0</v>
      </c>
      <c r="L690" s="22">
        <v>0</v>
      </c>
      <c r="M690" s="22">
        <v>0</v>
      </c>
      <c r="N690" s="22">
        <v>0</v>
      </c>
      <c r="O690" s="22">
        <v>0</v>
      </c>
      <c r="P690" s="22">
        <v>0</v>
      </c>
      <c r="Q690" s="22" t="s">
        <v>2308</v>
      </c>
      <c r="R690" s="22" t="s">
        <v>2308</v>
      </c>
      <c r="S690" s="22">
        <v>0</v>
      </c>
      <c r="T690" s="22">
        <v>0</v>
      </c>
      <c r="U690" s="22">
        <v>0</v>
      </c>
      <c r="V690" s="22">
        <v>0</v>
      </c>
      <c r="W690" s="22">
        <v>0</v>
      </c>
      <c r="X690" s="22">
        <v>0</v>
      </c>
      <c r="Y690" s="22" t="s">
        <v>2308</v>
      </c>
      <c r="Z690" s="4" t="s">
        <v>2308</v>
      </c>
      <c r="AA690" s="4" t="s">
        <v>2308</v>
      </c>
      <c r="AB690" s="4" t="s">
        <v>2308</v>
      </c>
      <c r="AC690" s="5" t="s">
        <v>1749</v>
      </c>
      <c r="AD690" s="4"/>
    </row>
    <row r="691" spans="1:30" ht="49.5" customHeight="1">
      <c r="A691" s="24" t="s">
        <v>1539</v>
      </c>
      <c r="B691" s="4" t="s">
        <v>1689</v>
      </c>
      <c r="C691" s="24" t="s">
        <v>24</v>
      </c>
      <c r="D691" s="24" t="s">
        <v>149</v>
      </c>
      <c r="E691" s="4" t="s">
        <v>877</v>
      </c>
      <c r="F691" s="20" t="s">
        <v>74</v>
      </c>
      <c r="G691" s="20"/>
      <c r="H691" s="12" t="s">
        <v>532</v>
      </c>
      <c r="I691" s="4"/>
      <c r="J691" s="22">
        <v>0</v>
      </c>
      <c r="K691" s="22">
        <v>0</v>
      </c>
      <c r="L691" s="22">
        <v>0</v>
      </c>
      <c r="M691" s="22">
        <v>0</v>
      </c>
      <c r="N691" s="22">
        <v>0</v>
      </c>
      <c r="O691" s="22">
        <v>0</v>
      </c>
      <c r="P691" s="22">
        <v>0</v>
      </c>
      <c r="Q691" s="22" t="s">
        <v>2308</v>
      </c>
      <c r="R691" s="22" t="s">
        <v>2308</v>
      </c>
      <c r="S691" s="22">
        <v>0</v>
      </c>
      <c r="T691" s="22">
        <v>0</v>
      </c>
      <c r="U691" s="22">
        <v>0</v>
      </c>
      <c r="V691" s="22">
        <v>0</v>
      </c>
      <c r="W691" s="22">
        <v>0</v>
      </c>
      <c r="X691" s="22">
        <v>0</v>
      </c>
      <c r="Y691" s="22" t="s">
        <v>2308</v>
      </c>
      <c r="Z691" s="4" t="s">
        <v>2308</v>
      </c>
      <c r="AA691" s="4" t="s">
        <v>2308</v>
      </c>
      <c r="AB691" s="4" t="s">
        <v>2308</v>
      </c>
      <c r="AC691" s="5" t="s">
        <v>1749</v>
      </c>
      <c r="AD691" s="4"/>
    </row>
    <row r="692" spans="1:30" ht="49.5" customHeight="1">
      <c r="A692" s="24" t="s">
        <v>1540</v>
      </c>
      <c r="B692" s="4" t="s">
        <v>1690</v>
      </c>
      <c r="C692" s="24" t="s">
        <v>24</v>
      </c>
      <c r="D692" s="24" t="s">
        <v>149</v>
      </c>
      <c r="E692" s="4" t="s">
        <v>877</v>
      </c>
      <c r="F692" s="20" t="s">
        <v>74</v>
      </c>
      <c r="G692" s="20"/>
      <c r="H692" s="12" t="s">
        <v>532</v>
      </c>
      <c r="I692" s="4"/>
      <c r="J692" s="22">
        <v>0</v>
      </c>
      <c r="K692" s="22">
        <v>0</v>
      </c>
      <c r="L692" s="22">
        <v>0</v>
      </c>
      <c r="M692" s="22">
        <v>0</v>
      </c>
      <c r="N692" s="22">
        <v>0</v>
      </c>
      <c r="O692" s="22">
        <v>0</v>
      </c>
      <c r="P692" s="22">
        <v>0</v>
      </c>
      <c r="Q692" s="22" t="s">
        <v>2308</v>
      </c>
      <c r="R692" s="22" t="s">
        <v>2308</v>
      </c>
      <c r="S692" s="22">
        <v>0</v>
      </c>
      <c r="T692" s="22">
        <v>0</v>
      </c>
      <c r="U692" s="22">
        <v>0</v>
      </c>
      <c r="V692" s="22">
        <v>0</v>
      </c>
      <c r="W692" s="22">
        <v>0</v>
      </c>
      <c r="X692" s="22">
        <v>0</v>
      </c>
      <c r="Y692" s="22" t="s">
        <v>2308</v>
      </c>
      <c r="Z692" s="4" t="s">
        <v>2308</v>
      </c>
      <c r="AA692" s="4" t="s">
        <v>2308</v>
      </c>
      <c r="AB692" s="4" t="s">
        <v>2308</v>
      </c>
      <c r="AC692" s="5" t="s">
        <v>1749</v>
      </c>
      <c r="AD692" s="4"/>
    </row>
    <row r="693" spans="1:30" ht="49.5" customHeight="1">
      <c r="A693" s="24" t="s">
        <v>1541</v>
      </c>
      <c r="B693" s="4" t="s">
        <v>1691</v>
      </c>
      <c r="C693" s="24" t="s">
        <v>24</v>
      </c>
      <c r="D693" s="24" t="s">
        <v>149</v>
      </c>
      <c r="E693" s="4" t="s">
        <v>877</v>
      </c>
      <c r="F693" s="20" t="s">
        <v>74</v>
      </c>
      <c r="G693" s="20"/>
      <c r="H693" s="12" t="s">
        <v>532</v>
      </c>
      <c r="I693" s="4"/>
      <c r="J693" s="22">
        <v>0</v>
      </c>
      <c r="K693" s="22">
        <v>0</v>
      </c>
      <c r="L693" s="22">
        <v>0</v>
      </c>
      <c r="M693" s="22">
        <v>0</v>
      </c>
      <c r="N693" s="22">
        <v>0</v>
      </c>
      <c r="O693" s="22">
        <v>0</v>
      </c>
      <c r="P693" s="22">
        <v>0</v>
      </c>
      <c r="Q693" s="22" t="s">
        <v>2308</v>
      </c>
      <c r="R693" s="22" t="s">
        <v>2308</v>
      </c>
      <c r="S693" s="22">
        <v>0</v>
      </c>
      <c r="T693" s="22">
        <v>0</v>
      </c>
      <c r="U693" s="22">
        <v>0</v>
      </c>
      <c r="V693" s="22">
        <v>0</v>
      </c>
      <c r="W693" s="22">
        <v>0</v>
      </c>
      <c r="X693" s="22">
        <v>0</v>
      </c>
      <c r="Y693" s="22" t="s">
        <v>2308</v>
      </c>
      <c r="Z693" s="4" t="s">
        <v>2308</v>
      </c>
      <c r="AA693" s="4" t="s">
        <v>2308</v>
      </c>
      <c r="AB693" s="4" t="s">
        <v>2308</v>
      </c>
      <c r="AC693" s="5" t="s">
        <v>1749</v>
      </c>
      <c r="AD693" s="4"/>
    </row>
    <row r="694" spans="1:30" ht="49.5" customHeight="1">
      <c r="A694" s="24" t="s">
        <v>1542</v>
      </c>
      <c r="B694" s="4" t="s">
        <v>1692</v>
      </c>
      <c r="C694" s="24" t="s">
        <v>24</v>
      </c>
      <c r="D694" s="24" t="s">
        <v>149</v>
      </c>
      <c r="E694" s="4" t="s">
        <v>877</v>
      </c>
      <c r="F694" s="20" t="s">
        <v>74</v>
      </c>
      <c r="G694" s="20"/>
      <c r="H694" s="12" t="s">
        <v>532</v>
      </c>
      <c r="I694" s="4"/>
      <c r="J694" s="22">
        <v>0</v>
      </c>
      <c r="K694" s="22">
        <v>0</v>
      </c>
      <c r="L694" s="22">
        <v>0</v>
      </c>
      <c r="M694" s="22">
        <v>0</v>
      </c>
      <c r="N694" s="22">
        <v>0</v>
      </c>
      <c r="O694" s="22">
        <v>0</v>
      </c>
      <c r="P694" s="22">
        <v>0</v>
      </c>
      <c r="Q694" s="22" t="s">
        <v>2308</v>
      </c>
      <c r="R694" s="22" t="s">
        <v>2308</v>
      </c>
      <c r="S694" s="22">
        <v>0</v>
      </c>
      <c r="T694" s="22">
        <v>0</v>
      </c>
      <c r="U694" s="22">
        <v>0</v>
      </c>
      <c r="V694" s="22">
        <v>0</v>
      </c>
      <c r="W694" s="22">
        <v>0</v>
      </c>
      <c r="X694" s="22">
        <v>0</v>
      </c>
      <c r="Y694" s="22" t="s">
        <v>2308</v>
      </c>
      <c r="Z694" s="4" t="s">
        <v>2308</v>
      </c>
      <c r="AA694" s="4" t="s">
        <v>2308</v>
      </c>
      <c r="AB694" s="4" t="s">
        <v>2308</v>
      </c>
      <c r="AC694" s="5" t="s">
        <v>1749</v>
      </c>
      <c r="AD694" s="4"/>
    </row>
    <row r="695" spans="1:30" ht="49.5" customHeight="1">
      <c r="A695" s="24" t="s">
        <v>1543</v>
      </c>
      <c r="B695" s="4" t="s">
        <v>1693</v>
      </c>
      <c r="C695" s="24" t="s">
        <v>24</v>
      </c>
      <c r="D695" s="24" t="s">
        <v>149</v>
      </c>
      <c r="E695" s="4" t="s">
        <v>877</v>
      </c>
      <c r="F695" s="20" t="s">
        <v>74</v>
      </c>
      <c r="G695" s="20"/>
      <c r="H695" s="12" t="s">
        <v>532</v>
      </c>
      <c r="I695" s="4"/>
      <c r="J695" s="22">
        <v>0</v>
      </c>
      <c r="K695" s="22">
        <v>0</v>
      </c>
      <c r="L695" s="22">
        <v>0</v>
      </c>
      <c r="M695" s="22">
        <v>0</v>
      </c>
      <c r="N695" s="22">
        <v>0</v>
      </c>
      <c r="O695" s="22">
        <v>0</v>
      </c>
      <c r="P695" s="22">
        <v>0</v>
      </c>
      <c r="Q695" s="22" t="s">
        <v>2308</v>
      </c>
      <c r="R695" s="22" t="s">
        <v>2308</v>
      </c>
      <c r="S695" s="22">
        <v>0</v>
      </c>
      <c r="T695" s="22">
        <v>0</v>
      </c>
      <c r="U695" s="22">
        <v>0</v>
      </c>
      <c r="V695" s="22">
        <v>0</v>
      </c>
      <c r="W695" s="22">
        <v>0</v>
      </c>
      <c r="X695" s="22">
        <v>0</v>
      </c>
      <c r="Y695" s="22" t="s">
        <v>2308</v>
      </c>
      <c r="Z695" s="4" t="s">
        <v>2308</v>
      </c>
      <c r="AA695" s="4" t="s">
        <v>2308</v>
      </c>
      <c r="AB695" s="4" t="s">
        <v>2308</v>
      </c>
      <c r="AC695" s="5" t="s">
        <v>1749</v>
      </c>
      <c r="AD695" s="4"/>
    </row>
    <row r="696" spans="1:30" ht="49.5" customHeight="1">
      <c r="A696" s="24" t="s">
        <v>1544</v>
      </c>
      <c r="B696" s="4" t="s">
        <v>1694</v>
      </c>
      <c r="C696" s="24" t="s">
        <v>24</v>
      </c>
      <c r="D696" s="24" t="s">
        <v>149</v>
      </c>
      <c r="E696" s="4" t="s">
        <v>877</v>
      </c>
      <c r="F696" s="20" t="s">
        <v>74</v>
      </c>
      <c r="G696" s="20"/>
      <c r="H696" s="12" t="s">
        <v>532</v>
      </c>
      <c r="I696" s="4"/>
      <c r="J696" s="22">
        <v>0</v>
      </c>
      <c r="K696" s="22">
        <v>0</v>
      </c>
      <c r="L696" s="22">
        <v>0</v>
      </c>
      <c r="M696" s="22">
        <v>0</v>
      </c>
      <c r="N696" s="22">
        <v>0</v>
      </c>
      <c r="O696" s="22">
        <v>0</v>
      </c>
      <c r="P696" s="22">
        <v>0</v>
      </c>
      <c r="Q696" s="22" t="s">
        <v>2308</v>
      </c>
      <c r="R696" s="22" t="s">
        <v>2308</v>
      </c>
      <c r="S696" s="22">
        <v>0</v>
      </c>
      <c r="T696" s="22">
        <v>0</v>
      </c>
      <c r="U696" s="22">
        <v>0</v>
      </c>
      <c r="V696" s="22">
        <v>0</v>
      </c>
      <c r="W696" s="22">
        <v>0</v>
      </c>
      <c r="X696" s="22">
        <v>0</v>
      </c>
      <c r="Y696" s="22" t="s">
        <v>2308</v>
      </c>
      <c r="Z696" s="4" t="s">
        <v>2308</v>
      </c>
      <c r="AA696" s="4" t="s">
        <v>2308</v>
      </c>
      <c r="AB696" s="4" t="s">
        <v>2308</v>
      </c>
      <c r="AC696" s="5" t="s">
        <v>1749</v>
      </c>
      <c r="AD696" s="4"/>
    </row>
    <row r="697" spans="1:30" ht="49.5" customHeight="1">
      <c r="A697" s="24" t="s">
        <v>1545</v>
      </c>
      <c r="B697" s="4" t="s">
        <v>1695</v>
      </c>
      <c r="C697" s="24" t="s">
        <v>24</v>
      </c>
      <c r="D697" s="24" t="s">
        <v>149</v>
      </c>
      <c r="E697" s="4" t="s">
        <v>877</v>
      </c>
      <c r="F697" s="20" t="s">
        <v>74</v>
      </c>
      <c r="G697" s="20"/>
      <c r="H697" s="12" t="s">
        <v>532</v>
      </c>
      <c r="I697" s="4"/>
      <c r="J697" s="22">
        <v>0</v>
      </c>
      <c r="K697" s="22">
        <v>0</v>
      </c>
      <c r="L697" s="22">
        <v>0</v>
      </c>
      <c r="M697" s="22">
        <v>0</v>
      </c>
      <c r="N697" s="22">
        <v>0</v>
      </c>
      <c r="O697" s="22">
        <v>0</v>
      </c>
      <c r="P697" s="22">
        <v>0</v>
      </c>
      <c r="Q697" s="22" t="s">
        <v>2308</v>
      </c>
      <c r="R697" s="22" t="s">
        <v>2308</v>
      </c>
      <c r="S697" s="22">
        <v>0</v>
      </c>
      <c r="T697" s="22">
        <v>0</v>
      </c>
      <c r="U697" s="22">
        <v>0</v>
      </c>
      <c r="V697" s="22">
        <v>0</v>
      </c>
      <c r="W697" s="22">
        <v>0</v>
      </c>
      <c r="X697" s="22">
        <v>0</v>
      </c>
      <c r="Y697" s="22" t="s">
        <v>2308</v>
      </c>
      <c r="Z697" s="4" t="s">
        <v>2308</v>
      </c>
      <c r="AA697" s="4" t="s">
        <v>2308</v>
      </c>
      <c r="AB697" s="4" t="s">
        <v>2308</v>
      </c>
      <c r="AC697" s="5" t="s">
        <v>1749</v>
      </c>
      <c r="AD697" s="4"/>
    </row>
    <row r="698" spans="1:30" ht="49.5" customHeight="1">
      <c r="A698" s="24" t="s">
        <v>1546</v>
      </c>
      <c r="B698" s="4" t="s">
        <v>1696</v>
      </c>
      <c r="C698" s="24" t="s">
        <v>24</v>
      </c>
      <c r="D698" s="24" t="s">
        <v>149</v>
      </c>
      <c r="E698" s="4" t="s">
        <v>877</v>
      </c>
      <c r="F698" s="20" t="s">
        <v>74</v>
      </c>
      <c r="G698" s="20"/>
      <c r="H698" s="12" t="s">
        <v>532</v>
      </c>
      <c r="I698" s="4"/>
      <c r="J698" s="22">
        <v>0</v>
      </c>
      <c r="K698" s="22">
        <v>0</v>
      </c>
      <c r="L698" s="22">
        <v>0</v>
      </c>
      <c r="M698" s="22">
        <v>0</v>
      </c>
      <c r="N698" s="22">
        <v>0</v>
      </c>
      <c r="O698" s="22">
        <v>0</v>
      </c>
      <c r="P698" s="22">
        <v>0</v>
      </c>
      <c r="Q698" s="22" t="s">
        <v>2308</v>
      </c>
      <c r="R698" s="22" t="s">
        <v>2308</v>
      </c>
      <c r="S698" s="22">
        <v>0</v>
      </c>
      <c r="T698" s="22">
        <v>0</v>
      </c>
      <c r="U698" s="22">
        <v>0</v>
      </c>
      <c r="V698" s="22">
        <v>0</v>
      </c>
      <c r="W698" s="22">
        <v>0</v>
      </c>
      <c r="X698" s="22">
        <v>0</v>
      </c>
      <c r="Y698" s="22" t="s">
        <v>2308</v>
      </c>
      <c r="Z698" s="4" t="s">
        <v>2308</v>
      </c>
      <c r="AA698" s="4" t="s">
        <v>2308</v>
      </c>
      <c r="AB698" s="4" t="s">
        <v>2308</v>
      </c>
      <c r="AC698" s="5" t="s">
        <v>1749</v>
      </c>
      <c r="AD698" s="4"/>
    </row>
    <row r="699" spans="1:30" ht="49.5" customHeight="1">
      <c r="A699" s="24" t="s">
        <v>1547</v>
      </c>
      <c r="B699" s="4" t="s">
        <v>1697</v>
      </c>
      <c r="C699" s="24" t="s">
        <v>24</v>
      </c>
      <c r="D699" s="24" t="s">
        <v>149</v>
      </c>
      <c r="E699" s="4" t="s">
        <v>877</v>
      </c>
      <c r="F699" s="20" t="s">
        <v>74</v>
      </c>
      <c r="G699" s="20"/>
      <c r="H699" s="12" t="s">
        <v>532</v>
      </c>
      <c r="I699" s="4"/>
      <c r="J699" s="22">
        <v>0</v>
      </c>
      <c r="K699" s="22">
        <v>0</v>
      </c>
      <c r="L699" s="22">
        <v>0</v>
      </c>
      <c r="M699" s="22">
        <v>0</v>
      </c>
      <c r="N699" s="22">
        <v>0</v>
      </c>
      <c r="O699" s="22">
        <v>0</v>
      </c>
      <c r="P699" s="22">
        <v>0</v>
      </c>
      <c r="Q699" s="22" t="s">
        <v>2308</v>
      </c>
      <c r="R699" s="22" t="s">
        <v>2308</v>
      </c>
      <c r="S699" s="22">
        <v>0</v>
      </c>
      <c r="T699" s="22">
        <v>0</v>
      </c>
      <c r="U699" s="22">
        <v>0</v>
      </c>
      <c r="V699" s="22">
        <v>0</v>
      </c>
      <c r="W699" s="22">
        <v>0</v>
      </c>
      <c r="X699" s="22">
        <v>0</v>
      </c>
      <c r="Y699" s="22" t="s">
        <v>2308</v>
      </c>
      <c r="Z699" s="4" t="s">
        <v>2308</v>
      </c>
      <c r="AA699" s="4" t="s">
        <v>2308</v>
      </c>
      <c r="AB699" s="4" t="s">
        <v>2308</v>
      </c>
      <c r="AC699" s="5" t="s">
        <v>1749</v>
      </c>
      <c r="AD699" s="4"/>
    </row>
    <row r="700" spans="1:30" ht="49.5" customHeight="1">
      <c r="A700" s="24" t="s">
        <v>1548</v>
      </c>
      <c r="B700" s="4" t="s">
        <v>1698</v>
      </c>
      <c r="C700" s="24" t="s">
        <v>24</v>
      </c>
      <c r="D700" s="24" t="s">
        <v>149</v>
      </c>
      <c r="E700" s="4" t="s">
        <v>877</v>
      </c>
      <c r="F700" s="20" t="s">
        <v>74</v>
      </c>
      <c r="G700" s="20"/>
      <c r="H700" s="12" t="s">
        <v>532</v>
      </c>
      <c r="I700" s="4"/>
      <c r="J700" s="22">
        <v>0</v>
      </c>
      <c r="K700" s="22">
        <v>0</v>
      </c>
      <c r="L700" s="22">
        <v>0</v>
      </c>
      <c r="M700" s="22">
        <v>0</v>
      </c>
      <c r="N700" s="22">
        <v>0</v>
      </c>
      <c r="O700" s="22">
        <v>0</v>
      </c>
      <c r="P700" s="22">
        <v>0</v>
      </c>
      <c r="Q700" s="22" t="s">
        <v>2308</v>
      </c>
      <c r="R700" s="22" t="s">
        <v>2308</v>
      </c>
      <c r="S700" s="22">
        <v>0</v>
      </c>
      <c r="T700" s="22">
        <v>0</v>
      </c>
      <c r="U700" s="22">
        <v>0</v>
      </c>
      <c r="V700" s="22">
        <v>0</v>
      </c>
      <c r="W700" s="22">
        <v>0</v>
      </c>
      <c r="X700" s="22">
        <v>0</v>
      </c>
      <c r="Y700" s="22" t="s">
        <v>2308</v>
      </c>
      <c r="Z700" s="4" t="s">
        <v>2308</v>
      </c>
      <c r="AA700" s="4" t="s">
        <v>2308</v>
      </c>
      <c r="AB700" s="4" t="s">
        <v>2308</v>
      </c>
      <c r="AC700" s="5" t="s">
        <v>1749</v>
      </c>
      <c r="AD700" s="4"/>
    </row>
    <row r="701" spans="1:30" ht="49.5" customHeight="1">
      <c r="A701" s="24" t="s">
        <v>1549</v>
      </c>
      <c r="B701" s="4" t="s">
        <v>1699</v>
      </c>
      <c r="C701" s="24" t="s">
        <v>24</v>
      </c>
      <c r="D701" s="24" t="s">
        <v>149</v>
      </c>
      <c r="E701" s="4" t="s">
        <v>877</v>
      </c>
      <c r="F701" s="20" t="s">
        <v>74</v>
      </c>
      <c r="G701" s="20"/>
      <c r="H701" s="12" t="s">
        <v>532</v>
      </c>
      <c r="I701" s="4"/>
      <c r="J701" s="22">
        <v>0</v>
      </c>
      <c r="K701" s="22">
        <v>0</v>
      </c>
      <c r="L701" s="22">
        <v>0</v>
      </c>
      <c r="M701" s="22">
        <v>0</v>
      </c>
      <c r="N701" s="22">
        <v>0</v>
      </c>
      <c r="O701" s="22">
        <v>0</v>
      </c>
      <c r="P701" s="22">
        <v>0</v>
      </c>
      <c r="Q701" s="22" t="s">
        <v>2308</v>
      </c>
      <c r="R701" s="22" t="s">
        <v>2308</v>
      </c>
      <c r="S701" s="22">
        <v>0</v>
      </c>
      <c r="T701" s="22">
        <v>0</v>
      </c>
      <c r="U701" s="22">
        <v>0</v>
      </c>
      <c r="V701" s="22">
        <v>0</v>
      </c>
      <c r="W701" s="22">
        <v>0</v>
      </c>
      <c r="X701" s="22">
        <v>0</v>
      </c>
      <c r="Y701" s="22" t="s">
        <v>2308</v>
      </c>
      <c r="Z701" s="4" t="s">
        <v>2308</v>
      </c>
      <c r="AA701" s="4" t="s">
        <v>2308</v>
      </c>
      <c r="AB701" s="4" t="s">
        <v>2308</v>
      </c>
      <c r="AC701" s="5" t="s">
        <v>1749</v>
      </c>
      <c r="AD701" s="4"/>
    </row>
    <row r="702" spans="1:30" ht="49.5" customHeight="1">
      <c r="A702" s="24" t="s">
        <v>1550</v>
      </c>
      <c r="B702" s="4" t="s">
        <v>1700</v>
      </c>
      <c r="C702" s="24" t="s">
        <v>24</v>
      </c>
      <c r="D702" s="24" t="s">
        <v>149</v>
      </c>
      <c r="E702" s="4" t="s">
        <v>877</v>
      </c>
      <c r="F702" s="20" t="s">
        <v>74</v>
      </c>
      <c r="G702" s="20"/>
      <c r="H702" s="12" t="s">
        <v>532</v>
      </c>
      <c r="I702" s="4"/>
      <c r="J702" s="22">
        <v>0</v>
      </c>
      <c r="K702" s="22">
        <v>0</v>
      </c>
      <c r="L702" s="22">
        <v>0</v>
      </c>
      <c r="M702" s="22">
        <v>0</v>
      </c>
      <c r="N702" s="22">
        <v>0</v>
      </c>
      <c r="O702" s="22">
        <v>0</v>
      </c>
      <c r="P702" s="22">
        <v>0</v>
      </c>
      <c r="Q702" s="22" t="s">
        <v>2308</v>
      </c>
      <c r="R702" s="22" t="s">
        <v>2308</v>
      </c>
      <c r="S702" s="22">
        <v>0</v>
      </c>
      <c r="T702" s="22">
        <v>0</v>
      </c>
      <c r="U702" s="22">
        <v>0</v>
      </c>
      <c r="V702" s="22">
        <v>0</v>
      </c>
      <c r="W702" s="22">
        <v>0</v>
      </c>
      <c r="X702" s="22">
        <v>0</v>
      </c>
      <c r="Y702" s="22" t="s">
        <v>2308</v>
      </c>
      <c r="Z702" s="4" t="s">
        <v>2308</v>
      </c>
      <c r="AA702" s="4" t="s">
        <v>2308</v>
      </c>
      <c r="AB702" s="4" t="s">
        <v>2308</v>
      </c>
      <c r="AC702" s="5" t="s">
        <v>1749</v>
      </c>
      <c r="AD702" s="4"/>
    </row>
    <row r="703" spans="1:30" ht="49.5" customHeight="1">
      <c r="A703" s="24" t="s">
        <v>1551</v>
      </c>
      <c r="B703" s="4" t="s">
        <v>1701</v>
      </c>
      <c r="C703" s="24" t="s">
        <v>24</v>
      </c>
      <c r="D703" s="24" t="s">
        <v>149</v>
      </c>
      <c r="E703" s="4" t="s">
        <v>877</v>
      </c>
      <c r="F703" s="20" t="s">
        <v>74</v>
      </c>
      <c r="G703" s="20"/>
      <c r="H703" s="12" t="s">
        <v>532</v>
      </c>
      <c r="I703" s="4"/>
      <c r="J703" s="22">
        <v>0</v>
      </c>
      <c r="K703" s="22">
        <v>0</v>
      </c>
      <c r="L703" s="22">
        <v>0</v>
      </c>
      <c r="M703" s="22">
        <v>0</v>
      </c>
      <c r="N703" s="22">
        <v>0</v>
      </c>
      <c r="O703" s="22">
        <v>0</v>
      </c>
      <c r="P703" s="22">
        <v>0</v>
      </c>
      <c r="Q703" s="22" t="s">
        <v>2308</v>
      </c>
      <c r="R703" s="22" t="s">
        <v>2308</v>
      </c>
      <c r="S703" s="22">
        <v>0</v>
      </c>
      <c r="T703" s="22">
        <v>0</v>
      </c>
      <c r="U703" s="22">
        <v>0</v>
      </c>
      <c r="V703" s="22">
        <v>0</v>
      </c>
      <c r="W703" s="22">
        <v>0</v>
      </c>
      <c r="X703" s="22">
        <v>0</v>
      </c>
      <c r="Y703" s="22" t="s">
        <v>2308</v>
      </c>
      <c r="Z703" s="4" t="s">
        <v>2308</v>
      </c>
      <c r="AA703" s="4" t="s">
        <v>2308</v>
      </c>
      <c r="AB703" s="4" t="s">
        <v>2308</v>
      </c>
      <c r="AC703" s="5" t="s">
        <v>1749</v>
      </c>
      <c r="AD703" s="4"/>
    </row>
    <row r="704" spans="1:30" ht="49.5" customHeight="1">
      <c r="A704" s="24" t="s">
        <v>1552</v>
      </c>
      <c r="B704" s="4" t="s">
        <v>1702</v>
      </c>
      <c r="C704" s="24" t="s">
        <v>24</v>
      </c>
      <c r="D704" s="24" t="s">
        <v>149</v>
      </c>
      <c r="E704" s="4" t="s">
        <v>877</v>
      </c>
      <c r="F704" s="20" t="s">
        <v>74</v>
      </c>
      <c r="G704" s="20"/>
      <c r="H704" s="12" t="s">
        <v>532</v>
      </c>
      <c r="I704" s="4"/>
      <c r="J704" s="22">
        <v>0</v>
      </c>
      <c r="K704" s="22">
        <v>0</v>
      </c>
      <c r="L704" s="22">
        <v>0</v>
      </c>
      <c r="M704" s="22">
        <v>0</v>
      </c>
      <c r="N704" s="22">
        <v>0</v>
      </c>
      <c r="O704" s="22">
        <v>0</v>
      </c>
      <c r="P704" s="22">
        <v>0</v>
      </c>
      <c r="Q704" s="22" t="s">
        <v>2308</v>
      </c>
      <c r="R704" s="22" t="s">
        <v>2308</v>
      </c>
      <c r="S704" s="22">
        <v>0</v>
      </c>
      <c r="T704" s="22">
        <v>0</v>
      </c>
      <c r="U704" s="22">
        <v>0</v>
      </c>
      <c r="V704" s="22">
        <v>0</v>
      </c>
      <c r="W704" s="22">
        <v>0</v>
      </c>
      <c r="X704" s="22">
        <v>0</v>
      </c>
      <c r="Y704" s="22" t="s">
        <v>2308</v>
      </c>
      <c r="Z704" s="4" t="s">
        <v>2308</v>
      </c>
      <c r="AA704" s="4" t="s">
        <v>2308</v>
      </c>
      <c r="AB704" s="4" t="s">
        <v>2308</v>
      </c>
      <c r="AC704" s="5" t="s">
        <v>1749</v>
      </c>
      <c r="AD704" s="4"/>
    </row>
    <row r="705" spans="1:30" ht="49.5" customHeight="1">
      <c r="A705" s="24" t="s">
        <v>1553</v>
      </c>
      <c r="B705" s="4" t="s">
        <v>1703</v>
      </c>
      <c r="C705" s="24" t="s">
        <v>24</v>
      </c>
      <c r="D705" s="24" t="s">
        <v>149</v>
      </c>
      <c r="E705" s="4" t="s">
        <v>877</v>
      </c>
      <c r="F705" s="20" t="s">
        <v>74</v>
      </c>
      <c r="G705" s="20"/>
      <c r="H705" s="12" t="s">
        <v>532</v>
      </c>
      <c r="I705" s="4"/>
      <c r="J705" s="22">
        <v>0</v>
      </c>
      <c r="K705" s="22">
        <v>0</v>
      </c>
      <c r="L705" s="22">
        <v>0</v>
      </c>
      <c r="M705" s="22">
        <v>0</v>
      </c>
      <c r="N705" s="22">
        <v>0</v>
      </c>
      <c r="O705" s="22">
        <v>0</v>
      </c>
      <c r="P705" s="22">
        <v>0</v>
      </c>
      <c r="Q705" s="22" t="s">
        <v>2308</v>
      </c>
      <c r="R705" s="22" t="s">
        <v>2308</v>
      </c>
      <c r="S705" s="22">
        <v>0</v>
      </c>
      <c r="T705" s="22">
        <v>0</v>
      </c>
      <c r="U705" s="22">
        <v>0</v>
      </c>
      <c r="V705" s="22">
        <v>0</v>
      </c>
      <c r="W705" s="22">
        <v>0</v>
      </c>
      <c r="X705" s="22">
        <v>0</v>
      </c>
      <c r="Y705" s="22" t="s">
        <v>2308</v>
      </c>
      <c r="Z705" s="4" t="s">
        <v>2308</v>
      </c>
      <c r="AA705" s="4" t="s">
        <v>2308</v>
      </c>
      <c r="AB705" s="4" t="s">
        <v>2308</v>
      </c>
      <c r="AC705" s="5" t="s">
        <v>1749</v>
      </c>
      <c r="AD705" s="4"/>
    </row>
    <row r="706" spans="1:30" ht="49.5" customHeight="1">
      <c r="A706" s="24" t="s">
        <v>1554</v>
      </c>
      <c r="B706" s="4" t="s">
        <v>1704</v>
      </c>
      <c r="C706" s="24" t="s">
        <v>24</v>
      </c>
      <c r="D706" s="24" t="s">
        <v>149</v>
      </c>
      <c r="E706" s="4" t="s">
        <v>877</v>
      </c>
      <c r="F706" s="20" t="s">
        <v>74</v>
      </c>
      <c r="G706" s="20"/>
      <c r="H706" s="12" t="s">
        <v>532</v>
      </c>
      <c r="I706" s="4"/>
      <c r="J706" s="22">
        <v>0</v>
      </c>
      <c r="K706" s="22">
        <v>0</v>
      </c>
      <c r="L706" s="22">
        <v>0</v>
      </c>
      <c r="M706" s="22">
        <v>0</v>
      </c>
      <c r="N706" s="22">
        <v>0</v>
      </c>
      <c r="O706" s="22">
        <v>0</v>
      </c>
      <c r="P706" s="22">
        <v>0</v>
      </c>
      <c r="Q706" s="22" t="s">
        <v>2308</v>
      </c>
      <c r="R706" s="22" t="s">
        <v>2308</v>
      </c>
      <c r="S706" s="22">
        <v>0</v>
      </c>
      <c r="T706" s="22">
        <v>0</v>
      </c>
      <c r="U706" s="22">
        <v>0</v>
      </c>
      <c r="V706" s="22">
        <v>0</v>
      </c>
      <c r="W706" s="22">
        <v>0</v>
      </c>
      <c r="X706" s="22">
        <v>0</v>
      </c>
      <c r="Y706" s="22" t="s">
        <v>2308</v>
      </c>
      <c r="Z706" s="4" t="s">
        <v>2308</v>
      </c>
      <c r="AA706" s="4" t="s">
        <v>2308</v>
      </c>
      <c r="AB706" s="4" t="s">
        <v>2308</v>
      </c>
      <c r="AC706" s="5" t="s">
        <v>1749</v>
      </c>
      <c r="AD706" s="4"/>
    </row>
    <row r="707" spans="1:30" ht="49.5" customHeight="1">
      <c r="A707" s="24" t="s">
        <v>1555</v>
      </c>
      <c r="B707" s="4" t="s">
        <v>1705</v>
      </c>
      <c r="C707" s="24" t="s">
        <v>24</v>
      </c>
      <c r="D707" s="24" t="s">
        <v>149</v>
      </c>
      <c r="E707" s="4" t="s">
        <v>877</v>
      </c>
      <c r="F707" s="20" t="s">
        <v>74</v>
      </c>
      <c r="G707" s="20"/>
      <c r="H707" s="12" t="s">
        <v>532</v>
      </c>
      <c r="I707" s="4"/>
      <c r="J707" s="22">
        <v>0</v>
      </c>
      <c r="K707" s="22">
        <v>0</v>
      </c>
      <c r="L707" s="22">
        <v>0</v>
      </c>
      <c r="M707" s="22">
        <v>0</v>
      </c>
      <c r="N707" s="22">
        <v>0</v>
      </c>
      <c r="O707" s="22">
        <v>0</v>
      </c>
      <c r="P707" s="22">
        <v>0</v>
      </c>
      <c r="Q707" s="22" t="s">
        <v>2308</v>
      </c>
      <c r="R707" s="22" t="s">
        <v>2308</v>
      </c>
      <c r="S707" s="22">
        <v>0</v>
      </c>
      <c r="T707" s="22">
        <v>0</v>
      </c>
      <c r="U707" s="22">
        <v>0</v>
      </c>
      <c r="V707" s="22">
        <v>0</v>
      </c>
      <c r="W707" s="22">
        <v>0</v>
      </c>
      <c r="X707" s="22">
        <v>0</v>
      </c>
      <c r="Y707" s="22" t="s">
        <v>2308</v>
      </c>
      <c r="Z707" s="4" t="s">
        <v>2308</v>
      </c>
      <c r="AA707" s="4" t="s">
        <v>2308</v>
      </c>
      <c r="AB707" s="4" t="s">
        <v>2308</v>
      </c>
      <c r="AC707" s="5" t="s">
        <v>1749</v>
      </c>
      <c r="AD707" s="4"/>
    </row>
    <row r="708" spans="1:30" ht="49.5" customHeight="1">
      <c r="A708" s="24" t="s">
        <v>1556</v>
      </c>
      <c r="B708" s="4" t="s">
        <v>1706</v>
      </c>
      <c r="C708" s="24" t="s">
        <v>24</v>
      </c>
      <c r="D708" s="24" t="s">
        <v>149</v>
      </c>
      <c r="E708" s="4" t="s">
        <v>877</v>
      </c>
      <c r="F708" s="20" t="s">
        <v>74</v>
      </c>
      <c r="G708" s="20"/>
      <c r="H708" s="12" t="s">
        <v>532</v>
      </c>
      <c r="I708" s="4"/>
      <c r="J708" s="22">
        <v>0</v>
      </c>
      <c r="K708" s="22">
        <v>0</v>
      </c>
      <c r="L708" s="22">
        <v>0</v>
      </c>
      <c r="M708" s="22">
        <v>0</v>
      </c>
      <c r="N708" s="22">
        <v>0</v>
      </c>
      <c r="O708" s="22">
        <v>0</v>
      </c>
      <c r="P708" s="22">
        <v>0</v>
      </c>
      <c r="Q708" s="22" t="s">
        <v>2308</v>
      </c>
      <c r="R708" s="22" t="s">
        <v>2308</v>
      </c>
      <c r="S708" s="22">
        <v>0</v>
      </c>
      <c r="T708" s="22">
        <v>0</v>
      </c>
      <c r="U708" s="22">
        <v>0</v>
      </c>
      <c r="V708" s="22">
        <v>0</v>
      </c>
      <c r="W708" s="22">
        <v>0</v>
      </c>
      <c r="X708" s="22">
        <v>0</v>
      </c>
      <c r="Y708" s="22" t="s">
        <v>2308</v>
      </c>
      <c r="Z708" s="4" t="s">
        <v>2308</v>
      </c>
      <c r="AA708" s="4" t="s">
        <v>2308</v>
      </c>
      <c r="AB708" s="4" t="s">
        <v>2308</v>
      </c>
      <c r="AC708" s="5" t="s">
        <v>1749</v>
      </c>
      <c r="AD708" s="4"/>
    </row>
    <row r="709" spans="1:30" ht="49.5" customHeight="1">
      <c r="A709" s="24" t="s">
        <v>1557</v>
      </c>
      <c r="B709" s="4" t="s">
        <v>1707</v>
      </c>
      <c r="C709" s="24" t="s">
        <v>24</v>
      </c>
      <c r="D709" s="24" t="s">
        <v>149</v>
      </c>
      <c r="E709" s="4" t="s">
        <v>877</v>
      </c>
      <c r="F709" s="20" t="s">
        <v>74</v>
      </c>
      <c r="G709" s="20"/>
      <c r="H709" s="12" t="s">
        <v>532</v>
      </c>
      <c r="I709" s="4"/>
      <c r="J709" s="22">
        <v>0</v>
      </c>
      <c r="K709" s="22">
        <v>0</v>
      </c>
      <c r="L709" s="22">
        <v>0</v>
      </c>
      <c r="M709" s="22">
        <v>0</v>
      </c>
      <c r="N709" s="22">
        <v>0</v>
      </c>
      <c r="O709" s="22">
        <v>0</v>
      </c>
      <c r="P709" s="22">
        <v>0</v>
      </c>
      <c r="Q709" s="22" t="s">
        <v>2308</v>
      </c>
      <c r="R709" s="22" t="s">
        <v>2308</v>
      </c>
      <c r="S709" s="22">
        <v>0</v>
      </c>
      <c r="T709" s="22">
        <v>0</v>
      </c>
      <c r="U709" s="22">
        <v>0</v>
      </c>
      <c r="V709" s="22">
        <v>0</v>
      </c>
      <c r="W709" s="22">
        <v>0</v>
      </c>
      <c r="X709" s="22">
        <v>0</v>
      </c>
      <c r="Y709" s="22" t="s">
        <v>2308</v>
      </c>
      <c r="Z709" s="4" t="s">
        <v>2308</v>
      </c>
      <c r="AA709" s="4" t="s">
        <v>2308</v>
      </c>
      <c r="AB709" s="4" t="s">
        <v>2308</v>
      </c>
      <c r="AC709" s="5" t="s">
        <v>1749</v>
      </c>
      <c r="AD709" s="4"/>
    </row>
    <row r="710" spans="1:30" ht="49.5" customHeight="1">
      <c r="A710" s="24" t="s">
        <v>1558</v>
      </c>
      <c r="B710" s="4" t="s">
        <v>1708</v>
      </c>
      <c r="C710" s="24" t="s">
        <v>24</v>
      </c>
      <c r="D710" s="24" t="s">
        <v>149</v>
      </c>
      <c r="E710" s="4" t="s">
        <v>877</v>
      </c>
      <c r="F710" s="20" t="s">
        <v>74</v>
      </c>
      <c r="G710" s="20"/>
      <c r="H710" s="12" t="s">
        <v>532</v>
      </c>
      <c r="I710" s="4"/>
      <c r="J710" s="22">
        <v>0</v>
      </c>
      <c r="K710" s="22">
        <v>0</v>
      </c>
      <c r="L710" s="22">
        <v>0</v>
      </c>
      <c r="M710" s="22">
        <v>0</v>
      </c>
      <c r="N710" s="22">
        <v>0</v>
      </c>
      <c r="O710" s="22">
        <v>0</v>
      </c>
      <c r="P710" s="22">
        <v>0</v>
      </c>
      <c r="Q710" s="22" t="s">
        <v>2308</v>
      </c>
      <c r="R710" s="22" t="s">
        <v>2308</v>
      </c>
      <c r="S710" s="22">
        <v>0</v>
      </c>
      <c r="T710" s="22">
        <v>0</v>
      </c>
      <c r="U710" s="22">
        <v>0</v>
      </c>
      <c r="V710" s="22">
        <v>0</v>
      </c>
      <c r="W710" s="22">
        <v>0</v>
      </c>
      <c r="X710" s="22">
        <v>0</v>
      </c>
      <c r="Y710" s="22" t="s">
        <v>2308</v>
      </c>
      <c r="Z710" s="4" t="s">
        <v>2308</v>
      </c>
      <c r="AA710" s="4" t="s">
        <v>2308</v>
      </c>
      <c r="AB710" s="4" t="s">
        <v>2308</v>
      </c>
      <c r="AC710" s="5" t="s">
        <v>1749</v>
      </c>
      <c r="AD710" s="4"/>
    </row>
    <row r="711" spans="1:30" ht="49.5" customHeight="1">
      <c r="A711" s="24" t="s">
        <v>1559</v>
      </c>
      <c r="B711" s="4" t="s">
        <v>1709</v>
      </c>
      <c r="C711" s="24" t="s">
        <v>24</v>
      </c>
      <c r="D711" s="24" t="s">
        <v>149</v>
      </c>
      <c r="E711" s="4" t="s">
        <v>877</v>
      </c>
      <c r="F711" s="20" t="s">
        <v>74</v>
      </c>
      <c r="G711" s="20"/>
      <c r="H711" s="12" t="s">
        <v>532</v>
      </c>
      <c r="I711" s="4"/>
      <c r="J711" s="22">
        <v>0</v>
      </c>
      <c r="K711" s="22">
        <v>0</v>
      </c>
      <c r="L711" s="22">
        <v>0</v>
      </c>
      <c r="M711" s="22">
        <v>0</v>
      </c>
      <c r="N711" s="22">
        <v>0</v>
      </c>
      <c r="O711" s="22">
        <v>0</v>
      </c>
      <c r="P711" s="22">
        <v>0</v>
      </c>
      <c r="Q711" s="22" t="s">
        <v>2308</v>
      </c>
      <c r="R711" s="22" t="s">
        <v>2308</v>
      </c>
      <c r="S711" s="22">
        <v>0</v>
      </c>
      <c r="T711" s="22">
        <v>0</v>
      </c>
      <c r="U711" s="22">
        <v>0</v>
      </c>
      <c r="V711" s="22">
        <v>0</v>
      </c>
      <c r="W711" s="22">
        <v>0</v>
      </c>
      <c r="X711" s="22">
        <v>0</v>
      </c>
      <c r="Y711" s="22" t="s">
        <v>2308</v>
      </c>
      <c r="Z711" s="4" t="s">
        <v>2308</v>
      </c>
      <c r="AA711" s="4" t="s">
        <v>2308</v>
      </c>
      <c r="AB711" s="4" t="s">
        <v>2308</v>
      </c>
      <c r="AC711" s="5" t="s">
        <v>1749</v>
      </c>
      <c r="AD711" s="4"/>
    </row>
    <row r="712" spans="1:30" ht="49.5" customHeight="1">
      <c r="A712" s="24" t="s">
        <v>1560</v>
      </c>
      <c r="B712" s="4" t="s">
        <v>1710</v>
      </c>
      <c r="C712" s="24" t="s">
        <v>24</v>
      </c>
      <c r="D712" s="24" t="s">
        <v>149</v>
      </c>
      <c r="E712" s="4" t="s">
        <v>877</v>
      </c>
      <c r="F712" s="20" t="s">
        <v>74</v>
      </c>
      <c r="G712" s="20"/>
      <c r="H712" s="12" t="s">
        <v>532</v>
      </c>
      <c r="I712" s="4"/>
      <c r="J712" s="22">
        <v>0</v>
      </c>
      <c r="K712" s="22">
        <v>0</v>
      </c>
      <c r="L712" s="22">
        <v>0</v>
      </c>
      <c r="M712" s="22">
        <v>0</v>
      </c>
      <c r="N712" s="22">
        <v>0</v>
      </c>
      <c r="O712" s="22">
        <v>0</v>
      </c>
      <c r="P712" s="22">
        <v>0</v>
      </c>
      <c r="Q712" s="22" t="s">
        <v>2308</v>
      </c>
      <c r="R712" s="22" t="s">
        <v>2308</v>
      </c>
      <c r="S712" s="22">
        <v>0</v>
      </c>
      <c r="T712" s="22">
        <v>0</v>
      </c>
      <c r="U712" s="22">
        <v>0</v>
      </c>
      <c r="V712" s="22">
        <v>0</v>
      </c>
      <c r="W712" s="22">
        <v>0</v>
      </c>
      <c r="X712" s="22">
        <v>0</v>
      </c>
      <c r="Y712" s="22" t="s">
        <v>2308</v>
      </c>
      <c r="Z712" s="4" t="s">
        <v>2308</v>
      </c>
      <c r="AA712" s="4" t="s">
        <v>2308</v>
      </c>
      <c r="AB712" s="4" t="s">
        <v>2308</v>
      </c>
      <c r="AC712" s="5" t="s">
        <v>1749</v>
      </c>
      <c r="AD712" s="4"/>
    </row>
    <row r="713" spans="1:30" ht="49.5" customHeight="1">
      <c r="A713" s="24" t="s">
        <v>1561</v>
      </c>
      <c r="B713" s="4" t="s">
        <v>1711</v>
      </c>
      <c r="C713" s="24" t="s">
        <v>24</v>
      </c>
      <c r="D713" s="24" t="s">
        <v>149</v>
      </c>
      <c r="E713" s="4" t="s">
        <v>877</v>
      </c>
      <c r="F713" s="20" t="s">
        <v>74</v>
      </c>
      <c r="G713" s="20"/>
      <c r="H713" s="12" t="s">
        <v>532</v>
      </c>
      <c r="I713" s="4"/>
      <c r="J713" s="22">
        <v>0</v>
      </c>
      <c r="K713" s="22">
        <v>0</v>
      </c>
      <c r="L713" s="22">
        <v>0</v>
      </c>
      <c r="M713" s="22">
        <v>0</v>
      </c>
      <c r="N713" s="22">
        <v>0</v>
      </c>
      <c r="O713" s="22">
        <v>0</v>
      </c>
      <c r="P713" s="22">
        <v>0</v>
      </c>
      <c r="Q713" s="22" t="s">
        <v>2308</v>
      </c>
      <c r="R713" s="22" t="s">
        <v>2308</v>
      </c>
      <c r="S713" s="22">
        <v>0</v>
      </c>
      <c r="T713" s="22">
        <v>0</v>
      </c>
      <c r="U713" s="22">
        <v>0</v>
      </c>
      <c r="V713" s="22">
        <v>0</v>
      </c>
      <c r="W713" s="22">
        <v>0</v>
      </c>
      <c r="X713" s="22">
        <v>0</v>
      </c>
      <c r="Y713" s="22" t="s">
        <v>2308</v>
      </c>
      <c r="Z713" s="4" t="s">
        <v>2308</v>
      </c>
      <c r="AA713" s="4" t="s">
        <v>2308</v>
      </c>
      <c r="AB713" s="4" t="s">
        <v>2308</v>
      </c>
      <c r="AC713" s="5" t="s">
        <v>1749</v>
      </c>
      <c r="AD713" s="4"/>
    </row>
    <row r="714" spans="1:30" ht="49.5" customHeight="1">
      <c r="A714" s="24" t="s">
        <v>1562</v>
      </c>
      <c r="B714" s="4" t="s">
        <v>1712</v>
      </c>
      <c r="C714" s="24" t="s">
        <v>24</v>
      </c>
      <c r="D714" s="24" t="s">
        <v>149</v>
      </c>
      <c r="E714" s="4" t="s">
        <v>877</v>
      </c>
      <c r="F714" s="20" t="s">
        <v>74</v>
      </c>
      <c r="G714" s="20"/>
      <c r="H714" s="12" t="s">
        <v>532</v>
      </c>
      <c r="I714" s="4"/>
      <c r="J714" s="22">
        <v>0</v>
      </c>
      <c r="K714" s="22">
        <v>0</v>
      </c>
      <c r="L714" s="22">
        <v>0</v>
      </c>
      <c r="M714" s="22">
        <v>0</v>
      </c>
      <c r="N714" s="22">
        <v>0</v>
      </c>
      <c r="O714" s="22">
        <v>0</v>
      </c>
      <c r="P714" s="22">
        <v>0</v>
      </c>
      <c r="Q714" s="22" t="s">
        <v>2308</v>
      </c>
      <c r="R714" s="22" t="s">
        <v>2308</v>
      </c>
      <c r="S714" s="22">
        <v>0</v>
      </c>
      <c r="T714" s="22">
        <v>0</v>
      </c>
      <c r="U714" s="22">
        <v>0</v>
      </c>
      <c r="V714" s="22">
        <v>0</v>
      </c>
      <c r="W714" s="22">
        <v>0</v>
      </c>
      <c r="X714" s="22">
        <v>0</v>
      </c>
      <c r="Y714" s="22" t="s">
        <v>2308</v>
      </c>
      <c r="Z714" s="4" t="s">
        <v>2308</v>
      </c>
      <c r="AA714" s="4" t="s">
        <v>2308</v>
      </c>
      <c r="AB714" s="4" t="s">
        <v>2308</v>
      </c>
      <c r="AC714" s="5" t="s">
        <v>1749</v>
      </c>
      <c r="AD714" s="4"/>
    </row>
    <row r="715" spans="1:30" ht="49.5" customHeight="1">
      <c r="A715" s="24" t="s">
        <v>1563</v>
      </c>
      <c r="B715" s="4" t="s">
        <v>1713</v>
      </c>
      <c r="C715" s="24" t="s">
        <v>24</v>
      </c>
      <c r="D715" s="24" t="s">
        <v>149</v>
      </c>
      <c r="E715" s="4" t="s">
        <v>877</v>
      </c>
      <c r="F715" s="20" t="s">
        <v>74</v>
      </c>
      <c r="G715" s="20"/>
      <c r="H715" s="12" t="s">
        <v>532</v>
      </c>
      <c r="I715" s="4"/>
      <c r="J715" s="22">
        <v>0</v>
      </c>
      <c r="K715" s="22">
        <v>0</v>
      </c>
      <c r="L715" s="22">
        <v>0</v>
      </c>
      <c r="M715" s="22">
        <v>0</v>
      </c>
      <c r="N715" s="22">
        <v>0</v>
      </c>
      <c r="O715" s="22">
        <v>0</v>
      </c>
      <c r="P715" s="22">
        <v>0</v>
      </c>
      <c r="Q715" s="22" t="s">
        <v>2308</v>
      </c>
      <c r="R715" s="22" t="s">
        <v>2308</v>
      </c>
      <c r="S715" s="22">
        <v>0</v>
      </c>
      <c r="T715" s="22">
        <v>0</v>
      </c>
      <c r="U715" s="22">
        <v>0</v>
      </c>
      <c r="V715" s="22">
        <v>0</v>
      </c>
      <c r="W715" s="22">
        <v>0</v>
      </c>
      <c r="X715" s="22">
        <v>0</v>
      </c>
      <c r="Y715" s="22" t="s">
        <v>2308</v>
      </c>
      <c r="Z715" s="4" t="s">
        <v>2308</v>
      </c>
      <c r="AA715" s="4" t="s">
        <v>2308</v>
      </c>
      <c r="AB715" s="4" t="s">
        <v>2308</v>
      </c>
      <c r="AC715" s="5" t="s">
        <v>1749</v>
      </c>
      <c r="AD715" s="4"/>
    </row>
    <row r="716" spans="1:30" ht="49.5" customHeight="1">
      <c r="A716" s="24" t="s">
        <v>1564</v>
      </c>
      <c r="B716" s="4" t="s">
        <v>1714</v>
      </c>
      <c r="C716" s="24" t="s">
        <v>24</v>
      </c>
      <c r="D716" s="24" t="s">
        <v>149</v>
      </c>
      <c r="E716" s="4" t="s">
        <v>877</v>
      </c>
      <c r="F716" s="20" t="s">
        <v>74</v>
      </c>
      <c r="G716" s="20"/>
      <c r="H716" s="12" t="s">
        <v>532</v>
      </c>
      <c r="I716" s="4"/>
      <c r="J716" s="22">
        <v>0</v>
      </c>
      <c r="K716" s="22">
        <v>0</v>
      </c>
      <c r="L716" s="22">
        <v>0</v>
      </c>
      <c r="M716" s="22">
        <v>0</v>
      </c>
      <c r="N716" s="22">
        <v>0</v>
      </c>
      <c r="O716" s="22">
        <v>0</v>
      </c>
      <c r="P716" s="22">
        <v>0</v>
      </c>
      <c r="Q716" s="22" t="s">
        <v>2308</v>
      </c>
      <c r="R716" s="22" t="s">
        <v>2308</v>
      </c>
      <c r="S716" s="22">
        <v>0</v>
      </c>
      <c r="T716" s="22">
        <v>0</v>
      </c>
      <c r="U716" s="22">
        <v>0</v>
      </c>
      <c r="V716" s="22">
        <v>0</v>
      </c>
      <c r="W716" s="22">
        <v>0</v>
      </c>
      <c r="X716" s="22">
        <v>0</v>
      </c>
      <c r="Y716" s="22" t="s">
        <v>2308</v>
      </c>
      <c r="Z716" s="4" t="s">
        <v>2308</v>
      </c>
      <c r="AA716" s="4" t="s">
        <v>2308</v>
      </c>
      <c r="AB716" s="4" t="s">
        <v>2308</v>
      </c>
      <c r="AC716" s="5" t="s">
        <v>1749</v>
      </c>
      <c r="AD716" s="4"/>
    </row>
    <row r="717" spans="1:30" ht="49.5" customHeight="1">
      <c r="A717" s="24" t="s">
        <v>1565</v>
      </c>
      <c r="B717" s="4" t="s">
        <v>1715</v>
      </c>
      <c r="C717" s="24" t="s">
        <v>24</v>
      </c>
      <c r="D717" s="24" t="s">
        <v>149</v>
      </c>
      <c r="E717" s="4" t="s">
        <v>877</v>
      </c>
      <c r="F717" s="20" t="s">
        <v>74</v>
      </c>
      <c r="G717" s="20"/>
      <c r="H717" s="12" t="s">
        <v>532</v>
      </c>
      <c r="I717" s="4"/>
      <c r="J717" s="22">
        <v>0</v>
      </c>
      <c r="K717" s="22">
        <v>0</v>
      </c>
      <c r="L717" s="22">
        <v>0</v>
      </c>
      <c r="M717" s="22">
        <v>0</v>
      </c>
      <c r="N717" s="22">
        <v>0</v>
      </c>
      <c r="O717" s="22">
        <v>0</v>
      </c>
      <c r="P717" s="22">
        <v>0</v>
      </c>
      <c r="Q717" s="22" t="s">
        <v>2308</v>
      </c>
      <c r="R717" s="22" t="s">
        <v>2308</v>
      </c>
      <c r="S717" s="22">
        <v>0</v>
      </c>
      <c r="T717" s="22">
        <v>0</v>
      </c>
      <c r="U717" s="22">
        <v>0</v>
      </c>
      <c r="V717" s="22">
        <v>0</v>
      </c>
      <c r="W717" s="22">
        <v>0</v>
      </c>
      <c r="X717" s="22">
        <v>0</v>
      </c>
      <c r="Y717" s="22" t="s">
        <v>2308</v>
      </c>
      <c r="Z717" s="4" t="s">
        <v>2308</v>
      </c>
      <c r="AA717" s="4" t="s">
        <v>2308</v>
      </c>
      <c r="AB717" s="4" t="s">
        <v>2308</v>
      </c>
      <c r="AC717" s="5" t="s">
        <v>1749</v>
      </c>
      <c r="AD717" s="4"/>
    </row>
    <row r="718" spans="1:30" ht="49.5" customHeight="1">
      <c r="A718" s="24" t="s">
        <v>1566</v>
      </c>
      <c r="B718" s="4" t="s">
        <v>1716</v>
      </c>
      <c r="C718" s="24" t="s">
        <v>24</v>
      </c>
      <c r="D718" s="24" t="s">
        <v>149</v>
      </c>
      <c r="E718" s="4" t="s">
        <v>877</v>
      </c>
      <c r="F718" s="20" t="s">
        <v>74</v>
      </c>
      <c r="G718" s="20"/>
      <c r="H718" s="12" t="s">
        <v>532</v>
      </c>
      <c r="I718" s="4"/>
      <c r="J718" s="22">
        <v>0</v>
      </c>
      <c r="K718" s="22">
        <v>0</v>
      </c>
      <c r="L718" s="22">
        <v>0</v>
      </c>
      <c r="M718" s="22">
        <v>0</v>
      </c>
      <c r="N718" s="22">
        <v>0</v>
      </c>
      <c r="O718" s="22">
        <v>0</v>
      </c>
      <c r="P718" s="22">
        <v>0</v>
      </c>
      <c r="Q718" s="22" t="s">
        <v>2308</v>
      </c>
      <c r="R718" s="22" t="s">
        <v>2308</v>
      </c>
      <c r="S718" s="22">
        <v>0</v>
      </c>
      <c r="T718" s="22">
        <v>0</v>
      </c>
      <c r="U718" s="22">
        <v>0</v>
      </c>
      <c r="V718" s="22">
        <v>0</v>
      </c>
      <c r="W718" s="22">
        <v>0</v>
      </c>
      <c r="X718" s="22">
        <v>0</v>
      </c>
      <c r="Y718" s="22" t="s">
        <v>2308</v>
      </c>
      <c r="Z718" s="4" t="s">
        <v>2308</v>
      </c>
      <c r="AA718" s="4" t="s">
        <v>2308</v>
      </c>
      <c r="AB718" s="4" t="s">
        <v>2308</v>
      </c>
      <c r="AC718" s="5" t="s">
        <v>1749</v>
      </c>
      <c r="AD718" s="4"/>
    </row>
    <row r="719" spans="1:30" ht="49.5" customHeight="1">
      <c r="A719" s="24" t="s">
        <v>1567</v>
      </c>
      <c r="B719" s="4" t="s">
        <v>1717</v>
      </c>
      <c r="C719" s="24" t="s">
        <v>24</v>
      </c>
      <c r="D719" s="24" t="s">
        <v>149</v>
      </c>
      <c r="E719" s="4" t="s">
        <v>877</v>
      </c>
      <c r="F719" s="20" t="s">
        <v>74</v>
      </c>
      <c r="G719" s="20"/>
      <c r="H719" s="12" t="s">
        <v>532</v>
      </c>
      <c r="I719" s="4"/>
      <c r="J719" s="22">
        <v>0</v>
      </c>
      <c r="K719" s="22">
        <v>0</v>
      </c>
      <c r="L719" s="22">
        <v>0</v>
      </c>
      <c r="M719" s="22">
        <v>0</v>
      </c>
      <c r="N719" s="22">
        <v>0</v>
      </c>
      <c r="O719" s="22">
        <v>0</v>
      </c>
      <c r="P719" s="22">
        <v>0</v>
      </c>
      <c r="Q719" s="22" t="s">
        <v>2308</v>
      </c>
      <c r="R719" s="22" t="s">
        <v>2308</v>
      </c>
      <c r="S719" s="22">
        <v>0</v>
      </c>
      <c r="T719" s="22">
        <v>0</v>
      </c>
      <c r="U719" s="22">
        <v>0</v>
      </c>
      <c r="V719" s="22">
        <v>0</v>
      </c>
      <c r="W719" s="22">
        <v>0</v>
      </c>
      <c r="X719" s="22">
        <v>0</v>
      </c>
      <c r="Y719" s="22" t="s">
        <v>2308</v>
      </c>
      <c r="Z719" s="4" t="s">
        <v>2308</v>
      </c>
      <c r="AA719" s="4" t="s">
        <v>2308</v>
      </c>
      <c r="AB719" s="4" t="s">
        <v>2308</v>
      </c>
      <c r="AC719" s="5" t="s">
        <v>1749</v>
      </c>
      <c r="AD719" s="4"/>
    </row>
    <row r="720" spans="1:30" ht="49.5" customHeight="1">
      <c r="A720" s="24" t="s">
        <v>1568</v>
      </c>
      <c r="B720" s="4" t="s">
        <v>1718</v>
      </c>
      <c r="C720" s="24" t="s">
        <v>24</v>
      </c>
      <c r="D720" s="24" t="s">
        <v>149</v>
      </c>
      <c r="E720" s="4" t="s">
        <v>877</v>
      </c>
      <c r="F720" s="20" t="s">
        <v>74</v>
      </c>
      <c r="G720" s="20"/>
      <c r="H720" s="12" t="s">
        <v>532</v>
      </c>
      <c r="I720" s="4"/>
      <c r="J720" s="22">
        <v>0</v>
      </c>
      <c r="K720" s="22">
        <v>0</v>
      </c>
      <c r="L720" s="22">
        <v>0</v>
      </c>
      <c r="M720" s="22">
        <v>0</v>
      </c>
      <c r="N720" s="22">
        <v>0</v>
      </c>
      <c r="O720" s="22">
        <v>0</v>
      </c>
      <c r="P720" s="22">
        <v>0</v>
      </c>
      <c r="Q720" s="22" t="s">
        <v>2308</v>
      </c>
      <c r="R720" s="22" t="s">
        <v>2308</v>
      </c>
      <c r="S720" s="22">
        <v>0</v>
      </c>
      <c r="T720" s="22">
        <v>0</v>
      </c>
      <c r="U720" s="22">
        <v>0</v>
      </c>
      <c r="V720" s="22">
        <v>0</v>
      </c>
      <c r="W720" s="22">
        <v>0</v>
      </c>
      <c r="X720" s="22">
        <v>0</v>
      </c>
      <c r="Y720" s="22" t="s">
        <v>2308</v>
      </c>
      <c r="Z720" s="4" t="s">
        <v>2308</v>
      </c>
      <c r="AA720" s="4" t="s">
        <v>2308</v>
      </c>
      <c r="AB720" s="4" t="s">
        <v>2308</v>
      </c>
      <c r="AC720" s="5" t="s">
        <v>1749</v>
      </c>
      <c r="AD720" s="4"/>
    </row>
    <row r="721" spans="1:30" ht="49.5" customHeight="1">
      <c r="A721" s="24" t="s">
        <v>1569</v>
      </c>
      <c r="B721" s="4" t="s">
        <v>1719</v>
      </c>
      <c r="C721" s="24" t="s">
        <v>24</v>
      </c>
      <c r="D721" s="24" t="s">
        <v>149</v>
      </c>
      <c r="E721" s="4" t="s">
        <v>877</v>
      </c>
      <c r="F721" s="20" t="s">
        <v>74</v>
      </c>
      <c r="G721" s="20"/>
      <c r="H721" s="12" t="s">
        <v>532</v>
      </c>
      <c r="I721" s="4"/>
      <c r="J721" s="22">
        <v>0</v>
      </c>
      <c r="K721" s="22">
        <v>0</v>
      </c>
      <c r="L721" s="22">
        <v>0</v>
      </c>
      <c r="M721" s="22">
        <v>0</v>
      </c>
      <c r="N721" s="22">
        <v>0</v>
      </c>
      <c r="O721" s="22">
        <v>0</v>
      </c>
      <c r="P721" s="22">
        <v>0</v>
      </c>
      <c r="Q721" s="22" t="s">
        <v>2308</v>
      </c>
      <c r="R721" s="22" t="s">
        <v>2308</v>
      </c>
      <c r="S721" s="22">
        <v>0</v>
      </c>
      <c r="T721" s="22">
        <v>0</v>
      </c>
      <c r="U721" s="22">
        <v>0</v>
      </c>
      <c r="V721" s="22">
        <v>0</v>
      </c>
      <c r="W721" s="22">
        <v>0</v>
      </c>
      <c r="X721" s="22">
        <v>0</v>
      </c>
      <c r="Y721" s="22" t="s">
        <v>2308</v>
      </c>
      <c r="Z721" s="4" t="s">
        <v>2308</v>
      </c>
      <c r="AA721" s="4" t="s">
        <v>2308</v>
      </c>
      <c r="AB721" s="4" t="s">
        <v>2308</v>
      </c>
      <c r="AC721" s="5" t="s">
        <v>1749</v>
      </c>
      <c r="AD721" s="4"/>
    </row>
    <row r="722" spans="1:30" ht="49.5" customHeight="1">
      <c r="A722" s="24" t="s">
        <v>1570</v>
      </c>
      <c r="B722" s="4" t="s">
        <v>1720</v>
      </c>
      <c r="C722" s="24" t="s">
        <v>24</v>
      </c>
      <c r="D722" s="24" t="s">
        <v>149</v>
      </c>
      <c r="E722" s="4" t="s">
        <v>877</v>
      </c>
      <c r="F722" s="20" t="s">
        <v>74</v>
      </c>
      <c r="G722" s="20"/>
      <c r="H722" s="12" t="s">
        <v>532</v>
      </c>
      <c r="I722" s="4"/>
      <c r="J722" s="22">
        <v>0</v>
      </c>
      <c r="K722" s="22">
        <v>0</v>
      </c>
      <c r="L722" s="22">
        <v>0</v>
      </c>
      <c r="M722" s="22">
        <v>0</v>
      </c>
      <c r="N722" s="22">
        <v>0</v>
      </c>
      <c r="O722" s="22">
        <v>0</v>
      </c>
      <c r="P722" s="22">
        <v>0</v>
      </c>
      <c r="Q722" s="22" t="s">
        <v>2308</v>
      </c>
      <c r="R722" s="22" t="s">
        <v>2308</v>
      </c>
      <c r="S722" s="22">
        <v>0</v>
      </c>
      <c r="T722" s="22">
        <v>0</v>
      </c>
      <c r="U722" s="22">
        <v>0</v>
      </c>
      <c r="V722" s="22">
        <v>0</v>
      </c>
      <c r="W722" s="22">
        <v>0</v>
      </c>
      <c r="X722" s="22">
        <v>0</v>
      </c>
      <c r="Y722" s="22" t="s">
        <v>2308</v>
      </c>
      <c r="Z722" s="4" t="s">
        <v>2308</v>
      </c>
      <c r="AA722" s="4" t="s">
        <v>2308</v>
      </c>
      <c r="AB722" s="4" t="s">
        <v>2308</v>
      </c>
      <c r="AC722" s="5" t="s">
        <v>1749</v>
      </c>
      <c r="AD722" s="4"/>
    </row>
    <row r="723" spans="1:30" ht="49.5" customHeight="1">
      <c r="A723" s="24" t="s">
        <v>1571</v>
      </c>
      <c r="B723" s="4" t="s">
        <v>1721</v>
      </c>
      <c r="C723" s="24" t="s">
        <v>24</v>
      </c>
      <c r="D723" s="24" t="s">
        <v>149</v>
      </c>
      <c r="E723" s="4" t="s">
        <v>877</v>
      </c>
      <c r="F723" s="20" t="s">
        <v>74</v>
      </c>
      <c r="G723" s="20"/>
      <c r="H723" s="12" t="s">
        <v>532</v>
      </c>
      <c r="I723" s="4"/>
      <c r="J723" s="22">
        <v>0</v>
      </c>
      <c r="K723" s="22">
        <v>0</v>
      </c>
      <c r="L723" s="22">
        <v>0</v>
      </c>
      <c r="M723" s="22">
        <v>0</v>
      </c>
      <c r="N723" s="22">
        <v>0</v>
      </c>
      <c r="O723" s="22">
        <v>0</v>
      </c>
      <c r="P723" s="22">
        <v>0</v>
      </c>
      <c r="Q723" s="22" t="s">
        <v>2308</v>
      </c>
      <c r="R723" s="22" t="s">
        <v>2308</v>
      </c>
      <c r="S723" s="22">
        <v>0</v>
      </c>
      <c r="T723" s="22">
        <v>0</v>
      </c>
      <c r="U723" s="22">
        <v>0</v>
      </c>
      <c r="V723" s="22">
        <v>0</v>
      </c>
      <c r="W723" s="22">
        <v>0</v>
      </c>
      <c r="X723" s="22">
        <v>0</v>
      </c>
      <c r="Y723" s="22" t="s">
        <v>2308</v>
      </c>
      <c r="Z723" s="4" t="s">
        <v>2308</v>
      </c>
      <c r="AA723" s="4" t="s">
        <v>2308</v>
      </c>
      <c r="AB723" s="4" t="s">
        <v>2308</v>
      </c>
      <c r="AC723" s="5" t="s">
        <v>1749</v>
      </c>
      <c r="AD723" s="4"/>
    </row>
    <row r="724" spans="1:30" ht="49.5" customHeight="1">
      <c r="A724" s="24" t="s">
        <v>1572</v>
      </c>
      <c r="B724" s="4" t="s">
        <v>1722</v>
      </c>
      <c r="C724" s="24" t="s">
        <v>24</v>
      </c>
      <c r="D724" s="24" t="s">
        <v>149</v>
      </c>
      <c r="E724" s="4" t="s">
        <v>877</v>
      </c>
      <c r="F724" s="20" t="s">
        <v>74</v>
      </c>
      <c r="G724" s="20"/>
      <c r="H724" s="12" t="s">
        <v>532</v>
      </c>
      <c r="I724" s="4"/>
      <c r="J724" s="22">
        <v>0</v>
      </c>
      <c r="K724" s="22">
        <v>0</v>
      </c>
      <c r="L724" s="22">
        <v>0</v>
      </c>
      <c r="M724" s="22">
        <v>0</v>
      </c>
      <c r="N724" s="22">
        <v>0</v>
      </c>
      <c r="O724" s="22">
        <v>0</v>
      </c>
      <c r="P724" s="22">
        <v>0</v>
      </c>
      <c r="Q724" s="22" t="s">
        <v>2308</v>
      </c>
      <c r="R724" s="22" t="s">
        <v>2308</v>
      </c>
      <c r="S724" s="22">
        <v>0</v>
      </c>
      <c r="T724" s="22">
        <v>0</v>
      </c>
      <c r="U724" s="22">
        <v>0</v>
      </c>
      <c r="V724" s="22">
        <v>0</v>
      </c>
      <c r="W724" s="22">
        <v>0</v>
      </c>
      <c r="X724" s="22">
        <v>0</v>
      </c>
      <c r="Y724" s="22" t="s">
        <v>2308</v>
      </c>
      <c r="Z724" s="4" t="s">
        <v>2308</v>
      </c>
      <c r="AA724" s="4" t="s">
        <v>2308</v>
      </c>
      <c r="AB724" s="4" t="s">
        <v>2308</v>
      </c>
      <c r="AC724" s="5" t="s">
        <v>1749</v>
      </c>
      <c r="AD724" s="4"/>
    </row>
    <row r="725" spans="1:30" ht="49.5" customHeight="1">
      <c r="A725" s="24" t="s">
        <v>1573</v>
      </c>
      <c r="B725" s="4" t="s">
        <v>1723</v>
      </c>
      <c r="C725" s="24" t="s">
        <v>24</v>
      </c>
      <c r="D725" s="24" t="s">
        <v>149</v>
      </c>
      <c r="E725" s="4" t="s">
        <v>877</v>
      </c>
      <c r="F725" s="20" t="s">
        <v>74</v>
      </c>
      <c r="G725" s="20"/>
      <c r="H725" s="12" t="s">
        <v>532</v>
      </c>
      <c r="I725" s="4"/>
      <c r="J725" s="22">
        <v>0</v>
      </c>
      <c r="K725" s="22">
        <v>0</v>
      </c>
      <c r="L725" s="22">
        <v>0</v>
      </c>
      <c r="M725" s="22">
        <v>0</v>
      </c>
      <c r="N725" s="22">
        <v>0</v>
      </c>
      <c r="O725" s="22">
        <v>0</v>
      </c>
      <c r="P725" s="22">
        <v>0</v>
      </c>
      <c r="Q725" s="22" t="s">
        <v>2308</v>
      </c>
      <c r="R725" s="22" t="s">
        <v>2308</v>
      </c>
      <c r="S725" s="22">
        <v>0</v>
      </c>
      <c r="T725" s="22">
        <v>0</v>
      </c>
      <c r="U725" s="22">
        <v>0</v>
      </c>
      <c r="V725" s="22">
        <v>0</v>
      </c>
      <c r="W725" s="22">
        <v>0</v>
      </c>
      <c r="X725" s="22">
        <v>0</v>
      </c>
      <c r="Y725" s="22" t="s">
        <v>2308</v>
      </c>
      <c r="Z725" s="4" t="s">
        <v>2308</v>
      </c>
      <c r="AA725" s="4" t="s">
        <v>2308</v>
      </c>
      <c r="AB725" s="4" t="s">
        <v>2308</v>
      </c>
      <c r="AC725" s="5" t="s">
        <v>1749</v>
      </c>
      <c r="AD725" s="4"/>
    </row>
    <row r="726" spans="1:30" ht="49.5" customHeight="1">
      <c r="A726" s="24" t="s">
        <v>1574</v>
      </c>
      <c r="B726" s="4" t="s">
        <v>1724</v>
      </c>
      <c r="C726" s="24" t="s">
        <v>24</v>
      </c>
      <c r="D726" s="24" t="s">
        <v>149</v>
      </c>
      <c r="E726" s="4" t="s">
        <v>877</v>
      </c>
      <c r="F726" s="20" t="s">
        <v>74</v>
      </c>
      <c r="G726" s="20"/>
      <c r="H726" s="12" t="s">
        <v>532</v>
      </c>
      <c r="I726" s="4"/>
      <c r="J726" s="22">
        <v>0</v>
      </c>
      <c r="K726" s="22">
        <v>0</v>
      </c>
      <c r="L726" s="22">
        <v>0</v>
      </c>
      <c r="M726" s="22">
        <v>0</v>
      </c>
      <c r="N726" s="22">
        <v>0</v>
      </c>
      <c r="O726" s="22">
        <v>0</v>
      </c>
      <c r="P726" s="22">
        <v>0</v>
      </c>
      <c r="Q726" s="22" t="s">
        <v>2308</v>
      </c>
      <c r="R726" s="22" t="s">
        <v>2308</v>
      </c>
      <c r="S726" s="22">
        <v>0</v>
      </c>
      <c r="T726" s="22">
        <v>0</v>
      </c>
      <c r="U726" s="22">
        <v>0</v>
      </c>
      <c r="V726" s="22">
        <v>0</v>
      </c>
      <c r="W726" s="22">
        <v>0</v>
      </c>
      <c r="X726" s="22">
        <v>0</v>
      </c>
      <c r="Y726" s="22" t="s">
        <v>2308</v>
      </c>
      <c r="Z726" s="4" t="s">
        <v>2308</v>
      </c>
      <c r="AA726" s="4" t="s">
        <v>2308</v>
      </c>
      <c r="AB726" s="4" t="s">
        <v>2308</v>
      </c>
      <c r="AC726" s="5" t="s">
        <v>1749</v>
      </c>
      <c r="AD726" s="4"/>
    </row>
    <row r="727" spans="1:30" ht="49.5" customHeight="1">
      <c r="A727" s="24" t="s">
        <v>1575</v>
      </c>
      <c r="B727" s="4" t="s">
        <v>1725</v>
      </c>
      <c r="C727" s="24" t="s">
        <v>24</v>
      </c>
      <c r="D727" s="24" t="s">
        <v>149</v>
      </c>
      <c r="E727" s="4" t="s">
        <v>877</v>
      </c>
      <c r="F727" s="20" t="s">
        <v>74</v>
      </c>
      <c r="G727" s="20"/>
      <c r="H727" s="12" t="s">
        <v>532</v>
      </c>
      <c r="I727" s="4"/>
      <c r="J727" s="22">
        <v>0</v>
      </c>
      <c r="K727" s="22">
        <v>0</v>
      </c>
      <c r="L727" s="22">
        <v>0</v>
      </c>
      <c r="M727" s="22">
        <v>0</v>
      </c>
      <c r="N727" s="22">
        <v>0</v>
      </c>
      <c r="O727" s="22">
        <v>0</v>
      </c>
      <c r="P727" s="22">
        <v>0</v>
      </c>
      <c r="Q727" s="22" t="s">
        <v>2308</v>
      </c>
      <c r="R727" s="22" t="s">
        <v>2308</v>
      </c>
      <c r="S727" s="22">
        <v>0</v>
      </c>
      <c r="T727" s="22">
        <v>0</v>
      </c>
      <c r="U727" s="22">
        <v>0</v>
      </c>
      <c r="V727" s="22">
        <v>0</v>
      </c>
      <c r="W727" s="22">
        <v>0</v>
      </c>
      <c r="X727" s="22">
        <v>0</v>
      </c>
      <c r="Y727" s="22" t="s">
        <v>2308</v>
      </c>
      <c r="Z727" s="4" t="s">
        <v>2308</v>
      </c>
      <c r="AA727" s="4" t="s">
        <v>2308</v>
      </c>
      <c r="AB727" s="4" t="s">
        <v>2308</v>
      </c>
      <c r="AC727" s="5" t="s">
        <v>1749</v>
      </c>
      <c r="AD727" s="4"/>
    </row>
    <row r="728" spans="1:30" ht="49.5" customHeight="1">
      <c r="A728" s="24" t="s">
        <v>1576</v>
      </c>
      <c r="B728" s="4" t="s">
        <v>1726</v>
      </c>
      <c r="C728" s="24" t="s">
        <v>24</v>
      </c>
      <c r="D728" s="24" t="s">
        <v>149</v>
      </c>
      <c r="E728" s="4" t="s">
        <v>877</v>
      </c>
      <c r="F728" s="20" t="s">
        <v>74</v>
      </c>
      <c r="G728" s="20"/>
      <c r="H728" s="12" t="s">
        <v>532</v>
      </c>
      <c r="I728" s="4"/>
      <c r="J728" s="22">
        <v>0</v>
      </c>
      <c r="K728" s="22">
        <v>0</v>
      </c>
      <c r="L728" s="22">
        <v>0</v>
      </c>
      <c r="M728" s="22">
        <v>0</v>
      </c>
      <c r="N728" s="22">
        <v>0</v>
      </c>
      <c r="O728" s="22">
        <v>0</v>
      </c>
      <c r="P728" s="22">
        <v>0</v>
      </c>
      <c r="Q728" s="22" t="s">
        <v>2308</v>
      </c>
      <c r="R728" s="22" t="s">
        <v>2308</v>
      </c>
      <c r="S728" s="22">
        <v>0</v>
      </c>
      <c r="T728" s="22">
        <v>0</v>
      </c>
      <c r="U728" s="22">
        <v>0</v>
      </c>
      <c r="V728" s="22">
        <v>0</v>
      </c>
      <c r="W728" s="22">
        <v>0</v>
      </c>
      <c r="X728" s="22">
        <v>0</v>
      </c>
      <c r="Y728" s="22" t="s">
        <v>2308</v>
      </c>
      <c r="Z728" s="4" t="s">
        <v>2308</v>
      </c>
      <c r="AA728" s="4" t="s">
        <v>2308</v>
      </c>
      <c r="AB728" s="4" t="s">
        <v>2308</v>
      </c>
      <c r="AC728" s="5" t="s">
        <v>1749</v>
      </c>
      <c r="AD728" s="4"/>
    </row>
    <row r="729" spans="1:30" ht="49.5" customHeight="1">
      <c r="A729" s="24" t="s">
        <v>1577</v>
      </c>
      <c r="B729" s="4" t="s">
        <v>1727</v>
      </c>
      <c r="C729" s="24" t="s">
        <v>24</v>
      </c>
      <c r="D729" s="24" t="s">
        <v>149</v>
      </c>
      <c r="E729" s="4" t="s">
        <v>877</v>
      </c>
      <c r="F729" s="20" t="s">
        <v>74</v>
      </c>
      <c r="G729" s="20"/>
      <c r="H729" s="12" t="s">
        <v>532</v>
      </c>
      <c r="I729" s="4"/>
      <c r="J729" s="22">
        <v>0</v>
      </c>
      <c r="K729" s="22">
        <v>0</v>
      </c>
      <c r="L729" s="22">
        <v>0</v>
      </c>
      <c r="M729" s="22">
        <v>0</v>
      </c>
      <c r="N729" s="22">
        <v>0</v>
      </c>
      <c r="O729" s="22">
        <v>0</v>
      </c>
      <c r="P729" s="22">
        <v>0</v>
      </c>
      <c r="Q729" s="22" t="s">
        <v>2308</v>
      </c>
      <c r="R729" s="22" t="s">
        <v>2308</v>
      </c>
      <c r="S729" s="22">
        <v>0</v>
      </c>
      <c r="T729" s="22">
        <v>0</v>
      </c>
      <c r="U729" s="22">
        <v>0</v>
      </c>
      <c r="V729" s="22">
        <v>0</v>
      </c>
      <c r="W729" s="22">
        <v>0</v>
      </c>
      <c r="X729" s="22">
        <v>0</v>
      </c>
      <c r="Y729" s="22" t="s">
        <v>2308</v>
      </c>
      <c r="Z729" s="4" t="s">
        <v>2308</v>
      </c>
      <c r="AA729" s="4" t="s">
        <v>2308</v>
      </c>
      <c r="AB729" s="4" t="s">
        <v>2308</v>
      </c>
      <c r="AC729" s="5" t="s">
        <v>1749</v>
      </c>
      <c r="AD729" s="4"/>
    </row>
    <row r="730" spans="1:30" ht="49.5" customHeight="1">
      <c r="A730" s="24" t="s">
        <v>1578</v>
      </c>
      <c r="B730" s="4" t="s">
        <v>1728</v>
      </c>
      <c r="C730" s="24" t="s">
        <v>24</v>
      </c>
      <c r="D730" s="24" t="s">
        <v>149</v>
      </c>
      <c r="E730" s="4" t="s">
        <v>877</v>
      </c>
      <c r="F730" s="20" t="s">
        <v>74</v>
      </c>
      <c r="G730" s="20"/>
      <c r="H730" s="12" t="s">
        <v>532</v>
      </c>
      <c r="I730" s="4"/>
      <c r="J730" s="22">
        <v>0</v>
      </c>
      <c r="K730" s="22">
        <v>0</v>
      </c>
      <c r="L730" s="22">
        <v>0</v>
      </c>
      <c r="M730" s="22">
        <v>0</v>
      </c>
      <c r="N730" s="22">
        <v>0</v>
      </c>
      <c r="O730" s="22">
        <v>0</v>
      </c>
      <c r="P730" s="22">
        <v>0</v>
      </c>
      <c r="Q730" s="22" t="s">
        <v>2308</v>
      </c>
      <c r="R730" s="22" t="s">
        <v>2308</v>
      </c>
      <c r="S730" s="22">
        <v>0</v>
      </c>
      <c r="T730" s="22">
        <v>0</v>
      </c>
      <c r="U730" s="22">
        <v>0</v>
      </c>
      <c r="V730" s="22">
        <v>0</v>
      </c>
      <c r="W730" s="22">
        <v>0</v>
      </c>
      <c r="X730" s="22">
        <v>0</v>
      </c>
      <c r="Y730" s="22" t="s">
        <v>2308</v>
      </c>
      <c r="Z730" s="4" t="s">
        <v>2308</v>
      </c>
      <c r="AA730" s="4" t="s">
        <v>2308</v>
      </c>
      <c r="AB730" s="4" t="s">
        <v>2308</v>
      </c>
      <c r="AC730" s="5" t="s">
        <v>1749</v>
      </c>
      <c r="AD730" s="4"/>
    </row>
    <row r="731" spans="1:30" ht="49.5" customHeight="1">
      <c r="A731" s="24" t="s">
        <v>1579</v>
      </c>
      <c r="B731" s="4" t="s">
        <v>1729</v>
      </c>
      <c r="C731" s="24" t="s">
        <v>24</v>
      </c>
      <c r="D731" s="24" t="s">
        <v>149</v>
      </c>
      <c r="E731" s="4" t="s">
        <v>877</v>
      </c>
      <c r="F731" s="20" t="s">
        <v>74</v>
      </c>
      <c r="G731" s="20"/>
      <c r="H731" s="12" t="s">
        <v>532</v>
      </c>
      <c r="I731" s="4"/>
      <c r="J731" s="22">
        <v>0</v>
      </c>
      <c r="K731" s="22">
        <v>0</v>
      </c>
      <c r="L731" s="22">
        <v>0</v>
      </c>
      <c r="M731" s="22">
        <v>0</v>
      </c>
      <c r="N731" s="22">
        <v>0</v>
      </c>
      <c r="O731" s="22">
        <v>0</v>
      </c>
      <c r="P731" s="22">
        <v>0</v>
      </c>
      <c r="Q731" s="22" t="s">
        <v>2308</v>
      </c>
      <c r="R731" s="22" t="s">
        <v>2308</v>
      </c>
      <c r="S731" s="22">
        <v>0</v>
      </c>
      <c r="T731" s="22">
        <v>0</v>
      </c>
      <c r="U731" s="22">
        <v>0</v>
      </c>
      <c r="V731" s="22">
        <v>0</v>
      </c>
      <c r="W731" s="22">
        <v>0</v>
      </c>
      <c r="X731" s="22">
        <v>0</v>
      </c>
      <c r="Y731" s="22" t="s">
        <v>2308</v>
      </c>
      <c r="Z731" s="4" t="s">
        <v>2308</v>
      </c>
      <c r="AA731" s="4" t="s">
        <v>2308</v>
      </c>
      <c r="AB731" s="4" t="s">
        <v>2308</v>
      </c>
      <c r="AC731" s="5" t="s">
        <v>1749</v>
      </c>
      <c r="AD731" s="4"/>
    </row>
    <row r="732" spans="1:30" ht="49.5" customHeight="1">
      <c r="A732" s="24" t="s">
        <v>1580</v>
      </c>
      <c r="B732" s="4" t="s">
        <v>1730</v>
      </c>
      <c r="C732" s="24" t="s">
        <v>24</v>
      </c>
      <c r="D732" s="24" t="s">
        <v>149</v>
      </c>
      <c r="E732" s="4" t="s">
        <v>877</v>
      </c>
      <c r="F732" s="20" t="s">
        <v>74</v>
      </c>
      <c r="G732" s="20"/>
      <c r="H732" s="12" t="s">
        <v>532</v>
      </c>
      <c r="I732" s="4"/>
      <c r="J732" s="22">
        <v>0</v>
      </c>
      <c r="K732" s="22">
        <v>0</v>
      </c>
      <c r="L732" s="22">
        <v>0</v>
      </c>
      <c r="M732" s="22">
        <v>0</v>
      </c>
      <c r="N732" s="22">
        <v>0</v>
      </c>
      <c r="O732" s="22">
        <v>0</v>
      </c>
      <c r="P732" s="22">
        <v>0</v>
      </c>
      <c r="Q732" s="22" t="s">
        <v>2308</v>
      </c>
      <c r="R732" s="22" t="s">
        <v>2308</v>
      </c>
      <c r="S732" s="22">
        <v>0</v>
      </c>
      <c r="T732" s="22">
        <v>0</v>
      </c>
      <c r="U732" s="22">
        <v>0</v>
      </c>
      <c r="V732" s="22">
        <v>0</v>
      </c>
      <c r="W732" s="22">
        <v>0</v>
      </c>
      <c r="X732" s="22">
        <v>0</v>
      </c>
      <c r="Y732" s="22" t="s">
        <v>2308</v>
      </c>
      <c r="Z732" s="4" t="s">
        <v>2308</v>
      </c>
      <c r="AA732" s="4" t="s">
        <v>2308</v>
      </c>
      <c r="AB732" s="4" t="s">
        <v>2308</v>
      </c>
      <c r="AC732" s="5" t="s">
        <v>1749</v>
      </c>
      <c r="AD732" s="4"/>
    </row>
    <row r="733" spans="1:30" ht="49.5" customHeight="1">
      <c r="A733" s="24" t="s">
        <v>1581</v>
      </c>
      <c r="B733" s="4" t="s">
        <v>1731</v>
      </c>
      <c r="C733" s="24" t="s">
        <v>24</v>
      </c>
      <c r="D733" s="24" t="s">
        <v>149</v>
      </c>
      <c r="E733" s="4" t="s">
        <v>877</v>
      </c>
      <c r="F733" s="20" t="s">
        <v>74</v>
      </c>
      <c r="G733" s="20"/>
      <c r="H733" s="12" t="s">
        <v>532</v>
      </c>
      <c r="I733" s="4"/>
      <c r="J733" s="22">
        <v>0</v>
      </c>
      <c r="K733" s="22">
        <v>0</v>
      </c>
      <c r="L733" s="22">
        <v>0</v>
      </c>
      <c r="M733" s="22">
        <v>0</v>
      </c>
      <c r="N733" s="22">
        <v>0</v>
      </c>
      <c r="O733" s="22">
        <v>0</v>
      </c>
      <c r="P733" s="22">
        <v>0</v>
      </c>
      <c r="Q733" s="22" t="s">
        <v>2308</v>
      </c>
      <c r="R733" s="22" t="s">
        <v>2308</v>
      </c>
      <c r="S733" s="22">
        <v>0</v>
      </c>
      <c r="T733" s="22">
        <v>0</v>
      </c>
      <c r="U733" s="22">
        <v>0</v>
      </c>
      <c r="V733" s="22">
        <v>0</v>
      </c>
      <c r="W733" s="22">
        <v>0</v>
      </c>
      <c r="X733" s="22">
        <v>0</v>
      </c>
      <c r="Y733" s="22" t="s">
        <v>2308</v>
      </c>
      <c r="Z733" s="4" t="s">
        <v>2308</v>
      </c>
      <c r="AA733" s="4" t="s">
        <v>2308</v>
      </c>
      <c r="AB733" s="4" t="s">
        <v>2308</v>
      </c>
      <c r="AC733" s="5" t="s">
        <v>1749</v>
      </c>
      <c r="AD733" s="4"/>
    </row>
    <row r="734" spans="1:30" ht="49.5" customHeight="1">
      <c r="A734" s="24" t="s">
        <v>1582</v>
      </c>
      <c r="B734" s="4" t="s">
        <v>1732</v>
      </c>
      <c r="C734" s="24" t="s">
        <v>24</v>
      </c>
      <c r="D734" s="24" t="s">
        <v>149</v>
      </c>
      <c r="E734" s="4" t="s">
        <v>877</v>
      </c>
      <c r="F734" s="20" t="s">
        <v>74</v>
      </c>
      <c r="G734" s="20"/>
      <c r="H734" s="12" t="s">
        <v>532</v>
      </c>
      <c r="I734" s="4"/>
      <c r="J734" s="22">
        <v>0</v>
      </c>
      <c r="K734" s="22">
        <v>0</v>
      </c>
      <c r="L734" s="22">
        <v>0</v>
      </c>
      <c r="M734" s="22">
        <v>0</v>
      </c>
      <c r="N734" s="22">
        <v>0</v>
      </c>
      <c r="O734" s="22">
        <v>0</v>
      </c>
      <c r="P734" s="22">
        <v>0</v>
      </c>
      <c r="Q734" s="22" t="s">
        <v>2308</v>
      </c>
      <c r="R734" s="22" t="s">
        <v>2308</v>
      </c>
      <c r="S734" s="22">
        <v>0</v>
      </c>
      <c r="T734" s="22">
        <v>0</v>
      </c>
      <c r="U734" s="22">
        <v>0</v>
      </c>
      <c r="V734" s="22">
        <v>0</v>
      </c>
      <c r="W734" s="22">
        <v>0</v>
      </c>
      <c r="X734" s="22">
        <v>0</v>
      </c>
      <c r="Y734" s="22" t="s">
        <v>2308</v>
      </c>
      <c r="Z734" s="4" t="s">
        <v>2308</v>
      </c>
      <c r="AA734" s="4" t="s">
        <v>2308</v>
      </c>
      <c r="AB734" s="4" t="s">
        <v>2308</v>
      </c>
      <c r="AC734" s="5" t="s">
        <v>1749</v>
      </c>
      <c r="AD734" s="4"/>
    </row>
    <row r="735" spans="1:30" ht="49.5" customHeight="1">
      <c r="A735" s="24" t="s">
        <v>1583</v>
      </c>
      <c r="B735" s="4" t="s">
        <v>1733</v>
      </c>
      <c r="C735" s="24" t="s">
        <v>24</v>
      </c>
      <c r="D735" s="24" t="s">
        <v>149</v>
      </c>
      <c r="E735" s="4" t="s">
        <v>877</v>
      </c>
      <c r="F735" s="20" t="s">
        <v>74</v>
      </c>
      <c r="G735" s="20"/>
      <c r="H735" s="12" t="s">
        <v>532</v>
      </c>
      <c r="I735" s="4"/>
      <c r="J735" s="22">
        <v>0</v>
      </c>
      <c r="K735" s="22">
        <v>0</v>
      </c>
      <c r="L735" s="22">
        <v>0</v>
      </c>
      <c r="M735" s="22">
        <v>0</v>
      </c>
      <c r="N735" s="22">
        <v>0</v>
      </c>
      <c r="O735" s="22">
        <v>0</v>
      </c>
      <c r="P735" s="22">
        <v>0</v>
      </c>
      <c r="Q735" s="22" t="s">
        <v>2308</v>
      </c>
      <c r="R735" s="22" t="s">
        <v>2308</v>
      </c>
      <c r="S735" s="22">
        <v>0</v>
      </c>
      <c r="T735" s="22">
        <v>0</v>
      </c>
      <c r="U735" s="22">
        <v>0</v>
      </c>
      <c r="V735" s="22">
        <v>0</v>
      </c>
      <c r="W735" s="22">
        <v>0</v>
      </c>
      <c r="X735" s="22">
        <v>0</v>
      </c>
      <c r="Y735" s="22" t="s">
        <v>2308</v>
      </c>
      <c r="Z735" s="4" t="s">
        <v>2308</v>
      </c>
      <c r="AA735" s="4" t="s">
        <v>2308</v>
      </c>
      <c r="AB735" s="4" t="s">
        <v>2308</v>
      </c>
      <c r="AC735" s="5" t="s">
        <v>1749</v>
      </c>
      <c r="AD735" s="4"/>
    </row>
    <row r="736" spans="1:30" ht="49.5" customHeight="1">
      <c r="A736" s="24" t="s">
        <v>1584</v>
      </c>
      <c r="B736" s="4" t="s">
        <v>1734</v>
      </c>
      <c r="C736" s="24" t="s">
        <v>24</v>
      </c>
      <c r="D736" s="24" t="s">
        <v>149</v>
      </c>
      <c r="E736" s="4" t="s">
        <v>877</v>
      </c>
      <c r="F736" s="20" t="s">
        <v>74</v>
      </c>
      <c r="G736" s="20"/>
      <c r="H736" s="12" t="s">
        <v>532</v>
      </c>
      <c r="I736" s="4"/>
      <c r="J736" s="22">
        <v>0</v>
      </c>
      <c r="K736" s="22">
        <v>0</v>
      </c>
      <c r="L736" s="22">
        <v>0</v>
      </c>
      <c r="M736" s="22">
        <v>0</v>
      </c>
      <c r="N736" s="22">
        <v>0</v>
      </c>
      <c r="O736" s="22">
        <v>0</v>
      </c>
      <c r="P736" s="22">
        <v>0</v>
      </c>
      <c r="Q736" s="22" t="s">
        <v>2308</v>
      </c>
      <c r="R736" s="22" t="s">
        <v>2308</v>
      </c>
      <c r="S736" s="22">
        <v>0</v>
      </c>
      <c r="T736" s="22">
        <v>0</v>
      </c>
      <c r="U736" s="22">
        <v>0</v>
      </c>
      <c r="V736" s="22">
        <v>0</v>
      </c>
      <c r="W736" s="22">
        <v>0</v>
      </c>
      <c r="X736" s="22">
        <v>0</v>
      </c>
      <c r="Y736" s="22" t="s">
        <v>2308</v>
      </c>
      <c r="Z736" s="4" t="s">
        <v>2308</v>
      </c>
      <c r="AA736" s="4" t="s">
        <v>2308</v>
      </c>
      <c r="AB736" s="4" t="s">
        <v>2308</v>
      </c>
      <c r="AC736" s="5" t="s">
        <v>1749</v>
      </c>
      <c r="AD736" s="4"/>
    </row>
    <row r="737" spans="1:30" ht="49.5" customHeight="1">
      <c r="A737" s="24" t="s">
        <v>1585</v>
      </c>
      <c r="B737" s="4" t="s">
        <v>1735</v>
      </c>
      <c r="C737" s="24" t="s">
        <v>24</v>
      </c>
      <c r="D737" s="24" t="s">
        <v>149</v>
      </c>
      <c r="E737" s="4" t="s">
        <v>877</v>
      </c>
      <c r="F737" s="20" t="s">
        <v>74</v>
      </c>
      <c r="G737" s="20"/>
      <c r="H737" s="12" t="s">
        <v>532</v>
      </c>
      <c r="I737" s="4"/>
      <c r="J737" s="22">
        <v>0</v>
      </c>
      <c r="K737" s="22">
        <v>0</v>
      </c>
      <c r="L737" s="22">
        <v>0</v>
      </c>
      <c r="M737" s="22">
        <v>0</v>
      </c>
      <c r="N737" s="22">
        <v>0</v>
      </c>
      <c r="O737" s="22">
        <v>0</v>
      </c>
      <c r="P737" s="22">
        <v>0</v>
      </c>
      <c r="Q737" s="22" t="s">
        <v>2308</v>
      </c>
      <c r="R737" s="22" t="s">
        <v>2308</v>
      </c>
      <c r="S737" s="22">
        <v>0</v>
      </c>
      <c r="T737" s="22">
        <v>0</v>
      </c>
      <c r="U737" s="22">
        <v>0</v>
      </c>
      <c r="V737" s="22">
        <v>0</v>
      </c>
      <c r="W737" s="22">
        <v>0</v>
      </c>
      <c r="X737" s="22">
        <v>0</v>
      </c>
      <c r="Y737" s="22" t="s">
        <v>2308</v>
      </c>
      <c r="Z737" s="4" t="s">
        <v>2308</v>
      </c>
      <c r="AA737" s="4" t="s">
        <v>2308</v>
      </c>
      <c r="AB737" s="4" t="s">
        <v>2308</v>
      </c>
      <c r="AC737" s="5" t="s">
        <v>1749</v>
      </c>
      <c r="AD737" s="4"/>
    </row>
    <row r="738" spans="1:30" ht="49.5" customHeight="1">
      <c r="A738" s="24" t="s">
        <v>1586</v>
      </c>
      <c r="B738" s="4" t="s">
        <v>1736</v>
      </c>
      <c r="C738" s="24" t="s">
        <v>24</v>
      </c>
      <c r="D738" s="24" t="s">
        <v>149</v>
      </c>
      <c r="E738" s="4" t="s">
        <v>877</v>
      </c>
      <c r="F738" s="20" t="s">
        <v>74</v>
      </c>
      <c r="G738" s="20"/>
      <c r="H738" s="12" t="s">
        <v>532</v>
      </c>
      <c r="I738" s="4"/>
      <c r="J738" s="22">
        <v>0</v>
      </c>
      <c r="K738" s="22">
        <v>0</v>
      </c>
      <c r="L738" s="22">
        <v>0</v>
      </c>
      <c r="M738" s="22">
        <v>0</v>
      </c>
      <c r="N738" s="22">
        <v>0</v>
      </c>
      <c r="O738" s="22">
        <v>0</v>
      </c>
      <c r="P738" s="22">
        <v>0</v>
      </c>
      <c r="Q738" s="22" t="s">
        <v>2308</v>
      </c>
      <c r="R738" s="22" t="s">
        <v>2308</v>
      </c>
      <c r="S738" s="22">
        <v>0</v>
      </c>
      <c r="T738" s="22">
        <v>0</v>
      </c>
      <c r="U738" s="22">
        <v>0</v>
      </c>
      <c r="V738" s="22">
        <v>0</v>
      </c>
      <c r="W738" s="22">
        <v>0</v>
      </c>
      <c r="X738" s="22">
        <v>0</v>
      </c>
      <c r="Y738" s="22" t="s">
        <v>2308</v>
      </c>
      <c r="Z738" s="4" t="s">
        <v>2308</v>
      </c>
      <c r="AA738" s="4" t="s">
        <v>2308</v>
      </c>
      <c r="AB738" s="4" t="s">
        <v>2308</v>
      </c>
      <c r="AC738" s="5" t="s">
        <v>1749</v>
      </c>
      <c r="AD738" s="4"/>
    </row>
    <row r="739" spans="1:30" ht="49.5" customHeight="1">
      <c r="A739" s="24" t="s">
        <v>1587</v>
      </c>
      <c r="B739" s="4" t="s">
        <v>1737</v>
      </c>
      <c r="C739" s="24" t="s">
        <v>24</v>
      </c>
      <c r="D739" s="24" t="s">
        <v>149</v>
      </c>
      <c r="E739" s="4" t="s">
        <v>877</v>
      </c>
      <c r="F739" s="20" t="s">
        <v>74</v>
      </c>
      <c r="G739" s="20"/>
      <c r="H739" s="12" t="s">
        <v>532</v>
      </c>
      <c r="I739" s="4"/>
      <c r="J739" s="22">
        <v>0</v>
      </c>
      <c r="K739" s="22">
        <v>0</v>
      </c>
      <c r="L739" s="22">
        <v>0</v>
      </c>
      <c r="M739" s="22">
        <v>0</v>
      </c>
      <c r="N739" s="22">
        <v>0</v>
      </c>
      <c r="O739" s="22">
        <v>0</v>
      </c>
      <c r="P739" s="22">
        <v>0</v>
      </c>
      <c r="Q739" s="22" t="s">
        <v>2308</v>
      </c>
      <c r="R739" s="22" t="s">
        <v>2308</v>
      </c>
      <c r="S739" s="22">
        <v>0</v>
      </c>
      <c r="T739" s="22">
        <v>0</v>
      </c>
      <c r="U739" s="22">
        <v>0</v>
      </c>
      <c r="V739" s="22">
        <v>0</v>
      </c>
      <c r="W739" s="22">
        <v>0</v>
      </c>
      <c r="X739" s="22">
        <v>0</v>
      </c>
      <c r="Y739" s="22" t="s">
        <v>2308</v>
      </c>
      <c r="Z739" s="4" t="s">
        <v>2308</v>
      </c>
      <c r="AA739" s="4" t="s">
        <v>2308</v>
      </c>
      <c r="AB739" s="4" t="s">
        <v>2308</v>
      </c>
      <c r="AC739" s="5" t="s">
        <v>1749</v>
      </c>
      <c r="AD739" s="4"/>
    </row>
    <row r="740" spans="1:30" ht="49.5" customHeight="1">
      <c r="A740" s="24" t="s">
        <v>1588</v>
      </c>
      <c r="B740" s="4" t="s">
        <v>1738</v>
      </c>
      <c r="C740" s="24" t="s">
        <v>24</v>
      </c>
      <c r="D740" s="24" t="s">
        <v>149</v>
      </c>
      <c r="E740" s="4" t="s">
        <v>877</v>
      </c>
      <c r="F740" s="20" t="s">
        <v>74</v>
      </c>
      <c r="G740" s="20"/>
      <c r="H740" s="12" t="s">
        <v>532</v>
      </c>
      <c r="I740" s="4"/>
      <c r="J740" s="22">
        <v>0</v>
      </c>
      <c r="K740" s="22">
        <v>0</v>
      </c>
      <c r="L740" s="22">
        <v>0</v>
      </c>
      <c r="M740" s="22">
        <v>0</v>
      </c>
      <c r="N740" s="22">
        <v>0</v>
      </c>
      <c r="O740" s="22">
        <v>0</v>
      </c>
      <c r="P740" s="22">
        <v>0</v>
      </c>
      <c r="Q740" s="22" t="s">
        <v>2308</v>
      </c>
      <c r="R740" s="22" t="s">
        <v>2308</v>
      </c>
      <c r="S740" s="22">
        <v>0</v>
      </c>
      <c r="T740" s="22">
        <v>0</v>
      </c>
      <c r="U740" s="22">
        <v>0</v>
      </c>
      <c r="V740" s="22">
        <v>0</v>
      </c>
      <c r="W740" s="22">
        <v>0</v>
      </c>
      <c r="X740" s="22">
        <v>0</v>
      </c>
      <c r="Y740" s="22" t="s">
        <v>2308</v>
      </c>
      <c r="Z740" s="4" t="s">
        <v>2308</v>
      </c>
      <c r="AA740" s="4" t="s">
        <v>2308</v>
      </c>
      <c r="AB740" s="4" t="s">
        <v>2308</v>
      </c>
      <c r="AC740" s="5" t="s">
        <v>1749</v>
      </c>
      <c r="AD740" s="4"/>
    </row>
    <row r="741" spans="1:30" ht="49.5" customHeight="1">
      <c r="A741" s="24" t="s">
        <v>1589</v>
      </c>
      <c r="B741" s="4" t="s">
        <v>1739</v>
      </c>
      <c r="C741" s="24" t="s">
        <v>24</v>
      </c>
      <c r="D741" s="24" t="s">
        <v>149</v>
      </c>
      <c r="E741" s="4" t="s">
        <v>877</v>
      </c>
      <c r="F741" s="20" t="s">
        <v>74</v>
      </c>
      <c r="G741" s="20"/>
      <c r="H741" s="12" t="s">
        <v>532</v>
      </c>
      <c r="I741" s="4"/>
      <c r="J741" s="22">
        <v>0</v>
      </c>
      <c r="K741" s="22">
        <v>0</v>
      </c>
      <c r="L741" s="22">
        <v>0</v>
      </c>
      <c r="M741" s="22">
        <v>0</v>
      </c>
      <c r="N741" s="22">
        <v>0</v>
      </c>
      <c r="O741" s="22">
        <v>0</v>
      </c>
      <c r="P741" s="22">
        <v>0</v>
      </c>
      <c r="Q741" s="22" t="s">
        <v>2308</v>
      </c>
      <c r="R741" s="22" t="s">
        <v>2308</v>
      </c>
      <c r="S741" s="22">
        <v>0</v>
      </c>
      <c r="T741" s="22">
        <v>0</v>
      </c>
      <c r="U741" s="22">
        <v>0</v>
      </c>
      <c r="V741" s="22">
        <v>0</v>
      </c>
      <c r="W741" s="22">
        <v>0</v>
      </c>
      <c r="X741" s="22">
        <v>0</v>
      </c>
      <c r="Y741" s="22" t="s">
        <v>2308</v>
      </c>
      <c r="Z741" s="4" t="s">
        <v>2308</v>
      </c>
      <c r="AA741" s="4" t="s">
        <v>2308</v>
      </c>
      <c r="AB741" s="4" t="s">
        <v>2308</v>
      </c>
      <c r="AC741" s="5" t="s">
        <v>1749</v>
      </c>
      <c r="AD741" s="4"/>
    </row>
    <row r="742" spans="1:30" ht="49.5" customHeight="1">
      <c r="A742" s="24" t="s">
        <v>1590</v>
      </c>
      <c r="B742" s="4" t="s">
        <v>1740</v>
      </c>
      <c r="C742" s="24" t="s">
        <v>24</v>
      </c>
      <c r="D742" s="24" t="s">
        <v>149</v>
      </c>
      <c r="E742" s="4" t="s">
        <v>877</v>
      </c>
      <c r="F742" s="20" t="s">
        <v>74</v>
      </c>
      <c r="G742" s="20"/>
      <c r="H742" s="12" t="s">
        <v>532</v>
      </c>
      <c r="I742" s="4"/>
      <c r="J742" s="22">
        <v>0</v>
      </c>
      <c r="K742" s="22">
        <v>0</v>
      </c>
      <c r="L742" s="22">
        <v>0</v>
      </c>
      <c r="M742" s="22">
        <v>0</v>
      </c>
      <c r="N742" s="22">
        <v>0</v>
      </c>
      <c r="O742" s="22">
        <v>0</v>
      </c>
      <c r="P742" s="22">
        <v>0</v>
      </c>
      <c r="Q742" s="22" t="s">
        <v>2308</v>
      </c>
      <c r="R742" s="22" t="s">
        <v>2308</v>
      </c>
      <c r="S742" s="22">
        <v>0</v>
      </c>
      <c r="T742" s="22">
        <v>0</v>
      </c>
      <c r="U742" s="22">
        <v>0</v>
      </c>
      <c r="V742" s="22">
        <v>0</v>
      </c>
      <c r="W742" s="22">
        <v>0</v>
      </c>
      <c r="X742" s="22">
        <v>0</v>
      </c>
      <c r="Y742" s="22" t="s">
        <v>2308</v>
      </c>
      <c r="Z742" s="4" t="s">
        <v>2308</v>
      </c>
      <c r="AA742" s="4" t="s">
        <v>2308</v>
      </c>
      <c r="AB742" s="4" t="s">
        <v>2308</v>
      </c>
      <c r="AC742" s="5" t="s">
        <v>1749</v>
      </c>
      <c r="AD742" s="4"/>
    </row>
    <row r="743" spans="1:30" ht="49.5" customHeight="1">
      <c r="A743" s="24" t="s">
        <v>1591</v>
      </c>
      <c r="B743" s="4" t="s">
        <v>1741</v>
      </c>
      <c r="C743" s="24" t="s">
        <v>24</v>
      </c>
      <c r="D743" s="24" t="s">
        <v>149</v>
      </c>
      <c r="E743" s="4" t="s">
        <v>877</v>
      </c>
      <c r="F743" s="20" t="s">
        <v>74</v>
      </c>
      <c r="G743" s="20"/>
      <c r="H743" s="12" t="s">
        <v>532</v>
      </c>
      <c r="I743" s="4"/>
      <c r="J743" s="22">
        <v>0</v>
      </c>
      <c r="K743" s="22">
        <v>0</v>
      </c>
      <c r="L743" s="22">
        <v>0</v>
      </c>
      <c r="M743" s="22">
        <v>0</v>
      </c>
      <c r="N743" s="22">
        <v>0</v>
      </c>
      <c r="O743" s="22">
        <v>0</v>
      </c>
      <c r="P743" s="22">
        <v>0</v>
      </c>
      <c r="Q743" s="22" t="s">
        <v>2308</v>
      </c>
      <c r="R743" s="22" t="s">
        <v>2308</v>
      </c>
      <c r="S743" s="22">
        <v>0</v>
      </c>
      <c r="T743" s="22">
        <v>0</v>
      </c>
      <c r="U743" s="22">
        <v>0</v>
      </c>
      <c r="V743" s="22">
        <v>0</v>
      </c>
      <c r="W743" s="22">
        <v>0</v>
      </c>
      <c r="X743" s="22">
        <v>0</v>
      </c>
      <c r="Y743" s="22" t="s">
        <v>2308</v>
      </c>
      <c r="Z743" s="4" t="s">
        <v>2308</v>
      </c>
      <c r="AA743" s="4" t="s">
        <v>2308</v>
      </c>
      <c r="AB743" s="4" t="s">
        <v>2308</v>
      </c>
      <c r="AC743" s="5" t="s">
        <v>1749</v>
      </c>
      <c r="AD743" s="4"/>
    </row>
    <row r="744" spans="1:30" ht="49.5" customHeight="1">
      <c r="A744" s="24" t="s">
        <v>1592</v>
      </c>
      <c r="B744" s="4" t="s">
        <v>1742</v>
      </c>
      <c r="C744" s="24" t="s">
        <v>24</v>
      </c>
      <c r="D744" s="24" t="s">
        <v>149</v>
      </c>
      <c r="E744" s="4" t="s">
        <v>877</v>
      </c>
      <c r="F744" s="20" t="s">
        <v>74</v>
      </c>
      <c r="G744" s="20"/>
      <c r="H744" s="12" t="s">
        <v>532</v>
      </c>
      <c r="I744" s="4"/>
      <c r="J744" s="22">
        <v>0</v>
      </c>
      <c r="K744" s="22">
        <v>0</v>
      </c>
      <c r="L744" s="22">
        <v>0</v>
      </c>
      <c r="M744" s="22">
        <v>0</v>
      </c>
      <c r="N744" s="22">
        <v>0</v>
      </c>
      <c r="O744" s="22">
        <v>0</v>
      </c>
      <c r="P744" s="22">
        <v>0</v>
      </c>
      <c r="Q744" s="22" t="s">
        <v>2308</v>
      </c>
      <c r="R744" s="22" t="s">
        <v>2308</v>
      </c>
      <c r="S744" s="22">
        <v>0</v>
      </c>
      <c r="T744" s="22">
        <v>0</v>
      </c>
      <c r="U744" s="22">
        <v>0</v>
      </c>
      <c r="V744" s="22">
        <v>0</v>
      </c>
      <c r="W744" s="22">
        <v>0</v>
      </c>
      <c r="X744" s="22">
        <v>0</v>
      </c>
      <c r="Y744" s="22" t="s">
        <v>2308</v>
      </c>
      <c r="Z744" s="4" t="s">
        <v>2308</v>
      </c>
      <c r="AA744" s="4" t="s">
        <v>2308</v>
      </c>
      <c r="AB744" s="4" t="s">
        <v>2308</v>
      </c>
      <c r="AC744" s="5" t="s">
        <v>1749</v>
      </c>
      <c r="AD744" s="4"/>
    </row>
    <row r="745" spans="1:30" ht="49.5" customHeight="1">
      <c r="A745" s="24" t="s">
        <v>1593</v>
      </c>
      <c r="B745" s="4" t="s">
        <v>1743</v>
      </c>
      <c r="C745" s="24" t="s">
        <v>24</v>
      </c>
      <c r="D745" s="24" t="s">
        <v>149</v>
      </c>
      <c r="E745" s="4" t="s">
        <v>877</v>
      </c>
      <c r="F745" s="20" t="s">
        <v>74</v>
      </c>
      <c r="G745" s="20"/>
      <c r="H745" s="12" t="s">
        <v>532</v>
      </c>
      <c r="I745" s="4"/>
      <c r="J745" s="22">
        <v>0</v>
      </c>
      <c r="K745" s="22">
        <v>0</v>
      </c>
      <c r="L745" s="22">
        <v>0</v>
      </c>
      <c r="M745" s="22">
        <v>0</v>
      </c>
      <c r="N745" s="22">
        <v>0</v>
      </c>
      <c r="O745" s="22">
        <v>0</v>
      </c>
      <c r="P745" s="22">
        <v>0</v>
      </c>
      <c r="Q745" s="22" t="s">
        <v>2308</v>
      </c>
      <c r="R745" s="22" t="s">
        <v>2308</v>
      </c>
      <c r="S745" s="22">
        <v>0</v>
      </c>
      <c r="T745" s="22">
        <v>0</v>
      </c>
      <c r="U745" s="22">
        <v>0</v>
      </c>
      <c r="V745" s="22">
        <v>0</v>
      </c>
      <c r="W745" s="22">
        <v>0</v>
      </c>
      <c r="X745" s="22">
        <v>0</v>
      </c>
      <c r="Y745" s="22" t="s">
        <v>2308</v>
      </c>
      <c r="Z745" s="4" t="s">
        <v>2308</v>
      </c>
      <c r="AA745" s="4" t="s">
        <v>2308</v>
      </c>
      <c r="AB745" s="4" t="s">
        <v>2308</v>
      </c>
      <c r="AC745" s="5" t="s">
        <v>1749</v>
      </c>
      <c r="AD745" s="4"/>
    </row>
    <row r="746" spans="1:30" ht="49.5" customHeight="1">
      <c r="A746" s="24" t="s">
        <v>1594</v>
      </c>
      <c r="B746" s="4" t="s">
        <v>1744</v>
      </c>
      <c r="C746" s="24" t="s">
        <v>24</v>
      </c>
      <c r="D746" s="24" t="s">
        <v>149</v>
      </c>
      <c r="E746" s="4" t="s">
        <v>877</v>
      </c>
      <c r="F746" s="20" t="s">
        <v>74</v>
      </c>
      <c r="G746" s="20"/>
      <c r="H746" s="12" t="s">
        <v>532</v>
      </c>
      <c r="I746" s="4"/>
      <c r="J746" s="22">
        <v>0</v>
      </c>
      <c r="K746" s="22">
        <v>0</v>
      </c>
      <c r="L746" s="22">
        <v>0</v>
      </c>
      <c r="M746" s="22">
        <v>0</v>
      </c>
      <c r="N746" s="22">
        <v>0</v>
      </c>
      <c r="O746" s="22">
        <v>0</v>
      </c>
      <c r="P746" s="22">
        <v>0</v>
      </c>
      <c r="Q746" s="22" t="s">
        <v>2308</v>
      </c>
      <c r="R746" s="22" t="s">
        <v>2308</v>
      </c>
      <c r="S746" s="22">
        <v>0</v>
      </c>
      <c r="T746" s="22">
        <v>0</v>
      </c>
      <c r="U746" s="22">
        <v>0</v>
      </c>
      <c r="V746" s="22">
        <v>0</v>
      </c>
      <c r="W746" s="22">
        <v>0</v>
      </c>
      <c r="X746" s="22">
        <v>0</v>
      </c>
      <c r="Y746" s="22" t="s">
        <v>2308</v>
      </c>
      <c r="Z746" s="4" t="s">
        <v>2308</v>
      </c>
      <c r="AA746" s="4" t="s">
        <v>2308</v>
      </c>
      <c r="AB746" s="4" t="s">
        <v>2308</v>
      </c>
      <c r="AC746" s="5" t="s">
        <v>1749</v>
      </c>
      <c r="AD746" s="4"/>
    </row>
    <row r="747" spans="1:30" ht="49.5" customHeight="1">
      <c r="A747" s="24" t="s">
        <v>1595</v>
      </c>
      <c r="B747" s="4" t="s">
        <v>1745</v>
      </c>
      <c r="C747" s="24" t="s">
        <v>24</v>
      </c>
      <c r="D747" s="24" t="s">
        <v>149</v>
      </c>
      <c r="E747" s="4" t="s">
        <v>877</v>
      </c>
      <c r="F747" s="20" t="s">
        <v>74</v>
      </c>
      <c r="G747" s="20"/>
      <c r="H747" s="12" t="s">
        <v>532</v>
      </c>
      <c r="I747" s="4"/>
      <c r="J747" s="22">
        <v>0</v>
      </c>
      <c r="K747" s="22">
        <v>0</v>
      </c>
      <c r="L747" s="22">
        <v>0</v>
      </c>
      <c r="M747" s="22">
        <v>0</v>
      </c>
      <c r="N747" s="22">
        <v>0</v>
      </c>
      <c r="O747" s="22">
        <v>0</v>
      </c>
      <c r="P747" s="22">
        <v>0</v>
      </c>
      <c r="Q747" s="22" t="s">
        <v>2308</v>
      </c>
      <c r="R747" s="22" t="s">
        <v>2308</v>
      </c>
      <c r="S747" s="22">
        <v>0</v>
      </c>
      <c r="T747" s="22">
        <v>0</v>
      </c>
      <c r="U747" s="22">
        <v>0</v>
      </c>
      <c r="V747" s="22">
        <v>0</v>
      </c>
      <c r="W747" s="22">
        <v>0</v>
      </c>
      <c r="X747" s="22">
        <v>0</v>
      </c>
      <c r="Y747" s="22" t="s">
        <v>2308</v>
      </c>
      <c r="Z747" s="4" t="s">
        <v>2308</v>
      </c>
      <c r="AA747" s="4" t="s">
        <v>2308</v>
      </c>
      <c r="AB747" s="4" t="s">
        <v>2308</v>
      </c>
      <c r="AC747" s="5" t="s">
        <v>1749</v>
      </c>
      <c r="AD747" s="4"/>
    </row>
    <row r="748" spans="1:30" ht="49.5" customHeight="1">
      <c r="A748" s="24" t="s">
        <v>1596</v>
      </c>
      <c r="B748" s="4" t="s">
        <v>1746</v>
      </c>
      <c r="C748" s="24" t="s">
        <v>24</v>
      </c>
      <c r="D748" s="24" t="s">
        <v>149</v>
      </c>
      <c r="E748" s="4" t="s">
        <v>877</v>
      </c>
      <c r="F748" s="20" t="s">
        <v>74</v>
      </c>
      <c r="G748" s="20"/>
      <c r="H748" s="12" t="s">
        <v>532</v>
      </c>
      <c r="I748" s="4"/>
      <c r="J748" s="22">
        <v>0</v>
      </c>
      <c r="K748" s="22">
        <v>0</v>
      </c>
      <c r="L748" s="22">
        <v>0</v>
      </c>
      <c r="M748" s="22">
        <v>0</v>
      </c>
      <c r="N748" s="22">
        <v>0</v>
      </c>
      <c r="O748" s="22">
        <v>0</v>
      </c>
      <c r="P748" s="22">
        <v>0</v>
      </c>
      <c r="Q748" s="22" t="s">
        <v>2308</v>
      </c>
      <c r="R748" s="22" t="s">
        <v>2308</v>
      </c>
      <c r="S748" s="22">
        <v>0</v>
      </c>
      <c r="T748" s="22">
        <v>0</v>
      </c>
      <c r="U748" s="22">
        <v>0</v>
      </c>
      <c r="V748" s="22">
        <v>0</v>
      </c>
      <c r="W748" s="22">
        <v>0</v>
      </c>
      <c r="X748" s="22">
        <v>0</v>
      </c>
      <c r="Y748" s="22" t="s">
        <v>2308</v>
      </c>
      <c r="Z748" s="4" t="s">
        <v>2308</v>
      </c>
      <c r="AA748" s="4" t="s">
        <v>2308</v>
      </c>
      <c r="AB748" s="4" t="s">
        <v>2308</v>
      </c>
      <c r="AC748" s="5" t="s">
        <v>1749</v>
      </c>
      <c r="AD748" s="4"/>
    </row>
    <row r="749" spans="1:30" ht="49.5" customHeight="1">
      <c r="A749" s="24" t="s">
        <v>1597</v>
      </c>
      <c r="B749" s="4" t="s">
        <v>1747</v>
      </c>
      <c r="C749" s="24" t="s">
        <v>24</v>
      </c>
      <c r="D749" s="24" t="s">
        <v>149</v>
      </c>
      <c r="E749" s="4" t="s">
        <v>877</v>
      </c>
      <c r="F749" s="20" t="s">
        <v>74</v>
      </c>
      <c r="G749" s="20"/>
      <c r="H749" s="12" t="s">
        <v>532</v>
      </c>
      <c r="I749" s="4"/>
      <c r="J749" s="22">
        <v>0</v>
      </c>
      <c r="K749" s="22">
        <v>0</v>
      </c>
      <c r="L749" s="22">
        <v>0</v>
      </c>
      <c r="M749" s="22">
        <v>0</v>
      </c>
      <c r="N749" s="22">
        <v>0</v>
      </c>
      <c r="O749" s="22">
        <v>0</v>
      </c>
      <c r="P749" s="22">
        <v>0</v>
      </c>
      <c r="Q749" s="22" t="s">
        <v>2308</v>
      </c>
      <c r="R749" s="22" t="s">
        <v>2308</v>
      </c>
      <c r="S749" s="22">
        <v>0</v>
      </c>
      <c r="T749" s="22">
        <v>0</v>
      </c>
      <c r="U749" s="22">
        <v>0</v>
      </c>
      <c r="V749" s="22">
        <v>0</v>
      </c>
      <c r="W749" s="22">
        <v>0</v>
      </c>
      <c r="X749" s="22">
        <v>0</v>
      </c>
      <c r="Y749" s="22" t="s">
        <v>2308</v>
      </c>
      <c r="Z749" s="4" t="s">
        <v>2308</v>
      </c>
      <c r="AA749" s="4" t="s">
        <v>2308</v>
      </c>
      <c r="AB749" s="4" t="s">
        <v>2308</v>
      </c>
      <c r="AC749" s="5" t="s">
        <v>1749</v>
      </c>
      <c r="AD749" s="4"/>
    </row>
    <row r="750" spans="1:30" ht="49.5" customHeight="1">
      <c r="A750" s="24" t="s">
        <v>1598</v>
      </c>
      <c r="B750" s="4" t="s">
        <v>1748</v>
      </c>
      <c r="C750" s="24" t="s">
        <v>24</v>
      </c>
      <c r="D750" s="24" t="s">
        <v>149</v>
      </c>
      <c r="E750" s="4" t="s">
        <v>877</v>
      </c>
      <c r="F750" s="20" t="s">
        <v>74</v>
      </c>
      <c r="G750" s="20"/>
      <c r="H750" s="12" t="s">
        <v>532</v>
      </c>
      <c r="I750" s="4"/>
      <c r="J750" s="22">
        <v>0</v>
      </c>
      <c r="K750" s="22">
        <v>0</v>
      </c>
      <c r="L750" s="22">
        <v>0</v>
      </c>
      <c r="M750" s="22">
        <v>0</v>
      </c>
      <c r="N750" s="22">
        <v>0</v>
      </c>
      <c r="O750" s="22">
        <v>0</v>
      </c>
      <c r="P750" s="22">
        <v>0</v>
      </c>
      <c r="Q750" s="22" t="s">
        <v>2308</v>
      </c>
      <c r="R750" s="22" t="s">
        <v>2308</v>
      </c>
      <c r="S750" s="22">
        <v>0</v>
      </c>
      <c r="T750" s="22">
        <v>0</v>
      </c>
      <c r="U750" s="22">
        <v>0</v>
      </c>
      <c r="V750" s="22">
        <v>0</v>
      </c>
      <c r="W750" s="22">
        <v>0</v>
      </c>
      <c r="X750" s="22">
        <v>0</v>
      </c>
      <c r="Y750" s="22" t="s">
        <v>2308</v>
      </c>
      <c r="Z750" s="4" t="s">
        <v>2308</v>
      </c>
      <c r="AA750" s="4" t="s">
        <v>2308</v>
      </c>
      <c r="AB750" s="4" t="s">
        <v>2308</v>
      </c>
      <c r="AC750" s="5" t="s">
        <v>1749</v>
      </c>
      <c r="AD750" s="4"/>
    </row>
    <row r="751" spans="1:30" ht="40" customHeight="1">
      <c r="A751" s="12" t="s">
        <v>1174</v>
      </c>
      <c r="B751" s="12" t="s">
        <v>1178</v>
      </c>
      <c r="C751" s="24" t="s">
        <v>24</v>
      </c>
      <c r="D751" s="24" t="s">
        <v>149</v>
      </c>
      <c r="E751" s="5" t="s">
        <v>403</v>
      </c>
      <c r="F751" s="20" t="s">
        <v>74</v>
      </c>
      <c r="G751" s="20"/>
      <c r="H751" s="12" t="s">
        <v>531</v>
      </c>
      <c r="I751" s="4"/>
      <c r="J751" s="22" t="s">
        <v>2308</v>
      </c>
      <c r="K751" s="22" t="s">
        <v>2308</v>
      </c>
      <c r="L751" s="22" t="s">
        <v>2308</v>
      </c>
      <c r="M751" s="22" t="s">
        <v>2308</v>
      </c>
      <c r="N751" s="22" t="s">
        <v>2308</v>
      </c>
      <c r="O751" s="22" t="s">
        <v>2308</v>
      </c>
      <c r="P751" s="22" t="s">
        <v>2308</v>
      </c>
      <c r="Q751" s="22" t="s">
        <v>2308</v>
      </c>
      <c r="R751" s="22" t="s">
        <v>2308</v>
      </c>
      <c r="S751" s="22" t="s">
        <v>2308</v>
      </c>
      <c r="T751" s="22" t="s">
        <v>2308</v>
      </c>
      <c r="U751" s="22" t="s">
        <v>2308</v>
      </c>
      <c r="V751" s="22" t="s">
        <v>2308</v>
      </c>
      <c r="W751" s="22" t="s">
        <v>2308</v>
      </c>
      <c r="X751" s="22" t="s">
        <v>2308</v>
      </c>
      <c r="Y751" s="22" t="s">
        <v>2308</v>
      </c>
      <c r="Z751" s="4" t="s">
        <v>2308</v>
      </c>
      <c r="AA751" s="4" t="s">
        <v>2308</v>
      </c>
      <c r="AB751" s="4" t="s">
        <v>2308</v>
      </c>
      <c r="AC751" s="4" t="s">
        <v>1197</v>
      </c>
      <c r="AD751" s="4"/>
    </row>
    <row r="752" spans="1:30" ht="37" customHeight="1">
      <c r="A752" s="12" t="s">
        <v>1190</v>
      </c>
      <c r="B752" s="12" t="s">
        <v>1196</v>
      </c>
      <c r="C752" s="24" t="s">
        <v>24</v>
      </c>
      <c r="D752" s="24" t="s">
        <v>149</v>
      </c>
      <c r="E752" s="5" t="s">
        <v>403</v>
      </c>
      <c r="F752" s="20" t="s">
        <v>74</v>
      </c>
      <c r="G752" s="20"/>
      <c r="H752" s="12" t="s">
        <v>531</v>
      </c>
      <c r="I752" s="4"/>
      <c r="J752" s="22" t="s">
        <v>2308</v>
      </c>
      <c r="K752" s="22" t="s">
        <v>2308</v>
      </c>
      <c r="L752" s="22" t="s">
        <v>2308</v>
      </c>
      <c r="M752" s="22" t="s">
        <v>2308</v>
      </c>
      <c r="N752" s="22" t="s">
        <v>2308</v>
      </c>
      <c r="O752" s="22" t="s">
        <v>2308</v>
      </c>
      <c r="P752" s="22" t="s">
        <v>2308</v>
      </c>
      <c r="Q752" s="22" t="s">
        <v>2308</v>
      </c>
      <c r="R752" s="22" t="s">
        <v>2308</v>
      </c>
      <c r="S752" s="22" t="s">
        <v>2308</v>
      </c>
      <c r="T752" s="22" t="s">
        <v>2308</v>
      </c>
      <c r="U752" s="22" t="s">
        <v>2308</v>
      </c>
      <c r="V752" s="22" t="s">
        <v>2308</v>
      </c>
      <c r="W752" s="22" t="s">
        <v>2308</v>
      </c>
      <c r="X752" s="22" t="s">
        <v>2308</v>
      </c>
      <c r="Y752" s="22" t="s">
        <v>2308</v>
      </c>
      <c r="Z752" s="4" t="s">
        <v>2308</v>
      </c>
      <c r="AA752" s="4" t="s">
        <v>2308</v>
      </c>
      <c r="AB752" s="4" t="s">
        <v>2308</v>
      </c>
      <c r="AC752" s="4" t="s">
        <v>1197</v>
      </c>
      <c r="AD752" s="4"/>
    </row>
    <row r="753" spans="1:30" ht="38.5" customHeight="1">
      <c r="A753" s="12" t="s">
        <v>1192</v>
      </c>
      <c r="B753" s="12" t="s">
        <v>1198</v>
      </c>
      <c r="C753" s="24" t="s">
        <v>24</v>
      </c>
      <c r="D753" s="24" t="s">
        <v>149</v>
      </c>
      <c r="E753" s="5" t="s">
        <v>403</v>
      </c>
      <c r="F753" s="20" t="s">
        <v>74</v>
      </c>
      <c r="G753" s="20"/>
      <c r="H753" s="12" t="s">
        <v>531</v>
      </c>
      <c r="I753" s="4"/>
      <c r="J753" s="22" t="s">
        <v>2308</v>
      </c>
      <c r="K753" s="22" t="s">
        <v>2308</v>
      </c>
      <c r="L753" s="22" t="s">
        <v>2308</v>
      </c>
      <c r="M753" s="22" t="s">
        <v>2308</v>
      </c>
      <c r="N753" s="22" t="s">
        <v>2308</v>
      </c>
      <c r="O753" s="22" t="s">
        <v>2308</v>
      </c>
      <c r="P753" s="22" t="s">
        <v>2308</v>
      </c>
      <c r="Q753" s="22" t="s">
        <v>2308</v>
      </c>
      <c r="R753" s="22" t="s">
        <v>2308</v>
      </c>
      <c r="S753" s="22" t="s">
        <v>2308</v>
      </c>
      <c r="T753" s="22" t="s">
        <v>2308</v>
      </c>
      <c r="U753" s="22" t="s">
        <v>2308</v>
      </c>
      <c r="V753" s="22" t="s">
        <v>2308</v>
      </c>
      <c r="W753" s="22" t="s">
        <v>2308</v>
      </c>
      <c r="X753" s="22" t="s">
        <v>2308</v>
      </c>
      <c r="Y753" s="22" t="s">
        <v>2308</v>
      </c>
      <c r="Z753" s="4" t="s">
        <v>2308</v>
      </c>
      <c r="AA753" s="4" t="s">
        <v>2308</v>
      </c>
      <c r="AB753" s="4" t="s">
        <v>2308</v>
      </c>
      <c r="AC753" s="4" t="s">
        <v>1197</v>
      </c>
      <c r="AD753" s="4"/>
    </row>
    <row r="754" spans="1:30" ht="38.5" customHeight="1">
      <c r="A754" s="12" t="s">
        <v>1199</v>
      </c>
      <c r="B754" s="12" t="s">
        <v>1203</v>
      </c>
      <c r="C754" s="24" t="s">
        <v>24</v>
      </c>
      <c r="D754" s="4" t="s">
        <v>27</v>
      </c>
      <c r="E754" s="4" t="s">
        <v>136</v>
      </c>
      <c r="F754" s="5" t="s">
        <v>167</v>
      </c>
      <c r="G754" s="4"/>
      <c r="H754" s="4" t="s">
        <v>531</v>
      </c>
      <c r="I754" s="4"/>
      <c r="J754" s="22" t="s">
        <v>2308</v>
      </c>
      <c r="K754" s="22" t="s">
        <v>2308</v>
      </c>
      <c r="L754" s="22" t="s">
        <v>2308</v>
      </c>
      <c r="M754" s="22" t="s">
        <v>2308</v>
      </c>
      <c r="N754" s="22" t="s">
        <v>2308</v>
      </c>
      <c r="O754" s="22" t="s">
        <v>2308</v>
      </c>
      <c r="P754" s="22" t="s">
        <v>2308</v>
      </c>
      <c r="Q754" s="22" t="s">
        <v>2308</v>
      </c>
      <c r="R754" s="22" t="s">
        <v>2308</v>
      </c>
      <c r="S754" s="22" t="s">
        <v>2308</v>
      </c>
      <c r="T754" s="22" t="s">
        <v>2308</v>
      </c>
      <c r="U754" s="22" t="s">
        <v>2308</v>
      </c>
      <c r="V754" s="22" t="s">
        <v>2308</v>
      </c>
      <c r="W754" s="22" t="s">
        <v>2308</v>
      </c>
      <c r="X754" s="22" t="s">
        <v>2308</v>
      </c>
      <c r="Y754" s="22" t="s">
        <v>2308</v>
      </c>
      <c r="Z754" s="4" t="s">
        <v>195</v>
      </c>
      <c r="AA754" s="4" t="s">
        <v>195</v>
      </c>
      <c r="AB754" s="4" t="s">
        <v>64</v>
      </c>
      <c r="AC754" s="4"/>
      <c r="AD754" s="4"/>
    </row>
    <row r="755" spans="1:30" ht="37" customHeight="1">
      <c r="A755" s="12" t="s">
        <v>1199</v>
      </c>
      <c r="B755" s="12" t="s">
        <v>1204</v>
      </c>
      <c r="C755" s="24" t="s">
        <v>24</v>
      </c>
      <c r="D755" s="4" t="s">
        <v>27</v>
      </c>
      <c r="E755" s="4" t="s">
        <v>136</v>
      </c>
      <c r="F755" s="5" t="s">
        <v>74</v>
      </c>
      <c r="G755" s="4"/>
      <c r="H755" s="4" t="s">
        <v>531</v>
      </c>
      <c r="I755" s="4"/>
      <c r="J755" s="22" t="s">
        <v>2308</v>
      </c>
      <c r="K755" s="22" t="s">
        <v>2308</v>
      </c>
      <c r="L755" s="22" t="s">
        <v>2308</v>
      </c>
      <c r="M755" s="22" t="s">
        <v>2308</v>
      </c>
      <c r="N755" s="22" t="s">
        <v>2308</v>
      </c>
      <c r="O755" s="22" t="s">
        <v>2308</v>
      </c>
      <c r="P755" s="22" t="s">
        <v>2308</v>
      </c>
      <c r="Q755" s="22" t="s">
        <v>2308</v>
      </c>
      <c r="R755" s="22" t="s">
        <v>2308</v>
      </c>
      <c r="S755" s="22" t="s">
        <v>2308</v>
      </c>
      <c r="T755" s="22" t="s">
        <v>2308</v>
      </c>
      <c r="U755" s="22" t="s">
        <v>2308</v>
      </c>
      <c r="V755" s="22" t="s">
        <v>2308</v>
      </c>
      <c r="W755" s="22" t="s">
        <v>2308</v>
      </c>
      <c r="X755" s="22" t="s">
        <v>2308</v>
      </c>
      <c r="Y755" s="22" t="s">
        <v>2308</v>
      </c>
      <c r="Z755" s="4" t="s">
        <v>195</v>
      </c>
      <c r="AA755" s="4" t="s">
        <v>195</v>
      </c>
      <c r="AB755" s="4" t="s">
        <v>64</v>
      </c>
      <c r="AC755" s="4"/>
      <c r="AD755" s="4"/>
    </row>
    <row r="756" spans="1:30" ht="36.5" customHeight="1">
      <c r="A756" s="12" t="s">
        <v>1199</v>
      </c>
      <c r="B756" s="12" t="s">
        <v>1205</v>
      </c>
      <c r="C756" s="24" t="s">
        <v>24</v>
      </c>
      <c r="D756" s="24" t="s">
        <v>149</v>
      </c>
      <c r="E756" s="4" t="s">
        <v>45</v>
      </c>
      <c r="F756" s="5" t="s">
        <v>74</v>
      </c>
      <c r="G756" s="4"/>
      <c r="H756" s="4" t="s">
        <v>531</v>
      </c>
      <c r="I756" s="4"/>
      <c r="J756" s="22" t="s">
        <v>2308</v>
      </c>
      <c r="K756" s="22" t="s">
        <v>2308</v>
      </c>
      <c r="L756" s="22" t="s">
        <v>2308</v>
      </c>
      <c r="M756" s="22" t="s">
        <v>2308</v>
      </c>
      <c r="N756" s="22" t="s">
        <v>2308</v>
      </c>
      <c r="O756" s="22" t="s">
        <v>2308</v>
      </c>
      <c r="P756" s="22" t="s">
        <v>2308</v>
      </c>
      <c r="Q756" s="22" t="s">
        <v>2308</v>
      </c>
      <c r="R756" s="22" t="s">
        <v>2308</v>
      </c>
      <c r="S756" s="22" t="s">
        <v>2308</v>
      </c>
      <c r="T756" s="22" t="s">
        <v>2308</v>
      </c>
      <c r="U756" s="22" t="s">
        <v>2308</v>
      </c>
      <c r="V756" s="22" t="s">
        <v>2308</v>
      </c>
      <c r="W756" s="22" t="s">
        <v>2308</v>
      </c>
      <c r="X756" s="22" t="s">
        <v>2308</v>
      </c>
      <c r="Y756" s="22" t="s">
        <v>2308</v>
      </c>
      <c r="Z756" s="4" t="s">
        <v>195</v>
      </c>
      <c r="AA756" s="4" t="s">
        <v>195</v>
      </c>
      <c r="AB756" s="4" t="s">
        <v>64</v>
      </c>
      <c r="AC756" s="4"/>
      <c r="AD756" s="4"/>
    </row>
    <row r="757" spans="1:30" ht="36" customHeight="1">
      <c r="A757" s="12" t="s">
        <v>1199</v>
      </c>
      <c r="B757" s="12" t="s">
        <v>1206</v>
      </c>
      <c r="C757" s="24" t="s">
        <v>24</v>
      </c>
      <c r="D757" s="24" t="s">
        <v>25</v>
      </c>
      <c r="E757" s="4" t="s">
        <v>45</v>
      </c>
      <c r="F757" s="5" t="s">
        <v>74</v>
      </c>
      <c r="G757" s="4"/>
      <c r="H757" s="4" t="s">
        <v>531</v>
      </c>
      <c r="I757" s="4"/>
      <c r="J757" s="22" t="s">
        <v>2308</v>
      </c>
      <c r="K757" s="22" t="s">
        <v>2308</v>
      </c>
      <c r="L757" s="22" t="s">
        <v>2308</v>
      </c>
      <c r="M757" s="22" t="s">
        <v>2308</v>
      </c>
      <c r="N757" s="22" t="s">
        <v>2308</v>
      </c>
      <c r="O757" s="22" t="s">
        <v>2308</v>
      </c>
      <c r="P757" s="22" t="s">
        <v>2308</v>
      </c>
      <c r="Q757" s="22" t="s">
        <v>2308</v>
      </c>
      <c r="R757" s="22" t="s">
        <v>2308</v>
      </c>
      <c r="S757" s="22" t="s">
        <v>2308</v>
      </c>
      <c r="T757" s="22" t="s">
        <v>2308</v>
      </c>
      <c r="U757" s="22" t="s">
        <v>2308</v>
      </c>
      <c r="V757" s="22" t="s">
        <v>2308</v>
      </c>
      <c r="W757" s="22" t="s">
        <v>2308</v>
      </c>
      <c r="X757" s="22" t="s">
        <v>2308</v>
      </c>
      <c r="Y757" s="22" t="s">
        <v>2308</v>
      </c>
      <c r="Z757" s="4" t="s">
        <v>195</v>
      </c>
      <c r="AA757" s="4" t="s">
        <v>195</v>
      </c>
      <c r="AB757" s="4" t="s">
        <v>64</v>
      </c>
      <c r="AC757" s="4"/>
      <c r="AD757" s="4"/>
    </row>
    <row r="758" spans="1:30" ht="63.5" customHeight="1">
      <c r="A758" s="12" t="s">
        <v>1199</v>
      </c>
      <c r="B758" s="12" t="s">
        <v>1208</v>
      </c>
      <c r="C758" s="24" t="s">
        <v>24</v>
      </c>
      <c r="D758" s="24" t="s">
        <v>2378</v>
      </c>
      <c r="E758" s="12" t="s">
        <v>2308</v>
      </c>
      <c r="F758" s="20" t="s">
        <v>74</v>
      </c>
      <c r="G758" s="12"/>
      <c r="H758" s="12" t="s">
        <v>531</v>
      </c>
      <c r="I758" s="4"/>
      <c r="J758" s="22" t="s">
        <v>2308</v>
      </c>
      <c r="K758" s="22" t="s">
        <v>2308</v>
      </c>
      <c r="L758" s="22" t="s">
        <v>2308</v>
      </c>
      <c r="M758" s="22" t="s">
        <v>2308</v>
      </c>
      <c r="N758" s="22" t="s">
        <v>2308</v>
      </c>
      <c r="O758" s="22" t="s">
        <v>2308</v>
      </c>
      <c r="P758" s="22" t="s">
        <v>2308</v>
      </c>
      <c r="Q758" s="22" t="s">
        <v>2308</v>
      </c>
      <c r="R758" s="22" t="s">
        <v>2308</v>
      </c>
      <c r="S758" s="22" t="s">
        <v>2308</v>
      </c>
      <c r="T758" s="22" t="s">
        <v>2308</v>
      </c>
      <c r="U758" s="22" t="s">
        <v>2308</v>
      </c>
      <c r="V758" s="22" t="s">
        <v>2308</v>
      </c>
      <c r="W758" s="22" t="s">
        <v>2308</v>
      </c>
      <c r="X758" s="22" t="s">
        <v>2308</v>
      </c>
      <c r="Y758" s="22" t="s">
        <v>2308</v>
      </c>
      <c r="Z758" s="4" t="s">
        <v>2308</v>
      </c>
      <c r="AA758" s="4" t="s">
        <v>2308</v>
      </c>
      <c r="AB758" s="4" t="s">
        <v>2308</v>
      </c>
      <c r="AC758" s="5" t="s">
        <v>1210</v>
      </c>
      <c r="AD758" s="4"/>
    </row>
    <row r="759" spans="1:30" ht="53" customHeight="1">
      <c r="A759" s="12" t="s">
        <v>1212</v>
      </c>
      <c r="B759" s="12" t="s">
        <v>1220</v>
      </c>
      <c r="C759" s="24" t="s">
        <v>24</v>
      </c>
      <c r="D759" s="4" t="s">
        <v>27</v>
      </c>
      <c r="E759" s="4" t="s">
        <v>136</v>
      </c>
      <c r="F759" s="5" t="s">
        <v>167</v>
      </c>
      <c r="G759" s="4"/>
      <c r="H759" s="4" t="s">
        <v>531</v>
      </c>
      <c r="I759" s="4"/>
      <c r="J759" s="22" t="s">
        <v>2308</v>
      </c>
      <c r="K759" s="22" t="s">
        <v>2308</v>
      </c>
      <c r="L759" s="22" t="s">
        <v>2308</v>
      </c>
      <c r="M759" s="22" t="s">
        <v>2308</v>
      </c>
      <c r="N759" s="22" t="s">
        <v>2308</v>
      </c>
      <c r="O759" s="22" t="s">
        <v>2308</v>
      </c>
      <c r="P759" s="22" t="s">
        <v>2308</v>
      </c>
      <c r="Q759" s="22" t="s">
        <v>2308</v>
      </c>
      <c r="R759" s="22" t="s">
        <v>2308</v>
      </c>
      <c r="S759" s="22" t="s">
        <v>2308</v>
      </c>
      <c r="T759" s="22" t="s">
        <v>2308</v>
      </c>
      <c r="U759" s="22" t="s">
        <v>2308</v>
      </c>
      <c r="V759" s="22" t="s">
        <v>2308</v>
      </c>
      <c r="W759" s="22" t="s">
        <v>2308</v>
      </c>
      <c r="X759" s="22" t="s">
        <v>2308</v>
      </c>
      <c r="Y759" s="22">
        <v>10</v>
      </c>
      <c r="Z759" s="4" t="s">
        <v>2308</v>
      </c>
      <c r="AA759" s="4" t="s">
        <v>2308</v>
      </c>
      <c r="AB759" s="4" t="s">
        <v>2308</v>
      </c>
      <c r="AC759" s="4" t="s">
        <v>1223</v>
      </c>
      <c r="AD759" s="5" t="s">
        <v>1236</v>
      </c>
    </row>
    <row r="760" spans="1:30" ht="49.5" customHeight="1">
      <c r="A760" s="12" t="s">
        <v>1216</v>
      </c>
      <c r="B760" s="12" t="s">
        <v>1221</v>
      </c>
      <c r="C760" s="24" t="s">
        <v>24</v>
      </c>
      <c r="D760" s="4" t="s">
        <v>27</v>
      </c>
      <c r="E760" s="4" t="s">
        <v>136</v>
      </c>
      <c r="F760" s="5" t="s">
        <v>167</v>
      </c>
      <c r="G760" s="4"/>
      <c r="H760" s="4" t="s">
        <v>531</v>
      </c>
      <c r="I760" s="4"/>
      <c r="J760" s="22" t="s">
        <v>2308</v>
      </c>
      <c r="K760" s="22" t="s">
        <v>2308</v>
      </c>
      <c r="L760" s="22" t="s">
        <v>2308</v>
      </c>
      <c r="M760" s="22" t="s">
        <v>2308</v>
      </c>
      <c r="N760" s="22" t="s">
        <v>2308</v>
      </c>
      <c r="O760" s="22" t="s">
        <v>2308</v>
      </c>
      <c r="P760" s="22" t="s">
        <v>2308</v>
      </c>
      <c r="Q760" s="22" t="s">
        <v>2308</v>
      </c>
      <c r="R760" s="22" t="s">
        <v>2308</v>
      </c>
      <c r="S760" s="22" t="s">
        <v>2308</v>
      </c>
      <c r="T760" s="22" t="s">
        <v>2308</v>
      </c>
      <c r="U760" s="22" t="s">
        <v>2308</v>
      </c>
      <c r="V760" s="22" t="s">
        <v>2308</v>
      </c>
      <c r="W760" s="22" t="s">
        <v>2308</v>
      </c>
      <c r="X760" s="22" t="s">
        <v>2308</v>
      </c>
      <c r="Y760" s="22">
        <v>6</v>
      </c>
      <c r="Z760" s="4" t="s">
        <v>2308</v>
      </c>
      <c r="AA760" s="4" t="s">
        <v>2308</v>
      </c>
      <c r="AB760" s="4" t="s">
        <v>2308</v>
      </c>
      <c r="AC760" s="4" t="s">
        <v>1223</v>
      </c>
      <c r="AD760" s="5" t="s">
        <v>1236</v>
      </c>
    </row>
    <row r="761" spans="1:30" ht="54" customHeight="1">
      <c r="A761" s="12" t="s">
        <v>1217</v>
      </c>
      <c r="B761" s="12" t="s">
        <v>1222</v>
      </c>
      <c r="C761" s="24" t="s">
        <v>24</v>
      </c>
      <c r="D761" s="4" t="s">
        <v>27</v>
      </c>
      <c r="E761" s="4" t="s">
        <v>136</v>
      </c>
      <c r="F761" s="5" t="s">
        <v>167</v>
      </c>
      <c r="G761" s="4"/>
      <c r="H761" s="4" t="s">
        <v>531</v>
      </c>
      <c r="I761" s="4"/>
      <c r="J761" s="22" t="s">
        <v>2308</v>
      </c>
      <c r="K761" s="22" t="s">
        <v>2308</v>
      </c>
      <c r="L761" s="22" t="s">
        <v>2308</v>
      </c>
      <c r="M761" s="22" t="s">
        <v>2308</v>
      </c>
      <c r="N761" s="22" t="s">
        <v>2308</v>
      </c>
      <c r="O761" s="22" t="s">
        <v>2308</v>
      </c>
      <c r="P761" s="22" t="s">
        <v>2308</v>
      </c>
      <c r="Q761" s="22" t="s">
        <v>2308</v>
      </c>
      <c r="R761" s="22" t="s">
        <v>2308</v>
      </c>
      <c r="S761" s="22" t="s">
        <v>2308</v>
      </c>
      <c r="T761" s="22" t="s">
        <v>2308</v>
      </c>
      <c r="U761" s="22" t="s">
        <v>2308</v>
      </c>
      <c r="V761" s="22" t="s">
        <v>2308</v>
      </c>
      <c r="W761" s="22" t="s">
        <v>2308</v>
      </c>
      <c r="X761" s="22" t="s">
        <v>2308</v>
      </c>
      <c r="Y761" s="22">
        <v>8</v>
      </c>
      <c r="Z761" s="4" t="s">
        <v>2308</v>
      </c>
      <c r="AA761" s="4" t="s">
        <v>2308</v>
      </c>
      <c r="AB761" s="4" t="s">
        <v>2308</v>
      </c>
      <c r="AC761" s="5" t="s">
        <v>1224</v>
      </c>
      <c r="AD761" s="5" t="s">
        <v>1236</v>
      </c>
    </row>
    <row r="762" spans="1:30" ht="37" customHeight="1">
      <c r="A762" s="12" t="s">
        <v>1226</v>
      </c>
      <c r="B762" s="12" t="s">
        <v>1230</v>
      </c>
      <c r="C762" s="24" t="s">
        <v>24</v>
      </c>
      <c r="D762" s="4" t="s">
        <v>27</v>
      </c>
      <c r="E762" s="4" t="s">
        <v>136</v>
      </c>
      <c r="F762" s="5" t="s">
        <v>167</v>
      </c>
      <c r="G762" s="4"/>
      <c r="H762" s="4" t="s">
        <v>531</v>
      </c>
      <c r="I762" s="4"/>
      <c r="J762" s="22" t="s">
        <v>2308</v>
      </c>
      <c r="K762" s="22" t="s">
        <v>2308</v>
      </c>
      <c r="L762" s="22" t="s">
        <v>2308</v>
      </c>
      <c r="M762" s="22" t="s">
        <v>2308</v>
      </c>
      <c r="N762" s="22" t="s">
        <v>2308</v>
      </c>
      <c r="O762" s="22" t="s">
        <v>2308</v>
      </c>
      <c r="P762" s="22" t="s">
        <v>2308</v>
      </c>
      <c r="Q762" s="22" t="s">
        <v>2308</v>
      </c>
      <c r="R762" s="22" t="s">
        <v>2308</v>
      </c>
      <c r="S762" s="22" t="s">
        <v>2308</v>
      </c>
      <c r="T762" s="22" t="s">
        <v>2308</v>
      </c>
      <c r="U762" s="22" t="s">
        <v>2308</v>
      </c>
      <c r="V762" s="22" t="s">
        <v>2308</v>
      </c>
      <c r="W762" s="22" t="s">
        <v>2308</v>
      </c>
      <c r="X762" s="22" t="s">
        <v>2308</v>
      </c>
      <c r="Y762" s="22">
        <v>8</v>
      </c>
      <c r="Z762" s="4" t="s">
        <v>2308</v>
      </c>
      <c r="AA762" s="4" t="s">
        <v>2308</v>
      </c>
      <c r="AB762" s="4" t="s">
        <v>2308</v>
      </c>
      <c r="AC762" s="4" t="s">
        <v>1234</v>
      </c>
      <c r="AD762" s="5" t="s">
        <v>1237</v>
      </c>
    </row>
    <row r="763" spans="1:30" ht="37" customHeight="1">
      <c r="A763" s="12" t="s">
        <v>1226</v>
      </c>
      <c r="B763" s="12" t="s">
        <v>1238</v>
      </c>
      <c r="C763" s="24" t="s">
        <v>24</v>
      </c>
      <c r="D763" s="4" t="s">
        <v>2692</v>
      </c>
      <c r="E763" s="4" t="s">
        <v>136</v>
      </c>
      <c r="F763" s="5" t="s">
        <v>167</v>
      </c>
      <c r="G763" s="4"/>
      <c r="H763" s="4" t="s">
        <v>531</v>
      </c>
      <c r="I763" s="4"/>
      <c r="J763" s="22" t="s">
        <v>2308</v>
      </c>
      <c r="K763" s="22" t="s">
        <v>2308</v>
      </c>
      <c r="L763" s="22" t="s">
        <v>2308</v>
      </c>
      <c r="M763" s="22" t="s">
        <v>2308</v>
      </c>
      <c r="N763" s="22" t="s">
        <v>2308</v>
      </c>
      <c r="O763" s="22" t="s">
        <v>2308</v>
      </c>
      <c r="P763" s="22" t="s">
        <v>2308</v>
      </c>
      <c r="Q763" s="22" t="s">
        <v>2308</v>
      </c>
      <c r="R763" s="22" t="s">
        <v>2308</v>
      </c>
      <c r="S763" s="22" t="s">
        <v>2308</v>
      </c>
      <c r="T763" s="22" t="s">
        <v>2308</v>
      </c>
      <c r="U763" s="22" t="s">
        <v>2308</v>
      </c>
      <c r="V763" s="22" t="s">
        <v>2308</v>
      </c>
      <c r="W763" s="22" t="s">
        <v>2308</v>
      </c>
      <c r="X763" s="22" t="s">
        <v>2308</v>
      </c>
      <c r="Y763" s="22" t="s">
        <v>2308</v>
      </c>
      <c r="Z763" s="4" t="s">
        <v>2308</v>
      </c>
      <c r="AA763" s="4" t="s">
        <v>2308</v>
      </c>
      <c r="AB763" s="4" t="s">
        <v>2308</v>
      </c>
      <c r="AC763" s="4"/>
      <c r="AD763" s="5" t="s">
        <v>1242</v>
      </c>
    </row>
    <row r="764" spans="1:30" ht="41.5" customHeight="1">
      <c r="A764" s="12" t="s">
        <v>1227</v>
      </c>
      <c r="B764" s="12" t="s">
        <v>1231</v>
      </c>
      <c r="C764" s="24" t="s">
        <v>24</v>
      </c>
      <c r="D764" s="4" t="s">
        <v>27</v>
      </c>
      <c r="E764" s="4" t="s">
        <v>136</v>
      </c>
      <c r="F764" s="5" t="s">
        <v>167</v>
      </c>
      <c r="G764" s="4"/>
      <c r="H764" s="4" t="s">
        <v>532</v>
      </c>
      <c r="I764" s="4"/>
      <c r="J764" s="22">
        <v>0</v>
      </c>
      <c r="K764" s="22">
        <v>0</v>
      </c>
      <c r="L764" s="22">
        <v>0</v>
      </c>
      <c r="M764" s="22">
        <v>0</v>
      </c>
      <c r="N764" s="22">
        <v>0</v>
      </c>
      <c r="O764" s="22">
        <v>0</v>
      </c>
      <c r="P764" s="22">
        <v>0</v>
      </c>
      <c r="Q764" s="22" t="s">
        <v>2308</v>
      </c>
      <c r="R764" s="22" t="s">
        <v>2308</v>
      </c>
      <c r="S764" s="22">
        <v>0</v>
      </c>
      <c r="T764" s="22">
        <v>0</v>
      </c>
      <c r="U764" s="22">
        <v>0</v>
      </c>
      <c r="V764" s="22">
        <v>0</v>
      </c>
      <c r="W764" s="22" t="s">
        <v>2308</v>
      </c>
      <c r="X764" s="22">
        <v>0</v>
      </c>
      <c r="Y764" s="22" t="s">
        <v>2308</v>
      </c>
      <c r="Z764" s="4" t="s">
        <v>2308</v>
      </c>
      <c r="AA764" s="4" t="s">
        <v>2308</v>
      </c>
      <c r="AB764" s="4" t="s">
        <v>2308</v>
      </c>
      <c r="AC764" s="5" t="s">
        <v>1235</v>
      </c>
      <c r="AD764" s="4"/>
    </row>
    <row r="765" spans="1:30" ht="41.5" customHeight="1">
      <c r="A765" s="12" t="s">
        <v>1227</v>
      </c>
      <c r="B765" s="12" t="s">
        <v>1239</v>
      </c>
      <c r="C765" s="24" t="s">
        <v>24</v>
      </c>
      <c r="D765" s="4" t="s">
        <v>2692</v>
      </c>
      <c r="E765" s="4" t="s">
        <v>136</v>
      </c>
      <c r="F765" s="5" t="s">
        <v>167</v>
      </c>
      <c r="G765" s="4"/>
      <c r="H765" s="4" t="s">
        <v>532</v>
      </c>
      <c r="I765" s="4"/>
      <c r="J765" s="22">
        <v>0</v>
      </c>
      <c r="K765" s="22">
        <v>0</v>
      </c>
      <c r="L765" s="22">
        <v>0</v>
      </c>
      <c r="M765" s="22">
        <v>0</v>
      </c>
      <c r="N765" s="22">
        <v>0</v>
      </c>
      <c r="O765" s="22">
        <v>0</v>
      </c>
      <c r="P765" s="22">
        <v>0</v>
      </c>
      <c r="Q765" s="22" t="s">
        <v>2308</v>
      </c>
      <c r="R765" s="22" t="s">
        <v>2308</v>
      </c>
      <c r="S765" s="22">
        <v>0</v>
      </c>
      <c r="T765" s="22">
        <v>0</v>
      </c>
      <c r="U765" s="22">
        <v>0</v>
      </c>
      <c r="V765" s="22">
        <v>0</v>
      </c>
      <c r="W765" s="22" t="s">
        <v>2308</v>
      </c>
      <c r="X765" s="22">
        <v>0</v>
      </c>
      <c r="Y765" s="22" t="s">
        <v>2308</v>
      </c>
      <c r="Z765" s="4" t="s">
        <v>2308</v>
      </c>
      <c r="AA765" s="4" t="s">
        <v>2308</v>
      </c>
      <c r="AB765" s="4" t="s">
        <v>2308</v>
      </c>
      <c r="AC765" s="5" t="s">
        <v>1235</v>
      </c>
      <c r="AD765" s="4"/>
    </row>
    <row r="766" spans="1:30" ht="39.5" customHeight="1">
      <c r="A766" s="12" t="s">
        <v>1228</v>
      </c>
      <c r="B766" s="12" t="s">
        <v>1232</v>
      </c>
      <c r="C766" s="24" t="s">
        <v>24</v>
      </c>
      <c r="D766" s="4" t="s">
        <v>27</v>
      </c>
      <c r="E766" s="4" t="s">
        <v>136</v>
      </c>
      <c r="F766" s="5" t="s">
        <v>167</v>
      </c>
      <c r="G766" s="4"/>
      <c r="H766" s="4" t="s">
        <v>531</v>
      </c>
      <c r="I766" s="4"/>
      <c r="J766" s="22" t="s">
        <v>2308</v>
      </c>
      <c r="K766" s="22" t="s">
        <v>2308</v>
      </c>
      <c r="L766" s="22" t="s">
        <v>2308</v>
      </c>
      <c r="M766" s="22" t="s">
        <v>2308</v>
      </c>
      <c r="N766" s="22" t="s">
        <v>2308</v>
      </c>
      <c r="O766" s="22" t="s">
        <v>2308</v>
      </c>
      <c r="P766" s="22" t="s">
        <v>2308</v>
      </c>
      <c r="Q766" s="22" t="s">
        <v>2308</v>
      </c>
      <c r="R766" s="22" t="s">
        <v>2308</v>
      </c>
      <c r="S766" s="22" t="s">
        <v>2308</v>
      </c>
      <c r="T766" s="22" t="s">
        <v>2308</v>
      </c>
      <c r="U766" s="22" t="s">
        <v>2308</v>
      </c>
      <c r="V766" s="22" t="s">
        <v>2308</v>
      </c>
      <c r="W766" s="22" t="s">
        <v>2308</v>
      </c>
      <c r="X766" s="22" t="s">
        <v>2308</v>
      </c>
      <c r="Y766" s="22">
        <v>8</v>
      </c>
      <c r="Z766" s="4" t="s">
        <v>2308</v>
      </c>
      <c r="AA766" s="4" t="s">
        <v>2308</v>
      </c>
      <c r="AB766" s="4" t="s">
        <v>2308</v>
      </c>
      <c r="AC766" s="5" t="s">
        <v>1234</v>
      </c>
      <c r="AD766" s="5" t="s">
        <v>1237</v>
      </c>
    </row>
    <row r="767" spans="1:30" ht="39.5" customHeight="1">
      <c r="A767" s="12" t="s">
        <v>1228</v>
      </c>
      <c r="B767" s="12" t="s">
        <v>1240</v>
      </c>
      <c r="C767" s="24" t="s">
        <v>24</v>
      </c>
      <c r="D767" s="4" t="s">
        <v>2692</v>
      </c>
      <c r="E767" s="4" t="s">
        <v>136</v>
      </c>
      <c r="F767" s="5" t="s">
        <v>167</v>
      </c>
      <c r="G767" s="4"/>
      <c r="H767" s="4" t="s">
        <v>531</v>
      </c>
      <c r="I767" s="4"/>
      <c r="J767" s="22" t="s">
        <v>2308</v>
      </c>
      <c r="K767" s="22" t="s">
        <v>2308</v>
      </c>
      <c r="L767" s="22" t="s">
        <v>2308</v>
      </c>
      <c r="M767" s="22" t="s">
        <v>2308</v>
      </c>
      <c r="N767" s="22" t="s">
        <v>2308</v>
      </c>
      <c r="O767" s="22" t="s">
        <v>2308</v>
      </c>
      <c r="P767" s="22" t="s">
        <v>2308</v>
      </c>
      <c r="Q767" s="22" t="s">
        <v>2308</v>
      </c>
      <c r="R767" s="22" t="s">
        <v>2308</v>
      </c>
      <c r="S767" s="22" t="s">
        <v>2308</v>
      </c>
      <c r="T767" s="22" t="s">
        <v>2308</v>
      </c>
      <c r="U767" s="22" t="s">
        <v>2308</v>
      </c>
      <c r="V767" s="22" t="s">
        <v>2308</v>
      </c>
      <c r="W767" s="22" t="s">
        <v>2308</v>
      </c>
      <c r="X767" s="22" t="s">
        <v>2308</v>
      </c>
      <c r="Y767" s="22" t="s">
        <v>2308</v>
      </c>
      <c r="Z767" s="4" t="s">
        <v>2308</v>
      </c>
      <c r="AA767" s="4" t="s">
        <v>2308</v>
      </c>
      <c r="AB767" s="4" t="s">
        <v>2308</v>
      </c>
      <c r="AC767" s="4"/>
      <c r="AD767" s="5" t="s">
        <v>1242</v>
      </c>
    </row>
    <row r="768" spans="1:30" ht="37" customHeight="1">
      <c r="A768" s="12" t="s">
        <v>1229</v>
      </c>
      <c r="B768" s="12" t="s">
        <v>1233</v>
      </c>
      <c r="C768" s="24" t="s">
        <v>24</v>
      </c>
      <c r="D768" s="4" t="s">
        <v>27</v>
      </c>
      <c r="E768" s="4" t="s">
        <v>136</v>
      </c>
      <c r="F768" s="5" t="s">
        <v>167</v>
      </c>
      <c r="G768" s="4"/>
      <c r="H768" s="4" t="s">
        <v>532</v>
      </c>
      <c r="I768" s="4"/>
      <c r="J768" s="22">
        <v>0</v>
      </c>
      <c r="K768" s="22">
        <v>0</v>
      </c>
      <c r="L768" s="22">
        <v>0</v>
      </c>
      <c r="M768" s="22">
        <v>0</v>
      </c>
      <c r="N768" s="22">
        <v>0</v>
      </c>
      <c r="O768" s="22">
        <v>0</v>
      </c>
      <c r="P768" s="22">
        <v>0</v>
      </c>
      <c r="Q768" s="22" t="s">
        <v>2308</v>
      </c>
      <c r="R768" s="22" t="s">
        <v>2308</v>
      </c>
      <c r="S768" s="22">
        <v>0</v>
      </c>
      <c r="T768" s="22">
        <v>0</v>
      </c>
      <c r="U768" s="22">
        <v>0</v>
      </c>
      <c r="V768" s="22">
        <v>0</v>
      </c>
      <c r="W768" s="22" t="s">
        <v>2308</v>
      </c>
      <c r="X768" s="22">
        <v>0</v>
      </c>
      <c r="Y768" s="22" t="s">
        <v>2308</v>
      </c>
      <c r="Z768" s="4" t="s">
        <v>2308</v>
      </c>
      <c r="AA768" s="4" t="s">
        <v>2308</v>
      </c>
      <c r="AB768" s="4" t="s">
        <v>2308</v>
      </c>
      <c r="AC768" s="5" t="s">
        <v>1235</v>
      </c>
      <c r="AD768" s="4"/>
    </row>
    <row r="769" spans="1:30" ht="37" customHeight="1">
      <c r="A769" s="12" t="s">
        <v>1229</v>
      </c>
      <c r="B769" s="12" t="s">
        <v>1241</v>
      </c>
      <c r="C769" s="24" t="s">
        <v>24</v>
      </c>
      <c r="D769" s="4" t="s">
        <v>2692</v>
      </c>
      <c r="E769" s="4" t="s">
        <v>136</v>
      </c>
      <c r="F769" s="5" t="s">
        <v>167</v>
      </c>
      <c r="G769" s="4"/>
      <c r="H769" s="4" t="s">
        <v>532</v>
      </c>
      <c r="I769" s="4"/>
      <c r="J769" s="22">
        <v>0</v>
      </c>
      <c r="K769" s="22">
        <v>0</v>
      </c>
      <c r="L769" s="22">
        <v>0</v>
      </c>
      <c r="M769" s="22">
        <v>0</v>
      </c>
      <c r="N769" s="22">
        <v>0</v>
      </c>
      <c r="O769" s="22">
        <v>0</v>
      </c>
      <c r="P769" s="22">
        <v>0</v>
      </c>
      <c r="Q769" s="22" t="s">
        <v>2308</v>
      </c>
      <c r="R769" s="22" t="s">
        <v>2308</v>
      </c>
      <c r="S769" s="22">
        <v>0</v>
      </c>
      <c r="T769" s="22">
        <v>0</v>
      </c>
      <c r="U769" s="22">
        <v>0</v>
      </c>
      <c r="V769" s="22">
        <v>0</v>
      </c>
      <c r="W769" s="22" t="s">
        <v>2308</v>
      </c>
      <c r="X769" s="22">
        <v>0</v>
      </c>
      <c r="Y769" s="22" t="s">
        <v>2308</v>
      </c>
      <c r="Z769" s="4" t="s">
        <v>2308</v>
      </c>
      <c r="AA769" s="4" t="s">
        <v>2308</v>
      </c>
      <c r="AB769" s="4" t="s">
        <v>2308</v>
      </c>
      <c r="AC769" s="5" t="s">
        <v>1235</v>
      </c>
      <c r="AD769" s="4"/>
    </row>
    <row r="770" spans="1:30" ht="41" customHeight="1">
      <c r="A770" s="12" t="s">
        <v>1254</v>
      </c>
      <c r="B770" s="12" t="s">
        <v>1255</v>
      </c>
      <c r="C770" s="24" t="s">
        <v>24</v>
      </c>
      <c r="D770" s="12" t="s">
        <v>1264</v>
      </c>
      <c r="E770" s="12" t="s">
        <v>5065</v>
      </c>
      <c r="F770" s="5" t="s">
        <v>2695</v>
      </c>
      <c r="G770" s="4"/>
      <c r="H770" s="4" t="s">
        <v>531</v>
      </c>
      <c r="I770" s="4"/>
      <c r="J770" s="22" t="s">
        <v>2308</v>
      </c>
      <c r="K770" s="22" t="s">
        <v>2308</v>
      </c>
      <c r="L770" s="22" t="s">
        <v>2308</v>
      </c>
      <c r="M770" s="22" t="s">
        <v>2308</v>
      </c>
      <c r="N770" s="22" t="s">
        <v>2308</v>
      </c>
      <c r="O770" s="22" t="s">
        <v>2308</v>
      </c>
      <c r="P770" s="22" t="s">
        <v>2308</v>
      </c>
      <c r="Q770" s="22" t="s">
        <v>2308</v>
      </c>
      <c r="R770" s="22" t="s">
        <v>2308</v>
      </c>
      <c r="S770" s="22" t="s">
        <v>2308</v>
      </c>
      <c r="T770" s="22" t="s">
        <v>2308</v>
      </c>
      <c r="U770" s="22" t="s">
        <v>2308</v>
      </c>
      <c r="V770" s="22" t="s">
        <v>2308</v>
      </c>
      <c r="W770" s="22" t="s">
        <v>2308</v>
      </c>
      <c r="X770" s="22" t="s">
        <v>2308</v>
      </c>
      <c r="Y770" s="22">
        <v>4.5</v>
      </c>
      <c r="Z770" s="4" t="s">
        <v>411</v>
      </c>
      <c r="AA770" s="4" t="s">
        <v>35</v>
      </c>
      <c r="AB770" s="4" t="s">
        <v>64</v>
      </c>
      <c r="AC770" s="5" t="s">
        <v>1256</v>
      </c>
      <c r="AD770" s="4"/>
    </row>
    <row r="771" spans="1:30" ht="39" customHeight="1">
      <c r="A771" s="12" t="s">
        <v>1254</v>
      </c>
      <c r="B771" s="12" t="s">
        <v>1257</v>
      </c>
      <c r="C771" s="24" t="s">
        <v>24</v>
      </c>
      <c r="D771" s="12" t="s">
        <v>150</v>
      </c>
      <c r="E771" s="12" t="s">
        <v>143</v>
      </c>
      <c r="F771" s="5" t="s">
        <v>2695</v>
      </c>
      <c r="G771" s="4"/>
      <c r="H771" s="4" t="s">
        <v>532</v>
      </c>
      <c r="I771" s="4"/>
      <c r="J771" s="22">
        <v>0</v>
      </c>
      <c r="K771" s="22">
        <v>0</v>
      </c>
      <c r="L771" s="22">
        <v>0</v>
      </c>
      <c r="M771" s="22">
        <v>0</v>
      </c>
      <c r="N771" s="22">
        <v>0</v>
      </c>
      <c r="O771" s="22">
        <v>0</v>
      </c>
      <c r="P771" s="22">
        <v>0</v>
      </c>
      <c r="Q771" s="22" t="s">
        <v>2308</v>
      </c>
      <c r="R771" s="22" t="s">
        <v>2308</v>
      </c>
      <c r="S771" s="22">
        <v>0</v>
      </c>
      <c r="T771" s="22">
        <v>0</v>
      </c>
      <c r="U771" s="22">
        <v>0</v>
      </c>
      <c r="V771" s="22">
        <v>0</v>
      </c>
      <c r="W771" s="22" t="s">
        <v>2308</v>
      </c>
      <c r="X771" s="22">
        <v>0</v>
      </c>
      <c r="Y771" s="22" t="s">
        <v>2308</v>
      </c>
      <c r="Z771" s="4" t="s">
        <v>2308</v>
      </c>
      <c r="AA771" s="4" t="s">
        <v>2308</v>
      </c>
      <c r="AB771" s="4" t="s">
        <v>2308</v>
      </c>
      <c r="AC771" s="5" t="s">
        <v>1258</v>
      </c>
      <c r="AD771" s="4"/>
    </row>
    <row r="772" spans="1:30" ht="39" customHeight="1">
      <c r="A772" s="12" t="s">
        <v>1254</v>
      </c>
      <c r="B772" s="12" t="s">
        <v>1259</v>
      </c>
      <c r="C772" s="24" t="s">
        <v>24</v>
      </c>
      <c r="D772" s="12" t="s">
        <v>26</v>
      </c>
      <c r="E772" s="12" t="s">
        <v>5065</v>
      </c>
      <c r="F772" s="5" t="s">
        <v>2695</v>
      </c>
      <c r="G772" s="4"/>
      <c r="H772" s="4" t="s">
        <v>531</v>
      </c>
      <c r="I772" s="4"/>
      <c r="J772" s="22" t="s">
        <v>2308</v>
      </c>
      <c r="K772" s="22" t="s">
        <v>2308</v>
      </c>
      <c r="L772" s="22" t="s">
        <v>2308</v>
      </c>
      <c r="M772" s="22" t="s">
        <v>2308</v>
      </c>
      <c r="N772" s="22" t="s">
        <v>2308</v>
      </c>
      <c r="O772" s="22" t="s">
        <v>2308</v>
      </c>
      <c r="P772" s="22" t="s">
        <v>2308</v>
      </c>
      <c r="Q772" s="22" t="s">
        <v>2308</v>
      </c>
      <c r="R772" s="22" t="s">
        <v>2308</v>
      </c>
      <c r="S772" s="22" t="s">
        <v>2308</v>
      </c>
      <c r="T772" s="22" t="s">
        <v>2308</v>
      </c>
      <c r="U772" s="22" t="s">
        <v>2308</v>
      </c>
      <c r="V772" s="22" t="s">
        <v>2308</v>
      </c>
      <c r="W772" s="22" t="s">
        <v>2308</v>
      </c>
      <c r="X772" s="22" t="s">
        <v>2308</v>
      </c>
      <c r="Y772" s="22" t="s">
        <v>2308</v>
      </c>
      <c r="Z772" s="4" t="s">
        <v>2308</v>
      </c>
      <c r="AA772" s="4" t="s">
        <v>2308</v>
      </c>
      <c r="AB772" s="4" t="s">
        <v>2308</v>
      </c>
      <c r="AC772" s="5"/>
      <c r="AD772" s="4"/>
    </row>
    <row r="773" spans="1:30" ht="43.5" customHeight="1">
      <c r="A773" s="12" t="s">
        <v>1262</v>
      </c>
      <c r="B773" s="12" t="s">
        <v>1263</v>
      </c>
      <c r="C773" s="24" t="s">
        <v>24</v>
      </c>
      <c r="D773" s="12" t="s">
        <v>1264</v>
      </c>
      <c r="E773" s="12" t="s">
        <v>143</v>
      </c>
      <c r="F773" s="5" t="s">
        <v>2695</v>
      </c>
      <c r="G773" s="4"/>
      <c r="H773" s="4" t="s">
        <v>531</v>
      </c>
      <c r="I773" s="4"/>
      <c r="J773" s="22" t="s">
        <v>2308</v>
      </c>
      <c r="K773" s="22" t="s">
        <v>2308</v>
      </c>
      <c r="L773" s="22" t="s">
        <v>2308</v>
      </c>
      <c r="M773" s="22" t="s">
        <v>2308</v>
      </c>
      <c r="N773" s="22" t="s">
        <v>2308</v>
      </c>
      <c r="O773" s="22" t="s">
        <v>2308</v>
      </c>
      <c r="P773" s="22" t="s">
        <v>2308</v>
      </c>
      <c r="Q773" s="22" t="s">
        <v>2308</v>
      </c>
      <c r="R773" s="22" t="s">
        <v>2308</v>
      </c>
      <c r="S773" s="22" t="s">
        <v>2308</v>
      </c>
      <c r="T773" s="22" t="s">
        <v>2308</v>
      </c>
      <c r="U773" s="22" t="s">
        <v>2308</v>
      </c>
      <c r="V773" s="22" t="s">
        <v>2308</v>
      </c>
      <c r="W773" s="22" t="s">
        <v>2308</v>
      </c>
      <c r="X773" s="22" t="s">
        <v>2308</v>
      </c>
      <c r="Y773" s="22" t="s">
        <v>2308</v>
      </c>
      <c r="Z773" s="4" t="s">
        <v>86</v>
      </c>
      <c r="AA773" s="4" t="s">
        <v>411</v>
      </c>
      <c r="AB773" s="4" t="s">
        <v>64</v>
      </c>
      <c r="AC773" s="5" t="s">
        <v>1265</v>
      </c>
      <c r="AD773" s="4"/>
    </row>
    <row r="774" spans="1:30" ht="36.5" customHeight="1">
      <c r="A774" s="12" t="s">
        <v>1262</v>
      </c>
      <c r="B774" s="12" t="s">
        <v>1266</v>
      </c>
      <c r="C774" s="24" t="s">
        <v>24</v>
      </c>
      <c r="D774" s="12" t="s">
        <v>1267</v>
      </c>
      <c r="E774" s="12" t="s">
        <v>116</v>
      </c>
      <c r="F774" s="5" t="s">
        <v>2695</v>
      </c>
      <c r="G774" s="4"/>
      <c r="H774" s="4" t="s">
        <v>531</v>
      </c>
      <c r="I774" s="4"/>
      <c r="J774" s="22" t="s">
        <v>2308</v>
      </c>
      <c r="K774" s="22" t="s">
        <v>2308</v>
      </c>
      <c r="L774" s="22" t="s">
        <v>2308</v>
      </c>
      <c r="M774" s="22" t="s">
        <v>2308</v>
      </c>
      <c r="N774" s="22" t="s">
        <v>2308</v>
      </c>
      <c r="O774" s="22" t="s">
        <v>2308</v>
      </c>
      <c r="P774" s="22" t="s">
        <v>2308</v>
      </c>
      <c r="Q774" s="22" t="s">
        <v>2308</v>
      </c>
      <c r="R774" s="22" t="s">
        <v>2308</v>
      </c>
      <c r="S774" s="22" t="s">
        <v>2308</v>
      </c>
      <c r="T774" s="22" t="s">
        <v>2308</v>
      </c>
      <c r="U774" s="22" t="s">
        <v>2308</v>
      </c>
      <c r="V774" s="22" t="s">
        <v>2308</v>
      </c>
      <c r="W774" s="22" t="s">
        <v>2308</v>
      </c>
      <c r="X774" s="22" t="s">
        <v>2308</v>
      </c>
      <c r="Y774" s="22" t="s">
        <v>2308</v>
      </c>
      <c r="Z774" s="4" t="s">
        <v>1268</v>
      </c>
      <c r="AA774" s="4" t="s">
        <v>412</v>
      </c>
      <c r="AB774" s="4" t="s">
        <v>64</v>
      </c>
      <c r="AC774" s="4"/>
      <c r="AD774" s="4"/>
    </row>
    <row r="775" spans="1:30" ht="86.5" customHeight="1">
      <c r="A775" s="12" t="s">
        <v>2479</v>
      </c>
      <c r="B775" s="12" t="s">
        <v>2486</v>
      </c>
      <c r="C775" s="24" t="s">
        <v>24</v>
      </c>
      <c r="D775" s="12" t="s">
        <v>27</v>
      </c>
      <c r="E775" s="12" t="s">
        <v>136</v>
      </c>
      <c r="F775" s="20" t="s">
        <v>74</v>
      </c>
      <c r="G775" s="12" t="s">
        <v>74</v>
      </c>
      <c r="H775" s="4" t="s">
        <v>531</v>
      </c>
      <c r="I775" s="4"/>
      <c r="J775" s="22" t="s">
        <v>2308</v>
      </c>
      <c r="K775" s="22" t="s">
        <v>2308</v>
      </c>
      <c r="L775" s="22" t="s">
        <v>2308</v>
      </c>
      <c r="M775" s="22" t="s">
        <v>2308</v>
      </c>
      <c r="N775" s="22" t="s">
        <v>2308</v>
      </c>
      <c r="O775" s="22" t="s">
        <v>2308</v>
      </c>
      <c r="P775" s="22" t="s">
        <v>2308</v>
      </c>
      <c r="Q775" s="22" t="s">
        <v>2308</v>
      </c>
      <c r="R775" s="22" t="s">
        <v>2308</v>
      </c>
      <c r="S775" s="22" t="s">
        <v>2308</v>
      </c>
      <c r="T775" s="22" t="s">
        <v>2308</v>
      </c>
      <c r="U775" s="22">
        <v>2</v>
      </c>
      <c r="V775" s="22">
        <v>2</v>
      </c>
      <c r="W775" s="22" t="s">
        <v>2308</v>
      </c>
      <c r="X775" s="22" t="s">
        <v>2308</v>
      </c>
      <c r="Y775" s="22" t="s">
        <v>2308</v>
      </c>
      <c r="Z775" s="22" t="s">
        <v>2308</v>
      </c>
      <c r="AA775" s="22" t="s">
        <v>2308</v>
      </c>
      <c r="AB775" s="22" t="s">
        <v>2308</v>
      </c>
      <c r="AC775" s="4"/>
      <c r="AD775" s="5" t="s">
        <v>2488</v>
      </c>
    </row>
    <row r="776" spans="1:30" ht="83.5" customHeight="1">
      <c r="A776" s="12" t="s">
        <v>2479</v>
      </c>
      <c r="B776" s="12" t="s">
        <v>2487</v>
      </c>
      <c r="C776" s="24" t="s">
        <v>2491</v>
      </c>
      <c r="D776" s="12" t="s">
        <v>27</v>
      </c>
      <c r="E776" s="12" t="s">
        <v>136</v>
      </c>
      <c r="F776" s="20" t="s">
        <v>2308</v>
      </c>
      <c r="G776" s="12" t="s">
        <v>74</v>
      </c>
      <c r="H776" s="4" t="s">
        <v>531</v>
      </c>
      <c r="I776" s="4"/>
      <c r="J776" s="22" t="s">
        <v>2308</v>
      </c>
      <c r="K776" s="22" t="s">
        <v>2308</v>
      </c>
      <c r="L776" s="22" t="s">
        <v>2308</v>
      </c>
      <c r="M776" s="22" t="s">
        <v>2308</v>
      </c>
      <c r="N776" s="22" t="s">
        <v>2308</v>
      </c>
      <c r="O776" s="22" t="s">
        <v>2308</v>
      </c>
      <c r="P776" s="22" t="s">
        <v>2308</v>
      </c>
      <c r="Q776" s="22" t="s">
        <v>2308</v>
      </c>
      <c r="R776" s="22" t="s">
        <v>2308</v>
      </c>
      <c r="S776" s="22" t="s">
        <v>2308</v>
      </c>
      <c r="T776" s="22" t="s">
        <v>2308</v>
      </c>
      <c r="U776" s="22">
        <v>0</v>
      </c>
      <c r="V776" s="22">
        <v>2</v>
      </c>
      <c r="W776" s="22" t="s">
        <v>2308</v>
      </c>
      <c r="X776" s="22" t="s">
        <v>2308</v>
      </c>
      <c r="Y776" s="22" t="s">
        <v>2308</v>
      </c>
      <c r="Z776" s="22" t="s">
        <v>2308</v>
      </c>
      <c r="AA776" s="22" t="s">
        <v>2308</v>
      </c>
      <c r="AB776" s="22" t="s">
        <v>2308</v>
      </c>
      <c r="AC776" s="4" t="s">
        <v>2489</v>
      </c>
      <c r="AD776" s="5" t="s">
        <v>2488</v>
      </c>
    </row>
    <row r="777" spans="1:30" ht="57" customHeight="1">
      <c r="A777" s="12" t="s">
        <v>2482</v>
      </c>
      <c r="B777" s="12" t="s">
        <v>2493</v>
      </c>
      <c r="C777" s="24" t="s">
        <v>24</v>
      </c>
      <c r="D777" s="12" t="s">
        <v>27</v>
      </c>
      <c r="E777" s="12" t="s">
        <v>136</v>
      </c>
      <c r="F777" s="20" t="s">
        <v>167</v>
      </c>
      <c r="G777" s="12" t="s">
        <v>167</v>
      </c>
      <c r="H777" s="4" t="s">
        <v>531</v>
      </c>
      <c r="I777" s="4"/>
      <c r="J777" s="22" t="s">
        <v>2308</v>
      </c>
      <c r="K777" s="22" t="s">
        <v>2308</v>
      </c>
      <c r="L777" s="22" t="s">
        <v>2308</v>
      </c>
      <c r="M777" s="22" t="s">
        <v>2308</v>
      </c>
      <c r="N777" s="22" t="s">
        <v>2308</v>
      </c>
      <c r="O777" s="22" t="s">
        <v>2308</v>
      </c>
      <c r="P777" s="22" t="s">
        <v>2308</v>
      </c>
      <c r="Q777" s="22" t="s">
        <v>2308</v>
      </c>
      <c r="R777" s="22" t="s">
        <v>2308</v>
      </c>
      <c r="S777" s="22" t="s">
        <v>2308</v>
      </c>
      <c r="T777" s="22" t="s">
        <v>2308</v>
      </c>
      <c r="U777" s="22" t="s">
        <v>2308</v>
      </c>
      <c r="V777" s="22" t="s">
        <v>2308</v>
      </c>
      <c r="W777" s="22" t="s">
        <v>2308</v>
      </c>
      <c r="X777" s="22" t="s">
        <v>2308</v>
      </c>
      <c r="Y777" s="22" t="s">
        <v>2308</v>
      </c>
      <c r="Z777" s="22" t="s">
        <v>2308</v>
      </c>
      <c r="AA777" s="22" t="s">
        <v>2308</v>
      </c>
      <c r="AB777" s="22" t="s">
        <v>2308</v>
      </c>
      <c r="AC777" s="4"/>
      <c r="AD777" s="4"/>
    </row>
    <row r="778" spans="1:30" ht="45" customHeight="1">
      <c r="A778" s="12" t="s">
        <v>2482</v>
      </c>
      <c r="B778" s="12" t="s">
        <v>2495</v>
      </c>
      <c r="C778" s="24" t="s">
        <v>24</v>
      </c>
      <c r="D778" s="12" t="s">
        <v>27</v>
      </c>
      <c r="E778" s="12" t="s">
        <v>136</v>
      </c>
      <c r="F778" s="20" t="s">
        <v>28</v>
      </c>
      <c r="G778" s="12" t="s">
        <v>28</v>
      </c>
      <c r="H778" s="4" t="s">
        <v>531</v>
      </c>
      <c r="I778" s="4"/>
      <c r="J778" s="22" t="s">
        <v>2308</v>
      </c>
      <c r="K778" s="22" t="s">
        <v>2308</v>
      </c>
      <c r="L778" s="22" t="s">
        <v>2308</v>
      </c>
      <c r="M778" s="22" t="s">
        <v>2308</v>
      </c>
      <c r="N778" s="22" t="s">
        <v>2308</v>
      </c>
      <c r="O778" s="22" t="s">
        <v>2308</v>
      </c>
      <c r="P778" s="22" t="s">
        <v>2308</v>
      </c>
      <c r="Q778" s="22" t="s">
        <v>2308</v>
      </c>
      <c r="R778" s="22" t="s">
        <v>2308</v>
      </c>
      <c r="S778" s="22" t="s">
        <v>2308</v>
      </c>
      <c r="T778" s="22" t="s">
        <v>2308</v>
      </c>
      <c r="U778" s="22" t="s">
        <v>2308</v>
      </c>
      <c r="V778" s="22" t="s">
        <v>2308</v>
      </c>
      <c r="W778" s="22" t="s">
        <v>2308</v>
      </c>
      <c r="X778" s="22" t="s">
        <v>2308</v>
      </c>
      <c r="Y778" s="22">
        <v>1</v>
      </c>
      <c r="Z778" s="22" t="s">
        <v>2308</v>
      </c>
      <c r="AA778" s="22" t="s">
        <v>2308</v>
      </c>
      <c r="AB778" s="22" t="s">
        <v>2308</v>
      </c>
      <c r="AC778" s="5" t="s">
        <v>2496</v>
      </c>
      <c r="AD778" s="4"/>
    </row>
    <row r="779" spans="1:30" ht="53.5" customHeight="1">
      <c r="A779" s="4" t="s">
        <v>2499</v>
      </c>
      <c r="B779" s="4" t="s">
        <v>2533</v>
      </c>
      <c r="C779" s="24" t="s">
        <v>24</v>
      </c>
      <c r="D779" s="12" t="s">
        <v>27</v>
      </c>
      <c r="E779" s="12" t="s">
        <v>136</v>
      </c>
      <c r="F779" s="20" t="s">
        <v>167</v>
      </c>
      <c r="G779" s="12" t="s">
        <v>2308</v>
      </c>
      <c r="H779" s="4" t="s">
        <v>531</v>
      </c>
      <c r="I779" s="4"/>
      <c r="J779" s="22" t="s">
        <v>2308</v>
      </c>
      <c r="K779" s="22" t="s">
        <v>2308</v>
      </c>
      <c r="L779" s="22" t="s">
        <v>2308</v>
      </c>
      <c r="M779" s="22" t="s">
        <v>2308</v>
      </c>
      <c r="N779" s="22" t="s">
        <v>2308</v>
      </c>
      <c r="O779" s="22" t="s">
        <v>2308</v>
      </c>
      <c r="P779" s="22" t="s">
        <v>2308</v>
      </c>
      <c r="Q779" s="22" t="s">
        <v>2308</v>
      </c>
      <c r="R779" s="22" t="s">
        <v>2308</v>
      </c>
      <c r="S779" s="22" t="s">
        <v>2308</v>
      </c>
      <c r="T779" s="22" t="s">
        <v>2308</v>
      </c>
      <c r="U779" s="22" t="s">
        <v>2308</v>
      </c>
      <c r="V779" s="22" t="s">
        <v>2308</v>
      </c>
      <c r="W779" s="22" t="s">
        <v>2308</v>
      </c>
      <c r="X779" s="22" t="s">
        <v>2308</v>
      </c>
      <c r="Y779" s="22" t="s">
        <v>2308</v>
      </c>
      <c r="Z779" s="22" t="s">
        <v>194</v>
      </c>
      <c r="AA779" s="22" t="s">
        <v>195</v>
      </c>
      <c r="AB779" s="80" t="s">
        <v>64</v>
      </c>
      <c r="AC779" s="4"/>
      <c r="AD779" s="4"/>
    </row>
    <row r="780" spans="1:30" ht="64.5" customHeight="1">
      <c r="A780" s="4" t="s">
        <v>2500</v>
      </c>
      <c r="B780" s="4" t="s">
        <v>2534</v>
      </c>
      <c r="C780" s="24" t="s">
        <v>24</v>
      </c>
      <c r="D780" s="12" t="s">
        <v>27</v>
      </c>
      <c r="E780" s="12" t="s">
        <v>136</v>
      </c>
      <c r="F780" s="20" t="s">
        <v>167</v>
      </c>
      <c r="G780" s="12" t="s">
        <v>2308</v>
      </c>
      <c r="H780" s="4" t="s">
        <v>531</v>
      </c>
      <c r="I780" s="4"/>
      <c r="J780" s="22" t="s">
        <v>2308</v>
      </c>
      <c r="K780" s="22" t="s">
        <v>2308</v>
      </c>
      <c r="L780" s="22" t="s">
        <v>2308</v>
      </c>
      <c r="M780" s="22" t="s">
        <v>2308</v>
      </c>
      <c r="N780" s="22" t="s">
        <v>2308</v>
      </c>
      <c r="O780" s="22" t="s">
        <v>2308</v>
      </c>
      <c r="P780" s="22" t="s">
        <v>2308</v>
      </c>
      <c r="Q780" s="22" t="s">
        <v>2308</v>
      </c>
      <c r="R780" s="22" t="s">
        <v>2308</v>
      </c>
      <c r="S780" s="22" t="s">
        <v>2308</v>
      </c>
      <c r="T780" s="22" t="s">
        <v>2308</v>
      </c>
      <c r="U780" s="22" t="s">
        <v>2308</v>
      </c>
      <c r="V780" s="22" t="s">
        <v>2308</v>
      </c>
      <c r="W780" s="22" t="s">
        <v>2308</v>
      </c>
      <c r="X780" s="22" t="s">
        <v>2308</v>
      </c>
      <c r="Y780" s="22" t="s">
        <v>2308</v>
      </c>
      <c r="Z780" s="22" t="s">
        <v>194</v>
      </c>
      <c r="AA780" s="22" t="s">
        <v>195</v>
      </c>
      <c r="AB780" s="80" t="s">
        <v>64</v>
      </c>
      <c r="AC780" s="4"/>
      <c r="AD780" s="4"/>
    </row>
    <row r="781" spans="1:30" ht="64.5" customHeight="1">
      <c r="A781" s="4" t="s">
        <v>2501</v>
      </c>
      <c r="B781" s="4" t="s">
        <v>2535</v>
      </c>
      <c r="C781" s="24" t="s">
        <v>24</v>
      </c>
      <c r="D781" s="12" t="s">
        <v>27</v>
      </c>
      <c r="E781" s="12" t="s">
        <v>136</v>
      </c>
      <c r="F781" s="20" t="s">
        <v>167</v>
      </c>
      <c r="G781" s="12" t="s">
        <v>2308</v>
      </c>
      <c r="H781" s="4" t="s">
        <v>531</v>
      </c>
      <c r="I781" s="4"/>
      <c r="J781" s="22" t="s">
        <v>2308</v>
      </c>
      <c r="K781" s="22" t="s">
        <v>2308</v>
      </c>
      <c r="L781" s="22" t="s">
        <v>2308</v>
      </c>
      <c r="M781" s="22" t="s">
        <v>2308</v>
      </c>
      <c r="N781" s="22" t="s">
        <v>2308</v>
      </c>
      <c r="O781" s="22" t="s">
        <v>2308</v>
      </c>
      <c r="P781" s="22" t="s">
        <v>2308</v>
      </c>
      <c r="Q781" s="22" t="s">
        <v>2308</v>
      </c>
      <c r="R781" s="22" t="s">
        <v>2308</v>
      </c>
      <c r="S781" s="22" t="s">
        <v>2308</v>
      </c>
      <c r="T781" s="22" t="s">
        <v>2308</v>
      </c>
      <c r="U781" s="22" t="s">
        <v>2308</v>
      </c>
      <c r="V781" s="22" t="s">
        <v>2308</v>
      </c>
      <c r="W781" s="22" t="s">
        <v>2308</v>
      </c>
      <c r="X781" s="22" t="s">
        <v>2308</v>
      </c>
      <c r="Y781" s="22" t="s">
        <v>2308</v>
      </c>
      <c r="Z781" s="22" t="s">
        <v>194</v>
      </c>
      <c r="AA781" s="22" t="s">
        <v>195</v>
      </c>
      <c r="AB781" s="80" t="s">
        <v>64</v>
      </c>
      <c r="AC781" s="4"/>
      <c r="AD781" s="4"/>
    </row>
    <row r="782" spans="1:30" ht="64.5" customHeight="1">
      <c r="A782" s="4" t="s">
        <v>2502</v>
      </c>
      <c r="B782" s="4" t="s">
        <v>2536</v>
      </c>
      <c r="C782" s="24" t="s">
        <v>24</v>
      </c>
      <c r="D782" s="12" t="s">
        <v>27</v>
      </c>
      <c r="E782" s="12" t="s">
        <v>136</v>
      </c>
      <c r="F782" s="20" t="s">
        <v>167</v>
      </c>
      <c r="G782" s="12" t="s">
        <v>2308</v>
      </c>
      <c r="H782" s="4" t="s">
        <v>531</v>
      </c>
      <c r="I782" s="4"/>
      <c r="J782" s="22" t="s">
        <v>2308</v>
      </c>
      <c r="K782" s="22" t="s">
        <v>2308</v>
      </c>
      <c r="L782" s="22" t="s">
        <v>2308</v>
      </c>
      <c r="M782" s="22" t="s">
        <v>2308</v>
      </c>
      <c r="N782" s="22" t="s">
        <v>2308</v>
      </c>
      <c r="O782" s="22" t="s">
        <v>2308</v>
      </c>
      <c r="P782" s="22" t="s">
        <v>2308</v>
      </c>
      <c r="Q782" s="22" t="s">
        <v>2308</v>
      </c>
      <c r="R782" s="22" t="s">
        <v>2308</v>
      </c>
      <c r="S782" s="22" t="s">
        <v>2308</v>
      </c>
      <c r="T782" s="22" t="s">
        <v>2308</v>
      </c>
      <c r="U782" s="22" t="s">
        <v>2308</v>
      </c>
      <c r="V782" s="22" t="s">
        <v>2308</v>
      </c>
      <c r="W782" s="22" t="s">
        <v>2308</v>
      </c>
      <c r="X782" s="22" t="s">
        <v>2308</v>
      </c>
      <c r="Y782" s="22" t="s">
        <v>2308</v>
      </c>
      <c r="Z782" s="22" t="s">
        <v>194</v>
      </c>
      <c r="AA782" s="22" t="s">
        <v>195</v>
      </c>
      <c r="AB782" s="80" t="s">
        <v>64</v>
      </c>
      <c r="AC782" s="4"/>
      <c r="AD782" s="4"/>
    </row>
    <row r="783" spans="1:30" ht="64.5" customHeight="1">
      <c r="A783" s="4" t="s">
        <v>2503</v>
      </c>
      <c r="B783" s="4" t="s">
        <v>2537</v>
      </c>
      <c r="C783" s="24" t="s">
        <v>24</v>
      </c>
      <c r="D783" s="12" t="s">
        <v>27</v>
      </c>
      <c r="E783" s="12" t="s">
        <v>136</v>
      </c>
      <c r="F783" s="20" t="s">
        <v>167</v>
      </c>
      <c r="G783" s="12" t="s">
        <v>2308</v>
      </c>
      <c r="H783" s="4" t="s">
        <v>531</v>
      </c>
      <c r="I783" s="4"/>
      <c r="J783" s="22" t="s">
        <v>2308</v>
      </c>
      <c r="K783" s="22" t="s">
        <v>2308</v>
      </c>
      <c r="L783" s="22" t="s">
        <v>2308</v>
      </c>
      <c r="M783" s="22" t="s">
        <v>2308</v>
      </c>
      <c r="N783" s="22" t="s">
        <v>2308</v>
      </c>
      <c r="O783" s="22" t="s">
        <v>2308</v>
      </c>
      <c r="P783" s="22" t="s">
        <v>2308</v>
      </c>
      <c r="Q783" s="22" t="s">
        <v>2308</v>
      </c>
      <c r="R783" s="22" t="s">
        <v>2308</v>
      </c>
      <c r="S783" s="22" t="s">
        <v>2308</v>
      </c>
      <c r="T783" s="22" t="s">
        <v>2308</v>
      </c>
      <c r="U783" s="22" t="s">
        <v>2308</v>
      </c>
      <c r="V783" s="22" t="s">
        <v>2308</v>
      </c>
      <c r="W783" s="22" t="s">
        <v>2308</v>
      </c>
      <c r="X783" s="22" t="s">
        <v>2308</v>
      </c>
      <c r="Y783" s="22" t="s">
        <v>2308</v>
      </c>
      <c r="Z783" s="22" t="s">
        <v>194</v>
      </c>
      <c r="AA783" s="22" t="s">
        <v>195</v>
      </c>
      <c r="AB783" s="80" t="s">
        <v>64</v>
      </c>
      <c r="AC783" s="4"/>
      <c r="AD783" s="4"/>
    </row>
    <row r="784" spans="1:30" ht="64.5" customHeight="1">
      <c r="A784" s="4" t="s">
        <v>2504</v>
      </c>
      <c r="B784" s="4" t="s">
        <v>2538</v>
      </c>
      <c r="C784" s="24" t="s">
        <v>24</v>
      </c>
      <c r="D784" s="12" t="s">
        <v>27</v>
      </c>
      <c r="E784" s="12" t="s">
        <v>136</v>
      </c>
      <c r="F784" s="20" t="s">
        <v>167</v>
      </c>
      <c r="G784" s="12" t="s">
        <v>2308</v>
      </c>
      <c r="H784" s="4" t="s">
        <v>531</v>
      </c>
      <c r="I784" s="4"/>
      <c r="J784" s="22" t="s">
        <v>2308</v>
      </c>
      <c r="K784" s="22" t="s">
        <v>2308</v>
      </c>
      <c r="L784" s="22" t="s">
        <v>2308</v>
      </c>
      <c r="M784" s="22" t="s">
        <v>2308</v>
      </c>
      <c r="N784" s="22" t="s">
        <v>2308</v>
      </c>
      <c r="O784" s="22" t="s">
        <v>2308</v>
      </c>
      <c r="P784" s="22" t="s">
        <v>2308</v>
      </c>
      <c r="Q784" s="22" t="s">
        <v>2308</v>
      </c>
      <c r="R784" s="22" t="s">
        <v>2308</v>
      </c>
      <c r="S784" s="22" t="s">
        <v>2308</v>
      </c>
      <c r="T784" s="22" t="s">
        <v>2308</v>
      </c>
      <c r="U784" s="22" t="s">
        <v>2308</v>
      </c>
      <c r="V784" s="22" t="s">
        <v>2308</v>
      </c>
      <c r="W784" s="22" t="s">
        <v>2308</v>
      </c>
      <c r="X784" s="22" t="s">
        <v>2308</v>
      </c>
      <c r="Y784" s="22" t="s">
        <v>2308</v>
      </c>
      <c r="Z784" s="22" t="s">
        <v>194</v>
      </c>
      <c r="AA784" s="22" t="s">
        <v>195</v>
      </c>
      <c r="AB784" s="80" t="s">
        <v>64</v>
      </c>
      <c r="AC784" s="4"/>
      <c r="AD784" s="4"/>
    </row>
    <row r="785" spans="1:30" ht="64.5" customHeight="1">
      <c r="A785" s="4" t="s">
        <v>2505</v>
      </c>
      <c r="B785" s="4" t="s">
        <v>2539</v>
      </c>
      <c r="C785" s="24" t="s">
        <v>24</v>
      </c>
      <c r="D785" s="12" t="s">
        <v>27</v>
      </c>
      <c r="E785" s="12" t="s">
        <v>136</v>
      </c>
      <c r="F785" s="20" t="s">
        <v>167</v>
      </c>
      <c r="G785" s="12" t="s">
        <v>2308</v>
      </c>
      <c r="H785" s="4" t="s">
        <v>531</v>
      </c>
      <c r="I785" s="4"/>
      <c r="J785" s="22" t="s">
        <v>2308</v>
      </c>
      <c r="K785" s="22" t="s">
        <v>2308</v>
      </c>
      <c r="L785" s="22" t="s">
        <v>2308</v>
      </c>
      <c r="M785" s="22" t="s">
        <v>2308</v>
      </c>
      <c r="N785" s="22" t="s">
        <v>2308</v>
      </c>
      <c r="O785" s="22" t="s">
        <v>2308</v>
      </c>
      <c r="P785" s="22" t="s">
        <v>2308</v>
      </c>
      <c r="Q785" s="22" t="s">
        <v>2308</v>
      </c>
      <c r="R785" s="22" t="s">
        <v>2308</v>
      </c>
      <c r="S785" s="22" t="s">
        <v>2308</v>
      </c>
      <c r="T785" s="22" t="s">
        <v>2308</v>
      </c>
      <c r="U785" s="22" t="s">
        <v>2308</v>
      </c>
      <c r="V785" s="22" t="s">
        <v>2308</v>
      </c>
      <c r="W785" s="22" t="s">
        <v>2308</v>
      </c>
      <c r="X785" s="22" t="s">
        <v>2308</v>
      </c>
      <c r="Y785" s="22" t="s">
        <v>2308</v>
      </c>
      <c r="Z785" s="22" t="s">
        <v>194</v>
      </c>
      <c r="AA785" s="22" t="s">
        <v>195</v>
      </c>
      <c r="AB785" s="80" t="s">
        <v>64</v>
      </c>
      <c r="AC785" s="4"/>
      <c r="AD785" s="4"/>
    </row>
    <row r="786" spans="1:30" ht="64.5" customHeight="1">
      <c r="A786" s="4" t="s">
        <v>2506</v>
      </c>
      <c r="B786" s="4" t="s">
        <v>2540</v>
      </c>
      <c r="C786" s="24" t="s">
        <v>24</v>
      </c>
      <c r="D786" s="12" t="s">
        <v>27</v>
      </c>
      <c r="E786" s="12" t="s">
        <v>136</v>
      </c>
      <c r="F786" s="20" t="s">
        <v>167</v>
      </c>
      <c r="G786" s="12" t="s">
        <v>2308</v>
      </c>
      <c r="H786" s="4" t="s">
        <v>531</v>
      </c>
      <c r="I786" s="4"/>
      <c r="J786" s="22" t="s">
        <v>2308</v>
      </c>
      <c r="K786" s="22" t="s">
        <v>2308</v>
      </c>
      <c r="L786" s="22" t="s">
        <v>2308</v>
      </c>
      <c r="M786" s="22" t="s">
        <v>2308</v>
      </c>
      <c r="N786" s="22" t="s">
        <v>2308</v>
      </c>
      <c r="O786" s="22" t="s">
        <v>2308</v>
      </c>
      <c r="P786" s="22" t="s">
        <v>2308</v>
      </c>
      <c r="Q786" s="22" t="s">
        <v>2308</v>
      </c>
      <c r="R786" s="22" t="s">
        <v>2308</v>
      </c>
      <c r="S786" s="22" t="s">
        <v>2308</v>
      </c>
      <c r="T786" s="22" t="s">
        <v>2308</v>
      </c>
      <c r="U786" s="22" t="s">
        <v>2308</v>
      </c>
      <c r="V786" s="22" t="s">
        <v>2308</v>
      </c>
      <c r="W786" s="22" t="s">
        <v>2308</v>
      </c>
      <c r="X786" s="22" t="s">
        <v>2308</v>
      </c>
      <c r="Y786" s="22" t="s">
        <v>2308</v>
      </c>
      <c r="Z786" s="22" t="s">
        <v>194</v>
      </c>
      <c r="AA786" s="22" t="s">
        <v>195</v>
      </c>
      <c r="AB786" s="80" t="s">
        <v>64</v>
      </c>
      <c r="AC786" s="4"/>
      <c r="AD786" s="4"/>
    </row>
    <row r="787" spans="1:30" ht="64.5" customHeight="1">
      <c r="A787" s="4" t="s">
        <v>2507</v>
      </c>
      <c r="B787" s="4" t="s">
        <v>2541</v>
      </c>
      <c r="C787" s="24" t="s">
        <v>24</v>
      </c>
      <c r="D787" s="12" t="s">
        <v>27</v>
      </c>
      <c r="E787" s="12" t="s">
        <v>136</v>
      </c>
      <c r="F787" s="20" t="s">
        <v>167</v>
      </c>
      <c r="G787" s="12" t="s">
        <v>2308</v>
      </c>
      <c r="H787" s="4" t="s">
        <v>531</v>
      </c>
      <c r="I787" s="4"/>
      <c r="J787" s="22" t="s">
        <v>2308</v>
      </c>
      <c r="K787" s="22" t="s">
        <v>2308</v>
      </c>
      <c r="L787" s="22" t="s">
        <v>2308</v>
      </c>
      <c r="M787" s="22" t="s">
        <v>2308</v>
      </c>
      <c r="N787" s="22" t="s">
        <v>2308</v>
      </c>
      <c r="O787" s="22" t="s">
        <v>2308</v>
      </c>
      <c r="P787" s="22" t="s">
        <v>2308</v>
      </c>
      <c r="Q787" s="22" t="s">
        <v>2308</v>
      </c>
      <c r="R787" s="22" t="s">
        <v>2308</v>
      </c>
      <c r="S787" s="22" t="s">
        <v>2308</v>
      </c>
      <c r="T787" s="22" t="s">
        <v>2308</v>
      </c>
      <c r="U787" s="22" t="s">
        <v>2308</v>
      </c>
      <c r="V787" s="22" t="s">
        <v>2308</v>
      </c>
      <c r="W787" s="22" t="s">
        <v>2308</v>
      </c>
      <c r="X787" s="22" t="s">
        <v>2308</v>
      </c>
      <c r="Y787" s="22" t="s">
        <v>2308</v>
      </c>
      <c r="Z787" s="22" t="s">
        <v>194</v>
      </c>
      <c r="AA787" s="22" t="s">
        <v>195</v>
      </c>
      <c r="AB787" s="80" t="s">
        <v>64</v>
      </c>
      <c r="AC787" s="4"/>
      <c r="AD787" s="4"/>
    </row>
    <row r="788" spans="1:30" ht="64.5" customHeight="1">
      <c r="A788" s="4" t="s">
        <v>2508</v>
      </c>
      <c r="B788" s="4" t="s">
        <v>2542</v>
      </c>
      <c r="C788" s="24" t="s">
        <v>24</v>
      </c>
      <c r="D788" s="12" t="s">
        <v>27</v>
      </c>
      <c r="E788" s="12" t="s">
        <v>136</v>
      </c>
      <c r="F788" s="20" t="s">
        <v>167</v>
      </c>
      <c r="G788" s="12" t="s">
        <v>2308</v>
      </c>
      <c r="H788" s="4" t="s">
        <v>531</v>
      </c>
      <c r="I788" s="4"/>
      <c r="J788" s="22" t="s">
        <v>2308</v>
      </c>
      <c r="K788" s="22" t="s">
        <v>2308</v>
      </c>
      <c r="L788" s="22" t="s">
        <v>2308</v>
      </c>
      <c r="M788" s="22" t="s">
        <v>2308</v>
      </c>
      <c r="N788" s="22" t="s">
        <v>2308</v>
      </c>
      <c r="O788" s="22" t="s">
        <v>2308</v>
      </c>
      <c r="P788" s="22" t="s">
        <v>2308</v>
      </c>
      <c r="Q788" s="22" t="s">
        <v>2308</v>
      </c>
      <c r="R788" s="22" t="s">
        <v>2308</v>
      </c>
      <c r="S788" s="22" t="s">
        <v>2308</v>
      </c>
      <c r="T788" s="22" t="s">
        <v>2308</v>
      </c>
      <c r="U788" s="22" t="s">
        <v>2308</v>
      </c>
      <c r="V788" s="22" t="s">
        <v>2308</v>
      </c>
      <c r="W788" s="22" t="s">
        <v>2308</v>
      </c>
      <c r="X788" s="22" t="s">
        <v>2308</v>
      </c>
      <c r="Y788" s="22" t="s">
        <v>2308</v>
      </c>
      <c r="Z788" s="22" t="s">
        <v>194</v>
      </c>
      <c r="AA788" s="22" t="s">
        <v>195</v>
      </c>
      <c r="AB788" s="80" t="s">
        <v>64</v>
      </c>
      <c r="AC788" s="4"/>
      <c r="AD788" s="4"/>
    </row>
    <row r="789" spans="1:30" ht="64.5" customHeight="1">
      <c r="A789" s="4" t="s">
        <v>2509</v>
      </c>
      <c r="B789" s="4" t="s">
        <v>2543</v>
      </c>
      <c r="C789" s="24" t="s">
        <v>24</v>
      </c>
      <c r="D789" s="12" t="s">
        <v>27</v>
      </c>
      <c r="E789" s="12" t="s">
        <v>136</v>
      </c>
      <c r="F789" s="20" t="s">
        <v>167</v>
      </c>
      <c r="G789" s="12" t="s">
        <v>2308</v>
      </c>
      <c r="H789" s="4" t="s">
        <v>531</v>
      </c>
      <c r="I789" s="4"/>
      <c r="J789" s="22" t="s">
        <v>2308</v>
      </c>
      <c r="K789" s="22" t="s">
        <v>2308</v>
      </c>
      <c r="L789" s="22" t="s">
        <v>2308</v>
      </c>
      <c r="M789" s="22" t="s">
        <v>2308</v>
      </c>
      <c r="N789" s="22" t="s">
        <v>2308</v>
      </c>
      <c r="O789" s="22" t="s">
        <v>2308</v>
      </c>
      <c r="P789" s="22" t="s">
        <v>2308</v>
      </c>
      <c r="Q789" s="22" t="s">
        <v>2308</v>
      </c>
      <c r="R789" s="22" t="s">
        <v>2308</v>
      </c>
      <c r="S789" s="22" t="s">
        <v>2308</v>
      </c>
      <c r="T789" s="22" t="s">
        <v>2308</v>
      </c>
      <c r="U789" s="22" t="s">
        <v>2308</v>
      </c>
      <c r="V789" s="22" t="s">
        <v>2308</v>
      </c>
      <c r="W789" s="22" t="s">
        <v>2308</v>
      </c>
      <c r="X789" s="22" t="s">
        <v>2308</v>
      </c>
      <c r="Y789" s="22" t="s">
        <v>2308</v>
      </c>
      <c r="Z789" s="22" t="s">
        <v>194</v>
      </c>
      <c r="AA789" s="22" t="s">
        <v>195</v>
      </c>
      <c r="AB789" s="80" t="s">
        <v>64</v>
      </c>
      <c r="AC789" s="4"/>
      <c r="AD789" s="4"/>
    </row>
    <row r="790" spans="1:30" ht="64.5" customHeight="1">
      <c r="A790" s="4" t="s">
        <v>2510</v>
      </c>
      <c r="B790" s="4" t="s">
        <v>2544</v>
      </c>
      <c r="C790" s="24" t="s">
        <v>24</v>
      </c>
      <c r="D790" s="12" t="s">
        <v>27</v>
      </c>
      <c r="E790" s="12" t="s">
        <v>136</v>
      </c>
      <c r="F790" s="20" t="s">
        <v>167</v>
      </c>
      <c r="G790" s="12" t="s">
        <v>2308</v>
      </c>
      <c r="H790" s="4" t="s">
        <v>531</v>
      </c>
      <c r="I790" s="4"/>
      <c r="J790" s="22" t="s">
        <v>2308</v>
      </c>
      <c r="K790" s="22" t="s">
        <v>2308</v>
      </c>
      <c r="L790" s="22" t="s">
        <v>2308</v>
      </c>
      <c r="M790" s="22" t="s">
        <v>2308</v>
      </c>
      <c r="N790" s="22" t="s">
        <v>2308</v>
      </c>
      <c r="O790" s="22" t="s">
        <v>2308</v>
      </c>
      <c r="P790" s="22" t="s">
        <v>2308</v>
      </c>
      <c r="Q790" s="22" t="s">
        <v>2308</v>
      </c>
      <c r="R790" s="22" t="s">
        <v>2308</v>
      </c>
      <c r="S790" s="22" t="s">
        <v>2308</v>
      </c>
      <c r="T790" s="22" t="s">
        <v>2308</v>
      </c>
      <c r="U790" s="22" t="s">
        <v>2308</v>
      </c>
      <c r="V790" s="22" t="s">
        <v>2308</v>
      </c>
      <c r="W790" s="22" t="s">
        <v>2308</v>
      </c>
      <c r="X790" s="22" t="s">
        <v>2308</v>
      </c>
      <c r="Y790" s="22" t="s">
        <v>2308</v>
      </c>
      <c r="Z790" s="22" t="s">
        <v>194</v>
      </c>
      <c r="AA790" s="22" t="s">
        <v>195</v>
      </c>
      <c r="AB790" s="80" t="s">
        <v>64</v>
      </c>
      <c r="AC790" s="4"/>
      <c r="AD790" s="4"/>
    </row>
    <row r="791" spans="1:30" ht="64.5" customHeight="1">
      <c r="A791" s="4" t="s">
        <v>2511</v>
      </c>
      <c r="B791" s="4" t="s">
        <v>2545</v>
      </c>
      <c r="C791" s="24" t="s">
        <v>24</v>
      </c>
      <c r="D791" s="12" t="s">
        <v>27</v>
      </c>
      <c r="E791" s="12" t="s">
        <v>136</v>
      </c>
      <c r="F791" s="20" t="s">
        <v>167</v>
      </c>
      <c r="G791" s="12" t="s">
        <v>2308</v>
      </c>
      <c r="H791" s="4" t="s">
        <v>531</v>
      </c>
      <c r="I791" s="4"/>
      <c r="J791" s="22" t="s">
        <v>2308</v>
      </c>
      <c r="K791" s="22" t="s">
        <v>2308</v>
      </c>
      <c r="L791" s="22" t="s">
        <v>2308</v>
      </c>
      <c r="M791" s="22" t="s">
        <v>2308</v>
      </c>
      <c r="N791" s="22" t="s">
        <v>2308</v>
      </c>
      <c r="O791" s="22" t="s">
        <v>2308</v>
      </c>
      <c r="P791" s="22" t="s">
        <v>2308</v>
      </c>
      <c r="Q791" s="22" t="s">
        <v>2308</v>
      </c>
      <c r="R791" s="22" t="s">
        <v>2308</v>
      </c>
      <c r="S791" s="22" t="s">
        <v>2308</v>
      </c>
      <c r="T791" s="22" t="s">
        <v>2308</v>
      </c>
      <c r="U791" s="22" t="s">
        <v>2308</v>
      </c>
      <c r="V791" s="22" t="s">
        <v>2308</v>
      </c>
      <c r="W791" s="22" t="s">
        <v>2308</v>
      </c>
      <c r="X791" s="22" t="s">
        <v>2308</v>
      </c>
      <c r="Y791" s="22" t="s">
        <v>2308</v>
      </c>
      <c r="Z791" s="22" t="s">
        <v>194</v>
      </c>
      <c r="AA791" s="22" t="s">
        <v>195</v>
      </c>
      <c r="AB791" s="80" t="s">
        <v>64</v>
      </c>
      <c r="AC791" s="4"/>
      <c r="AD791" s="4"/>
    </row>
    <row r="792" spans="1:30" ht="64.5" customHeight="1">
      <c r="A792" s="4" t="s">
        <v>2512</v>
      </c>
      <c r="B792" s="4" t="s">
        <v>2546</v>
      </c>
      <c r="C792" s="24" t="s">
        <v>24</v>
      </c>
      <c r="D792" s="12" t="s">
        <v>27</v>
      </c>
      <c r="E792" s="12" t="s">
        <v>136</v>
      </c>
      <c r="F792" s="20" t="s">
        <v>167</v>
      </c>
      <c r="G792" s="12" t="s">
        <v>2308</v>
      </c>
      <c r="H792" s="4" t="s">
        <v>531</v>
      </c>
      <c r="I792" s="4"/>
      <c r="J792" s="22" t="s">
        <v>2308</v>
      </c>
      <c r="K792" s="22" t="s">
        <v>2308</v>
      </c>
      <c r="L792" s="22" t="s">
        <v>2308</v>
      </c>
      <c r="M792" s="22" t="s">
        <v>2308</v>
      </c>
      <c r="N792" s="22" t="s">
        <v>2308</v>
      </c>
      <c r="O792" s="22" t="s">
        <v>2308</v>
      </c>
      <c r="P792" s="22" t="s">
        <v>2308</v>
      </c>
      <c r="Q792" s="22" t="s">
        <v>2308</v>
      </c>
      <c r="R792" s="22" t="s">
        <v>2308</v>
      </c>
      <c r="S792" s="22" t="s">
        <v>2308</v>
      </c>
      <c r="T792" s="22" t="s">
        <v>2308</v>
      </c>
      <c r="U792" s="22" t="s">
        <v>2308</v>
      </c>
      <c r="V792" s="22" t="s">
        <v>2308</v>
      </c>
      <c r="W792" s="22" t="s">
        <v>2308</v>
      </c>
      <c r="X792" s="22" t="s">
        <v>2308</v>
      </c>
      <c r="Y792" s="22" t="s">
        <v>2308</v>
      </c>
      <c r="Z792" s="22" t="s">
        <v>194</v>
      </c>
      <c r="AA792" s="22" t="s">
        <v>195</v>
      </c>
      <c r="AB792" s="80" t="s">
        <v>64</v>
      </c>
      <c r="AC792" s="4"/>
      <c r="AD792" s="4"/>
    </row>
    <row r="793" spans="1:30" ht="64.5" customHeight="1">
      <c r="A793" s="4" t="s">
        <v>2513</v>
      </c>
      <c r="B793" s="4" t="s">
        <v>2547</v>
      </c>
      <c r="C793" s="24" t="s">
        <v>24</v>
      </c>
      <c r="D793" s="12" t="s">
        <v>27</v>
      </c>
      <c r="E793" s="12" t="s">
        <v>136</v>
      </c>
      <c r="F793" s="20" t="s">
        <v>167</v>
      </c>
      <c r="G793" s="12" t="s">
        <v>2308</v>
      </c>
      <c r="H793" s="4" t="s">
        <v>531</v>
      </c>
      <c r="I793" s="4"/>
      <c r="J793" s="22" t="s">
        <v>2308</v>
      </c>
      <c r="K793" s="22" t="s">
        <v>2308</v>
      </c>
      <c r="L793" s="22" t="s">
        <v>2308</v>
      </c>
      <c r="M793" s="22" t="s">
        <v>2308</v>
      </c>
      <c r="N793" s="22" t="s">
        <v>2308</v>
      </c>
      <c r="O793" s="22" t="s">
        <v>2308</v>
      </c>
      <c r="P793" s="22" t="s">
        <v>2308</v>
      </c>
      <c r="Q793" s="22" t="s">
        <v>2308</v>
      </c>
      <c r="R793" s="22" t="s">
        <v>2308</v>
      </c>
      <c r="S793" s="22" t="s">
        <v>2308</v>
      </c>
      <c r="T793" s="22" t="s">
        <v>2308</v>
      </c>
      <c r="U793" s="22" t="s">
        <v>2308</v>
      </c>
      <c r="V793" s="22" t="s">
        <v>2308</v>
      </c>
      <c r="W793" s="22" t="s">
        <v>2308</v>
      </c>
      <c r="X793" s="22" t="s">
        <v>2308</v>
      </c>
      <c r="Y793" s="22" t="s">
        <v>2308</v>
      </c>
      <c r="Z793" s="22" t="s">
        <v>194</v>
      </c>
      <c r="AA793" s="22" t="s">
        <v>195</v>
      </c>
      <c r="AB793" s="80" t="s">
        <v>64</v>
      </c>
      <c r="AC793" s="4"/>
      <c r="AD793" s="4"/>
    </row>
    <row r="794" spans="1:30" ht="64.5" customHeight="1">
      <c r="A794" s="4" t="s">
        <v>2514</v>
      </c>
      <c r="B794" s="4" t="s">
        <v>2548</v>
      </c>
      <c r="C794" s="24" t="s">
        <v>24</v>
      </c>
      <c r="D794" s="12" t="s">
        <v>27</v>
      </c>
      <c r="E794" s="12" t="s">
        <v>136</v>
      </c>
      <c r="F794" s="20" t="s">
        <v>167</v>
      </c>
      <c r="G794" s="12" t="s">
        <v>2308</v>
      </c>
      <c r="H794" s="4" t="s">
        <v>531</v>
      </c>
      <c r="I794" s="4"/>
      <c r="J794" s="22" t="s">
        <v>2308</v>
      </c>
      <c r="K794" s="22" t="s">
        <v>2308</v>
      </c>
      <c r="L794" s="22" t="s">
        <v>2308</v>
      </c>
      <c r="M794" s="22" t="s">
        <v>2308</v>
      </c>
      <c r="N794" s="22" t="s">
        <v>2308</v>
      </c>
      <c r="O794" s="22" t="s">
        <v>2308</v>
      </c>
      <c r="P794" s="22" t="s">
        <v>2308</v>
      </c>
      <c r="Q794" s="22" t="s">
        <v>2308</v>
      </c>
      <c r="R794" s="22" t="s">
        <v>2308</v>
      </c>
      <c r="S794" s="22" t="s">
        <v>2308</v>
      </c>
      <c r="T794" s="22" t="s">
        <v>2308</v>
      </c>
      <c r="U794" s="22" t="s">
        <v>2308</v>
      </c>
      <c r="V794" s="22" t="s">
        <v>2308</v>
      </c>
      <c r="W794" s="22" t="s">
        <v>2308</v>
      </c>
      <c r="X794" s="22" t="s">
        <v>2308</v>
      </c>
      <c r="Y794" s="22" t="s">
        <v>2308</v>
      </c>
      <c r="Z794" s="22" t="s">
        <v>194</v>
      </c>
      <c r="AA794" s="22" t="s">
        <v>195</v>
      </c>
      <c r="AB794" s="80" t="s">
        <v>64</v>
      </c>
      <c r="AC794" s="4"/>
      <c r="AD794" s="4"/>
    </row>
    <row r="795" spans="1:30" ht="31" customHeight="1">
      <c r="A795" s="12" t="s">
        <v>2551</v>
      </c>
      <c r="B795" s="12" t="s">
        <v>2556</v>
      </c>
      <c r="C795" s="24" t="s">
        <v>24</v>
      </c>
      <c r="D795" s="12" t="s">
        <v>27</v>
      </c>
      <c r="E795" s="12" t="s">
        <v>136</v>
      </c>
      <c r="F795" s="20" t="s">
        <v>167</v>
      </c>
      <c r="G795" s="12" t="s">
        <v>2308</v>
      </c>
      <c r="H795" s="4" t="s">
        <v>531</v>
      </c>
      <c r="I795" s="4"/>
      <c r="J795" s="22" t="s">
        <v>2308</v>
      </c>
      <c r="K795" s="22" t="s">
        <v>2308</v>
      </c>
      <c r="L795" s="22" t="s">
        <v>2308</v>
      </c>
      <c r="M795" s="22" t="s">
        <v>2308</v>
      </c>
      <c r="N795" s="22" t="s">
        <v>2308</v>
      </c>
      <c r="O795" s="22" t="s">
        <v>2308</v>
      </c>
      <c r="P795" s="22" t="s">
        <v>2308</v>
      </c>
      <c r="Q795" s="22" t="s">
        <v>2308</v>
      </c>
      <c r="R795" s="22" t="s">
        <v>2308</v>
      </c>
      <c r="S795" s="22" t="s">
        <v>2308</v>
      </c>
      <c r="T795" s="22" t="s">
        <v>2308</v>
      </c>
      <c r="U795" s="22" t="s">
        <v>2308</v>
      </c>
      <c r="V795" s="22" t="s">
        <v>2308</v>
      </c>
      <c r="W795" s="22" t="s">
        <v>2308</v>
      </c>
      <c r="X795" s="22" t="s">
        <v>2308</v>
      </c>
      <c r="Y795" s="22" t="s">
        <v>2308</v>
      </c>
      <c r="Z795" s="22" t="s">
        <v>2308</v>
      </c>
      <c r="AA795" s="22" t="s">
        <v>2308</v>
      </c>
      <c r="AB795" s="22" t="s">
        <v>2308</v>
      </c>
      <c r="AC795" s="4"/>
      <c r="AD795" s="4"/>
    </row>
    <row r="796" spans="1:30" ht="28.5" customHeight="1">
      <c r="A796" s="12" t="s">
        <v>2551</v>
      </c>
      <c r="B796" s="12" t="s">
        <v>2558</v>
      </c>
      <c r="C796" s="24" t="s">
        <v>24</v>
      </c>
      <c r="D796" s="12" t="s">
        <v>27</v>
      </c>
      <c r="E796" s="12" t="s">
        <v>136</v>
      </c>
      <c r="F796" s="20" t="s">
        <v>74</v>
      </c>
      <c r="G796" s="12" t="s">
        <v>2308</v>
      </c>
      <c r="H796" s="4" t="s">
        <v>531</v>
      </c>
      <c r="I796" s="4"/>
      <c r="J796" s="22" t="s">
        <v>2308</v>
      </c>
      <c r="K796" s="22" t="s">
        <v>2308</v>
      </c>
      <c r="L796" s="22" t="s">
        <v>2308</v>
      </c>
      <c r="M796" s="22" t="s">
        <v>2308</v>
      </c>
      <c r="N796" s="22" t="s">
        <v>2308</v>
      </c>
      <c r="O796" s="22" t="s">
        <v>2308</v>
      </c>
      <c r="P796" s="22" t="s">
        <v>2308</v>
      </c>
      <c r="Q796" s="22" t="s">
        <v>2308</v>
      </c>
      <c r="R796" s="22" t="s">
        <v>2308</v>
      </c>
      <c r="S796" s="22" t="s">
        <v>2308</v>
      </c>
      <c r="T796" s="22" t="s">
        <v>2308</v>
      </c>
      <c r="U796" s="22" t="s">
        <v>2308</v>
      </c>
      <c r="V796" s="22" t="s">
        <v>2308</v>
      </c>
      <c r="W796" s="22" t="s">
        <v>2308</v>
      </c>
      <c r="X796" s="22" t="s">
        <v>2308</v>
      </c>
      <c r="Y796" s="22" t="s">
        <v>2308</v>
      </c>
      <c r="Z796" s="22" t="s">
        <v>2308</v>
      </c>
      <c r="AA796" s="22" t="s">
        <v>2308</v>
      </c>
      <c r="AB796" s="22" t="s">
        <v>2308</v>
      </c>
      <c r="AC796" s="4"/>
      <c r="AD796" s="4"/>
    </row>
    <row r="797" spans="1:30" ht="32" customHeight="1">
      <c r="A797" s="12" t="s">
        <v>2553</v>
      </c>
      <c r="B797" s="12" t="s">
        <v>2557</v>
      </c>
      <c r="C797" s="24" t="s">
        <v>24</v>
      </c>
      <c r="D797" s="12" t="s">
        <v>27</v>
      </c>
      <c r="E797" s="12" t="s">
        <v>136</v>
      </c>
      <c r="F797" s="20" t="s">
        <v>167</v>
      </c>
      <c r="G797" s="12" t="s">
        <v>2308</v>
      </c>
      <c r="H797" s="4" t="s">
        <v>531</v>
      </c>
      <c r="I797" s="4"/>
      <c r="J797" s="22" t="s">
        <v>2308</v>
      </c>
      <c r="K797" s="22" t="s">
        <v>2308</v>
      </c>
      <c r="L797" s="22" t="s">
        <v>2308</v>
      </c>
      <c r="M797" s="22" t="s">
        <v>2308</v>
      </c>
      <c r="N797" s="22" t="s">
        <v>2308</v>
      </c>
      <c r="O797" s="22" t="s">
        <v>2308</v>
      </c>
      <c r="P797" s="22" t="s">
        <v>2308</v>
      </c>
      <c r="Q797" s="22" t="s">
        <v>2308</v>
      </c>
      <c r="R797" s="22" t="s">
        <v>2308</v>
      </c>
      <c r="S797" s="22" t="s">
        <v>2308</v>
      </c>
      <c r="T797" s="22" t="s">
        <v>2308</v>
      </c>
      <c r="U797" s="22" t="s">
        <v>2308</v>
      </c>
      <c r="V797" s="22" t="s">
        <v>2308</v>
      </c>
      <c r="W797" s="22" t="s">
        <v>2308</v>
      </c>
      <c r="X797" s="22" t="s">
        <v>2308</v>
      </c>
      <c r="Y797" s="22" t="s">
        <v>2308</v>
      </c>
      <c r="Z797" s="22" t="s">
        <v>2308</v>
      </c>
      <c r="AA797" s="22" t="s">
        <v>2308</v>
      </c>
      <c r="AB797" s="22" t="s">
        <v>2308</v>
      </c>
      <c r="AC797" s="4"/>
      <c r="AD797" s="4"/>
    </row>
    <row r="798" spans="1:30" ht="31" customHeight="1">
      <c r="A798" s="12" t="s">
        <v>2553</v>
      </c>
      <c r="B798" s="12" t="s">
        <v>2559</v>
      </c>
      <c r="C798" s="24" t="s">
        <v>24</v>
      </c>
      <c r="D798" s="12" t="s">
        <v>27</v>
      </c>
      <c r="E798" s="12" t="s">
        <v>136</v>
      </c>
      <c r="F798" s="20" t="s">
        <v>74</v>
      </c>
      <c r="G798" s="12" t="s">
        <v>2308</v>
      </c>
      <c r="H798" s="4" t="s">
        <v>531</v>
      </c>
      <c r="I798" s="4"/>
      <c r="J798" s="22" t="s">
        <v>2308</v>
      </c>
      <c r="K798" s="22" t="s">
        <v>2308</v>
      </c>
      <c r="L798" s="22" t="s">
        <v>2308</v>
      </c>
      <c r="M798" s="22" t="s">
        <v>2308</v>
      </c>
      <c r="N798" s="22" t="s">
        <v>2308</v>
      </c>
      <c r="O798" s="22" t="s">
        <v>2308</v>
      </c>
      <c r="P798" s="22" t="s">
        <v>2308</v>
      </c>
      <c r="Q798" s="22" t="s">
        <v>2308</v>
      </c>
      <c r="R798" s="22" t="s">
        <v>2308</v>
      </c>
      <c r="S798" s="22" t="s">
        <v>2308</v>
      </c>
      <c r="T798" s="22" t="s">
        <v>2308</v>
      </c>
      <c r="U798" s="22" t="s">
        <v>2308</v>
      </c>
      <c r="V798" s="22" t="s">
        <v>2308</v>
      </c>
      <c r="W798" s="22" t="s">
        <v>2308</v>
      </c>
      <c r="X798" s="22" t="s">
        <v>2308</v>
      </c>
      <c r="Y798" s="22" t="s">
        <v>2308</v>
      </c>
      <c r="Z798" s="22" t="s">
        <v>2308</v>
      </c>
      <c r="AA798" s="22" t="s">
        <v>2308</v>
      </c>
      <c r="AB798" s="22" t="s">
        <v>2308</v>
      </c>
      <c r="AC798" s="4"/>
      <c r="AD798" s="4"/>
    </row>
    <row r="799" spans="1:30" ht="31" customHeight="1">
      <c r="A799" s="13" t="s">
        <v>2553</v>
      </c>
      <c r="B799" s="13" t="s">
        <v>2580</v>
      </c>
      <c r="C799" s="100" t="s">
        <v>24</v>
      </c>
      <c r="D799" s="13" t="s">
        <v>27</v>
      </c>
      <c r="E799" s="13" t="s">
        <v>84</v>
      </c>
      <c r="F799" s="99" t="s">
        <v>74</v>
      </c>
      <c r="G799" s="13" t="s">
        <v>2308</v>
      </c>
      <c r="H799" s="13" t="s">
        <v>532</v>
      </c>
      <c r="I799" s="13"/>
      <c r="J799" s="95">
        <v>0</v>
      </c>
      <c r="K799" s="95">
        <v>0</v>
      </c>
      <c r="L799" s="95">
        <v>0</v>
      </c>
      <c r="M799" s="95">
        <v>0</v>
      </c>
      <c r="N799" s="95">
        <v>0</v>
      </c>
      <c r="O799" s="95">
        <v>0</v>
      </c>
      <c r="P799" s="95">
        <v>0</v>
      </c>
      <c r="Q799" s="95">
        <v>0</v>
      </c>
      <c r="R799" s="95">
        <v>0</v>
      </c>
      <c r="S799" s="95">
        <v>0</v>
      </c>
      <c r="T799" s="95">
        <v>0</v>
      </c>
      <c r="U799" s="95">
        <v>0</v>
      </c>
      <c r="V799" s="95">
        <v>0</v>
      </c>
      <c r="W799" s="95">
        <v>0</v>
      </c>
      <c r="X799" s="95">
        <v>0</v>
      </c>
      <c r="Y799" s="95">
        <v>0</v>
      </c>
      <c r="Z799" s="95" t="s">
        <v>2308</v>
      </c>
      <c r="AA799" s="95" t="s">
        <v>2308</v>
      </c>
      <c r="AB799" s="95" t="s">
        <v>2308</v>
      </c>
      <c r="AC799" s="13"/>
      <c r="AD799" s="13"/>
    </row>
    <row r="800" spans="1:30" ht="31" customHeight="1">
      <c r="A800" s="13" t="s">
        <v>2553</v>
      </c>
      <c r="B800" s="13" t="s">
        <v>2581</v>
      </c>
      <c r="C800" s="100" t="s">
        <v>24</v>
      </c>
      <c r="D800" s="13" t="s">
        <v>149</v>
      </c>
      <c r="E800" s="13" t="s">
        <v>84</v>
      </c>
      <c r="F800" s="99" t="s">
        <v>74</v>
      </c>
      <c r="G800" s="13" t="s">
        <v>2308</v>
      </c>
      <c r="H800" s="13" t="s">
        <v>532</v>
      </c>
      <c r="I800" s="13"/>
      <c r="J800" s="95">
        <v>0</v>
      </c>
      <c r="K800" s="95">
        <v>0</v>
      </c>
      <c r="L800" s="95">
        <v>0</v>
      </c>
      <c r="M800" s="95">
        <v>0</v>
      </c>
      <c r="N800" s="95">
        <v>0</v>
      </c>
      <c r="O800" s="95">
        <v>0</v>
      </c>
      <c r="P800" s="95">
        <v>0</v>
      </c>
      <c r="Q800" s="95">
        <v>0</v>
      </c>
      <c r="R800" s="95">
        <v>0</v>
      </c>
      <c r="S800" s="95">
        <v>0</v>
      </c>
      <c r="T800" s="95">
        <v>0</v>
      </c>
      <c r="U800" s="95">
        <v>0</v>
      </c>
      <c r="V800" s="95">
        <v>0</v>
      </c>
      <c r="W800" s="95">
        <v>0</v>
      </c>
      <c r="X800" s="95">
        <v>0</v>
      </c>
      <c r="Y800" s="95">
        <v>0</v>
      </c>
      <c r="Z800" s="95" t="s">
        <v>2308</v>
      </c>
      <c r="AA800" s="95" t="s">
        <v>2308</v>
      </c>
      <c r="AB800" s="95" t="s">
        <v>2308</v>
      </c>
      <c r="AC800" s="13"/>
      <c r="AD800" s="13"/>
    </row>
    <row r="801" spans="1:30" ht="41.5" customHeight="1">
      <c r="A801" s="12" t="s">
        <v>2564</v>
      </c>
      <c r="B801" s="12" t="s">
        <v>2567</v>
      </c>
      <c r="C801" s="24" t="s">
        <v>24</v>
      </c>
      <c r="D801" s="12" t="s">
        <v>27</v>
      </c>
      <c r="E801" s="12" t="s">
        <v>136</v>
      </c>
      <c r="F801" s="20" t="s">
        <v>167</v>
      </c>
      <c r="G801" s="12" t="s">
        <v>2308</v>
      </c>
      <c r="H801" s="4" t="s">
        <v>531</v>
      </c>
      <c r="I801" s="4"/>
      <c r="J801" s="22" t="s">
        <v>2308</v>
      </c>
      <c r="K801" s="22" t="s">
        <v>2308</v>
      </c>
      <c r="L801" s="22" t="s">
        <v>2308</v>
      </c>
      <c r="M801" s="22" t="s">
        <v>2308</v>
      </c>
      <c r="N801" s="22" t="s">
        <v>2308</v>
      </c>
      <c r="O801" s="22" t="s">
        <v>2308</v>
      </c>
      <c r="P801" s="22" t="s">
        <v>2308</v>
      </c>
      <c r="Q801" s="22" t="s">
        <v>2308</v>
      </c>
      <c r="R801" s="22" t="s">
        <v>2308</v>
      </c>
      <c r="S801" s="22" t="s">
        <v>2308</v>
      </c>
      <c r="T801" s="22" t="s">
        <v>2308</v>
      </c>
      <c r="U801" s="22" t="s">
        <v>2308</v>
      </c>
      <c r="V801" s="22" t="s">
        <v>2308</v>
      </c>
      <c r="W801" s="22" t="s">
        <v>2308</v>
      </c>
      <c r="X801" s="22" t="s">
        <v>2308</v>
      </c>
      <c r="Y801" s="22" t="s">
        <v>2308</v>
      </c>
      <c r="Z801" s="22" t="s">
        <v>34</v>
      </c>
      <c r="AA801" s="22" t="s">
        <v>412</v>
      </c>
      <c r="AB801" s="22" t="s">
        <v>76</v>
      </c>
      <c r="AC801" s="5" t="s">
        <v>2569</v>
      </c>
      <c r="AD801" s="5" t="s">
        <v>2586</v>
      </c>
    </row>
    <row r="802" spans="1:30" ht="48.5" customHeight="1">
      <c r="A802" s="12" t="s">
        <v>2565</v>
      </c>
      <c r="B802" s="12" t="s">
        <v>2568</v>
      </c>
      <c r="C802" s="24" t="s">
        <v>24</v>
      </c>
      <c r="D802" s="12" t="s">
        <v>27</v>
      </c>
      <c r="E802" s="12" t="s">
        <v>136</v>
      </c>
      <c r="F802" s="20" t="s">
        <v>74</v>
      </c>
      <c r="G802" s="12" t="s">
        <v>2308</v>
      </c>
      <c r="H802" s="4" t="s">
        <v>531</v>
      </c>
      <c r="I802" s="4"/>
      <c r="J802" s="22" t="s">
        <v>2308</v>
      </c>
      <c r="K802" s="22" t="s">
        <v>2308</v>
      </c>
      <c r="L802" s="22" t="s">
        <v>2308</v>
      </c>
      <c r="M802" s="22" t="s">
        <v>2308</v>
      </c>
      <c r="N802" s="22" t="s">
        <v>2308</v>
      </c>
      <c r="O802" s="22" t="s">
        <v>2308</v>
      </c>
      <c r="P802" s="22" t="s">
        <v>2308</v>
      </c>
      <c r="Q802" s="22" t="s">
        <v>2308</v>
      </c>
      <c r="R802" s="22" t="s">
        <v>2308</v>
      </c>
      <c r="S802" s="22" t="s">
        <v>2308</v>
      </c>
      <c r="T802" s="22" t="s">
        <v>2308</v>
      </c>
      <c r="U802" s="22" t="s">
        <v>2308</v>
      </c>
      <c r="V802" s="22" t="s">
        <v>2308</v>
      </c>
      <c r="W802" s="22" t="s">
        <v>2308</v>
      </c>
      <c r="X802" s="22" t="s">
        <v>2308</v>
      </c>
      <c r="Y802" s="22" t="s">
        <v>2308</v>
      </c>
      <c r="Z802" s="22" t="s">
        <v>34</v>
      </c>
      <c r="AA802" s="22" t="s">
        <v>412</v>
      </c>
      <c r="AB802" s="22" t="s">
        <v>76</v>
      </c>
      <c r="AC802" s="5" t="s">
        <v>2569</v>
      </c>
      <c r="AD802" s="5" t="s">
        <v>2586</v>
      </c>
    </row>
    <row r="803" spans="1:30" ht="42.5" customHeight="1">
      <c r="A803" s="12" t="s">
        <v>2573</v>
      </c>
      <c r="B803" s="12" t="s">
        <v>2577</v>
      </c>
      <c r="C803" s="24" t="s">
        <v>24</v>
      </c>
      <c r="D803" s="12" t="s">
        <v>27</v>
      </c>
      <c r="E803" s="12" t="s">
        <v>136</v>
      </c>
      <c r="F803" s="20" t="s">
        <v>74</v>
      </c>
      <c r="G803" s="12" t="s">
        <v>2308</v>
      </c>
      <c r="H803" s="4" t="s">
        <v>531</v>
      </c>
      <c r="I803" s="4"/>
      <c r="J803" s="22" t="s">
        <v>2308</v>
      </c>
      <c r="K803" s="22">
        <v>0.15</v>
      </c>
      <c r="L803" s="22" t="s">
        <v>2308</v>
      </c>
      <c r="M803" s="22">
        <v>0.35</v>
      </c>
      <c r="N803" s="22" t="s">
        <v>2308</v>
      </c>
      <c r="O803" s="22">
        <v>0.25</v>
      </c>
      <c r="P803" s="22" t="s">
        <v>2308</v>
      </c>
      <c r="Q803" s="22" t="s">
        <v>2308</v>
      </c>
      <c r="R803" s="22" t="s">
        <v>2308</v>
      </c>
      <c r="S803" s="22" t="s">
        <v>2308</v>
      </c>
      <c r="T803" s="22" t="s">
        <v>2308</v>
      </c>
      <c r="U803" s="22" t="s">
        <v>2308</v>
      </c>
      <c r="V803" s="22" t="s">
        <v>2308</v>
      </c>
      <c r="W803" s="22" t="s">
        <v>2308</v>
      </c>
      <c r="X803" s="22" t="s">
        <v>2308</v>
      </c>
      <c r="Y803" s="22" t="s">
        <v>2308</v>
      </c>
      <c r="Z803" s="22" t="s">
        <v>2308</v>
      </c>
      <c r="AA803" s="22" t="s">
        <v>2308</v>
      </c>
      <c r="AB803" s="22" t="s">
        <v>2308</v>
      </c>
      <c r="AC803" s="4"/>
      <c r="AD803" s="4"/>
    </row>
    <row r="804" spans="1:30" ht="39.5" customHeight="1">
      <c r="A804" s="12" t="s">
        <v>2573</v>
      </c>
      <c r="B804" s="12" t="s">
        <v>2578</v>
      </c>
      <c r="C804" s="24" t="s">
        <v>24</v>
      </c>
      <c r="D804" s="12" t="s">
        <v>27</v>
      </c>
      <c r="E804" s="12" t="s">
        <v>136</v>
      </c>
      <c r="F804" s="20" t="s">
        <v>167</v>
      </c>
      <c r="G804" s="12" t="s">
        <v>2308</v>
      </c>
      <c r="H804" s="4" t="s">
        <v>531</v>
      </c>
      <c r="I804" s="4"/>
      <c r="J804" s="22" t="s">
        <v>2308</v>
      </c>
      <c r="K804" s="22">
        <v>0.15</v>
      </c>
      <c r="L804" s="22" t="s">
        <v>2308</v>
      </c>
      <c r="M804" s="22">
        <v>0.35</v>
      </c>
      <c r="N804" s="22" t="s">
        <v>2308</v>
      </c>
      <c r="O804" s="22">
        <v>0.25</v>
      </c>
      <c r="P804" s="22" t="s">
        <v>2308</v>
      </c>
      <c r="Q804" s="22" t="s">
        <v>2308</v>
      </c>
      <c r="R804" s="22" t="s">
        <v>2308</v>
      </c>
      <c r="S804" s="22" t="s">
        <v>2308</v>
      </c>
      <c r="T804" s="22" t="s">
        <v>2308</v>
      </c>
      <c r="U804" s="22" t="s">
        <v>2308</v>
      </c>
      <c r="V804" s="22" t="s">
        <v>2308</v>
      </c>
      <c r="W804" s="22" t="s">
        <v>2308</v>
      </c>
      <c r="X804" s="22" t="s">
        <v>2308</v>
      </c>
      <c r="Y804" s="22" t="s">
        <v>2308</v>
      </c>
      <c r="Z804" s="22" t="s">
        <v>2308</v>
      </c>
      <c r="AA804" s="22" t="s">
        <v>2308</v>
      </c>
      <c r="AB804" s="22" t="s">
        <v>2308</v>
      </c>
      <c r="AC804" s="4"/>
      <c r="AD804" s="4"/>
    </row>
    <row r="805" spans="1:30" ht="67.5" customHeight="1">
      <c r="A805" s="4" t="s">
        <v>2583</v>
      </c>
      <c r="B805" s="12" t="s">
        <v>2587</v>
      </c>
      <c r="C805" s="24" t="s">
        <v>24</v>
      </c>
      <c r="D805" s="12" t="s">
        <v>27</v>
      </c>
      <c r="E805" s="12" t="s">
        <v>136</v>
      </c>
      <c r="F805" s="20" t="s">
        <v>167</v>
      </c>
      <c r="G805" s="12" t="s">
        <v>2308</v>
      </c>
      <c r="H805" s="4" t="s">
        <v>531</v>
      </c>
      <c r="I805" s="4">
        <v>2002</v>
      </c>
      <c r="J805" s="22" t="s">
        <v>2308</v>
      </c>
      <c r="K805" s="22" t="s">
        <v>2308</v>
      </c>
      <c r="L805" s="22" t="s">
        <v>2308</v>
      </c>
      <c r="M805" s="22" t="s">
        <v>2308</v>
      </c>
      <c r="N805" s="22" t="s">
        <v>2308</v>
      </c>
      <c r="O805" s="22" t="s">
        <v>2308</v>
      </c>
      <c r="P805" s="22" t="s">
        <v>2308</v>
      </c>
      <c r="Q805" s="22" t="s">
        <v>2308</v>
      </c>
      <c r="R805" s="22" t="s">
        <v>2308</v>
      </c>
      <c r="S805" s="22" t="s">
        <v>2308</v>
      </c>
      <c r="T805" s="22" t="s">
        <v>2308</v>
      </c>
      <c r="U805" s="22" t="s">
        <v>2308</v>
      </c>
      <c r="V805" s="22" t="s">
        <v>2308</v>
      </c>
      <c r="W805" s="22" t="s">
        <v>2308</v>
      </c>
      <c r="X805" s="22" t="s">
        <v>2308</v>
      </c>
      <c r="Y805" s="22">
        <v>6</v>
      </c>
      <c r="Z805" s="4" t="s">
        <v>194</v>
      </c>
      <c r="AA805" s="4" t="s">
        <v>194</v>
      </c>
      <c r="AB805" s="4" t="s">
        <v>64</v>
      </c>
      <c r="AC805" s="5" t="s">
        <v>2589</v>
      </c>
      <c r="AD805" s="4"/>
    </row>
    <row r="806" spans="1:30" ht="94.5" customHeight="1">
      <c r="A806" s="4" t="s">
        <v>2583</v>
      </c>
      <c r="B806" s="12" t="s">
        <v>2588</v>
      </c>
      <c r="C806" s="24" t="s">
        <v>24</v>
      </c>
      <c r="D806" s="12" t="s">
        <v>27</v>
      </c>
      <c r="E806" s="20" t="s">
        <v>404</v>
      </c>
      <c r="F806" s="20" t="s">
        <v>28</v>
      </c>
      <c r="G806" s="12" t="s">
        <v>2308</v>
      </c>
      <c r="H806" s="4" t="s">
        <v>531</v>
      </c>
      <c r="I806" s="4">
        <v>2002</v>
      </c>
      <c r="J806" s="22" t="s">
        <v>2308</v>
      </c>
      <c r="K806" s="22" t="s">
        <v>2308</v>
      </c>
      <c r="L806" s="22" t="s">
        <v>2308</v>
      </c>
      <c r="M806" s="22" t="s">
        <v>2308</v>
      </c>
      <c r="N806" s="22" t="s">
        <v>2308</v>
      </c>
      <c r="O806" s="22" t="s">
        <v>2308</v>
      </c>
      <c r="P806" s="22" t="s">
        <v>2308</v>
      </c>
      <c r="Q806" s="22" t="s">
        <v>2308</v>
      </c>
      <c r="R806" s="22" t="s">
        <v>2308</v>
      </c>
      <c r="S806" s="22" t="s">
        <v>2308</v>
      </c>
      <c r="T806" s="22" t="s">
        <v>2308</v>
      </c>
      <c r="U806" s="22" t="s">
        <v>2308</v>
      </c>
      <c r="V806" s="22" t="s">
        <v>2308</v>
      </c>
      <c r="W806" s="22" t="s">
        <v>2308</v>
      </c>
      <c r="X806" s="22" t="s">
        <v>2308</v>
      </c>
      <c r="Y806" s="22" t="s">
        <v>2308</v>
      </c>
      <c r="Z806" s="4" t="s">
        <v>406</v>
      </c>
      <c r="AA806" s="4" t="s">
        <v>406</v>
      </c>
      <c r="AB806" s="4" t="s">
        <v>76</v>
      </c>
      <c r="AC806" s="5" t="s">
        <v>2605</v>
      </c>
      <c r="AD806" s="4"/>
    </row>
    <row r="807" spans="1:30">
      <c r="A807" s="4" t="s">
        <v>2590</v>
      </c>
      <c r="B807" s="12" t="s">
        <v>2591</v>
      </c>
      <c r="C807" s="24" t="s">
        <v>24</v>
      </c>
      <c r="D807" s="12" t="s">
        <v>27</v>
      </c>
      <c r="E807" s="12" t="s">
        <v>136</v>
      </c>
      <c r="F807" s="20" t="s">
        <v>167</v>
      </c>
      <c r="G807" s="12" t="s">
        <v>2308</v>
      </c>
      <c r="H807" s="4" t="s">
        <v>531</v>
      </c>
      <c r="I807" s="4">
        <v>1997</v>
      </c>
      <c r="J807" s="22" t="s">
        <v>2308</v>
      </c>
      <c r="K807" s="22" t="s">
        <v>2308</v>
      </c>
      <c r="L807" s="22" t="s">
        <v>2308</v>
      </c>
      <c r="M807" s="22" t="s">
        <v>2308</v>
      </c>
      <c r="N807" s="22" t="s">
        <v>2308</v>
      </c>
      <c r="O807" s="22" t="s">
        <v>2308</v>
      </c>
      <c r="P807" s="22" t="s">
        <v>2308</v>
      </c>
      <c r="Q807" s="22" t="s">
        <v>2308</v>
      </c>
      <c r="R807" s="22" t="s">
        <v>2308</v>
      </c>
      <c r="S807" s="22" t="s">
        <v>2308</v>
      </c>
      <c r="T807" s="22" t="s">
        <v>2308</v>
      </c>
      <c r="U807" s="22" t="s">
        <v>2308</v>
      </c>
      <c r="V807" s="22" t="s">
        <v>2308</v>
      </c>
      <c r="W807" s="22" t="s">
        <v>2308</v>
      </c>
      <c r="X807" s="22" t="s">
        <v>2308</v>
      </c>
      <c r="Y807" s="22" t="s">
        <v>2308</v>
      </c>
      <c r="Z807" s="4" t="s">
        <v>194</v>
      </c>
      <c r="AA807" s="4" t="s">
        <v>194</v>
      </c>
      <c r="AB807" s="4" t="s">
        <v>64</v>
      </c>
      <c r="AC807" s="4"/>
      <c r="AD807" s="4"/>
    </row>
    <row r="808" spans="1:30">
      <c r="A808" s="4" t="s">
        <v>2590</v>
      </c>
      <c r="B808" s="12" t="s">
        <v>2592</v>
      </c>
      <c r="C808" s="24" t="s">
        <v>24</v>
      </c>
      <c r="D808" s="12" t="s">
        <v>27</v>
      </c>
      <c r="E808" s="12" t="s">
        <v>136</v>
      </c>
      <c r="F808" s="20" t="s">
        <v>167</v>
      </c>
      <c r="G808" s="12" t="s">
        <v>2308</v>
      </c>
      <c r="H808" s="4" t="s">
        <v>531</v>
      </c>
      <c r="I808" s="4">
        <v>1992</v>
      </c>
      <c r="J808" s="22" t="s">
        <v>2308</v>
      </c>
      <c r="K808" s="22" t="s">
        <v>2308</v>
      </c>
      <c r="L808" s="22" t="s">
        <v>2308</v>
      </c>
      <c r="M808" s="22" t="s">
        <v>2308</v>
      </c>
      <c r="N808" s="22" t="s">
        <v>2308</v>
      </c>
      <c r="O808" s="22" t="s">
        <v>2308</v>
      </c>
      <c r="P808" s="22" t="s">
        <v>2308</v>
      </c>
      <c r="Q808" s="22" t="s">
        <v>2308</v>
      </c>
      <c r="R808" s="22" t="s">
        <v>2308</v>
      </c>
      <c r="S808" s="22" t="s">
        <v>2308</v>
      </c>
      <c r="T808" s="22" t="s">
        <v>2308</v>
      </c>
      <c r="U808" s="22" t="s">
        <v>2308</v>
      </c>
      <c r="V808" s="22" t="s">
        <v>2308</v>
      </c>
      <c r="W808" s="22" t="s">
        <v>2308</v>
      </c>
      <c r="X808" s="22" t="s">
        <v>2308</v>
      </c>
      <c r="Y808" s="22" t="s">
        <v>2308</v>
      </c>
      <c r="Z808" s="4" t="s">
        <v>194</v>
      </c>
      <c r="AA808" s="4" t="s">
        <v>194</v>
      </c>
      <c r="AB808" s="4" t="s">
        <v>64</v>
      </c>
      <c r="AC808" s="4"/>
      <c r="AD808" s="4"/>
    </row>
    <row r="809" spans="1:30">
      <c r="A809" s="4" t="s">
        <v>2590</v>
      </c>
      <c r="B809" s="12" t="s">
        <v>2593</v>
      </c>
      <c r="C809" s="24" t="s">
        <v>24</v>
      </c>
      <c r="D809" s="12" t="s">
        <v>27</v>
      </c>
      <c r="E809" s="12" t="s">
        <v>136</v>
      </c>
      <c r="F809" s="20" t="s">
        <v>167</v>
      </c>
      <c r="G809" s="12" t="s">
        <v>2308</v>
      </c>
      <c r="H809" s="4" t="s">
        <v>531</v>
      </c>
      <c r="I809" s="4">
        <v>1987</v>
      </c>
      <c r="J809" s="22" t="s">
        <v>2308</v>
      </c>
      <c r="K809" s="22" t="s">
        <v>2308</v>
      </c>
      <c r="L809" s="22" t="s">
        <v>2308</v>
      </c>
      <c r="M809" s="22" t="s">
        <v>2308</v>
      </c>
      <c r="N809" s="22" t="s">
        <v>2308</v>
      </c>
      <c r="O809" s="22" t="s">
        <v>2308</v>
      </c>
      <c r="P809" s="22" t="s">
        <v>2308</v>
      </c>
      <c r="Q809" s="22" t="s">
        <v>2308</v>
      </c>
      <c r="R809" s="22" t="s">
        <v>2308</v>
      </c>
      <c r="S809" s="22" t="s">
        <v>2308</v>
      </c>
      <c r="T809" s="22" t="s">
        <v>2308</v>
      </c>
      <c r="U809" s="22" t="s">
        <v>2308</v>
      </c>
      <c r="V809" s="22" t="s">
        <v>2308</v>
      </c>
      <c r="W809" s="22" t="s">
        <v>2308</v>
      </c>
      <c r="X809" s="22" t="s">
        <v>2308</v>
      </c>
      <c r="Y809" s="22" t="s">
        <v>2308</v>
      </c>
      <c r="Z809" s="4" t="s">
        <v>194</v>
      </c>
      <c r="AA809" s="4" t="s">
        <v>194</v>
      </c>
      <c r="AB809" s="4" t="s">
        <v>64</v>
      </c>
      <c r="AC809" s="4"/>
      <c r="AD809" s="4"/>
    </row>
    <row r="810" spans="1:30">
      <c r="A810" s="4" t="s">
        <v>2590</v>
      </c>
      <c r="B810" s="12" t="s">
        <v>2594</v>
      </c>
      <c r="C810" s="24" t="s">
        <v>24</v>
      </c>
      <c r="D810" s="12" t="s">
        <v>27</v>
      </c>
      <c r="E810" s="12" t="s">
        <v>136</v>
      </c>
      <c r="F810" s="20" t="s">
        <v>167</v>
      </c>
      <c r="G810" s="12" t="s">
        <v>2308</v>
      </c>
      <c r="H810" s="4" t="s">
        <v>531</v>
      </c>
      <c r="I810" s="4">
        <v>1982</v>
      </c>
      <c r="J810" s="22" t="s">
        <v>2308</v>
      </c>
      <c r="K810" s="22" t="s">
        <v>2308</v>
      </c>
      <c r="L810" s="22" t="s">
        <v>2308</v>
      </c>
      <c r="M810" s="22" t="s">
        <v>2308</v>
      </c>
      <c r="N810" s="22" t="s">
        <v>2308</v>
      </c>
      <c r="O810" s="22" t="s">
        <v>2308</v>
      </c>
      <c r="P810" s="22" t="s">
        <v>2308</v>
      </c>
      <c r="Q810" s="22" t="s">
        <v>2308</v>
      </c>
      <c r="R810" s="22" t="s">
        <v>2308</v>
      </c>
      <c r="S810" s="22" t="s">
        <v>2308</v>
      </c>
      <c r="T810" s="22" t="s">
        <v>2308</v>
      </c>
      <c r="U810" s="22" t="s">
        <v>2308</v>
      </c>
      <c r="V810" s="22" t="s">
        <v>2308</v>
      </c>
      <c r="W810" s="22" t="s">
        <v>2308</v>
      </c>
      <c r="X810" s="22" t="s">
        <v>2308</v>
      </c>
      <c r="Y810" s="22" t="s">
        <v>2308</v>
      </c>
      <c r="Z810" s="4" t="s">
        <v>194</v>
      </c>
      <c r="AA810" s="4" t="s">
        <v>194</v>
      </c>
      <c r="AB810" s="4" t="s">
        <v>64</v>
      </c>
      <c r="AC810" s="4"/>
      <c r="AD810" s="4"/>
    </row>
    <row r="811" spans="1:30">
      <c r="A811" s="4" t="s">
        <v>2590</v>
      </c>
      <c r="B811" s="12" t="s">
        <v>2595</v>
      </c>
      <c r="C811" s="24" t="s">
        <v>24</v>
      </c>
      <c r="D811" s="12" t="s">
        <v>27</v>
      </c>
      <c r="E811" s="12" t="s">
        <v>136</v>
      </c>
      <c r="F811" s="20" t="s">
        <v>167</v>
      </c>
      <c r="G811" s="12" t="s">
        <v>2308</v>
      </c>
      <c r="H811" s="4" t="s">
        <v>531</v>
      </c>
      <c r="I811" s="4">
        <v>1977</v>
      </c>
      <c r="J811" s="22" t="s">
        <v>2308</v>
      </c>
      <c r="K811" s="22" t="s">
        <v>2308</v>
      </c>
      <c r="L811" s="22" t="s">
        <v>2308</v>
      </c>
      <c r="M811" s="22" t="s">
        <v>2308</v>
      </c>
      <c r="N811" s="22" t="s">
        <v>2308</v>
      </c>
      <c r="O811" s="22" t="s">
        <v>2308</v>
      </c>
      <c r="P811" s="22" t="s">
        <v>2308</v>
      </c>
      <c r="Q811" s="22" t="s">
        <v>2308</v>
      </c>
      <c r="R811" s="22" t="s">
        <v>2308</v>
      </c>
      <c r="S811" s="22" t="s">
        <v>2308</v>
      </c>
      <c r="T811" s="22" t="s">
        <v>2308</v>
      </c>
      <c r="U811" s="22" t="s">
        <v>2308</v>
      </c>
      <c r="V811" s="22" t="s">
        <v>2308</v>
      </c>
      <c r="W811" s="22" t="s">
        <v>2308</v>
      </c>
      <c r="X811" s="22" t="s">
        <v>2308</v>
      </c>
      <c r="Y811" s="22" t="s">
        <v>2308</v>
      </c>
      <c r="Z811" s="4" t="s">
        <v>194</v>
      </c>
      <c r="AA811" s="4" t="s">
        <v>194</v>
      </c>
      <c r="AB811" s="4" t="s">
        <v>64</v>
      </c>
      <c r="AC811" s="4"/>
      <c r="AD811" s="4"/>
    </row>
    <row r="812" spans="1:30" ht="99" customHeight="1">
      <c r="A812" s="12" t="s">
        <v>2596</v>
      </c>
      <c r="B812" s="12" t="s">
        <v>2604</v>
      </c>
      <c r="C812" s="24" t="s">
        <v>24</v>
      </c>
      <c r="D812" s="12" t="s">
        <v>27</v>
      </c>
      <c r="E812" s="20" t="s">
        <v>404</v>
      </c>
      <c r="F812" s="20" t="s">
        <v>28</v>
      </c>
      <c r="G812" s="12" t="s">
        <v>2308</v>
      </c>
      <c r="H812" s="4" t="s">
        <v>531</v>
      </c>
      <c r="I812" s="4"/>
      <c r="J812" s="22" t="s">
        <v>2308</v>
      </c>
      <c r="K812" s="22" t="s">
        <v>2308</v>
      </c>
      <c r="L812" s="22" t="s">
        <v>2308</v>
      </c>
      <c r="M812" s="22" t="s">
        <v>2308</v>
      </c>
      <c r="N812" s="22" t="s">
        <v>2308</v>
      </c>
      <c r="O812" s="22" t="s">
        <v>2308</v>
      </c>
      <c r="P812" s="22" t="s">
        <v>2308</v>
      </c>
      <c r="Q812" s="22" t="s">
        <v>2308</v>
      </c>
      <c r="R812" s="22" t="s">
        <v>2308</v>
      </c>
      <c r="S812" s="22" t="s">
        <v>2308</v>
      </c>
      <c r="T812" s="22" t="s">
        <v>2308</v>
      </c>
      <c r="U812" s="22" t="s">
        <v>2308</v>
      </c>
      <c r="V812" s="22" t="s">
        <v>2308</v>
      </c>
      <c r="W812" s="22" t="s">
        <v>2308</v>
      </c>
      <c r="X812" s="22" t="s">
        <v>2308</v>
      </c>
      <c r="Y812" s="22" t="s">
        <v>2308</v>
      </c>
      <c r="Z812" s="4" t="s">
        <v>406</v>
      </c>
      <c r="AA812" s="4" t="s">
        <v>406</v>
      </c>
      <c r="AB812" s="4" t="s">
        <v>76</v>
      </c>
      <c r="AC812" s="5" t="s">
        <v>2605</v>
      </c>
      <c r="AD812" s="4"/>
    </row>
    <row r="813" spans="1:30" ht="36" customHeight="1">
      <c r="A813" s="12" t="s">
        <v>2607</v>
      </c>
      <c r="B813" s="12" t="s">
        <v>2634</v>
      </c>
      <c r="C813" s="24" t="s">
        <v>24</v>
      </c>
      <c r="D813" s="12" t="s">
        <v>27</v>
      </c>
      <c r="E813" s="12" t="s">
        <v>136</v>
      </c>
      <c r="F813" s="20" t="s">
        <v>167</v>
      </c>
      <c r="G813" s="12" t="s">
        <v>2308</v>
      </c>
      <c r="H813" s="4" t="s">
        <v>531</v>
      </c>
      <c r="I813" s="4"/>
      <c r="J813" s="22" t="s">
        <v>2308</v>
      </c>
      <c r="K813" s="22" t="s">
        <v>2308</v>
      </c>
      <c r="L813" s="22" t="s">
        <v>2308</v>
      </c>
      <c r="M813" s="22" t="s">
        <v>2308</v>
      </c>
      <c r="N813" s="22" t="s">
        <v>2308</v>
      </c>
      <c r="O813" s="22" t="s">
        <v>2308</v>
      </c>
      <c r="P813" s="22" t="s">
        <v>2308</v>
      </c>
      <c r="Q813" s="22" t="s">
        <v>2308</v>
      </c>
      <c r="R813" s="22" t="s">
        <v>2308</v>
      </c>
      <c r="S813" s="22" t="s">
        <v>2308</v>
      </c>
      <c r="T813" s="22" t="s">
        <v>2308</v>
      </c>
      <c r="U813" s="22" t="s">
        <v>2308</v>
      </c>
      <c r="V813" s="22" t="s">
        <v>2308</v>
      </c>
      <c r="W813" s="22" t="s">
        <v>2308</v>
      </c>
      <c r="X813" s="22" t="s">
        <v>2308</v>
      </c>
      <c r="Y813" s="22" t="s">
        <v>2308</v>
      </c>
      <c r="Z813" s="22" t="s">
        <v>2308</v>
      </c>
      <c r="AA813" s="22" t="s">
        <v>2308</v>
      </c>
      <c r="AB813" s="22" t="s">
        <v>2308</v>
      </c>
      <c r="AC813" s="4"/>
      <c r="AD813" s="4"/>
    </row>
    <row r="814" spans="1:30" ht="36" customHeight="1">
      <c r="A814" s="12" t="s">
        <v>2607</v>
      </c>
      <c r="B814" s="12" t="s">
        <v>2633</v>
      </c>
      <c r="C814" s="24" t="s">
        <v>24</v>
      </c>
      <c r="D814" s="12" t="s">
        <v>27</v>
      </c>
      <c r="E814" s="12" t="s">
        <v>136</v>
      </c>
      <c r="F814" s="20" t="s">
        <v>74</v>
      </c>
      <c r="G814" s="12" t="s">
        <v>2308</v>
      </c>
      <c r="H814" s="4" t="s">
        <v>531</v>
      </c>
      <c r="I814" s="4"/>
      <c r="J814" s="22"/>
      <c r="K814" s="22"/>
      <c r="L814" s="22"/>
      <c r="M814" s="22"/>
      <c r="N814" s="22"/>
      <c r="O814" s="22"/>
      <c r="P814" s="22"/>
      <c r="Q814" s="22"/>
      <c r="R814" s="22"/>
      <c r="S814" s="22"/>
      <c r="T814" s="22"/>
      <c r="U814" s="22"/>
      <c r="V814" s="22"/>
      <c r="W814" s="22"/>
      <c r="X814" s="22"/>
      <c r="Y814" s="22"/>
      <c r="Z814" s="22"/>
      <c r="AA814" s="22"/>
      <c r="AB814" s="22"/>
      <c r="AC814" s="4"/>
      <c r="AD814" s="4"/>
    </row>
    <row r="815" spans="1:30" ht="36" customHeight="1">
      <c r="A815" s="12" t="s">
        <v>2609</v>
      </c>
      <c r="B815" s="12" t="s">
        <v>2635</v>
      </c>
      <c r="C815" s="24" t="s">
        <v>24</v>
      </c>
      <c r="D815" s="12" t="s">
        <v>27</v>
      </c>
      <c r="E815" s="12" t="s">
        <v>136</v>
      </c>
      <c r="F815" s="20" t="s">
        <v>167</v>
      </c>
      <c r="G815" s="12" t="s">
        <v>2308</v>
      </c>
      <c r="H815" s="4" t="s">
        <v>531</v>
      </c>
      <c r="I815" s="4"/>
      <c r="J815" s="22" t="s">
        <v>2308</v>
      </c>
      <c r="K815" s="22" t="s">
        <v>2308</v>
      </c>
      <c r="L815" s="22" t="s">
        <v>2308</v>
      </c>
      <c r="M815" s="22" t="s">
        <v>2308</v>
      </c>
      <c r="N815" s="22" t="s">
        <v>2308</v>
      </c>
      <c r="O815" s="22" t="s">
        <v>2308</v>
      </c>
      <c r="P815" s="22" t="s">
        <v>2308</v>
      </c>
      <c r="Q815" s="22" t="s">
        <v>2308</v>
      </c>
      <c r="R815" s="22" t="s">
        <v>2308</v>
      </c>
      <c r="S815" s="22" t="s">
        <v>2308</v>
      </c>
      <c r="T815" s="22" t="s">
        <v>2308</v>
      </c>
      <c r="U815" s="22" t="s">
        <v>2308</v>
      </c>
      <c r="V815" s="22" t="s">
        <v>2308</v>
      </c>
      <c r="W815" s="22" t="s">
        <v>2308</v>
      </c>
      <c r="X815" s="22" t="s">
        <v>2308</v>
      </c>
      <c r="Y815" s="22" t="s">
        <v>2308</v>
      </c>
      <c r="Z815" s="22" t="s">
        <v>2308</v>
      </c>
      <c r="AA815" s="22" t="s">
        <v>2308</v>
      </c>
      <c r="AB815" s="22" t="s">
        <v>2308</v>
      </c>
      <c r="AC815" s="4"/>
      <c r="AD815" s="4"/>
    </row>
    <row r="816" spans="1:30" ht="36" customHeight="1">
      <c r="A816" s="12" t="s">
        <v>2609</v>
      </c>
      <c r="B816" s="12" t="s">
        <v>2636</v>
      </c>
      <c r="C816" s="24" t="s">
        <v>24</v>
      </c>
      <c r="D816" s="12" t="s">
        <v>27</v>
      </c>
      <c r="E816" s="12" t="s">
        <v>136</v>
      </c>
      <c r="F816" s="20" t="s">
        <v>74</v>
      </c>
      <c r="G816" s="12" t="s">
        <v>2308</v>
      </c>
      <c r="H816" s="4" t="s">
        <v>531</v>
      </c>
      <c r="I816" s="4"/>
      <c r="J816" s="22" t="s">
        <v>2308</v>
      </c>
      <c r="K816" s="22" t="s">
        <v>2308</v>
      </c>
      <c r="L816" s="22" t="s">
        <v>2308</v>
      </c>
      <c r="M816" s="22" t="s">
        <v>2308</v>
      </c>
      <c r="N816" s="22" t="s">
        <v>2308</v>
      </c>
      <c r="O816" s="22" t="s">
        <v>2308</v>
      </c>
      <c r="P816" s="22" t="s">
        <v>2308</v>
      </c>
      <c r="Q816" s="22" t="s">
        <v>2308</v>
      </c>
      <c r="R816" s="22" t="s">
        <v>2308</v>
      </c>
      <c r="S816" s="22" t="s">
        <v>2308</v>
      </c>
      <c r="T816" s="22" t="s">
        <v>2308</v>
      </c>
      <c r="U816" s="22" t="s">
        <v>2308</v>
      </c>
      <c r="V816" s="22" t="s">
        <v>2308</v>
      </c>
      <c r="W816" s="22" t="s">
        <v>2308</v>
      </c>
      <c r="X816" s="22" t="s">
        <v>2308</v>
      </c>
      <c r="Y816" s="22" t="s">
        <v>2308</v>
      </c>
      <c r="Z816" s="22" t="s">
        <v>2308</v>
      </c>
      <c r="AA816" s="22" t="s">
        <v>2308</v>
      </c>
      <c r="AB816" s="22" t="s">
        <v>2308</v>
      </c>
      <c r="AC816" s="4"/>
      <c r="AD816" s="4"/>
    </row>
    <row r="817" spans="1:30" ht="36" customHeight="1">
      <c r="A817" s="12" t="s">
        <v>2621</v>
      </c>
      <c r="B817" s="12" t="s">
        <v>2637</v>
      </c>
      <c r="C817" s="24" t="s">
        <v>24</v>
      </c>
      <c r="D817" s="12" t="s">
        <v>27</v>
      </c>
      <c r="E817" s="12" t="s">
        <v>136</v>
      </c>
      <c r="F817" s="20" t="s">
        <v>167</v>
      </c>
      <c r="G817" s="12" t="s">
        <v>2308</v>
      </c>
      <c r="H817" s="4" t="s">
        <v>531</v>
      </c>
      <c r="I817" s="4"/>
      <c r="J817" s="22" t="s">
        <v>2308</v>
      </c>
      <c r="K817" s="22" t="s">
        <v>2308</v>
      </c>
      <c r="L817" s="22" t="s">
        <v>2308</v>
      </c>
      <c r="M817" s="22" t="s">
        <v>2308</v>
      </c>
      <c r="N817" s="22" t="s">
        <v>2308</v>
      </c>
      <c r="O817" s="22" t="s">
        <v>2308</v>
      </c>
      <c r="P817" s="22" t="s">
        <v>2308</v>
      </c>
      <c r="Q817" s="22" t="s">
        <v>2308</v>
      </c>
      <c r="R817" s="22" t="s">
        <v>2308</v>
      </c>
      <c r="S817" s="22" t="s">
        <v>2308</v>
      </c>
      <c r="T817" s="22" t="s">
        <v>2308</v>
      </c>
      <c r="U817" s="22" t="s">
        <v>2308</v>
      </c>
      <c r="V817" s="22" t="s">
        <v>2308</v>
      </c>
      <c r="W817" s="22" t="s">
        <v>2308</v>
      </c>
      <c r="X817" s="22" t="s">
        <v>2308</v>
      </c>
      <c r="Y817" s="22" t="s">
        <v>2308</v>
      </c>
      <c r="Z817" s="22" t="s">
        <v>2308</v>
      </c>
      <c r="AA817" s="22" t="s">
        <v>2308</v>
      </c>
      <c r="AB817" s="22" t="s">
        <v>2308</v>
      </c>
      <c r="AC817" s="4"/>
      <c r="AD817" s="4"/>
    </row>
    <row r="818" spans="1:30" ht="36" customHeight="1">
      <c r="A818" s="12" t="s">
        <v>2621</v>
      </c>
      <c r="B818" s="12" t="s">
        <v>2638</v>
      </c>
      <c r="C818" s="24" t="s">
        <v>24</v>
      </c>
      <c r="D818" s="12" t="s">
        <v>27</v>
      </c>
      <c r="E818" s="12" t="s">
        <v>136</v>
      </c>
      <c r="F818" s="20" t="s">
        <v>74</v>
      </c>
      <c r="G818" s="12" t="s">
        <v>2308</v>
      </c>
      <c r="H818" s="4" t="s">
        <v>531</v>
      </c>
      <c r="I818" s="4"/>
      <c r="J818" s="22" t="s">
        <v>2308</v>
      </c>
      <c r="K818" s="22" t="s">
        <v>2308</v>
      </c>
      <c r="L818" s="22" t="s">
        <v>2308</v>
      </c>
      <c r="M818" s="22" t="s">
        <v>2308</v>
      </c>
      <c r="N818" s="22" t="s">
        <v>2308</v>
      </c>
      <c r="O818" s="22" t="s">
        <v>2308</v>
      </c>
      <c r="P818" s="22" t="s">
        <v>2308</v>
      </c>
      <c r="Q818" s="22" t="s">
        <v>2308</v>
      </c>
      <c r="R818" s="22" t="s">
        <v>2308</v>
      </c>
      <c r="S818" s="22" t="s">
        <v>2308</v>
      </c>
      <c r="T818" s="22" t="s">
        <v>2308</v>
      </c>
      <c r="U818" s="22" t="s">
        <v>2308</v>
      </c>
      <c r="V818" s="22" t="s">
        <v>2308</v>
      </c>
      <c r="W818" s="22" t="s">
        <v>2308</v>
      </c>
      <c r="X818" s="22" t="s">
        <v>2308</v>
      </c>
      <c r="Y818" s="22" t="s">
        <v>2308</v>
      </c>
      <c r="Z818" s="22" t="s">
        <v>2308</v>
      </c>
      <c r="AA818" s="22" t="s">
        <v>2308</v>
      </c>
      <c r="AB818" s="22" t="s">
        <v>2308</v>
      </c>
      <c r="AC818" s="4"/>
      <c r="AD818" s="4"/>
    </row>
    <row r="819" spans="1:30" ht="36" customHeight="1">
      <c r="A819" s="12" t="s">
        <v>2622</v>
      </c>
      <c r="B819" s="12" t="s">
        <v>2639</v>
      </c>
      <c r="C819" s="24" t="s">
        <v>24</v>
      </c>
      <c r="D819" s="12" t="s">
        <v>27</v>
      </c>
      <c r="E819" s="12" t="s">
        <v>136</v>
      </c>
      <c r="F819" s="20" t="s">
        <v>167</v>
      </c>
      <c r="G819" s="12" t="s">
        <v>2308</v>
      </c>
      <c r="H819" s="4" t="s">
        <v>531</v>
      </c>
      <c r="I819" s="4"/>
      <c r="J819" s="22" t="s">
        <v>2308</v>
      </c>
      <c r="K819" s="22" t="s">
        <v>2308</v>
      </c>
      <c r="L819" s="22" t="s">
        <v>2308</v>
      </c>
      <c r="M819" s="22" t="s">
        <v>2308</v>
      </c>
      <c r="N819" s="22" t="s">
        <v>2308</v>
      </c>
      <c r="O819" s="22" t="s">
        <v>2308</v>
      </c>
      <c r="P819" s="22" t="s">
        <v>2308</v>
      </c>
      <c r="Q819" s="22" t="s">
        <v>2308</v>
      </c>
      <c r="R819" s="22" t="s">
        <v>2308</v>
      </c>
      <c r="S819" s="22" t="s">
        <v>2308</v>
      </c>
      <c r="T819" s="22" t="s">
        <v>2308</v>
      </c>
      <c r="U819" s="22" t="s">
        <v>2308</v>
      </c>
      <c r="V819" s="22" t="s">
        <v>2308</v>
      </c>
      <c r="W819" s="22" t="s">
        <v>2308</v>
      </c>
      <c r="X819" s="22" t="s">
        <v>2308</v>
      </c>
      <c r="Y819" s="22" t="s">
        <v>2308</v>
      </c>
      <c r="Z819" s="22" t="s">
        <v>2308</v>
      </c>
      <c r="AA819" s="22" t="s">
        <v>2308</v>
      </c>
      <c r="AB819" s="22" t="s">
        <v>2308</v>
      </c>
      <c r="AC819" s="4"/>
      <c r="AD819" s="4"/>
    </row>
    <row r="820" spans="1:30" ht="36" customHeight="1">
      <c r="A820" s="12" t="s">
        <v>2622</v>
      </c>
      <c r="B820" s="12" t="s">
        <v>2640</v>
      </c>
      <c r="C820" s="24" t="s">
        <v>24</v>
      </c>
      <c r="D820" s="12" t="s">
        <v>27</v>
      </c>
      <c r="E820" s="12" t="s">
        <v>136</v>
      </c>
      <c r="F820" s="20" t="s">
        <v>74</v>
      </c>
      <c r="G820" s="12" t="s">
        <v>2308</v>
      </c>
      <c r="H820" s="4" t="s">
        <v>531</v>
      </c>
      <c r="I820" s="4"/>
      <c r="J820" s="22" t="s">
        <v>2308</v>
      </c>
      <c r="K820" s="22" t="s">
        <v>2308</v>
      </c>
      <c r="L820" s="22" t="s">
        <v>2308</v>
      </c>
      <c r="M820" s="22" t="s">
        <v>2308</v>
      </c>
      <c r="N820" s="22" t="s">
        <v>2308</v>
      </c>
      <c r="O820" s="22" t="s">
        <v>2308</v>
      </c>
      <c r="P820" s="22" t="s">
        <v>2308</v>
      </c>
      <c r="Q820" s="22" t="s">
        <v>2308</v>
      </c>
      <c r="R820" s="22" t="s">
        <v>2308</v>
      </c>
      <c r="S820" s="22" t="s">
        <v>2308</v>
      </c>
      <c r="T820" s="22" t="s">
        <v>2308</v>
      </c>
      <c r="U820" s="22" t="s">
        <v>2308</v>
      </c>
      <c r="V820" s="22" t="s">
        <v>2308</v>
      </c>
      <c r="W820" s="22" t="s">
        <v>2308</v>
      </c>
      <c r="X820" s="22" t="s">
        <v>2308</v>
      </c>
      <c r="Y820" s="22" t="s">
        <v>2308</v>
      </c>
      <c r="Z820" s="22" t="s">
        <v>2308</v>
      </c>
      <c r="AA820" s="22" t="s">
        <v>2308</v>
      </c>
      <c r="AB820" s="22" t="s">
        <v>2308</v>
      </c>
      <c r="AC820" s="4"/>
      <c r="AD820" s="4"/>
    </row>
    <row r="821" spans="1:30" ht="36" customHeight="1">
      <c r="A821" s="12" t="s">
        <v>2623</v>
      </c>
      <c r="B821" s="12" t="s">
        <v>2641</v>
      </c>
      <c r="C821" s="24" t="s">
        <v>24</v>
      </c>
      <c r="D821" s="12" t="s">
        <v>27</v>
      </c>
      <c r="E821" s="12" t="s">
        <v>136</v>
      </c>
      <c r="F821" s="20" t="s">
        <v>167</v>
      </c>
      <c r="G821" s="12" t="s">
        <v>2308</v>
      </c>
      <c r="H821" s="4" t="s">
        <v>531</v>
      </c>
      <c r="I821" s="4"/>
      <c r="J821" s="22" t="s">
        <v>2308</v>
      </c>
      <c r="K821" s="22" t="s">
        <v>2308</v>
      </c>
      <c r="L821" s="22" t="s">
        <v>2308</v>
      </c>
      <c r="M821" s="22" t="s">
        <v>2308</v>
      </c>
      <c r="N821" s="22" t="s">
        <v>2308</v>
      </c>
      <c r="O821" s="22" t="s">
        <v>2308</v>
      </c>
      <c r="P821" s="22" t="s">
        <v>2308</v>
      </c>
      <c r="Q821" s="22" t="s">
        <v>2308</v>
      </c>
      <c r="R821" s="22" t="s">
        <v>2308</v>
      </c>
      <c r="S821" s="22" t="s">
        <v>2308</v>
      </c>
      <c r="T821" s="22" t="s">
        <v>2308</v>
      </c>
      <c r="U821" s="22" t="s">
        <v>2308</v>
      </c>
      <c r="V821" s="22" t="s">
        <v>2308</v>
      </c>
      <c r="W821" s="22" t="s">
        <v>2308</v>
      </c>
      <c r="X821" s="22" t="s">
        <v>2308</v>
      </c>
      <c r="Y821" s="22" t="s">
        <v>2308</v>
      </c>
      <c r="Z821" s="22" t="s">
        <v>2308</v>
      </c>
      <c r="AA821" s="22" t="s">
        <v>2308</v>
      </c>
      <c r="AB821" s="22" t="s">
        <v>2308</v>
      </c>
      <c r="AC821" s="4"/>
      <c r="AD821" s="4"/>
    </row>
    <row r="822" spans="1:30" ht="36" customHeight="1">
      <c r="A822" s="12" t="s">
        <v>2623</v>
      </c>
      <c r="B822" s="12" t="s">
        <v>2642</v>
      </c>
      <c r="C822" s="24" t="s">
        <v>24</v>
      </c>
      <c r="D822" s="12" t="s">
        <v>27</v>
      </c>
      <c r="E822" s="12" t="s">
        <v>136</v>
      </c>
      <c r="F822" s="20" t="s">
        <v>74</v>
      </c>
      <c r="G822" s="12" t="s">
        <v>2308</v>
      </c>
      <c r="H822" s="4" t="s">
        <v>531</v>
      </c>
      <c r="I822" s="4"/>
      <c r="J822" s="22" t="s">
        <v>2308</v>
      </c>
      <c r="K822" s="22" t="s">
        <v>2308</v>
      </c>
      <c r="L822" s="22" t="s">
        <v>2308</v>
      </c>
      <c r="M822" s="22" t="s">
        <v>2308</v>
      </c>
      <c r="N822" s="22" t="s">
        <v>2308</v>
      </c>
      <c r="O822" s="22" t="s">
        <v>2308</v>
      </c>
      <c r="P822" s="22" t="s">
        <v>2308</v>
      </c>
      <c r="Q822" s="22" t="s">
        <v>2308</v>
      </c>
      <c r="R822" s="22" t="s">
        <v>2308</v>
      </c>
      <c r="S822" s="22" t="s">
        <v>2308</v>
      </c>
      <c r="T822" s="22" t="s">
        <v>2308</v>
      </c>
      <c r="U822" s="22" t="s">
        <v>2308</v>
      </c>
      <c r="V822" s="22" t="s">
        <v>2308</v>
      </c>
      <c r="W822" s="22" t="s">
        <v>2308</v>
      </c>
      <c r="X822" s="22" t="s">
        <v>2308</v>
      </c>
      <c r="Y822" s="22" t="s">
        <v>2308</v>
      </c>
      <c r="Z822" s="22" t="s">
        <v>2308</v>
      </c>
      <c r="AA822" s="22" t="s">
        <v>2308</v>
      </c>
      <c r="AB822" s="22" t="s">
        <v>2308</v>
      </c>
      <c r="AC822" s="4"/>
      <c r="AD822" s="4"/>
    </row>
    <row r="823" spans="1:30" ht="36" customHeight="1">
      <c r="A823" s="12" t="s">
        <v>2624</v>
      </c>
      <c r="B823" s="12" t="s">
        <v>2643</v>
      </c>
      <c r="C823" s="24" t="s">
        <v>24</v>
      </c>
      <c r="D823" s="12" t="s">
        <v>27</v>
      </c>
      <c r="E823" s="12" t="s">
        <v>136</v>
      </c>
      <c r="F823" s="20" t="s">
        <v>167</v>
      </c>
      <c r="G823" s="12" t="s">
        <v>2308</v>
      </c>
      <c r="H823" s="4" t="s">
        <v>531</v>
      </c>
      <c r="I823" s="4"/>
      <c r="J823" s="22" t="s">
        <v>2308</v>
      </c>
      <c r="K823" s="22" t="s">
        <v>2308</v>
      </c>
      <c r="L823" s="22" t="s">
        <v>2308</v>
      </c>
      <c r="M823" s="22" t="s">
        <v>2308</v>
      </c>
      <c r="N823" s="22" t="s">
        <v>2308</v>
      </c>
      <c r="O823" s="22" t="s">
        <v>2308</v>
      </c>
      <c r="P823" s="22" t="s">
        <v>2308</v>
      </c>
      <c r="Q823" s="22" t="s">
        <v>2308</v>
      </c>
      <c r="R823" s="22" t="s">
        <v>2308</v>
      </c>
      <c r="S823" s="22" t="s">
        <v>2308</v>
      </c>
      <c r="T823" s="22" t="s">
        <v>2308</v>
      </c>
      <c r="U823" s="22" t="s">
        <v>2308</v>
      </c>
      <c r="V823" s="22" t="s">
        <v>2308</v>
      </c>
      <c r="W823" s="22" t="s">
        <v>2308</v>
      </c>
      <c r="X823" s="22" t="s">
        <v>2308</v>
      </c>
      <c r="Y823" s="22" t="s">
        <v>2308</v>
      </c>
      <c r="Z823" s="22" t="s">
        <v>2308</v>
      </c>
      <c r="AA823" s="22" t="s">
        <v>2308</v>
      </c>
      <c r="AB823" s="22" t="s">
        <v>2308</v>
      </c>
      <c r="AC823" s="4"/>
      <c r="AD823" s="4"/>
    </row>
    <row r="824" spans="1:30" ht="36" customHeight="1">
      <c r="A824" s="12" t="s">
        <v>2624</v>
      </c>
      <c r="B824" s="12" t="s">
        <v>2644</v>
      </c>
      <c r="C824" s="24" t="s">
        <v>24</v>
      </c>
      <c r="D824" s="12" t="s">
        <v>27</v>
      </c>
      <c r="E824" s="12" t="s">
        <v>136</v>
      </c>
      <c r="F824" s="20" t="s">
        <v>74</v>
      </c>
      <c r="G824" s="12" t="s">
        <v>2308</v>
      </c>
      <c r="H824" s="4" t="s">
        <v>531</v>
      </c>
      <c r="I824" s="4"/>
      <c r="J824" s="22" t="s">
        <v>2308</v>
      </c>
      <c r="K824" s="22" t="s">
        <v>2308</v>
      </c>
      <c r="L824" s="22" t="s">
        <v>2308</v>
      </c>
      <c r="M824" s="22" t="s">
        <v>2308</v>
      </c>
      <c r="N824" s="22" t="s">
        <v>2308</v>
      </c>
      <c r="O824" s="22" t="s">
        <v>2308</v>
      </c>
      <c r="P824" s="22" t="s">
        <v>2308</v>
      </c>
      <c r="Q824" s="22" t="s">
        <v>2308</v>
      </c>
      <c r="R824" s="22" t="s">
        <v>2308</v>
      </c>
      <c r="S824" s="22" t="s">
        <v>2308</v>
      </c>
      <c r="T824" s="22" t="s">
        <v>2308</v>
      </c>
      <c r="U824" s="22" t="s">
        <v>2308</v>
      </c>
      <c r="V824" s="22" t="s">
        <v>2308</v>
      </c>
      <c r="W824" s="22" t="s">
        <v>2308</v>
      </c>
      <c r="X824" s="22" t="s">
        <v>2308</v>
      </c>
      <c r="Y824" s="22" t="s">
        <v>2308</v>
      </c>
      <c r="Z824" s="22" t="s">
        <v>2308</v>
      </c>
      <c r="AA824" s="22" t="s">
        <v>2308</v>
      </c>
      <c r="AB824" s="22" t="s">
        <v>2308</v>
      </c>
      <c r="AC824" s="4"/>
      <c r="AD824" s="4"/>
    </row>
    <row r="825" spans="1:30" ht="36" customHeight="1">
      <c r="A825" s="12" t="s">
        <v>2625</v>
      </c>
      <c r="B825" s="12" t="s">
        <v>2645</v>
      </c>
      <c r="C825" s="24" t="s">
        <v>24</v>
      </c>
      <c r="D825" s="12" t="s">
        <v>27</v>
      </c>
      <c r="E825" s="12" t="s">
        <v>136</v>
      </c>
      <c r="F825" s="20" t="s">
        <v>167</v>
      </c>
      <c r="G825" s="12" t="s">
        <v>2308</v>
      </c>
      <c r="H825" s="4" t="s">
        <v>531</v>
      </c>
      <c r="I825" s="4"/>
      <c r="J825" s="22" t="s">
        <v>2308</v>
      </c>
      <c r="K825" s="22" t="s">
        <v>2308</v>
      </c>
      <c r="L825" s="22" t="s">
        <v>2308</v>
      </c>
      <c r="M825" s="22" t="s">
        <v>2308</v>
      </c>
      <c r="N825" s="22" t="s">
        <v>2308</v>
      </c>
      <c r="O825" s="22" t="s">
        <v>2308</v>
      </c>
      <c r="P825" s="22" t="s">
        <v>2308</v>
      </c>
      <c r="Q825" s="22" t="s">
        <v>2308</v>
      </c>
      <c r="R825" s="22" t="s">
        <v>2308</v>
      </c>
      <c r="S825" s="22" t="s">
        <v>2308</v>
      </c>
      <c r="T825" s="22" t="s">
        <v>2308</v>
      </c>
      <c r="U825" s="22" t="s">
        <v>2308</v>
      </c>
      <c r="V825" s="22" t="s">
        <v>2308</v>
      </c>
      <c r="W825" s="22" t="s">
        <v>2308</v>
      </c>
      <c r="X825" s="22" t="s">
        <v>2308</v>
      </c>
      <c r="Y825" s="22" t="s">
        <v>2308</v>
      </c>
      <c r="Z825" s="22" t="s">
        <v>2308</v>
      </c>
      <c r="AA825" s="22" t="s">
        <v>2308</v>
      </c>
      <c r="AB825" s="22" t="s">
        <v>2308</v>
      </c>
      <c r="AC825" s="4"/>
      <c r="AD825" s="4"/>
    </row>
    <row r="826" spans="1:30" ht="36" customHeight="1">
      <c r="A826" s="12" t="s">
        <v>2625</v>
      </c>
      <c r="B826" s="12" t="s">
        <v>2646</v>
      </c>
      <c r="C826" s="24" t="s">
        <v>24</v>
      </c>
      <c r="D826" s="12" t="s">
        <v>27</v>
      </c>
      <c r="E826" s="12" t="s">
        <v>136</v>
      </c>
      <c r="F826" s="20" t="s">
        <v>74</v>
      </c>
      <c r="G826" s="12" t="s">
        <v>2308</v>
      </c>
      <c r="H826" s="4" t="s">
        <v>531</v>
      </c>
      <c r="I826" s="4"/>
      <c r="J826" s="22" t="s">
        <v>2308</v>
      </c>
      <c r="K826" s="22" t="s">
        <v>2308</v>
      </c>
      <c r="L826" s="22" t="s">
        <v>2308</v>
      </c>
      <c r="M826" s="22" t="s">
        <v>2308</v>
      </c>
      <c r="N826" s="22" t="s">
        <v>2308</v>
      </c>
      <c r="O826" s="22" t="s">
        <v>2308</v>
      </c>
      <c r="P826" s="22" t="s">
        <v>2308</v>
      </c>
      <c r="Q826" s="22" t="s">
        <v>2308</v>
      </c>
      <c r="R826" s="22" t="s">
        <v>2308</v>
      </c>
      <c r="S826" s="22" t="s">
        <v>2308</v>
      </c>
      <c r="T826" s="22" t="s">
        <v>2308</v>
      </c>
      <c r="U826" s="22" t="s">
        <v>2308</v>
      </c>
      <c r="V826" s="22" t="s">
        <v>2308</v>
      </c>
      <c r="W826" s="22" t="s">
        <v>2308</v>
      </c>
      <c r="X826" s="22" t="s">
        <v>2308</v>
      </c>
      <c r="Y826" s="22" t="s">
        <v>2308</v>
      </c>
      <c r="Z826" s="22" t="s">
        <v>2308</v>
      </c>
      <c r="AA826" s="22" t="s">
        <v>2308</v>
      </c>
      <c r="AB826" s="22" t="s">
        <v>2308</v>
      </c>
      <c r="AC826" s="4"/>
      <c r="AD826" s="4"/>
    </row>
    <row r="827" spans="1:30" ht="36" customHeight="1">
      <c r="A827" s="12" t="s">
        <v>2626</v>
      </c>
      <c r="B827" s="12" t="s">
        <v>2647</v>
      </c>
      <c r="C827" s="24" t="s">
        <v>24</v>
      </c>
      <c r="D827" s="12" t="s">
        <v>27</v>
      </c>
      <c r="E827" s="12" t="s">
        <v>136</v>
      </c>
      <c r="F827" s="20" t="s">
        <v>167</v>
      </c>
      <c r="G827" s="12" t="s">
        <v>2308</v>
      </c>
      <c r="H827" s="4" t="s">
        <v>531</v>
      </c>
      <c r="I827" s="4"/>
      <c r="J827" s="22" t="s">
        <v>2308</v>
      </c>
      <c r="K827" s="22" t="s">
        <v>2308</v>
      </c>
      <c r="L827" s="22" t="s">
        <v>2308</v>
      </c>
      <c r="M827" s="22" t="s">
        <v>2308</v>
      </c>
      <c r="N827" s="22" t="s">
        <v>2308</v>
      </c>
      <c r="O827" s="22" t="s">
        <v>2308</v>
      </c>
      <c r="P827" s="22" t="s">
        <v>2308</v>
      </c>
      <c r="Q827" s="22" t="s">
        <v>2308</v>
      </c>
      <c r="R827" s="22" t="s">
        <v>2308</v>
      </c>
      <c r="S827" s="22" t="s">
        <v>2308</v>
      </c>
      <c r="T827" s="22" t="s">
        <v>2308</v>
      </c>
      <c r="U827" s="22" t="s">
        <v>2308</v>
      </c>
      <c r="V827" s="22" t="s">
        <v>2308</v>
      </c>
      <c r="W827" s="22" t="s">
        <v>2308</v>
      </c>
      <c r="X827" s="22" t="s">
        <v>2308</v>
      </c>
      <c r="Y827" s="22" t="s">
        <v>2308</v>
      </c>
      <c r="Z827" s="22" t="s">
        <v>2308</v>
      </c>
      <c r="AA827" s="22" t="s">
        <v>2308</v>
      </c>
      <c r="AB827" s="22" t="s">
        <v>2308</v>
      </c>
      <c r="AC827" s="4"/>
      <c r="AD827" s="4"/>
    </row>
    <row r="828" spans="1:30" ht="36" customHeight="1">
      <c r="A828" s="12" t="s">
        <v>2626</v>
      </c>
      <c r="B828" s="12" t="s">
        <v>2648</v>
      </c>
      <c r="C828" s="24" t="s">
        <v>24</v>
      </c>
      <c r="D828" s="12" t="s">
        <v>27</v>
      </c>
      <c r="E828" s="12" t="s">
        <v>136</v>
      </c>
      <c r="F828" s="20" t="s">
        <v>74</v>
      </c>
      <c r="G828" s="12" t="s">
        <v>2308</v>
      </c>
      <c r="H828" s="4" t="s">
        <v>531</v>
      </c>
      <c r="I828" s="4"/>
      <c r="J828" s="22" t="s">
        <v>2308</v>
      </c>
      <c r="K828" s="22" t="s">
        <v>2308</v>
      </c>
      <c r="L828" s="22" t="s">
        <v>2308</v>
      </c>
      <c r="M828" s="22" t="s">
        <v>2308</v>
      </c>
      <c r="N828" s="22" t="s">
        <v>2308</v>
      </c>
      <c r="O828" s="22" t="s">
        <v>2308</v>
      </c>
      <c r="P828" s="22" t="s">
        <v>2308</v>
      </c>
      <c r="Q828" s="22" t="s">
        <v>2308</v>
      </c>
      <c r="R828" s="22" t="s">
        <v>2308</v>
      </c>
      <c r="S828" s="22" t="s">
        <v>2308</v>
      </c>
      <c r="T828" s="22" t="s">
        <v>2308</v>
      </c>
      <c r="U828" s="22" t="s">
        <v>2308</v>
      </c>
      <c r="V828" s="22" t="s">
        <v>2308</v>
      </c>
      <c r="W828" s="22" t="s">
        <v>2308</v>
      </c>
      <c r="X828" s="22" t="s">
        <v>2308</v>
      </c>
      <c r="Y828" s="22" t="s">
        <v>2308</v>
      </c>
      <c r="Z828" s="22" t="s">
        <v>2308</v>
      </c>
      <c r="AA828" s="22" t="s">
        <v>2308</v>
      </c>
      <c r="AB828" s="22" t="s">
        <v>2308</v>
      </c>
      <c r="AC828" s="4"/>
      <c r="AD828" s="4"/>
    </row>
    <row r="829" spans="1:30" ht="36" customHeight="1">
      <c r="A829" s="12" t="s">
        <v>2627</v>
      </c>
      <c r="B829" s="12" t="s">
        <v>2649</v>
      </c>
      <c r="C829" s="24" t="s">
        <v>24</v>
      </c>
      <c r="D829" s="12" t="s">
        <v>27</v>
      </c>
      <c r="E829" s="12" t="s">
        <v>136</v>
      </c>
      <c r="F829" s="20" t="s">
        <v>167</v>
      </c>
      <c r="G829" s="12" t="s">
        <v>2308</v>
      </c>
      <c r="H829" s="4" t="s">
        <v>531</v>
      </c>
      <c r="I829" s="4"/>
      <c r="J829" s="22" t="s">
        <v>2308</v>
      </c>
      <c r="K829" s="22" t="s">
        <v>2308</v>
      </c>
      <c r="L829" s="22" t="s">
        <v>2308</v>
      </c>
      <c r="M829" s="22" t="s">
        <v>2308</v>
      </c>
      <c r="N829" s="22" t="s">
        <v>2308</v>
      </c>
      <c r="O829" s="22" t="s">
        <v>2308</v>
      </c>
      <c r="P829" s="22" t="s">
        <v>2308</v>
      </c>
      <c r="Q829" s="22" t="s">
        <v>2308</v>
      </c>
      <c r="R829" s="22" t="s">
        <v>2308</v>
      </c>
      <c r="S829" s="22" t="s">
        <v>2308</v>
      </c>
      <c r="T829" s="22" t="s">
        <v>2308</v>
      </c>
      <c r="U829" s="22" t="s">
        <v>2308</v>
      </c>
      <c r="V829" s="22" t="s">
        <v>2308</v>
      </c>
      <c r="W829" s="22" t="s">
        <v>2308</v>
      </c>
      <c r="X829" s="22" t="s">
        <v>2308</v>
      </c>
      <c r="Y829" s="22" t="s">
        <v>2308</v>
      </c>
      <c r="Z829" s="22" t="s">
        <v>2308</v>
      </c>
      <c r="AA829" s="22" t="s">
        <v>2308</v>
      </c>
      <c r="AB829" s="22" t="s">
        <v>2308</v>
      </c>
      <c r="AC829" s="4"/>
      <c r="AD829" s="4"/>
    </row>
    <row r="830" spans="1:30" ht="36" customHeight="1">
      <c r="A830" s="12" t="s">
        <v>2627</v>
      </c>
      <c r="B830" s="12" t="s">
        <v>2650</v>
      </c>
      <c r="C830" s="24" t="s">
        <v>24</v>
      </c>
      <c r="D830" s="12" t="s">
        <v>27</v>
      </c>
      <c r="E830" s="12" t="s">
        <v>136</v>
      </c>
      <c r="F830" s="20" t="s">
        <v>74</v>
      </c>
      <c r="G830" s="12" t="s">
        <v>2308</v>
      </c>
      <c r="H830" s="4" t="s">
        <v>531</v>
      </c>
      <c r="I830" s="4"/>
      <c r="J830" s="22" t="s">
        <v>2308</v>
      </c>
      <c r="K830" s="22" t="s">
        <v>2308</v>
      </c>
      <c r="L830" s="22" t="s">
        <v>2308</v>
      </c>
      <c r="M830" s="22" t="s">
        <v>2308</v>
      </c>
      <c r="N830" s="22" t="s">
        <v>2308</v>
      </c>
      <c r="O830" s="22" t="s">
        <v>2308</v>
      </c>
      <c r="P830" s="22" t="s">
        <v>2308</v>
      </c>
      <c r="Q830" s="22" t="s">
        <v>2308</v>
      </c>
      <c r="R830" s="22" t="s">
        <v>2308</v>
      </c>
      <c r="S830" s="22" t="s">
        <v>2308</v>
      </c>
      <c r="T830" s="22" t="s">
        <v>2308</v>
      </c>
      <c r="U830" s="22" t="s">
        <v>2308</v>
      </c>
      <c r="V830" s="22" t="s">
        <v>2308</v>
      </c>
      <c r="W830" s="22" t="s">
        <v>2308</v>
      </c>
      <c r="X830" s="22" t="s">
        <v>2308</v>
      </c>
      <c r="Y830" s="22" t="s">
        <v>2308</v>
      </c>
      <c r="Z830" s="22" t="s">
        <v>2308</v>
      </c>
      <c r="AA830" s="22" t="s">
        <v>2308</v>
      </c>
      <c r="AB830" s="22" t="s">
        <v>2308</v>
      </c>
      <c r="AC830" s="4"/>
      <c r="AD830" s="4"/>
    </row>
    <row r="831" spans="1:30" ht="36" customHeight="1">
      <c r="A831" s="12" t="s">
        <v>2628</v>
      </c>
      <c r="B831" s="12" t="s">
        <v>2651</v>
      </c>
      <c r="C831" s="24" t="s">
        <v>24</v>
      </c>
      <c r="D831" s="12" t="s">
        <v>27</v>
      </c>
      <c r="E831" s="12" t="s">
        <v>136</v>
      </c>
      <c r="F831" s="20" t="s">
        <v>167</v>
      </c>
      <c r="G831" s="12" t="s">
        <v>2308</v>
      </c>
      <c r="H831" s="4" t="s">
        <v>531</v>
      </c>
      <c r="I831" s="4"/>
      <c r="J831" s="22" t="s">
        <v>2308</v>
      </c>
      <c r="K831" s="22" t="s">
        <v>2308</v>
      </c>
      <c r="L831" s="22" t="s">
        <v>2308</v>
      </c>
      <c r="M831" s="22" t="s">
        <v>2308</v>
      </c>
      <c r="N831" s="22" t="s">
        <v>2308</v>
      </c>
      <c r="O831" s="22" t="s">
        <v>2308</v>
      </c>
      <c r="P831" s="22" t="s">
        <v>2308</v>
      </c>
      <c r="Q831" s="22" t="s">
        <v>2308</v>
      </c>
      <c r="R831" s="22" t="s">
        <v>2308</v>
      </c>
      <c r="S831" s="22" t="s">
        <v>2308</v>
      </c>
      <c r="T831" s="22" t="s">
        <v>2308</v>
      </c>
      <c r="U831" s="22" t="s">
        <v>2308</v>
      </c>
      <c r="V831" s="22" t="s">
        <v>2308</v>
      </c>
      <c r="W831" s="22" t="s">
        <v>2308</v>
      </c>
      <c r="X831" s="22" t="s">
        <v>2308</v>
      </c>
      <c r="Y831" s="22" t="s">
        <v>2308</v>
      </c>
      <c r="Z831" s="22" t="s">
        <v>2308</v>
      </c>
      <c r="AA831" s="22" t="s">
        <v>2308</v>
      </c>
      <c r="AB831" s="22" t="s">
        <v>2308</v>
      </c>
      <c r="AC831" s="4"/>
      <c r="AD831" s="4"/>
    </row>
    <row r="832" spans="1:30" ht="36" customHeight="1">
      <c r="A832" s="12" t="s">
        <v>2628</v>
      </c>
      <c r="B832" s="12" t="s">
        <v>2652</v>
      </c>
      <c r="C832" s="24" t="s">
        <v>24</v>
      </c>
      <c r="D832" s="12" t="s">
        <v>27</v>
      </c>
      <c r="E832" s="12" t="s">
        <v>136</v>
      </c>
      <c r="F832" s="20" t="s">
        <v>74</v>
      </c>
      <c r="G832" s="12" t="s">
        <v>2308</v>
      </c>
      <c r="H832" s="4" t="s">
        <v>531</v>
      </c>
      <c r="I832" s="4"/>
      <c r="J832" s="22" t="s">
        <v>2308</v>
      </c>
      <c r="K832" s="22" t="s">
        <v>2308</v>
      </c>
      <c r="L832" s="22" t="s">
        <v>2308</v>
      </c>
      <c r="M832" s="22" t="s">
        <v>2308</v>
      </c>
      <c r="N832" s="22" t="s">
        <v>2308</v>
      </c>
      <c r="O832" s="22" t="s">
        <v>2308</v>
      </c>
      <c r="P832" s="22" t="s">
        <v>2308</v>
      </c>
      <c r="Q832" s="22" t="s">
        <v>2308</v>
      </c>
      <c r="R832" s="22" t="s">
        <v>2308</v>
      </c>
      <c r="S832" s="22" t="s">
        <v>2308</v>
      </c>
      <c r="T832" s="22" t="s">
        <v>2308</v>
      </c>
      <c r="U832" s="22" t="s">
        <v>2308</v>
      </c>
      <c r="V832" s="22" t="s">
        <v>2308</v>
      </c>
      <c r="W832" s="22" t="s">
        <v>2308</v>
      </c>
      <c r="X832" s="22" t="s">
        <v>2308</v>
      </c>
      <c r="Y832" s="22" t="s">
        <v>2308</v>
      </c>
      <c r="Z832" s="22" t="s">
        <v>2308</v>
      </c>
      <c r="AA832" s="22" t="s">
        <v>2308</v>
      </c>
      <c r="AB832" s="22" t="s">
        <v>2308</v>
      </c>
      <c r="AC832" s="4"/>
      <c r="AD832" s="4"/>
    </row>
    <row r="833" spans="1:30" ht="36" customHeight="1">
      <c r="A833" s="12" t="s">
        <v>2629</v>
      </c>
      <c r="B833" s="12" t="s">
        <v>2653</v>
      </c>
      <c r="C833" s="24" t="s">
        <v>24</v>
      </c>
      <c r="D833" s="12" t="s">
        <v>27</v>
      </c>
      <c r="E833" s="12" t="s">
        <v>136</v>
      </c>
      <c r="F833" s="20" t="s">
        <v>167</v>
      </c>
      <c r="G833" s="12" t="s">
        <v>2308</v>
      </c>
      <c r="H833" s="4" t="s">
        <v>531</v>
      </c>
      <c r="I833" s="4"/>
      <c r="J833" s="22" t="s">
        <v>2308</v>
      </c>
      <c r="K833" s="22" t="s">
        <v>2308</v>
      </c>
      <c r="L833" s="22" t="s">
        <v>2308</v>
      </c>
      <c r="M833" s="22" t="s">
        <v>2308</v>
      </c>
      <c r="N833" s="22" t="s">
        <v>2308</v>
      </c>
      <c r="O833" s="22" t="s">
        <v>2308</v>
      </c>
      <c r="P833" s="22" t="s">
        <v>2308</v>
      </c>
      <c r="Q833" s="22" t="s">
        <v>2308</v>
      </c>
      <c r="R833" s="22" t="s">
        <v>2308</v>
      </c>
      <c r="S833" s="22" t="s">
        <v>2308</v>
      </c>
      <c r="T833" s="22" t="s">
        <v>2308</v>
      </c>
      <c r="U833" s="22" t="s">
        <v>2308</v>
      </c>
      <c r="V833" s="22" t="s">
        <v>2308</v>
      </c>
      <c r="W833" s="22" t="s">
        <v>2308</v>
      </c>
      <c r="X833" s="22" t="s">
        <v>2308</v>
      </c>
      <c r="Y833" s="22" t="s">
        <v>2308</v>
      </c>
      <c r="Z833" s="22" t="s">
        <v>2308</v>
      </c>
      <c r="AA833" s="22" t="s">
        <v>2308</v>
      </c>
      <c r="AB833" s="22" t="s">
        <v>2308</v>
      </c>
      <c r="AC833" s="4"/>
      <c r="AD833" s="4"/>
    </row>
    <row r="834" spans="1:30" ht="36" customHeight="1">
      <c r="A834" s="12" t="s">
        <v>2629</v>
      </c>
      <c r="B834" s="12" t="s">
        <v>2654</v>
      </c>
      <c r="C834" s="24" t="s">
        <v>24</v>
      </c>
      <c r="D834" s="12" t="s">
        <v>27</v>
      </c>
      <c r="E834" s="12" t="s">
        <v>136</v>
      </c>
      <c r="F834" s="20" t="s">
        <v>167</v>
      </c>
      <c r="G834" s="12" t="s">
        <v>2308</v>
      </c>
      <c r="H834" s="4" t="s">
        <v>531</v>
      </c>
      <c r="I834" s="4"/>
      <c r="J834" s="22" t="s">
        <v>2308</v>
      </c>
      <c r="K834" s="22" t="s">
        <v>2308</v>
      </c>
      <c r="L834" s="22" t="s">
        <v>2308</v>
      </c>
      <c r="M834" s="22" t="s">
        <v>2308</v>
      </c>
      <c r="N834" s="22" t="s">
        <v>2308</v>
      </c>
      <c r="O834" s="22" t="s">
        <v>2308</v>
      </c>
      <c r="P834" s="22" t="s">
        <v>2308</v>
      </c>
      <c r="Q834" s="22" t="s">
        <v>2308</v>
      </c>
      <c r="R834" s="22" t="s">
        <v>2308</v>
      </c>
      <c r="S834" s="22" t="s">
        <v>2308</v>
      </c>
      <c r="T834" s="22" t="s">
        <v>2308</v>
      </c>
      <c r="U834" s="22" t="s">
        <v>2308</v>
      </c>
      <c r="V834" s="22" t="s">
        <v>2308</v>
      </c>
      <c r="W834" s="22" t="s">
        <v>2308</v>
      </c>
      <c r="X834" s="22" t="s">
        <v>2308</v>
      </c>
      <c r="Y834" s="22" t="s">
        <v>2308</v>
      </c>
      <c r="Z834" s="22" t="s">
        <v>2308</v>
      </c>
      <c r="AA834" s="22" t="s">
        <v>2308</v>
      </c>
      <c r="AB834" s="22" t="s">
        <v>2308</v>
      </c>
      <c r="AC834" s="4"/>
      <c r="AD834" s="4"/>
    </row>
    <row r="835" spans="1:30" ht="62.5" customHeight="1">
      <c r="A835" s="4" t="s">
        <v>2657</v>
      </c>
      <c r="B835" s="4" t="s">
        <v>2663</v>
      </c>
      <c r="C835" s="24" t="s">
        <v>24</v>
      </c>
      <c r="D835" s="12" t="s">
        <v>27</v>
      </c>
      <c r="E835" s="12" t="s">
        <v>136</v>
      </c>
      <c r="F835" s="20" t="s">
        <v>74</v>
      </c>
      <c r="G835" s="12" t="s">
        <v>2308</v>
      </c>
      <c r="H835" s="4" t="s">
        <v>531</v>
      </c>
      <c r="I835" s="4"/>
      <c r="J835" s="22" t="s">
        <v>2308</v>
      </c>
      <c r="K835" s="22" t="s">
        <v>2308</v>
      </c>
      <c r="L835" s="22" t="s">
        <v>2308</v>
      </c>
      <c r="M835" s="22" t="s">
        <v>2308</v>
      </c>
      <c r="N835" s="22" t="s">
        <v>2308</v>
      </c>
      <c r="O835" s="22">
        <v>0.9</v>
      </c>
      <c r="P835" s="22" t="s">
        <v>2308</v>
      </c>
      <c r="Q835" s="22" t="s">
        <v>2308</v>
      </c>
      <c r="R835" s="22" t="s">
        <v>2308</v>
      </c>
      <c r="S835" s="22" t="s">
        <v>2308</v>
      </c>
      <c r="T835" s="22" t="s">
        <v>2308</v>
      </c>
      <c r="U835" s="22" t="s">
        <v>2308</v>
      </c>
      <c r="V835" s="22" t="s">
        <v>2308</v>
      </c>
      <c r="W835" s="22" t="s">
        <v>2308</v>
      </c>
      <c r="X835" s="22" t="s">
        <v>2308</v>
      </c>
      <c r="Y835" s="22" t="s">
        <v>2308</v>
      </c>
      <c r="Z835" s="22" t="s">
        <v>2308</v>
      </c>
      <c r="AA835" s="22" t="s">
        <v>2308</v>
      </c>
      <c r="AB835" s="22" t="s">
        <v>2308</v>
      </c>
      <c r="AC835" s="5" t="s">
        <v>2725</v>
      </c>
      <c r="AD835" s="4"/>
    </row>
    <row r="836" spans="1:30" ht="65.5" customHeight="1">
      <c r="A836" s="4" t="s">
        <v>2658</v>
      </c>
      <c r="B836" s="4" t="s">
        <v>2662</v>
      </c>
      <c r="C836" s="24" t="s">
        <v>24</v>
      </c>
      <c r="D836" s="12" t="s">
        <v>27</v>
      </c>
      <c r="E836" s="12" t="s">
        <v>136</v>
      </c>
      <c r="F836" s="20" t="s">
        <v>74</v>
      </c>
      <c r="G836" s="12" t="s">
        <v>2308</v>
      </c>
      <c r="H836" s="4" t="s">
        <v>531</v>
      </c>
      <c r="I836" s="4"/>
      <c r="J836" s="22" t="s">
        <v>2308</v>
      </c>
      <c r="K836" s="22" t="s">
        <v>2308</v>
      </c>
      <c r="L836" s="22" t="s">
        <v>2308</v>
      </c>
      <c r="M836" s="22" t="s">
        <v>2308</v>
      </c>
      <c r="N836" s="22" t="s">
        <v>2308</v>
      </c>
      <c r="O836" s="22">
        <v>0.64</v>
      </c>
      <c r="P836" s="22" t="s">
        <v>2308</v>
      </c>
      <c r="Q836" s="22" t="s">
        <v>2308</v>
      </c>
      <c r="R836" s="22" t="s">
        <v>2308</v>
      </c>
      <c r="S836" s="22" t="s">
        <v>2308</v>
      </c>
      <c r="T836" s="22">
        <v>21</v>
      </c>
      <c r="U836" s="22" t="s">
        <v>2308</v>
      </c>
      <c r="V836" s="22" t="s">
        <v>2308</v>
      </c>
      <c r="W836" s="22" t="s">
        <v>2308</v>
      </c>
      <c r="X836" s="22" t="s">
        <v>2308</v>
      </c>
      <c r="Y836" s="22" t="s">
        <v>2308</v>
      </c>
      <c r="Z836" s="22" t="s">
        <v>2308</v>
      </c>
      <c r="AA836" s="22" t="s">
        <v>2308</v>
      </c>
      <c r="AB836" s="22" t="s">
        <v>2308</v>
      </c>
      <c r="AC836" s="5" t="s">
        <v>2721</v>
      </c>
      <c r="AD836" s="4"/>
    </row>
    <row r="837" spans="1:30" ht="65.5" customHeight="1">
      <c r="A837" s="4" t="s">
        <v>2658</v>
      </c>
      <c r="B837" s="4" t="s">
        <v>2720</v>
      </c>
      <c r="C837" s="24" t="s">
        <v>24</v>
      </c>
      <c r="D837" s="12" t="s">
        <v>27</v>
      </c>
      <c r="E837" s="12" t="s">
        <v>136</v>
      </c>
      <c r="F837" s="20" t="s">
        <v>167</v>
      </c>
      <c r="G837" s="12" t="s">
        <v>2308</v>
      </c>
      <c r="H837" s="4" t="s">
        <v>532</v>
      </c>
      <c r="I837" s="4"/>
      <c r="J837" s="22" t="s">
        <v>2308</v>
      </c>
      <c r="K837" s="22" t="s">
        <v>2308</v>
      </c>
      <c r="L837" s="22" t="s">
        <v>2308</v>
      </c>
      <c r="M837" s="22" t="s">
        <v>2308</v>
      </c>
      <c r="N837" s="22" t="s">
        <v>2308</v>
      </c>
      <c r="O837" s="22" t="s">
        <v>2308</v>
      </c>
      <c r="P837" s="22" t="s">
        <v>2308</v>
      </c>
      <c r="Q837" s="22" t="s">
        <v>2308</v>
      </c>
      <c r="R837" s="22" t="s">
        <v>2308</v>
      </c>
      <c r="S837" s="22" t="s">
        <v>2308</v>
      </c>
      <c r="T837" s="22" t="s">
        <v>2308</v>
      </c>
      <c r="U837" s="22" t="s">
        <v>2308</v>
      </c>
      <c r="V837" s="22" t="s">
        <v>2308</v>
      </c>
      <c r="W837" s="22" t="s">
        <v>2308</v>
      </c>
      <c r="X837" s="22" t="s">
        <v>2308</v>
      </c>
      <c r="Y837" s="22" t="s">
        <v>2308</v>
      </c>
      <c r="Z837" s="22" t="s">
        <v>2308</v>
      </c>
      <c r="AA837" s="22" t="s">
        <v>2308</v>
      </c>
      <c r="AB837" s="22" t="s">
        <v>2308</v>
      </c>
      <c r="AC837" s="5" t="s">
        <v>2726</v>
      </c>
      <c r="AD837" s="4"/>
    </row>
    <row r="838" spans="1:30" ht="65.5" customHeight="1">
      <c r="A838" s="4" t="s">
        <v>2658</v>
      </c>
      <c r="B838" s="4" t="s">
        <v>2727</v>
      </c>
      <c r="C838" s="24" t="s">
        <v>24</v>
      </c>
      <c r="D838" s="12" t="s">
        <v>2263</v>
      </c>
      <c r="E838" s="12" t="s">
        <v>136</v>
      </c>
      <c r="F838" s="20" t="s">
        <v>74</v>
      </c>
      <c r="G838" s="12" t="s">
        <v>2308</v>
      </c>
      <c r="H838" s="4" t="s">
        <v>531</v>
      </c>
      <c r="I838" s="4"/>
      <c r="J838" s="22" t="s">
        <v>2308</v>
      </c>
      <c r="K838" s="22" t="s">
        <v>2308</v>
      </c>
      <c r="L838" s="22" t="s">
        <v>2308</v>
      </c>
      <c r="M838" s="22" t="s">
        <v>2308</v>
      </c>
      <c r="N838" s="22" t="s">
        <v>2308</v>
      </c>
      <c r="O838" s="22">
        <v>0.64</v>
      </c>
      <c r="P838" s="22" t="s">
        <v>2308</v>
      </c>
      <c r="Q838" s="22" t="s">
        <v>2308</v>
      </c>
      <c r="R838" s="22" t="s">
        <v>2308</v>
      </c>
      <c r="S838" s="22" t="s">
        <v>2308</v>
      </c>
      <c r="T838" s="22">
        <v>4</v>
      </c>
      <c r="U838" s="22" t="s">
        <v>2308</v>
      </c>
      <c r="V838" s="22" t="s">
        <v>2308</v>
      </c>
      <c r="W838" s="22" t="s">
        <v>2308</v>
      </c>
      <c r="X838" s="22" t="s">
        <v>2308</v>
      </c>
      <c r="Y838" s="22" t="s">
        <v>2308</v>
      </c>
      <c r="Z838" s="22" t="s">
        <v>2308</v>
      </c>
      <c r="AA838" s="22" t="s">
        <v>2308</v>
      </c>
      <c r="AB838" s="22" t="s">
        <v>2308</v>
      </c>
      <c r="AC838" s="5" t="s">
        <v>2728</v>
      </c>
      <c r="AD838" s="4"/>
    </row>
    <row r="839" spans="1:30" ht="49" customHeight="1">
      <c r="A839" s="4" t="s">
        <v>2711</v>
      </c>
      <c r="B839" s="4" t="s">
        <v>2714</v>
      </c>
      <c r="C839" s="24" t="s">
        <v>24</v>
      </c>
      <c r="D839" s="12" t="s">
        <v>27</v>
      </c>
      <c r="E839" s="12" t="s">
        <v>136</v>
      </c>
      <c r="F839" s="20" t="s">
        <v>74</v>
      </c>
      <c r="G839" s="12" t="s">
        <v>2308</v>
      </c>
      <c r="H839" s="4" t="s">
        <v>531</v>
      </c>
      <c r="I839" s="4"/>
      <c r="J839" s="22" t="s">
        <v>2308</v>
      </c>
      <c r="K839" s="22" t="s">
        <v>2308</v>
      </c>
      <c r="L839" s="22" t="s">
        <v>2308</v>
      </c>
      <c r="M839" s="22" t="s">
        <v>2308</v>
      </c>
      <c r="N839" s="22" t="s">
        <v>2308</v>
      </c>
      <c r="O839" s="22">
        <v>1</v>
      </c>
      <c r="P839" s="22" t="s">
        <v>2308</v>
      </c>
      <c r="Q839" s="22" t="s">
        <v>2308</v>
      </c>
      <c r="R839" s="22" t="s">
        <v>2308</v>
      </c>
      <c r="S839" s="22" t="s">
        <v>2308</v>
      </c>
      <c r="T839" s="22" t="s">
        <v>2308</v>
      </c>
      <c r="U839" s="22" t="s">
        <v>2308</v>
      </c>
      <c r="V839" s="22" t="s">
        <v>2308</v>
      </c>
      <c r="W839" s="22" t="s">
        <v>2308</v>
      </c>
      <c r="X839" s="22" t="s">
        <v>2308</v>
      </c>
      <c r="Y839" s="22" t="s">
        <v>2308</v>
      </c>
      <c r="Z839" s="22" t="s">
        <v>2308</v>
      </c>
      <c r="AA839" s="22" t="s">
        <v>2308</v>
      </c>
      <c r="AB839" s="22" t="s">
        <v>2308</v>
      </c>
      <c r="AC839" s="5" t="s">
        <v>2710</v>
      </c>
      <c r="AD839" s="4"/>
    </row>
    <row r="840" spans="1:30" ht="51.5" customHeight="1">
      <c r="A840" s="4" t="s">
        <v>2715</v>
      </c>
      <c r="B840" s="4" t="s">
        <v>2718</v>
      </c>
      <c r="C840" s="24" t="s">
        <v>24</v>
      </c>
      <c r="D840" s="12" t="s">
        <v>27</v>
      </c>
      <c r="E840" s="12" t="s">
        <v>136</v>
      </c>
      <c r="F840" s="20" t="s">
        <v>74</v>
      </c>
      <c r="G840" s="12" t="s">
        <v>2308</v>
      </c>
      <c r="H840" s="4" t="s">
        <v>531</v>
      </c>
      <c r="I840" s="4"/>
      <c r="J840" s="22" t="s">
        <v>2308</v>
      </c>
      <c r="K840" s="22" t="s">
        <v>2308</v>
      </c>
      <c r="L840" s="22" t="s">
        <v>2308</v>
      </c>
      <c r="M840" s="22" t="s">
        <v>2308</v>
      </c>
      <c r="N840" s="22" t="s">
        <v>2308</v>
      </c>
      <c r="O840" s="22">
        <v>0.6</v>
      </c>
      <c r="P840" s="22" t="s">
        <v>2308</v>
      </c>
      <c r="Q840" s="22" t="s">
        <v>2308</v>
      </c>
      <c r="R840" s="22" t="s">
        <v>2308</v>
      </c>
      <c r="S840" s="22" t="s">
        <v>2308</v>
      </c>
      <c r="T840" s="22" t="s">
        <v>2308</v>
      </c>
      <c r="U840" s="22" t="s">
        <v>2308</v>
      </c>
      <c r="V840" s="22" t="s">
        <v>2308</v>
      </c>
      <c r="W840" s="22" t="s">
        <v>2308</v>
      </c>
      <c r="X840" s="22" t="s">
        <v>2308</v>
      </c>
      <c r="Y840" s="22" t="s">
        <v>2308</v>
      </c>
      <c r="Z840" s="22" t="s">
        <v>2308</v>
      </c>
      <c r="AA840" s="22" t="s">
        <v>2308</v>
      </c>
      <c r="AB840" s="22" t="s">
        <v>2308</v>
      </c>
      <c r="AC840" s="5" t="s">
        <v>2710</v>
      </c>
      <c r="AD840" s="4"/>
    </row>
    <row r="841" spans="1:30" ht="26.5" customHeight="1">
      <c r="A841" s="12" t="s">
        <v>2740</v>
      </c>
      <c r="B841" s="12" t="s">
        <v>2754</v>
      </c>
      <c r="C841" s="24" t="s">
        <v>24</v>
      </c>
      <c r="D841" s="12" t="s">
        <v>27</v>
      </c>
      <c r="E841" s="12" t="s">
        <v>136</v>
      </c>
      <c r="F841" s="20" t="s">
        <v>74</v>
      </c>
      <c r="G841" s="12" t="s">
        <v>2308</v>
      </c>
      <c r="H841" s="4" t="s">
        <v>531</v>
      </c>
      <c r="I841" s="4"/>
      <c r="J841" s="22" t="s">
        <v>2308</v>
      </c>
      <c r="K841" s="22" t="s">
        <v>2308</v>
      </c>
      <c r="L841" s="22" t="s">
        <v>2308</v>
      </c>
      <c r="M841" s="22" t="s">
        <v>2308</v>
      </c>
      <c r="N841" s="22" t="s">
        <v>2308</v>
      </c>
      <c r="O841" s="22" t="s">
        <v>2308</v>
      </c>
      <c r="P841" s="22" t="s">
        <v>2308</v>
      </c>
      <c r="Q841" s="22" t="s">
        <v>2308</v>
      </c>
      <c r="R841" s="22" t="s">
        <v>2308</v>
      </c>
      <c r="S841" s="22" t="s">
        <v>2308</v>
      </c>
      <c r="T841" s="22" t="s">
        <v>2308</v>
      </c>
      <c r="U841" s="22" t="s">
        <v>2308</v>
      </c>
      <c r="V841" s="22" t="s">
        <v>2308</v>
      </c>
      <c r="W841" s="22" t="s">
        <v>2308</v>
      </c>
      <c r="X841" s="22" t="s">
        <v>2308</v>
      </c>
      <c r="Y841" s="22" t="s">
        <v>2308</v>
      </c>
      <c r="Z841" s="22" t="s">
        <v>2308</v>
      </c>
      <c r="AA841" s="22" t="s">
        <v>2308</v>
      </c>
      <c r="AB841" s="22" t="s">
        <v>2308</v>
      </c>
      <c r="AC841" s="4"/>
      <c r="AD841" s="4" t="s">
        <v>2766</v>
      </c>
    </row>
    <row r="842" spans="1:30" ht="30" customHeight="1">
      <c r="A842" s="12" t="s">
        <v>2740</v>
      </c>
      <c r="B842" s="12" t="s">
        <v>2755</v>
      </c>
      <c r="C842" s="24" t="s">
        <v>2491</v>
      </c>
      <c r="D842" s="12" t="s">
        <v>27</v>
      </c>
      <c r="E842" s="12" t="s">
        <v>136</v>
      </c>
      <c r="F842" s="20" t="s">
        <v>74</v>
      </c>
      <c r="G842" s="12" t="s">
        <v>167</v>
      </c>
      <c r="H842" s="4" t="s">
        <v>531</v>
      </c>
      <c r="I842" s="4"/>
      <c r="J842" s="22" t="s">
        <v>2308</v>
      </c>
      <c r="K842" s="22" t="s">
        <v>2308</v>
      </c>
      <c r="L842" s="22" t="s">
        <v>2308</v>
      </c>
      <c r="M842" s="22" t="s">
        <v>2308</v>
      </c>
      <c r="N842" s="22" t="s">
        <v>2308</v>
      </c>
      <c r="O842" s="22" t="s">
        <v>2308</v>
      </c>
      <c r="P842" s="22" t="s">
        <v>2308</v>
      </c>
      <c r="Q842" s="22" t="s">
        <v>2308</v>
      </c>
      <c r="R842" s="22" t="s">
        <v>2308</v>
      </c>
      <c r="S842" s="22" t="s">
        <v>2308</v>
      </c>
      <c r="T842" s="22" t="s">
        <v>2308</v>
      </c>
      <c r="U842" s="22" t="s">
        <v>2308</v>
      </c>
      <c r="V842" s="22" t="s">
        <v>2308</v>
      </c>
      <c r="W842" s="22" t="s">
        <v>2308</v>
      </c>
      <c r="X842" s="22" t="s">
        <v>2308</v>
      </c>
      <c r="Y842" s="22" t="s">
        <v>2308</v>
      </c>
      <c r="Z842" s="22" t="s">
        <v>2308</v>
      </c>
      <c r="AA842" s="22" t="s">
        <v>2308</v>
      </c>
      <c r="AB842" s="22" t="s">
        <v>2308</v>
      </c>
      <c r="AC842" s="5" t="s">
        <v>2765</v>
      </c>
      <c r="AD842" s="4"/>
    </row>
    <row r="843" spans="1:30" ht="28.5" customHeight="1">
      <c r="A843" s="12" t="s">
        <v>2741</v>
      </c>
      <c r="B843" s="12" t="s">
        <v>2753</v>
      </c>
      <c r="C843" s="24" t="s">
        <v>24</v>
      </c>
      <c r="D843" s="12" t="s">
        <v>27</v>
      </c>
      <c r="E843" s="12" t="s">
        <v>136</v>
      </c>
      <c r="F843" s="20" t="s">
        <v>74</v>
      </c>
      <c r="G843" s="12" t="s">
        <v>2308</v>
      </c>
      <c r="H843" s="4" t="s">
        <v>531</v>
      </c>
      <c r="I843" s="4"/>
      <c r="J843" s="22" t="s">
        <v>2308</v>
      </c>
      <c r="K843" s="22" t="s">
        <v>2308</v>
      </c>
      <c r="L843" s="22" t="s">
        <v>2308</v>
      </c>
      <c r="M843" s="22" t="s">
        <v>2308</v>
      </c>
      <c r="N843" s="22" t="s">
        <v>2308</v>
      </c>
      <c r="O843" s="22" t="s">
        <v>2308</v>
      </c>
      <c r="P843" s="22" t="s">
        <v>2308</v>
      </c>
      <c r="Q843" s="22" t="s">
        <v>2308</v>
      </c>
      <c r="R843" s="22" t="s">
        <v>2308</v>
      </c>
      <c r="S843" s="22" t="s">
        <v>2308</v>
      </c>
      <c r="T843" s="22" t="s">
        <v>2308</v>
      </c>
      <c r="U843" s="22" t="s">
        <v>2308</v>
      </c>
      <c r="V843" s="22" t="s">
        <v>2308</v>
      </c>
      <c r="W843" s="22" t="s">
        <v>2308</v>
      </c>
      <c r="X843" s="22" t="s">
        <v>2308</v>
      </c>
      <c r="Y843" s="22" t="s">
        <v>2308</v>
      </c>
      <c r="Z843" s="22" t="s">
        <v>2308</v>
      </c>
      <c r="AA843" s="22" t="s">
        <v>2308</v>
      </c>
      <c r="AB843" s="22" t="s">
        <v>2308</v>
      </c>
      <c r="AC843" s="4"/>
      <c r="AD843" s="5" t="s">
        <v>2780</v>
      </c>
    </row>
    <row r="844" spans="1:30" ht="28.5" customHeight="1">
      <c r="A844" s="12" t="s">
        <v>2741</v>
      </c>
      <c r="B844" s="12" t="s">
        <v>2760</v>
      </c>
      <c r="C844" s="24" t="s">
        <v>2491</v>
      </c>
      <c r="D844" s="12" t="s">
        <v>27</v>
      </c>
      <c r="E844" s="12" t="s">
        <v>136</v>
      </c>
      <c r="F844" s="20" t="s">
        <v>74</v>
      </c>
      <c r="G844" s="12" t="s">
        <v>28</v>
      </c>
      <c r="H844" s="4" t="s">
        <v>531</v>
      </c>
      <c r="I844" s="4"/>
      <c r="J844" s="22" t="s">
        <v>2308</v>
      </c>
      <c r="K844" s="22" t="s">
        <v>2308</v>
      </c>
      <c r="L844" s="22" t="s">
        <v>2308</v>
      </c>
      <c r="M844" s="22" t="s">
        <v>2308</v>
      </c>
      <c r="N844" s="22" t="s">
        <v>2308</v>
      </c>
      <c r="O844" s="22" t="s">
        <v>2308</v>
      </c>
      <c r="P844" s="22" t="s">
        <v>2308</v>
      </c>
      <c r="Q844" s="22" t="s">
        <v>2308</v>
      </c>
      <c r="R844" s="22" t="s">
        <v>2308</v>
      </c>
      <c r="S844" s="22" t="s">
        <v>2308</v>
      </c>
      <c r="T844" s="22" t="s">
        <v>2308</v>
      </c>
      <c r="U844" s="22" t="s">
        <v>2308</v>
      </c>
      <c r="V844" s="22" t="s">
        <v>2308</v>
      </c>
      <c r="W844" s="22" t="s">
        <v>2308</v>
      </c>
      <c r="X844" s="22" t="s">
        <v>2308</v>
      </c>
      <c r="Y844" s="22" t="s">
        <v>2308</v>
      </c>
      <c r="Z844" s="22" t="s">
        <v>2308</v>
      </c>
      <c r="AA844" s="22" t="s">
        <v>2308</v>
      </c>
      <c r="AB844" s="22" t="s">
        <v>2308</v>
      </c>
      <c r="AC844" s="5" t="s">
        <v>2767</v>
      </c>
      <c r="AD844" s="4"/>
    </row>
    <row r="845" spans="1:30" ht="24.5" customHeight="1">
      <c r="A845" s="12" t="s">
        <v>2742</v>
      </c>
      <c r="B845" s="12" t="s">
        <v>2749</v>
      </c>
      <c r="C845" s="24" t="s">
        <v>24</v>
      </c>
      <c r="D845" s="12" t="s">
        <v>27</v>
      </c>
      <c r="E845" s="12" t="s">
        <v>136</v>
      </c>
      <c r="F845" s="20" t="s">
        <v>74</v>
      </c>
      <c r="G845" s="12" t="s">
        <v>2308</v>
      </c>
      <c r="H845" s="4" t="s">
        <v>531</v>
      </c>
      <c r="I845" s="4"/>
      <c r="J845" s="22" t="s">
        <v>2308</v>
      </c>
      <c r="K845" s="22" t="s">
        <v>2308</v>
      </c>
      <c r="L845" s="22" t="s">
        <v>2308</v>
      </c>
      <c r="M845" s="22" t="s">
        <v>2308</v>
      </c>
      <c r="N845" s="22" t="s">
        <v>2308</v>
      </c>
      <c r="O845" s="22" t="s">
        <v>2308</v>
      </c>
      <c r="P845" s="22" t="s">
        <v>2308</v>
      </c>
      <c r="Q845" s="22" t="s">
        <v>2308</v>
      </c>
      <c r="R845" s="22" t="s">
        <v>2308</v>
      </c>
      <c r="S845" s="22" t="s">
        <v>2308</v>
      </c>
      <c r="T845" s="22" t="s">
        <v>2308</v>
      </c>
      <c r="U845" s="22" t="s">
        <v>2308</v>
      </c>
      <c r="V845" s="22" t="s">
        <v>2308</v>
      </c>
      <c r="W845" s="22" t="s">
        <v>2308</v>
      </c>
      <c r="X845" s="22" t="s">
        <v>2308</v>
      </c>
      <c r="Y845" s="22" t="s">
        <v>2308</v>
      </c>
      <c r="Z845" s="22" t="s">
        <v>2308</v>
      </c>
      <c r="AA845" s="22" t="s">
        <v>2308</v>
      </c>
      <c r="AB845" s="22" t="s">
        <v>2308</v>
      </c>
      <c r="AC845" s="4"/>
      <c r="AD845" s="4" t="s">
        <v>2766</v>
      </c>
    </row>
    <row r="846" spans="1:30" ht="30" customHeight="1">
      <c r="A846" s="12" t="s">
        <v>2742</v>
      </c>
      <c r="B846" s="12" t="s">
        <v>2763</v>
      </c>
      <c r="C846" s="24" t="s">
        <v>24</v>
      </c>
      <c r="D846" s="12" t="s">
        <v>27</v>
      </c>
      <c r="E846" s="5" t="s">
        <v>84</v>
      </c>
      <c r="F846" s="20" t="s">
        <v>74</v>
      </c>
      <c r="G846" s="12" t="s">
        <v>2308</v>
      </c>
      <c r="H846" s="4" t="s">
        <v>531</v>
      </c>
      <c r="I846" s="4"/>
      <c r="J846" s="22" t="s">
        <v>2308</v>
      </c>
      <c r="K846" s="22" t="s">
        <v>2308</v>
      </c>
      <c r="L846" s="22" t="s">
        <v>2308</v>
      </c>
      <c r="M846" s="22" t="s">
        <v>2308</v>
      </c>
      <c r="N846" s="22" t="s">
        <v>2308</v>
      </c>
      <c r="O846" s="22" t="s">
        <v>2308</v>
      </c>
      <c r="P846" s="22" t="s">
        <v>2308</v>
      </c>
      <c r="Q846" s="22" t="s">
        <v>2308</v>
      </c>
      <c r="R846" s="22" t="s">
        <v>2308</v>
      </c>
      <c r="S846" s="22" t="s">
        <v>2308</v>
      </c>
      <c r="T846" s="22" t="s">
        <v>2308</v>
      </c>
      <c r="U846" s="22" t="s">
        <v>2308</v>
      </c>
      <c r="V846" s="22" t="s">
        <v>2308</v>
      </c>
      <c r="W846" s="22" t="s">
        <v>2308</v>
      </c>
      <c r="X846" s="22" t="s">
        <v>2308</v>
      </c>
      <c r="Y846" s="22" t="s">
        <v>2308</v>
      </c>
      <c r="Z846" s="22" t="s">
        <v>2308</v>
      </c>
      <c r="AA846" s="22" t="s">
        <v>2308</v>
      </c>
      <c r="AB846" s="22" t="s">
        <v>2308</v>
      </c>
      <c r="AC846" s="4"/>
      <c r="AD846" s="4"/>
    </row>
    <row r="847" spans="1:30" ht="30" customHeight="1">
      <c r="A847" s="12" t="s">
        <v>2742</v>
      </c>
      <c r="B847" s="12" t="s">
        <v>2768</v>
      </c>
      <c r="C847" s="24" t="s">
        <v>24</v>
      </c>
      <c r="D847" s="12" t="s">
        <v>149</v>
      </c>
      <c r="E847" s="5" t="s">
        <v>84</v>
      </c>
      <c r="F847" s="20" t="s">
        <v>74</v>
      </c>
      <c r="G847" s="12" t="s">
        <v>2308</v>
      </c>
      <c r="H847" s="4" t="s">
        <v>531</v>
      </c>
      <c r="I847" s="4"/>
      <c r="J847" s="22" t="s">
        <v>2308</v>
      </c>
      <c r="K847" s="22" t="s">
        <v>2308</v>
      </c>
      <c r="L847" s="22" t="s">
        <v>2308</v>
      </c>
      <c r="M847" s="22" t="s">
        <v>2308</v>
      </c>
      <c r="N847" s="22" t="s">
        <v>2308</v>
      </c>
      <c r="O847" s="22" t="s">
        <v>2308</v>
      </c>
      <c r="P847" s="22" t="s">
        <v>2308</v>
      </c>
      <c r="Q847" s="22" t="s">
        <v>2308</v>
      </c>
      <c r="R847" s="22" t="s">
        <v>2308</v>
      </c>
      <c r="S847" s="22" t="s">
        <v>2308</v>
      </c>
      <c r="T847" s="22" t="s">
        <v>2308</v>
      </c>
      <c r="U847" s="22" t="s">
        <v>2308</v>
      </c>
      <c r="V847" s="22" t="s">
        <v>2308</v>
      </c>
      <c r="W847" s="22" t="s">
        <v>2308</v>
      </c>
      <c r="X847" s="22" t="s">
        <v>2308</v>
      </c>
      <c r="Y847" s="22" t="s">
        <v>2308</v>
      </c>
      <c r="Z847" s="22" t="s">
        <v>2308</v>
      </c>
      <c r="AA847" s="22" t="s">
        <v>2308</v>
      </c>
      <c r="AB847" s="22" t="s">
        <v>2308</v>
      </c>
      <c r="AC847" s="4"/>
      <c r="AD847" s="4"/>
    </row>
    <row r="848" spans="1:30" ht="35" customHeight="1">
      <c r="A848" s="12" t="s">
        <v>2742</v>
      </c>
      <c r="B848" s="12" t="s">
        <v>2770</v>
      </c>
      <c r="C848" s="24" t="s">
        <v>2491</v>
      </c>
      <c r="D848" s="12" t="s">
        <v>149</v>
      </c>
      <c r="E848" s="5" t="s">
        <v>84</v>
      </c>
      <c r="F848" s="20" t="s">
        <v>74</v>
      </c>
      <c r="G848" s="12" t="s">
        <v>28</v>
      </c>
      <c r="H848" s="4" t="s">
        <v>531</v>
      </c>
      <c r="I848" s="4"/>
      <c r="J848" s="22" t="s">
        <v>2308</v>
      </c>
      <c r="K848" s="22" t="s">
        <v>2308</v>
      </c>
      <c r="L848" s="22" t="s">
        <v>2308</v>
      </c>
      <c r="M848" s="22" t="s">
        <v>2308</v>
      </c>
      <c r="N848" s="22" t="s">
        <v>2308</v>
      </c>
      <c r="O848" s="22" t="s">
        <v>2308</v>
      </c>
      <c r="P848" s="22" t="s">
        <v>2308</v>
      </c>
      <c r="Q848" s="22" t="s">
        <v>2308</v>
      </c>
      <c r="R848" s="22" t="s">
        <v>2308</v>
      </c>
      <c r="S848" s="22" t="s">
        <v>2308</v>
      </c>
      <c r="T848" s="22" t="s">
        <v>2308</v>
      </c>
      <c r="U848" s="22" t="s">
        <v>2308</v>
      </c>
      <c r="V848" s="22" t="s">
        <v>2308</v>
      </c>
      <c r="W848" s="22" t="s">
        <v>2308</v>
      </c>
      <c r="X848" s="22" t="s">
        <v>2308</v>
      </c>
      <c r="Y848" s="22" t="s">
        <v>2308</v>
      </c>
      <c r="Z848" s="22" t="s">
        <v>2308</v>
      </c>
      <c r="AA848" s="22" t="s">
        <v>2308</v>
      </c>
      <c r="AB848" s="22" t="s">
        <v>2308</v>
      </c>
      <c r="AC848" s="5" t="s">
        <v>2764</v>
      </c>
      <c r="AD848" s="4"/>
    </row>
    <row r="849" spans="1:30" ht="35.5" customHeight="1">
      <c r="A849" s="12" t="s">
        <v>2757</v>
      </c>
      <c r="B849" s="12" t="s">
        <v>2758</v>
      </c>
      <c r="C849" s="24" t="s">
        <v>2491</v>
      </c>
      <c r="D849" s="12" t="s">
        <v>1125</v>
      </c>
      <c r="E849" s="12" t="s">
        <v>1125</v>
      </c>
      <c r="F849" s="20" t="s">
        <v>2308</v>
      </c>
      <c r="G849" s="12" t="s">
        <v>74</v>
      </c>
      <c r="H849" s="4" t="s">
        <v>531</v>
      </c>
      <c r="I849" s="4"/>
      <c r="J849" s="22" t="s">
        <v>2308</v>
      </c>
      <c r="K849" s="22" t="s">
        <v>2308</v>
      </c>
      <c r="L849" s="22" t="s">
        <v>2308</v>
      </c>
      <c r="M849" s="22" t="s">
        <v>2308</v>
      </c>
      <c r="N849" s="22" t="s">
        <v>2308</v>
      </c>
      <c r="O849" s="22" t="s">
        <v>2308</v>
      </c>
      <c r="P849" s="22" t="s">
        <v>2308</v>
      </c>
      <c r="Q849" s="22" t="s">
        <v>2308</v>
      </c>
      <c r="R849" s="22" t="s">
        <v>2308</v>
      </c>
      <c r="S849" s="22" t="s">
        <v>2308</v>
      </c>
      <c r="T849" s="22">
        <v>170000</v>
      </c>
      <c r="U849" s="22" t="s">
        <v>2308</v>
      </c>
      <c r="V849" s="22" t="s">
        <v>2308</v>
      </c>
      <c r="W849" s="22" t="s">
        <v>2308</v>
      </c>
      <c r="X849" s="22">
        <f>T849/'Record info'!K533</f>
        <v>8.7891634784406989</v>
      </c>
      <c r="Y849" s="22" t="s">
        <v>2308</v>
      </c>
      <c r="Z849" s="22" t="s">
        <v>2308</v>
      </c>
      <c r="AA849" s="22" t="s">
        <v>2308</v>
      </c>
      <c r="AB849" s="22" t="s">
        <v>2308</v>
      </c>
      <c r="AC849" s="4"/>
      <c r="AD849" s="4"/>
    </row>
    <row r="850" spans="1:30" ht="36.5" customHeight="1">
      <c r="A850" s="12" t="s">
        <v>2779</v>
      </c>
      <c r="B850" s="12" t="s">
        <v>2782</v>
      </c>
      <c r="C850" s="24" t="s">
        <v>31</v>
      </c>
      <c r="D850" s="12" t="s">
        <v>1125</v>
      </c>
      <c r="E850" s="12" t="s">
        <v>1125</v>
      </c>
      <c r="F850" s="20" t="s">
        <v>2308</v>
      </c>
      <c r="G850" s="12" t="s">
        <v>74</v>
      </c>
      <c r="H850" s="4" t="s">
        <v>531</v>
      </c>
      <c r="I850" s="4"/>
      <c r="J850" s="22" t="s">
        <v>2308</v>
      </c>
      <c r="K850" s="22" t="s">
        <v>2308</v>
      </c>
      <c r="L850" s="22" t="s">
        <v>2308</v>
      </c>
      <c r="M850" s="22" t="s">
        <v>2308</v>
      </c>
      <c r="N850" s="22" t="s">
        <v>2308</v>
      </c>
      <c r="O850" s="22" t="s">
        <v>2308</v>
      </c>
      <c r="P850" s="22" t="s">
        <v>2308</v>
      </c>
      <c r="Q850" s="22" t="s">
        <v>2308</v>
      </c>
      <c r="R850" s="22" t="s">
        <v>2308</v>
      </c>
      <c r="S850" s="22" t="s">
        <v>2308</v>
      </c>
      <c r="T850" s="22">
        <f>400*100</f>
        <v>40000</v>
      </c>
      <c r="U850" s="22" t="s">
        <v>2308</v>
      </c>
      <c r="V850" s="22" t="s">
        <v>2308</v>
      </c>
      <c r="W850" s="22" t="s">
        <v>2308</v>
      </c>
      <c r="X850" s="22" t="s">
        <v>2308</v>
      </c>
      <c r="Y850" s="22" t="s">
        <v>2308</v>
      </c>
      <c r="Z850" s="22" t="s">
        <v>2308</v>
      </c>
      <c r="AA850" s="22" t="s">
        <v>2308</v>
      </c>
      <c r="AB850" s="22" t="s">
        <v>2308</v>
      </c>
      <c r="AC850" s="4"/>
      <c r="AD850" s="4"/>
    </row>
    <row r="851" spans="1:30" ht="34.5" customHeight="1">
      <c r="A851" s="12" t="s">
        <v>2784</v>
      </c>
      <c r="B851" s="12" t="s">
        <v>2790</v>
      </c>
      <c r="C851" s="24" t="s">
        <v>24</v>
      </c>
      <c r="D851" s="12" t="s">
        <v>27</v>
      </c>
      <c r="E851" s="12" t="s">
        <v>136</v>
      </c>
      <c r="F851" s="20" t="s">
        <v>167</v>
      </c>
      <c r="G851" s="4" t="s">
        <v>2308</v>
      </c>
      <c r="H851" s="4" t="s">
        <v>531</v>
      </c>
      <c r="I851" s="4"/>
      <c r="J851" s="22" t="s">
        <v>2308</v>
      </c>
      <c r="K851" s="22" t="s">
        <v>2308</v>
      </c>
      <c r="L851" s="22" t="s">
        <v>2308</v>
      </c>
      <c r="M851" s="22" t="s">
        <v>2308</v>
      </c>
      <c r="N851" s="22" t="s">
        <v>2308</v>
      </c>
      <c r="O851" s="22" t="s">
        <v>2308</v>
      </c>
      <c r="P851" s="22" t="s">
        <v>2308</v>
      </c>
      <c r="Q851" s="22" t="s">
        <v>2308</v>
      </c>
      <c r="R851" s="22" t="s">
        <v>2308</v>
      </c>
      <c r="S851" s="22" t="s">
        <v>2308</v>
      </c>
      <c r="T851" s="22" t="s">
        <v>2308</v>
      </c>
      <c r="U851" s="22" t="s">
        <v>2308</v>
      </c>
      <c r="V851" s="22" t="s">
        <v>2308</v>
      </c>
      <c r="W851" s="22" t="s">
        <v>2308</v>
      </c>
      <c r="X851" s="22" t="s">
        <v>2308</v>
      </c>
      <c r="Y851" s="22" t="s">
        <v>2308</v>
      </c>
      <c r="Z851" s="22" t="s">
        <v>2308</v>
      </c>
      <c r="AA851" s="22" t="s">
        <v>2308</v>
      </c>
      <c r="AB851" s="22" t="s">
        <v>2308</v>
      </c>
      <c r="AC851" s="4"/>
      <c r="AD851" s="4" t="s">
        <v>2793</v>
      </c>
    </row>
    <row r="852" spans="1:30" ht="30" customHeight="1">
      <c r="A852" s="12" t="s">
        <v>2789</v>
      </c>
      <c r="B852" s="12" t="s">
        <v>2791</v>
      </c>
      <c r="C852" s="24" t="s">
        <v>24</v>
      </c>
      <c r="D852" s="12" t="s">
        <v>27</v>
      </c>
      <c r="E852" s="12" t="s">
        <v>136</v>
      </c>
      <c r="F852" s="20" t="s">
        <v>167</v>
      </c>
      <c r="G852" s="4" t="s">
        <v>2308</v>
      </c>
      <c r="H852" s="4" t="s">
        <v>531</v>
      </c>
      <c r="I852" s="4"/>
      <c r="J852" s="22" t="s">
        <v>2308</v>
      </c>
      <c r="K852" s="22" t="s">
        <v>2308</v>
      </c>
      <c r="L852" s="22" t="s">
        <v>2308</v>
      </c>
      <c r="M852" s="22" t="s">
        <v>2308</v>
      </c>
      <c r="N852" s="22" t="s">
        <v>2308</v>
      </c>
      <c r="O852" s="22" t="s">
        <v>2308</v>
      </c>
      <c r="P852" s="22" t="s">
        <v>2308</v>
      </c>
      <c r="Q852" s="22" t="s">
        <v>2308</v>
      </c>
      <c r="R852" s="22" t="s">
        <v>2308</v>
      </c>
      <c r="S852" s="22" t="s">
        <v>2308</v>
      </c>
      <c r="T852" s="22" t="s">
        <v>2308</v>
      </c>
      <c r="U852" s="22" t="s">
        <v>2308</v>
      </c>
      <c r="V852" s="22" t="s">
        <v>2308</v>
      </c>
      <c r="W852" s="22" t="s">
        <v>2308</v>
      </c>
      <c r="X852" s="22" t="s">
        <v>2308</v>
      </c>
      <c r="Y852" s="22" t="s">
        <v>2308</v>
      </c>
      <c r="Z852" s="22" t="s">
        <v>2308</v>
      </c>
      <c r="AA852" s="22" t="s">
        <v>2308</v>
      </c>
      <c r="AB852" s="22" t="s">
        <v>2308</v>
      </c>
      <c r="AC852" s="4"/>
      <c r="AD852" s="4" t="s">
        <v>2794</v>
      </c>
    </row>
    <row r="853" spans="1:30" ht="39" customHeight="1">
      <c r="A853" s="12" t="s">
        <v>2796</v>
      </c>
      <c r="B853" s="12" t="s">
        <v>2799</v>
      </c>
      <c r="C853" s="24" t="s">
        <v>24</v>
      </c>
      <c r="D853" s="12" t="s">
        <v>27</v>
      </c>
      <c r="E853" s="12" t="s">
        <v>136</v>
      </c>
      <c r="F853" s="20" t="s">
        <v>167</v>
      </c>
      <c r="G853" s="4" t="s">
        <v>2308</v>
      </c>
      <c r="H853" s="4" t="s">
        <v>531</v>
      </c>
      <c r="I853" s="4"/>
      <c r="J853" s="22" t="s">
        <v>2308</v>
      </c>
      <c r="K853" s="22" t="s">
        <v>2308</v>
      </c>
      <c r="L853" s="22">
        <v>7.6999999999999999E-2</v>
      </c>
      <c r="M853" s="22" t="s">
        <v>2308</v>
      </c>
      <c r="N853" s="22">
        <v>8.8999999999999996E-2</v>
      </c>
      <c r="O853" s="22" t="s">
        <v>2308</v>
      </c>
      <c r="P853" s="22">
        <f>AVERAGE(L853,N853)</f>
        <v>8.299999999999999E-2</v>
      </c>
      <c r="Q853" s="22" t="s">
        <v>2308</v>
      </c>
      <c r="R853" s="22" t="s">
        <v>2308</v>
      </c>
      <c r="S853" s="22" t="s">
        <v>2308</v>
      </c>
      <c r="T853" s="22">
        <f>(77+89)/100</f>
        <v>1.66</v>
      </c>
      <c r="U853" s="22">
        <f>6.9+7.5</f>
        <v>14.4</v>
      </c>
      <c r="V853" s="22" t="s">
        <v>2308</v>
      </c>
      <c r="W853" s="22" t="s">
        <v>2308</v>
      </c>
      <c r="X853" s="22" t="s">
        <v>2308</v>
      </c>
      <c r="Y853" s="22" t="s">
        <v>2308</v>
      </c>
      <c r="Z853" s="4" t="s">
        <v>68</v>
      </c>
      <c r="AA853" s="4" t="s">
        <v>68</v>
      </c>
      <c r="AB853" s="80" t="s">
        <v>64</v>
      </c>
      <c r="AC853" s="4"/>
      <c r="AD853" s="4"/>
    </row>
    <row r="854" spans="1:30" ht="43.5">
      <c r="A854" s="12" t="s">
        <v>2802</v>
      </c>
      <c r="B854" s="12" t="s">
        <v>2803</v>
      </c>
      <c r="C854" s="24" t="s">
        <v>24</v>
      </c>
      <c r="D854" s="12" t="s">
        <v>27</v>
      </c>
      <c r="E854" s="12" t="s">
        <v>136</v>
      </c>
      <c r="F854" s="20" t="s">
        <v>28</v>
      </c>
      <c r="G854" s="4" t="s">
        <v>2308</v>
      </c>
      <c r="H854" s="4" t="s">
        <v>531</v>
      </c>
      <c r="I854" s="4"/>
      <c r="J854" s="22" t="s">
        <v>2308</v>
      </c>
      <c r="K854" s="22" t="s">
        <v>2308</v>
      </c>
      <c r="L854" s="22" t="s">
        <v>2308</v>
      </c>
      <c r="M854" s="22" t="s">
        <v>2308</v>
      </c>
      <c r="N854" s="22" t="s">
        <v>2308</v>
      </c>
      <c r="O854" s="22" t="s">
        <v>2308</v>
      </c>
      <c r="P854" s="22" t="s">
        <v>2308</v>
      </c>
      <c r="Q854" s="22" t="s">
        <v>2308</v>
      </c>
      <c r="R854" s="22" t="s">
        <v>2308</v>
      </c>
      <c r="S854" s="22" t="s">
        <v>2308</v>
      </c>
      <c r="T854" s="22" t="s">
        <v>2308</v>
      </c>
      <c r="U854" s="22" t="s">
        <v>2308</v>
      </c>
      <c r="V854" s="22" t="s">
        <v>2308</v>
      </c>
      <c r="W854" s="22" t="s">
        <v>2308</v>
      </c>
      <c r="X854" s="22" t="s">
        <v>2308</v>
      </c>
      <c r="Y854" s="22" t="s">
        <v>2308</v>
      </c>
      <c r="Z854" s="80" t="s">
        <v>412</v>
      </c>
      <c r="AA854" s="80" t="s">
        <v>412</v>
      </c>
      <c r="AB854" s="80" t="s">
        <v>64</v>
      </c>
      <c r="AC854" s="4"/>
      <c r="AD854" s="5" t="s">
        <v>2822</v>
      </c>
    </row>
    <row r="855" spans="1:30" ht="43.5">
      <c r="A855" s="12" t="s">
        <v>2806</v>
      </c>
      <c r="B855" s="12" t="s">
        <v>2816</v>
      </c>
      <c r="C855" s="24" t="s">
        <v>24</v>
      </c>
      <c r="D855" s="12" t="s">
        <v>27</v>
      </c>
      <c r="E855" s="12" t="s">
        <v>136</v>
      </c>
      <c r="F855" s="20" t="s">
        <v>28</v>
      </c>
      <c r="G855" s="4" t="s">
        <v>2308</v>
      </c>
      <c r="H855" s="4" t="s">
        <v>531</v>
      </c>
      <c r="I855" s="4"/>
      <c r="J855" s="22" t="s">
        <v>2308</v>
      </c>
      <c r="K855" s="22" t="s">
        <v>2308</v>
      </c>
      <c r="L855" s="22" t="s">
        <v>2308</v>
      </c>
      <c r="M855" s="22" t="s">
        <v>2308</v>
      </c>
      <c r="N855" s="22" t="s">
        <v>2308</v>
      </c>
      <c r="O855" s="22" t="s">
        <v>2308</v>
      </c>
      <c r="P855" s="22" t="s">
        <v>2308</v>
      </c>
      <c r="Q855" s="22" t="s">
        <v>2308</v>
      </c>
      <c r="R855" s="22" t="s">
        <v>2308</v>
      </c>
      <c r="S855" s="22" t="s">
        <v>2308</v>
      </c>
      <c r="T855" s="22" t="s">
        <v>2308</v>
      </c>
      <c r="U855" s="22" t="s">
        <v>2308</v>
      </c>
      <c r="V855" s="22" t="s">
        <v>2308</v>
      </c>
      <c r="W855" s="22" t="s">
        <v>2308</v>
      </c>
      <c r="X855" s="22" t="s">
        <v>2308</v>
      </c>
      <c r="Y855" s="22" t="s">
        <v>2308</v>
      </c>
      <c r="Z855" s="80" t="s">
        <v>412</v>
      </c>
      <c r="AA855" s="80" t="s">
        <v>412</v>
      </c>
      <c r="AB855" s="80" t="s">
        <v>64</v>
      </c>
      <c r="AC855" s="4"/>
      <c r="AD855" s="5" t="s">
        <v>2822</v>
      </c>
    </row>
    <row r="856" spans="1:30" ht="43.5">
      <c r="A856" s="12" t="s">
        <v>2807</v>
      </c>
      <c r="B856" s="12" t="s">
        <v>2817</v>
      </c>
      <c r="C856" s="24" t="s">
        <v>24</v>
      </c>
      <c r="D856" s="12" t="s">
        <v>27</v>
      </c>
      <c r="E856" s="12" t="s">
        <v>136</v>
      </c>
      <c r="F856" s="20" t="s">
        <v>28</v>
      </c>
      <c r="G856" s="4" t="s">
        <v>2308</v>
      </c>
      <c r="H856" s="4" t="s">
        <v>531</v>
      </c>
      <c r="I856" s="4"/>
      <c r="J856" s="22" t="s">
        <v>2308</v>
      </c>
      <c r="K856" s="22" t="s">
        <v>2308</v>
      </c>
      <c r="L856" s="22" t="s">
        <v>2308</v>
      </c>
      <c r="M856" s="22" t="s">
        <v>2308</v>
      </c>
      <c r="N856" s="22" t="s">
        <v>2308</v>
      </c>
      <c r="O856" s="22" t="s">
        <v>2308</v>
      </c>
      <c r="P856" s="22" t="s">
        <v>2308</v>
      </c>
      <c r="Q856" s="22" t="s">
        <v>2308</v>
      </c>
      <c r="R856" s="22" t="s">
        <v>2308</v>
      </c>
      <c r="S856" s="22" t="s">
        <v>2308</v>
      </c>
      <c r="T856" s="22" t="s">
        <v>2308</v>
      </c>
      <c r="U856" s="22" t="s">
        <v>2308</v>
      </c>
      <c r="V856" s="22" t="s">
        <v>2308</v>
      </c>
      <c r="W856" s="22" t="s">
        <v>2308</v>
      </c>
      <c r="X856" s="22" t="s">
        <v>2308</v>
      </c>
      <c r="Y856" s="22" t="s">
        <v>2308</v>
      </c>
      <c r="Z856" s="80" t="s">
        <v>412</v>
      </c>
      <c r="AA856" s="80" t="s">
        <v>412</v>
      </c>
      <c r="AB856" s="80" t="s">
        <v>64</v>
      </c>
      <c r="AC856" s="4"/>
      <c r="AD856" s="5" t="s">
        <v>2822</v>
      </c>
    </row>
    <row r="857" spans="1:30" ht="43.5">
      <c r="A857" s="12" t="s">
        <v>2808</v>
      </c>
      <c r="B857" s="12" t="s">
        <v>2818</v>
      </c>
      <c r="C857" s="24" t="s">
        <v>24</v>
      </c>
      <c r="D857" s="12" t="s">
        <v>27</v>
      </c>
      <c r="E857" s="12" t="s">
        <v>136</v>
      </c>
      <c r="F857" s="20" t="s">
        <v>28</v>
      </c>
      <c r="G857" s="4" t="s">
        <v>2308</v>
      </c>
      <c r="H857" s="4" t="s">
        <v>531</v>
      </c>
      <c r="I857" s="4"/>
      <c r="J857" s="22" t="s">
        <v>2308</v>
      </c>
      <c r="K857" s="22" t="s">
        <v>2308</v>
      </c>
      <c r="L857" s="22" t="s">
        <v>2308</v>
      </c>
      <c r="M857" s="22" t="s">
        <v>2308</v>
      </c>
      <c r="N857" s="22" t="s">
        <v>2308</v>
      </c>
      <c r="O857" s="22" t="s">
        <v>2308</v>
      </c>
      <c r="P857" s="22" t="s">
        <v>2308</v>
      </c>
      <c r="Q857" s="22" t="s">
        <v>2308</v>
      </c>
      <c r="R857" s="22" t="s">
        <v>2308</v>
      </c>
      <c r="S857" s="22" t="s">
        <v>2308</v>
      </c>
      <c r="T857" s="22" t="s">
        <v>2308</v>
      </c>
      <c r="U857" s="22" t="s">
        <v>2308</v>
      </c>
      <c r="V857" s="22" t="s">
        <v>2308</v>
      </c>
      <c r="W857" s="22" t="s">
        <v>2308</v>
      </c>
      <c r="X857" s="22" t="s">
        <v>2308</v>
      </c>
      <c r="Y857" s="22" t="s">
        <v>2308</v>
      </c>
      <c r="Z857" s="80" t="s">
        <v>412</v>
      </c>
      <c r="AA857" s="80" t="s">
        <v>412</v>
      </c>
      <c r="AB857" s="80" t="s">
        <v>64</v>
      </c>
      <c r="AC857" s="4"/>
      <c r="AD857" s="5" t="s">
        <v>2822</v>
      </c>
    </row>
    <row r="858" spans="1:30" ht="43.5">
      <c r="A858" s="12" t="s">
        <v>2809</v>
      </c>
      <c r="B858" s="12" t="s">
        <v>2819</v>
      </c>
      <c r="C858" s="24" t="s">
        <v>24</v>
      </c>
      <c r="D858" s="12" t="s">
        <v>27</v>
      </c>
      <c r="E858" s="12" t="s">
        <v>136</v>
      </c>
      <c r="F858" s="20" t="s">
        <v>28</v>
      </c>
      <c r="G858" s="4" t="s">
        <v>2308</v>
      </c>
      <c r="H858" s="4" t="s">
        <v>531</v>
      </c>
      <c r="I858" s="4"/>
      <c r="J858" s="22" t="s">
        <v>2308</v>
      </c>
      <c r="K858" s="22" t="s">
        <v>2308</v>
      </c>
      <c r="L858" s="22" t="s">
        <v>2308</v>
      </c>
      <c r="M858" s="22" t="s">
        <v>2308</v>
      </c>
      <c r="N858" s="22" t="s">
        <v>2308</v>
      </c>
      <c r="O858" s="22" t="s">
        <v>2308</v>
      </c>
      <c r="P858" s="22" t="s">
        <v>2308</v>
      </c>
      <c r="Q858" s="22" t="s">
        <v>2308</v>
      </c>
      <c r="R858" s="22" t="s">
        <v>2308</v>
      </c>
      <c r="S858" s="22" t="s">
        <v>2308</v>
      </c>
      <c r="T858" s="22" t="s">
        <v>2308</v>
      </c>
      <c r="U858" s="22" t="s">
        <v>2308</v>
      </c>
      <c r="V858" s="22" t="s">
        <v>2308</v>
      </c>
      <c r="W858" s="22" t="s">
        <v>2308</v>
      </c>
      <c r="X858" s="22" t="s">
        <v>2308</v>
      </c>
      <c r="Y858" s="22" t="s">
        <v>2308</v>
      </c>
      <c r="Z858" s="80" t="s">
        <v>412</v>
      </c>
      <c r="AA858" s="80" t="s">
        <v>412</v>
      </c>
      <c r="AB858" s="80" t="s">
        <v>64</v>
      </c>
      <c r="AC858" s="4"/>
      <c r="AD858" s="5" t="s">
        <v>2822</v>
      </c>
    </row>
    <row r="859" spans="1:30" ht="35.5" customHeight="1">
      <c r="A859" s="12" t="s">
        <v>2829</v>
      </c>
      <c r="B859" s="12" t="s">
        <v>2834</v>
      </c>
      <c r="C859" s="24" t="s">
        <v>24</v>
      </c>
      <c r="D859" s="4" t="s">
        <v>2837</v>
      </c>
      <c r="E859" s="4" t="s">
        <v>5065</v>
      </c>
      <c r="F859" s="5" t="s">
        <v>55</v>
      </c>
      <c r="G859" s="4" t="s">
        <v>2308</v>
      </c>
      <c r="H859" s="4" t="s">
        <v>532</v>
      </c>
      <c r="I859" s="4"/>
      <c r="J859" s="22">
        <v>0</v>
      </c>
      <c r="K859" s="22">
        <v>0</v>
      </c>
      <c r="L859" s="22">
        <v>0</v>
      </c>
      <c r="M859" s="22">
        <v>0</v>
      </c>
      <c r="N859" s="22">
        <v>0</v>
      </c>
      <c r="O859" s="22">
        <v>0</v>
      </c>
      <c r="P859" s="22">
        <v>0</v>
      </c>
      <c r="Q859" s="22">
        <v>0</v>
      </c>
      <c r="R859" s="22">
        <v>0</v>
      </c>
      <c r="S859" s="22">
        <v>0</v>
      </c>
      <c r="T859" s="22">
        <v>0</v>
      </c>
      <c r="U859" s="22">
        <v>0</v>
      </c>
      <c r="V859" s="22">
        <v>0</v>
      </c>
      <c r="W859" s="22">
        <v>0</v>
      </c>
      <c r="X859" s="22">
        <v>0</v>
      </c>
      <c r="Y859" s="22">
        <v>0</v>
      </c>
      <c r="Z859" s="22" t="s">
        <v>2308</v>
      </c>
      <c r="AA859" s="22" t="s">
        <v>2308</v>
      </c>
      <c r="AB859" s="22" t="s">
        <v>2308</v>
      </c>
      <c r="AC859" s="4"/>
      <c r="AD859" s="4"/>
    </row>
    <row r="860" spans="1:30" ht="35.5" customHeight="1">
      <c r="A860" s="12" t="s">
        <v>2829</v>
      </c>
      <c r="B860" s="12" t="s">
        <v>2840</v>
      </c>
      <c r="C860" s="24" t="s">
        <v>24</v>
      </c>
      <c r="D860" s="4" t="s">
        <v>2837</v>
      </c>
      <c r="E860" s="4" t="s">
        <v>5065</v>
      </c>
      <c r="F860" s="5" t="s">
        <v>2695</v>
      </c>
      <c r="G860" s="4" t="s">
        <v>2308</v>
      </c>
      <c r="H860" s="4" t="s">
        <v>532</v>
      </c>
      <c r="I860" s="4"/>
      <c r="J860" s="22">
        <v>0</v>
      </c>
      <c r="K860" s="22">
        <v>0</v>
      </c>
      <c r="L860" s="22">
        <v>0</v>
      </c>
      <c r="M860" s="22">
        <v>0</v>
      </c>
      <c r="N860" s="22">
        <v>0</v>
      </c>
      <c r="O860" s="22">
        <v>0</v>
      </c>
      <c r="P860" s="22">
        <v>0</v>
      </c>
      <c r="Q860" s="22">
        <v>0</v>
      </c>
      <c r="R860" s="22">
        <v>0</v>
      </c>
      <c r="S860" s="22">
        <v>0</v>
      </c>
      <c r="T860" s="22">
        <v>0</v>
      </c>
      <c r="U860" s="22">
        <v>0</v>
      </c>
      <c r="V860" s="22">
        <v>0</v>
      </c>
      <c r="W860" s="22">
        <v>0</v>
      </c>
      <c r="X860" s="22">
        <v>0</v>
      </c>
      <c r="Y860" s="22">
        <v>0</v>
      </c>
      <c r="Z860" s="22" t="s">
        <v>2308</v>
      </c>
      <c r="AA860" s="22" t="s">
        <v>2308</v>
      </c>
      <c r="AB860" s="22" t="s">
        <v>2308</v>
      </c>
      <c r="AC860" s="4"/>
      <c r="AD860" s="4"/>
    </row>
    <row r="861" spans="1:30" ht="34.5" customHeight="1">
      <c r="A861" s="12" t="s">
        <v>2832</v>
      </c>
      <c r="B861" s="12" t="s">
        <v>2835</v>
      </c>
      <c r="C861" s="24" t="s">
        <v>24</v>
      </c>
      <c r="D861" s="4" t="s">
        <v>2837</v>
      </c>
      <c r="E861" s="4" t="s">
        <v>5065</v>
      </c>
      <c r="F861" s="5" t="s">
        <v>55</v>
      </c>
      <c r="G861" s="4" t="s">
        <v>2308</v>
      </c>
      <c r="H861" s="4" t="s">
        <v>532</v>
      </c>
      <c r="I861" s="4"/>
      <c r="J861" s="22">
        <v>0</v>
      </c>
      <c r="K861" s="22">
        <v>0</v>
      </c>
      <c r="L861" s="22">
        <v>0</v>
      </c>
      <c r="M861" s="22">
        <v>0</v>
      </c>
      <c r="N861" s="22">
        <v>0</v>
      </c>
      <c r="O861" s="22">
        <v>0</v>
      </c>
      <c r="P861" s="22">
        <v>0</v>
      </c>
      <c r="Q861" s="22">
        <v>0</v>
      </c>
      <c r="R861" s="22">
        <v>0</v>
      </c>
      <c r="S861" s="22">
        <v>0</v>
      </c>
      <c r="T861" s="22">
        <v>0</v>
      </c>
      <c r="U861" s="22">
        <v>0</v>
      </c>
      <c r="V861" s="22">
        <v>0</v>
      </c>
      <c r="W861" s="22">
        <v>0</v>
      </c>
      <c r="X861" s="22">
        <v>0</v>
      </c>
      <c r="Y861" s="22">
        <v>0</v>
      </c>
      <c r="Z861" s="22" t="s">
        <v>2308</v>
      </c>
      <c r="AA861" s="22" t="s">
        <v>2308</v>
      </c>
      <c r="AB861" s="22" t="s">
        <v>2308</v>
      </c>
      <c r="AC861" s="4"/>
      <c r="AD861" s="4"/>
    </row>
    <row r="862" spans="1:30" ht="34.5" customHeight="1">
      <c r="A862" s="12" t="s">
        <v>2832</v>
      </c>
      <c r="B862" s="12" t="s">
        <v>2839</v>
      </c>
      <c r="C862" s="24" t="s">
        <v>24</v>
      </c>
      <c r="D862" s="4" t="s">
        <v>2837</v>
      </c>
      <c r="E862" s="4" t="s">
        <v>5065</v>
      </c>
      <c r="F862" s="5" t="s">
        <v>2695</v>
      </c>
      <c r="G862" s="4" t="s">
        <v>2308</v>
      </c>
      <c r="H862" s="4" t="s">
        <v>532</v>
      </c>
      <c r="I862" s="4"/>
      <c r="J862" s="22">
        <v>0</v>
      </c>
      <c r="K862" s="22">
        <v>0</v>
      </c>
      <c r="L862" s="22">
        <v>0</v>
      </c>
      <c r="M862" s="22">
        <v>0</v>
      </c>
      <c r="N862" s="22">
        <v>0</v>
      </c>
      <c r="O862" s="22">
        <v>0</v>
      </c>
      <c r="P862" s="22">
        <v>0</v>
      </c>
      <c r="Q862" s="22">
        <v>0</v>
      </c>
      <c r="R862" s="22">
        <v>0</v>
      </c>
      <c r="S862" s="22">
        <v>0</v>
      </c>
      <c r="T862" s="22">
        <v>0</v>
      </c>
      <c r="U862" s="22">
        <v>0</v>
      </c>
      <c r="V862" s="22">
        <v>0</v>
      </c>
      <c r="W862" s="22">
        <v>0</v>
      </c>
      <c r="X862" s="22">
        <v>0</v>
      </c>
      <c r="Y862" s="22">
        <v>0</v>
      </c>
      <c r="Z862" s="22" t="s">
        <v>2308</v>
      </c>
      <c r="AA862" s="22" t="s">
        <v>2308</v>
      </c>
      <c r="AB862" s="22" t="s">
        <v>2308</v>
      </c>
      <c r="AC862" s="4"/>
      <c r="AD862" s="4"/>
    </row>
    <row r="863" spans="1:30" ht="33.5" customHeight="1">
      <c r="A863" s="12" t="s">
        <v>2833</v>
      </c>
      <c r="B863" s="12" t="s">
        <v>2836</v>
      </c>
      <c r="C863" s="24" t="s">
        <v>24</v>
      </c>
      <c r="D863" s="4" t="s">
        <v>2837</v>
      </c>
      <c r="E863" s="4" t="s">
        <v>5065</v>
      </c>
      <c r="F863" s="5" t="s">
        <v>55</v>
      </c>
      <c r="G863" s="4" t="s">
        <v>2308</v>
      </c>
      <c r="H863" s="4" t="s">
        <v>532</v>
      </c>
      <c r="I863" s="4"/>
      <c r="J863" s="22">
        <v>0</v>
      </c>
      <c r="K863" s="22">
        <v>0</v>
      </c>
      <c r="L863" s="22">
        <v>0</v>
      </c>
      <c r="M863" s="22">
        <v>0</v>
      </c>
      <c r="N863" s="22">
        <v>0</v>
      </c>
      <c r="O863" s="22">
        <v>0</v>
      </c>
      <c r="P863" s="22">
        <v>0</v>
      </c>
      <c r="Q863" s="22">
        <v>0</v>
      </c>
      <c r="R863" s="22">
        <v>0</v>
      </c>
      <c r="S863" s="22">
        <v>0</v>
      </c>
      <c r="T863" s="22">
        <v>0</v>
      </c>
      <c r="U863" s="22">
        <v>0</v>
      </c>
      <c r="V863" s="22">
        <v>0</v>
      </c>
      <c r="W863" s="22">
        <v>0</v>
      </c>
      <c r="X863" s="22">
        <v>0</v>
      </c>
      <c r="Y863" s="22">
        <v>0</v>
      </c>
      <c r="Z863" s="22" t="s">
        <v>2308</v>
      </c>
      <c r="AA863" s="22" t="s">
        <v>2308</v>
      </c>
      <c r="AB863" s="22" t="s">
        <v>2308</v>
      </c>
      <c r="AC863" s="4"/>
      <c r="AD863" s="4"/>
    </row>
    <row r="864" spans="1:30" ht="33.5" customHeight="1">
      <c r="A864" s="12" t="s">
        <v>2833</v>
      </c>
      <c r="B864" s="12" t="s">
        <v>2838</v>
      </c>
      <c r="C864" s="24" t="s">
        <v>24</v>
      </c>
      <c r="D864" s="4" t="s">
        <v>2837</v>
      </c>
      <c r="E864" s="4" t="s">
        <v>5065</v>
      </c>
      <c r="F864" s="5" t="s">
        <v>2695</v>
      </c>
      <c r="G864" s="4" t="s">
        <v>2308</v>
      </c>
      <c r="H864" s="4" t="s">
        <v>532</v>
      </c>
      <c r="I864" s="4"/>
      <c r="J864" s="22">
        <v>0</v>
      </c>
      <c r="K864" s="22">
        <v>0</v>
      </c>
      <c r="L864" s="22">
        <v>0</v>
      </c>
      <c r="M864" s="22">
        <v>0</v>
      </c>
      <c r="N864" s="22">
        <v>0</v>
      </c>
      <c r="O864" s="22">
        <v>0</v>
      </c>
      <c r="P864" s="22">
        <v>0</v>
      </c>
      <c r="Q864" s="22">
        <v>0</v>
      </c>
      <c r="R864" s="22">
        <v>0</v>
      </c>
      <c r="S864" s="22">
        <v>0</v>
      </c>
      <c r="T864" s="22">
        <v>0</v>
      </c>
      <c r="U864" s="22">
        <v>0</v>
      </c>
      <c r="V864" s="22">
        <v>0</v>
      </c>
      <c r="W864" s="22">
        <v>0</v>
      </c>
      <c r="X864" s="22">
        <v>0</v>
      </c>
      <c r="Y864" s="22">
        <v>0</v>
      </c>
      <c r="Z864" s="22" t="s">
        <v>2308</v>
      </c>
      <c r="AA864" s="22" t="s">
        <v>2308</v>
      </c>
      <c r="AB864" s="22" t="s">
        <v>2308</v>
      </c>
      <c r="AC864" s="4"/>
      <c r="AD864" s="4"/>
    </row>
    <row r="865" spans="1:30" ht="29" customHeight="1">
      <c r="A865" s="12" t="s">
        <v>2843</v>
      </c>
      <c r="B865" s="12" t="s">
        <v>2856</v>
      </c>
      <c r="C865" s="24" t="s">
        <v>24</v>
      </c>
      <c r="D865" s="4" t="s">
        <v>2837</v>
      </c>
      <c r="E865" s="4" t="s">
        <v>5065</v>
      </c>
      <c r="F865" s="5" t="s">
        <v>55</v>
      </c>
      <c r="G865" s="4" t="s">
        <v>2308</v>
      </c>
      <c r="H865" s="4" t="s">
        <v>532</v>
      </c>
      <c r="I865" s="4"/>
      <c r="J865" s="22">
        <v>0</v>
      </c>
      <c r="K865" s="22">
        <v>0</v>
      </c>
      <c r="L865" s="22">
        <v>0</v>
      </c>
      <c r="M865" s="22">
        <v>0</v>
      </c>
      <c r="N865" s="22">
        <v>0</v>
      </c>
      <c r="O865" s="22">
        <v>0</v>
      </c>
      <c r="P865" s="22">
        <v>0</v>
      </c>
      <c r="Q865" s="22">
        <v>0</v>
      </c>
      <c r="R865" s="22">
        <v>0</v>
      </c>
      <c r="S865" s="22">
        <v>0</v>
      </c>
      <c r="T865" s="22">
        <v>0</v>
      </c>
      <c r="U865" s="22">
        <v>0</v>
      </c>
      <c r="V865" s="22">
        <v>0</v>
      </c>
      <c r="W865" s="22">
        <v>0</v>
      </c>
      <c r="X865" s="22">
        <v>0</v>
      </c>
      <c r="Y865" s="22">
        <v>0</v>
      </c>
      <c r="Z865" s="22" t="s">
        <v>2308</v>
      </c>
      <c r="AA865" s="22" t="s">
        <v>2308</v>
      </c>
      <c r="AB865" s="22" t="s">
        <v>2308</v>
      </c>
      <c r="AC865" s="4"/>
      <c r="AD865" s="4"/>
    </row>
    <row r="866" spans="1:30" ht="35.5" customHeight="1">
      <c r="A866" s="12" t="s">
        <v>2843</v>
      </c>
      <c r="B866" s="12" t="s">
        <v>2857</v>
      </c>
      <c r="C866" s="24" t="s">
        <v>24</v>
      </c>
      <c r="D866" s="4" t="s">
        <v>2837</v>
      </c>
      <c r="E866" s="4" t="s">
        <v>5065</v>
      </c>
      <c r="F866" s="5" t="s">
        <v>2695</v>
      </c>
      <c r="G866" s="4" t="s">
        <v>2308</v>
      </c>
      <c r="H866" s="4" t="s">
        <v>532</v>
      </c>
      <c r="I866" s="4"/>
      <c r="J866" s="22">
        <v>0</v>
      </c>
      <c r="K866" s="22">
        <v>0</v>
      </c>
      <c r="L866" s="22">
        <v>0</v>
      </c>
      <c r="M866" s="22">
        <v>0</v>
      </c>
      <c r="N866" s="22">
        <v>0</v>
      </c>
      <c r="O866" s="22">
        <v>0</v>
      </c>
      <c r="P866" s="22">
        <v>0</v>
      </c>
      <c r="Q866" s="22">
        <v>0</v>
      </c>
      <c r="R866" s="22">
        <v>0</v>
      </c>
      <c r="S866" s="22">
        <v>0</v>
      </c>
      <c r="T866" s="22">
        <v>0</v>
      </c>
      <c r="U866" s="22">
        <v>0</v>
      </c>
      <c r="V866" s="22">
        <v>0</v>
      </c>
      <c r="W866" s="22">
        <v>0</v>
      </c>
      <c r="X866" s="22">
        <v>0</v>
      </c>
      <c r="Y866" s="22">
        <v>0</v>
      </c>
      <c r="Z866" s="22" t="s">
        <v>2308</v>
      </c>
      <c r="AA866" s="22" t="s">
        <v>2308</v>
      </c>
      <c r="AB866" s="22" t="s">
        <v>2308</v>
      </c>
      <c r="AC866" s="4"/>
      <c r="AD866" s="4"/>
    </row>
    <row r="867" spans="1:30" ht="36.5" customHeight="1">
      <c r="A867" s="12" t="s">
        <v>2844</v>
      </c>
      <c r="B867" s="12" t="s">
        <v>2858</v>
      </c>
      <c r="C867" s="24" t="s">
        <v>24</v>
      </c>
      <c r="D867" s="4" t="s">
        <v>2837</v>
      </c>
      <c r="E867" s="4" t="s">
        <v>5065</v>
      </c>
      <c r="F867" s="5" t="s">
        <v>55</v>
      </c>
      <c r="G867" s="4" t="s">
        <v>2308</v>
      </c>
      <c r="H867" s="4" t="s">
        <v>532</v>
      </c>
      <c r="I867" s="4"/>
      <c r="J867" s="22">
        <v>0</v>
      </c>
      <c r="K867" s="22">
        <v>0</v>
      </c>
      <c r="L867" s="22">
        <v>0</v>
      </c>
      <c r="M867" s="22">
        <v>0</v>
      </c>
      <c r="N867" s="22">
        <v>0</v>
      </c>
      <c r="O867" s="22">
        <v>0</v>
      </c>
      <c r="P867" s="22">
        <v>0</v>
      </c>
      <c r="Q867" s="22">
        <v>0</v>
      </c>
      <c r="R867" s="22">
        <v>0</v>
      </c>
      <c r="S867" s="22">
        <v>0</v>
      </c>
      <c r="T867" s="22">
        <v>0</v>
      </c>
      <c r="U867" s="22">
        <v>0</v>
      </c>
      <c r="V867" s="22">
        <v>0</v>
      </c>
      <c r="W867" s="22">
        <v>0</v>
      </c>
      <c r="X867" s="22">
        <v>0</v>
      </c>
      <c r="Y867" s="22">
        <v>0</v>
      </c>
      <c r="Z867" s="22" t="s">
        <v>2308</v>
      </c>
      <c r="AA867" s="22" t="s">
        <v>2308</v>
      </c>
      <c r="AB867" s="22" t="s">
        <v>2308</v>
      </c>
      <c r="AC867" s="4"/>
      <c r="AD867" s="4"/>
    </row>
    <row r="868" spans="1:30" ht="36.5" customHeight="1">
      <c r="A868" s="12" t="s">
        <v>2844</v>
      </c>
      <c r="B868" s="12" t="s">
        <v>2859</v>
      </c>
      <c r="C868" s="24" t="s">
        <v>24</v>
      </c>
      <c r="D868" s="4" t="s">
        <v>2837</v>
      </c>
      <c r="E868" s="4" t="s">
        <v>5065</v>
      </c>
      <c r="F868" s="5" t="s">
        <v>2695</v>
      </c>
      <c r="G868" s="4" t="s">
        <v>2308</v>
      </c>
      <c r="H868" s="4" t="s">
        <v>532</v>
      </c>
      <c r="I868" s="4"/>
      <c r="J868" s="22">
        <v>0</v>
      </c>
      <c r="K868" s="22">
        <v>0</v>
      </c>
      <c r="L868" s="22">
        <v>0</v>
      </c>
      <c r="M868" s="22">
        <v>0</v>
      </c>
      <c r="N868" s="22">
        <v>0</v>
      </c>
      <c r="O868" s="22">
        <v>0</v>
      </c>
      <c r="P868" s="22">
        <v>0</v>
      </c>
      <c r="Q868" s="22">
        <v>0</v>
      </c>
      <c r="R868" s="22">
        <v>0</v>
      </c>
      <c r="S868" s="22">
        <v>0</v>
      </c>
      <c r="T868" s="22">
        <v>0</v>
      </c>
      <c r="U868" s="22">
        <v>0</v>
      </c>
      <c r="V868" s="22">
        <v>0</v>
      </c>
      <c r="W868" s="22">
        <v>0</v>
      </c>
      <c r="X868" s="22">
        <v>0</v>
      </c>
      <c r="Y868" s="22">
        <v>0</v>
      </c>
      <c r="Z868" s="22" t="s">
        <v>2308</v>
      </c>
      <c r="AA868" s="22" t="s">
        <v>2308</v>
      </c>
      <c r="AB868" s="22" t="s">
        <v>2308</v>
      </c>
      <c r="AC868" s="4"/>
      <c r="AD868" s="4"/>
    </row>
    <row r="869" spans="1:30" ht="26.5" customHeight="1">
      <c r="A869" s="12" t="s">
        <v>2845</v>
      </c>
      <c r="B869" s="12" t="s">
        <v>2860</v>
      </c>
      <c r="C869" s="24" t="s">
        <v>24</v>
      </c>
      <c r="D869" s="4" t="s">
        <v>2837</v>
      </c>
      <c r="E869" s="4" t="s">
        <v>5065</v>
      </c>
      <c r="F869" s="5" t="s">
        <v>55</v>
      </c>
      <c r="G869" s="4" t="s">
        <v>2308</v>
      </c>
      <c r="H869" s="4" t="s">
        <v>532</v>
      </c>
      <c r="I869" s="4"/>
      <c r="J869" s="22">
        <v>0</v>
      </c>
      <c r="K869" s="22">
        <v>0</v>
      </c>
      <c r="L869" s="22">
        <v>0</v>
      </c>
      <c r="M869" s="22">
        <v>0</v>
      </c>
      <c r="N869" s="22">
        <v>0</v>
      </c>
      <c r="O869" s="22">
        <v>0</v>
      </c>
      <c r="P869" s="22">
        <v>0</v>
      </c>
      <c r="Q869" s="22">
        <v>0</v>
      </c>
      <c r="R869" s="22">
        <v>0</v>
      </c>
      <c r="S869" s="22">
        <v>0</v>
      </c>
      <c r="T869" s="22">
        <v>0</v>
      </c>
      <c r="U869" s="22">
        <v>0</v>
      </c>
      <c r="V869" s="22">
        <v>0</v>
      </c>
      <c r="W869" s="22">
        <v>0</v>
      </c>
      <c r="X869" s="22">
        <v>0</v>
      </c>
      <c r="Y869" s="22">
        <v>0</v>
      </c>
      <c r="Z869" s="22" t="s">
        <v>2308</v>
      </c>
      <c r="AA869" s="22" t="s">
        <v>2308</v>
      </c>
      <c r="AB869" s="22" t="s">
        <v>2308</v>
      </c>
      <c r="AC869" s="4"/>
      <c r="AD869" s="4"/>
    </row>
    <row r="870" spans="1:30" ht="31.5" customHeight="1">
      <c r="A870" s="12" t="s">
        <v>2845</v>
      </c>
      <c r="B870" s="12" t="s">
        <v>2861</v>
      </c>
      <c r="C870" s="24" t="s">
        <v>24</v>
      </c>
      <c r="D870" s="4" t="s">
        <v>2837</v>
      </c>
      <c r="E870" s="4" t="s">
        <v>5065</v>
      </c>
      <c r="F870" s="5" t="s">
        <v>2695</v>
      </c>
      <c r="G870" s="4" t="s">
        <v>2308</v>
      </c>
      <c r="H870" s="4" t="s">
        <v>532</v>
      </c>
      <c r="I870" s="4"/>
      <c r="J870" s="22">
        <v>0</v>
      </c>
      <c r="K870" s="22">
        <v>0</v>
      </c>
      <c r="L870" s="22">
        <v>0</v>
      </c>
      <c r="M870" s="22">
        <v>0</v>
      </c>
      <c r="N870" s="22">
        <v>0</v>
      </c>
      <c r="O870" s="22">
        <v>0</v>
      </c>
      <c r="P870" s="22">
        <v>0</v>
      </c>
      <c r="Q870" s="22">
        <v>0</v>
      </c>
      <c r="R870" s="22">
        <v>0</v>
      </c>
      <c r="S870" s="22">
        <v>0</v>
      </c>
      <c r="T870" s="22">
        <v>0</v>
      </c>
      <c r="U870" s="22">
        <v>0</v>
      </c>
      <c r="V870" s="22">
        <v>0</v>
      </c>
      <c r="W870" s="22">
        <v>0</v>
      </c>
      <c r="X870" s="22">
        <v>0</v>
      </c>
      <c r="Y870" s="22">
        <v>0</v>
      </c>
      <c r="Z870" s="22" t="s">
        <v>2308</v>
      </c>
      <c r="AA870" s="22" t="s">
        <v>2308</v>
      </c>
      <c r="AB870" s="22" t="s">
        <v>2308</v>
      </c>
      <c r="AC870" s="4"/>
      <c r="AD870" s="4"/>
    </row>
    <row r="871" spans="1:30" ht="29" customHeight="1">
      <c r="A871" s="12" t="s">
        <v>2846</v>
      </c>
      <c r="B871" s="12" t="s">
        <v>2862</v>
      </c>
      <c r="C871" s="24" t="s">
        <v>24</v>
      </c>
      <c r="D871" s="4" t="s">
        <v>2837</v>
      </c>
      <c r="E871" s="4" t="s">
        <v>5065</v>
      </c>
      <c r="F871" s="5" t="s">
        <v>55</v>
      </c>
      <c r="G871" s="4" t="s">
        <v>2308</v>
      </c>
      <c r="H871" s="4" t="s">
        <v>532</v>
      </c>
      <c r="I871" s="4"/>
      <c r="J871" s="22">
        <v>0</v>
      </c>
      <c r="K871" s="22">
        <v>0</v>
      </c>
      <c r="L871" s="22">
        <v>0</v>
      </c>
      <c r="M871" s="22">
        <v>0</v>
      </c>
      <c r="N871" s="22">
        <v>0</v>
      </c>
      <c r="O871" s="22">
        <v>0</v>
      </c>
      <c r="P871" s="22">
        <v>0</v>
      </c>
      <c r="Q871" s="22">
        <v>0</v>
      </c>
      <c r="R871" s="22">
        <v>0</v>
      </c>
      <c r="S871" s="22">
        <v>0</v>
      </c>
      <c r="T871" s="22">
        <v>0</v>
      </c>
      <c r="U871" s="22">
        <v>0</v>
      </c>
      <c r="V871" s="22">
        <v>0</v>
      </c>
      <c r="W871" s="22">
        <v>0</v>
      </c>
      <c r="X871" s="22">
        <v>0</v>
      </c>
      <c r="Y871" s="22">
        <v>0</v>
      </c>
      <c r="Z871" s="22" t="s">
        <v>2308</v>
      </c>
      <c r="AA871" s="22" t="s">
        <v>2308</v>
      </c>
      <c r="AB871" s="22" t="s">
        <v>2308</v>
      </c>
      <c r="AC871" s="4"/>
      <c r="AD871" s="4"/>
    </row>
    <row r="872" spans="1:30" ht="31.5" customHeight="1">
      <c r="A872" s="12" t="s">
        <v>2846</v>
      </c>
      <c r="B872" s="12" t="s">
        <v>2863</v>
      </c>
      <c r="C872" s="24" t="s">
        <v>24</v>
      </c>
      <c r="D872" s="4" t="s">
        <v>2837</v>
      </c>
      <c r="E872" s="4" t="s">
        <v>5065</v>
      </c>
      <c r="F872" s="5" t="s">
        <v>2695</v>
      </c>
      <c r="G872" s="4" t="s">
        <v>2308</v>
      </c>
      <c r="H872" s="4" t="s">
        <v>532</v>
      </c>
      <c r="I872" s="4"/>
      <c r="J872" s="22">
        <v>0</v>
      </c>
      <c r="K872" s="22">
        <v>0</v>
      </c>
      <c r="L872" s="22">
        <v>0</v>
      </c>
      <c r="M872" s="22">
        <v>0</v>
      </c>
      <c r="N872" s="22">
        <v>0</v>
      </c>
      <c r="O872" s="22">
        <v>0</v>
      </c>
      <c r="P872" s="22">
        <v>0</v>
      </c>
      <c r="Q872" s="22">
        <v>0</v>
      </c>
      <c r="R872" s="22">
        <v>0</v>
      </c>
      <c r="S872" s="22">
        <v>0</v>
      </c>
      <c r="T872" s="22">
        <v>0</v>
      </c>
      <c r="U872" s="22">
        <v>0</v>
      </c>
      <c r="V872" s="22">
        <v>0</v>
      </c>
      <c r="W872" s="22">
        <v>0</v>
      </c>
      <c r="X872" s="22">
        <v>0</v>
      </c>
      <c r="Y872" s="22">
        <v>0</v>
      </c>
      <c r="Z872" s="22" t="s">
        <v>2308</v>
      </c>
      <c r="AA872" s="22" t="s">
        <v>2308</v>
      </c>
      <c r="AB872" s="22" t="s">
        <v>2308</v>
      </c>
      <c r="AC872" s="4"/>
      <c r="AD872" s="4"/>
    </row>
    <row r="873" spans="1:30" ht="33.5" customHeight="1">
      <c r="A873" s="12" t="s">
        <v>2847</v>
      </c>
      <c r="B873" s="12" t="s">
        <v>2864</v>
      </c>
      <c r="C873" s="24" t="s">
        <v>24</v>
      </c>
      <c r="D873" s="4" t="s">
        <v>2837</v>
      </c>
      <c r="E873" s="4" t="s">
        <v>5065</v>
      </c>
      <c r="F873" s="5" t="s">
        <v>55</v>
      </c>
      <c r="G873" s="4" t="s">
        <v>2308</v>
      </c>
      <c r="H873" s="4" t="s">
        <v>531</v>
      </c>
      <c r="I873" s="4"/>
      <c r="J873" s="22" t="s">
        <v>2308</v>
      </c>
      <c r="K873" s="22" t="s">
        <v>2308</v>
      </c>
      <c r="L873" s="22" t="s">
        <v>2308</v>
      </c>
      <c r="M873" s="22" t="s">
        <v>2308</v>
      </c>
      <c r="N873" s="22" t="s">
        <v>2308</v>
      </c>
      <c r="O873" s="22" t="s">
        <v>2308</v>
      </c>
      <c r="P873" s="22" t="s">
        <v>2308</v>
      </c>
      <c r="Q873" s="22" t="s">
        <v>2308</v>
      </c>
      <c r="R873" s="22" t="s">
        <v>2308</v>
      </c>
      <c r="S873" s="22" t="s">
        <v>2308</v>
      </c>
      <c r="T873" s="22" t="s">
        <v>2308</v>
      </c>
      <c r="U873" s="22" t="s">
        <v>2308</v>
      </c>
      <c r="V873" s="22" t="s">
        <v>2308</v>
      </c>
      <c r="W873" s="22" t="s">
        <v>2308</v>
      </c>
      <c r="X873" s="22" t="s">
        <v>2308</v>
      </c>
      <c r="Y873" s="22">
        <v>3</v>
      </c>
      <c r="Z873" s="22" t="s">
        <v>2308</v>
      </c>
      <c r="AA873" s="22" t="s">
        <v>2308</v>
      </c>
      <c r="AB873" s="22" t="s">
        <v>2308</v>
      </c>
      <c r="AC873" s="4"/>
      <c r="AD873" s="4"/>
    </row>
    <row r="874" spans="1:30" ht="31" customHeight="1">
      <c r="A874" s="12" t="s">
        <v>2847</v>
      </c>
      <c r="B874" s="12" t="s">
        <v>2865</v>
      </c>
      <c r="C874" s="24" t="s">
        <v>24</v>
      </c>
      <c r="D874" s="4" t="s">
        <v>2837</v>
      </c>
      <c r="E874" s="4" t="s">
        <v>5065</v>
      </c>
      <c r="F874" s="5" t="s">
        <v>2695</v>
      </c>
      <c r="G874" s="4" t="s">
        <v>2308</v>
      </c>
      <c r="H874" s="4" t="s">
        <v>531</v>
      </c>
      <c r="I874" s="4"/>
      <c r="J874" s="22" t="s">
        <v>2308</v>
      </c>
      <c r="K874" s="22" t="s">
        <v>2308</v>
      </c>
      <c r="L874" s="22" t="s">
        <v>2308</v>
      </c>
      <c r="M874" s="22" t="s">
        <v>2308</v>
      </c>
      <c r="N874" s="22" t="s">
        <v>2308</v>
      </c>
      <c r="O874" s="22" t="s">
        <v>2308</v>
      </c>
      <c r="P874" s="22" t="s">
        <v>2308</v>
      </c>
      <c r="Q874" s="22" t="s">
        <v>2308</v>
      </c>
      <c r="R874" s="22" t="s">
        <v>2308</v>
      </c>
      <c r="S874" s="22" t="s">
        <v>2308</v>
      </c>
      <c r="T874" s="22" t="s">
        <v>2308</v>
      </c>
      <c r="U874" s="22" t="s">
        <v>2308</v>
      </c>
      <c r="V874" s="22" t="s">
        <v>2308</v>
      </c>
      <c r="W874" s="22" t="s">
        <v>2308</v>
      </c>
      <c r="X874" s="22" t="s">
        <v>2308</v>
      </c>
      <c r="Y874" s="22">
        <v>3</v>
      </c>
      <c r="Z874" s="22" t="s">
        <v>2308</v>
      </c>
      <c r="AA874" s="22" t="s">
        <v>2308</v>
      </c>
      <c r="AB874" s="22" t="s">
        <v>2308</v>
      </c>
      <c r="AC874" s="4"/>
      <c r="AD874" s="4"/>
    </row>
    <row r="875" spans="1:30" ht="33.5" customHeight="1">
      <c r="A875" s="12" t="s">
        <v>2872</v>
      </c>
      <c r="B875" s="4" t="s">
        <v>2877</v>
      </c>
      <c r="C875" s="24" t="s">
        <v>24</v>
      </c>
      <c r="D875" s="4" t="s">
        <v>27</v>
      </c>
      <c r="E875" s="4" t="s">
        <v>136</v>
      </c>
      <c r="F875" s="5" t="s">
        <v>167</v>
      </c>
      <c r="G875" s="4" t="s">
        <v>2308</v>
      </c>
      <c r="H875" s="4" t="s">
        <v>531</v>
      </c>
      <c r="I875" s="4"/>
      <c r="J875" s="22" t="s">
        <v>2308</v>
      </c>
      <c r="K875" s="22" t="s">
        <v>2308</v>
      </c>
      <c r="L875" s="22" t="s">
        <v>2308</v>
      </c>
      <c r="M875" s="22" t="s">
        <v>2308</v>
      </c>
      <c r="N875" s="22" t="s">
        <v>2308</v>
      </c>
      <c r="O875" s="22">
        <v>0.13</v>
      </c>
      <c r="P875" s="22" t="s">
        <v>2308</v>
      </c>
      <c r="Q875" s="22" t="s">
        <v>2308</v>
      </c>
      <c r="R875" s="22" t="s">
        <v>2308</v>
      </c>
      <c r="S875" s="22" t="s">
        <v>2308</v>
      </c>
      <c r="T875" s="22" t="s">
        <v>2308</v>
      </c>
      <c r="U875" s="22" t="s">
        <v>2308</v>
      </c>
      <c r="V875" s="22" t="s">
        <v>2308</v>
      </c>
      <c r="W875" s="22" t="s">
        <v>2308</v>
      </c>
      <c r="X875" s="22" t="s">
        <v>2308</v>
      </c>
      <c r="Y875" s="22">
        <v>7</v>
      </c>
      <c r="Z875" s="22" t="s">
        <v>2308</v>
      </c>
      <c r="AA875" s="22" t="s">
        <v>2308</v>
      </c>
      <c r="AB875" s="22" t="s">
        <v>2308</v>
      </c>
      <c r="AC875" s="4"/>
      <c r="AD875" s="4"/>
    </row>
    <row r="876" spans="1:30" ht="37" customHeight="1">
      <c r="A876" s="12" t="s">
        <v>2873</v>
      </c>
      <c r="B876" s="4" t="s">
        <v>2880</v>
      </c>
      <c r="C876" s="24" t="s">
        <v>24</v>
      </c>
      <c r="D876" s="4" t="s">
        <v>27</v>
      </c>
      <c r="E876" s="4" t="s">
        <v>136</v>
      </c>
      <c r="F876" s="5" t="s">
        <v>167</v>
      </c>
      <c r="G876" s="4" t="s">
        <v>2308</v>
      </c>
      <c r="H876" s="4" t="s">
        <v>531</v>
      </c>
      <c r="I876" s="4"/>
      <c r="J876" s="22" t="s">
        <v>2308</v>
      </c>
      <c r="K876" s="22" t="s">
        <v>2308</v>
      </c>
      <c r="L876" s="22" t="s">
        <v>2308</v>
      </c>
      <c r="M876" s="22" t="s">
        <v>2308</v>
      </c>
      <c r="N876" s="22" t="s">
        <v>2308</v>
      </c>
      <c r="O876" s="22">
        <v>9.5000000000000001E-2</v>
      </c>
      <c r="P876" s="22" t="s">
        <v>2308</v>
      </c>
      <c r="Q876" s="22" t="s">
        <v>2308</v>
      </c>
      <c r="R876" s="22" t="s">
        <v>2308</v>
      </c>
      <c r="S876" s="22" t="s">
        <v>2308</v>
      </c>
      <c r="T876" s="22" t="s">
        <v>2308</v>
      </c>
      <c r="U876" s="22" t="s">
        <v>2308</v>
      </c>
      <c r="V876" s="22" t="s">
        <v>2308</v>
      </c>
      <c r="W876" s="22" t="s">
        <v>2308</v>
      </c>
      <c r="X876" s="22" t="s">
        <v>2308</v>
      </c>
      <c r="Y876" s="22">
        <v>5.75</v>
      </c>
      <c r="Z876" s="22" t="s">
        <v>2308</v>
      </c>
      <c r="AA876" s="22" t="s">
        <v>2308</v>
      </c>
      <c r="AB876" s="22" t="s">
        <v>2308</v>
      </c>
      <c r="AC876" s="4"/>
      <c r="AD876" s="4"/>
    </row>
    <row r="877" spans="1:30" ht="46.5" customHeight="1">
      <c r="A877" s="12" t="s">
        <v>2881</v>
      </c>
      <c r="B877" s="12" t="s">
        <v>2885</v>
      </c>
      <c r="C877" s="24" t="s">
        <v>24</v>
      </c>
      <c r="D877" s="4" t="s">
        <v>27</v>
      </c>
      <c r="E877" s="4" t="s">
        <v>136</v>
      </c>
      <c r="F877" s="5" t="s">
        <v>167</v>
      </c>
      <c r="G877" s="4" t="s">
        <v>2308</v>
      </c>
      <c r="H877" s="4" t="s">
        <v>532</v>
      </c>
      <c r="I877" s="4"/>
      <c r="J877" s="22" t="s">
        <v>2308</v>
      </c>
      <c r="K877" s="22" t="s">
        <v>2308</v>
      </c>
      <c r="L877" s="22" t="s">
        <v>2308</v>
      </c>
      <c r="M877" s="22" t="s">
        <v>2308</v>
      </c>
      <c r="N877" s="22" t="s">
        <v>2308</v>
      </c>
      <c r="O877" s="22" t="s">
        <v>2308</v>
      </c>
      <c r="P877" s="22" t="s">
        <v>2308</v>
      </c>
      <c r="Q877" s="22" t="s">
        <v>2308</v>
      </c>
      <c r="R877" s="22" t="s">
        <v>2308</v>
      </c>
      <c r="S877" s="22" t="s">
        <v>2308</v>
      </c>
      <c r="T877" s="22" t="s">
        <v>2308</v>
      </c>
      <c r="U877" s="22" t="s">
        <v>2308</v>
      </c>
      <c r="V877" s="22" t="s">
        <v>2308</v>
      </c>
      <c r="W877" s="22" t="s">
        <v>2308</v>
      </c>
      <c r="X877" s="22" t="s">
        <v>2308</v>
      </c>
      <c r="Y877" s="22" t="s">
        <v>2308</v>
      </c>
      <c r="Z877" s="22" t="s">
        <v>2308</v>
      </c>
      <c r="AA877" s="22" t="s">
        <v>2308</v>
      </c>
      <c r="AB877" s="22" t="s">
        <v>2308</v>
      </c>
      <c r="AC877" s="5" t="s">
        <v>2888</v>
      </c>
      <c r="AD877" s="4"/>
    </row>
    <row r="878" spans="1:30" ht="40" customHeight="1">
      <c r="A878" s="12" t="s">
        <v>2881</v>
      </c>
      <c r="B878" s="12" t="s">
        <v>2886</v>
      </c>
      <c r="C878" s="24" t="s">
        <v>24</v>
      </c>
      <c r="D878" s="4" t="s">
        <v>27</v>
      </c>
      <c r="E878" s="4" t="s">
        <v>136</v>
      </c>
      <c r="F878" s="5" t="s">
        <v>28</v>
      </c>
      <c r="G878" s="4" t="s">
        <v>2308</v>
      </c>
      <c r="H878" s="4" t="s">
        <v>531</v>
      </c>
      <c r="I878" s="4"/>
      <c r="J878" s="22" t="s">
        <v>2308</v>
      </c>
      <c r="K878" s="22" t="s">
        <v>2308</v>
      </c>
      <c r="L878" s="22" t="s">
        <v>2308</v>
      </c>
      <c r="M878" s="22" t="s">
        <v>2308</v>
      </c>
      <c r="N878" s="22" t="s">
        <v>2308</v>
      </c>
      <c r="O878" s="22" t="s">
        <v>2308</v>
      </c>
      <c r="P878" s="22" t="s">
        <v>2308</v>
      </c>
      <c r="Q878" s="22" t="s">
        <v>2308</v>
      </c>
      <c r="R878" s="22" t="s">
        <v>2308</v>
      </c>
      <c r="S878" s="22" t="s">
        <v>2308</v>
      </c>
      <c r="T878" s="22" t="s">
        <v>2308</v>
      </c>
      <c r="U878" s="22" t="s">
        <v>2308</v>
      </c>
      <c r="V878" s="22" t="s">
        <v>2308</v>
      </c>
      <c r="W878" s="22" t="s">
        <v>2308</v>
      </c>
      <c r="X878" s="22" t="s">
        <v>2308</v>
      </c>
      <c r="Y878" s="22" t="s">
        <v>2308</v>
      </c>
      <c r="Z878" s="22" t="s">
        <v>2308</v>
      </c>
      <c r="AA878" s="22" t="s">
        <v>2308</v>
      </c>
      <c r="AB878" s="22" t="s">
        <v>2308</v>
      </c>
      <c r="AC878" s="5" t="s">
        <v>2889</v>
      </c>
      <c r="AD878" s="4"/>
    </row>
    <row r="879" spans="1:30" ht="47.5" customHeight="1">
      <c r="A879" s="12" t="s">
        <v>2881</v>
      </c>
      <c r="B879" s="12" t="s">
        <v>2887</v>
      </c>
      <c r="C879" s="24" t="s">
        <v>24</v>
      </c>
      <c r="D879" s="4" t="s">
        <v>27</v>
      </c>
      <c r="E879" s="5" t="s">
        <v>404</v>
      </c>
      <c r="F879" s="5" t="s">
        <v>28</v>
      </c>
      <c r="G879" s="4" t="s">
        <v>2308</v>
      </c>
      <c r="H879" s="4" t="s">
        <v>532</v>
      </c>
      <c r="I879" s="4"/>
      <c r="J879" s="22" t="s">
        <v>2308</v>
      </c>
      <c r="K879" s="22" t="s">
        <v>2308</v>
      </c>
      <c r="L879" s="22" t="s">
        <v>2308</v>
      </c>
      <c r="M879" s="22" t="s">
        <v>2308</v>
      </c>
      <c r="N879" s="22" t="s">
        <v>2308</v>
      </c>
      <c r="O879" s="22" t="s">
        <v>2308</v>
      </c>
      <c r="P879" s="22" t="s">
        <v>2308</v>
      </c>
      <c r="Q879" s="22" t="s">
        <v>2308</v>
      </c>
      <c r="R879" s="22" t="s">
        <v>2308</v>
      </c>
      <c r="S879" s="22" t="s">
        <v>2308</v>
      </c>
      <c r="T879" s="22" t="s">
        <v>2308</v>
      </c>
      <c r="U879" s="22" t="s">
        <v>2308</v>
      </c>
      <c r="V879" s="22" t="s">
        <v>2308</v>
      </c>
      <c r="W879" s="22" t="s">
        <v>2308</v>
      </c>
      <c r="X879" s="22" t="s">
        <v>2308</v>
      </c>
      <c r="Y879" s="22" t="s">
        <v>2308</v>
      </c>
      <c r="Z879" s="22" t="s">
        <v>2308</v>
      </c>
      <c r="AA879" s="22" t="s">
        <v>2308</v>
      </c>
      <c r="AB879" s="22" t="s">
        <v>2308</v>
      </c>
      <c r="AC879" s="5" t="s">
        <v>2890</v>
      </c>
      <c r="AD879" s="4"/>
    </row>
    <row r="880" spans="1:30" ht="48" customHeight="1">
      <c r="A880" s="12" t="s">
        <v>2881</v>
      </c>
      <c r="B880" s="12" t="s">
        <v>2891</v>
      </c>
      <c r="C880" s="24" t="s">
        <v>24</v>
      </c>
      <c r="D880" s="4" t="s">
        <v>2692</v>
      </c>
      <c r="E880" s="5" t="s">
        <v>404</v>
      </c>
      <c r="F880" s="5" t="s">
        <v>28</v>
      </c>
      <c r="G880" s="4" t="s">
        <v>2308</v>
      </c>
      <c r="H880" s="4" t="s">
        <v>531</v>
      </c>
      <c r="I880" s="4"/>
      <c r="J880" s="22" t="s">
        <v>2308</v>
      </c>
      <c r="K880" s="22" t="s">
        <v>2308</v>
      </c>
      <c r="L880" s="22" t="s">
        <v>2308</v>
      </c>
      <c r="M880" s="22" t="s">
        <v>2308</v>
      </c>
      <c r="N880" s="22" t="s">
        <v>2308</v>
      </c>
      <c r="O880" s="22" t="s">
        <v>2308</v>
      </c>
      <c r="P880" s="22" t="s">
        <v>2308</v>
      </c>
      <c r="Q880" s="22" t="s">
        <v>2308</v>
      </c>
      <c r="R880" s="22" t="s">
        <v>2308</v>
      </c>
      <c r="S880" s="22" t="s">
        <v>2308</v>
      </c>
      <c r="T880" s="22" t="s">
        <v>2308</v>
      </c>
      <c r="U880" s="22" t="s">
        <v>2308</v>
      </c>
      <c r="V880" s="22" t="s">
        <v>2308</v>
      </c>
      <c r="W880" s="22" t="s">
        <v>2308</v>
      </c>
      <c r="X880" s="22" t="s">
        <v>2308</v>
      </c>
      <c r="Y880" s="22" t="s">
        <v>2308</v>
      </c>
      <c r="Z880" s="22" t="s">
        <v>2308</v>
      </c>
      <c r="AA880" s="22" t="s">
        <v>2308</v>
      </c>
      <c r="AB880" s="22" t="s">
        <v>2308</v>
      </c>
      <c r="AC880" s="4" t="s">
        <v>2892</v>
      </c>
      <c r="AD880" s="4"/>
    </row>
    <row r="881" spans="1:30" ht="43" customHeight="1">
      <c r="A881" s="12" t="s">
        <v>2896</v>
      </c>
      <c r="B881" s="12" t="s">
        <v>2899</v>
      </c>
      <c r="C881" s="24" t="s">
        <v>24</v>
      </c>
      <c r="D881" s="4" t="s">
        <v>27</v>
      </c>
      <c r="E881" s="4" t="s">
        <v>136</v>
      </c>
      <c r="F881" s="5" t="s">
        <v>167</v>
      </c>
      <c r="G881" s="4" t="s">
        <v>2308</v>
      </c>
      <c r="H881" s="4" t="s">
        <v>531</v>
      </c>
      <c r="I881" s="4"/>
      <c r="J881" s="22" t="s">
        <v>2308</v>
      </c>
      <c r="K881" s="22" t="s">
        <v>2308</v>
      </c>
      <c r="L881" s="22" t="s">
        <v>2308</v>
      </c>
      <c r="M881" s="22" t="s">
        <v>2308</v>
      </c>
      <c r="N881" s="22" t="s">
        <v>2308</v>
      </c>
      <c r="O881" s="22" t="s">
        <v>2308</v>
      </c>
      <c r="P881" s="22" t="s">
        <v>2308</v>
      </c>
      <c r="Q881" s="22" t="s">
        <v>2308</v>
      </c>
      <c r="R881" s="22" t="s">
        <v>2308</v>
      </c>
      <c r="S881" s="22" t="s">
        <v>2308</v>
      </c>
      <c r="T881" s="22" t="s">
        <v>2308</v>
      </c>
      <c r="U881" s="22" t="s">
        <v>2308</v>
      </c>
      <c r="V881" s="22" t="s">
        <v>2308</v>
      </c>
      <c r="W881" s="22" t="s">
        <v>2308</v>
      </c>
      <c r="X881" s="22" t="s">
        <v>2308</v>
      </c>
      <c r="Y881" s="22" t="s">
        <v>2308</v>
      </c>
      <c r="Z881" s="22" t="s">
        <v>2308</v>
      </c>
      <c r="AA881" s="22" t="s">
        <v>2308</v>
      </c>
      <c r="AB881" s="22" t="s">
        <v>2308</v>
      </c>
      <c r="AC881" s="4"/>
      <c r="AD881" s="4" t="s">
        <v>2909</v>
      </c>
    </row>
    <row r="882" spans="1:30" ht="45.5" customHeight="1">
      <c r="A882" s="12" t="s">
        <v>2903</v>
      </c>
      <c r="B882" s="12" t="s">
        <v>2906</v>
      </c>
      <c r="C882" s="24" t="s">
        <v>24</v>
      </c>
      <c r="D882" s="4" t="s">
        <v>27</v>
      </c>
      <c r="E882" s="4" t="s">
        <v>136</v>
      </c>
      <c r="F882" s="5" t="s">
        <v>167</v>
      </c>
      <c r="G882" s="4" t="s">
        <v>2308</v>
      </c>
      <c r="H882" s="4" t="s">
        <v>531</v>
      </c>
      <c r="I882" s="4"/>
      <c r="J882" s="22" t="s">
        <v>2308</v>
      </c>
      <c r="K882" s="22" t="s">
        <v>2308</v>
      </c>
      <c r="L882" s="22" t="s">
        <v>2308</v>
      </c>
      <c r="M882" s="22" t="s">
        <v>2308</v>
      </c>
      <c r="N882" s="22" t="s">
        <v>2308</v>
      </c>
      <c r="O882" s="22" t="s">
        <v>2308</v>
      </c>
      <c r="P882" s="22" t="s">
        <v>2308</v>
      </c>
      <c r="Q882" s="22" t="s">
        <v>2308</v>
      </c>
      <c r="R882" s="22" t="s">
        <v>2308</v>
      </c>
      <c r="S882" s="22" t="s">
        <v>2308</v>
      </c>
      <c r="T882" s="22" t="s">
        <v>2308</v>
      </c>
      <c r="U882" s="22" t="s">
        <v>2308</v>
      </c>
      <c r="V882" s="22" t="s">
        <v>2308</v>
      </c>
      <c r="W882" s="22" t="s">
        <v>2308</v>
      </c>
      <c r="X882" s="22" t="s">
        <v>2308</v>
      </c>
      <c r="Y882" s="22" t="s">
        <v>2308</v>
      </c>
      <c r="Z882" s="22" t="s">
        <v>2308</v>
      </c>
      <c r="AA882" s="22" t="s">
        <v>2308</v>
      </c>
      <c r="AB882" s="22" t="s">
        <v>2308</v>
      </c>
      <c r="AC882" s="4"/>
      <c r="AD882" s="4" t="s">
        <v>2909</v>
      </c>
    </row>
    <row r="883" spans="1:30" ht="45.5" customHeight="1">
      <c r="A883" s="12" t="s">
        <v>2903</v>
      </c>
      <c r="B883" s="12" t="s">
        <v>2907</v>
      </c>
      <c r="C883" s="24" t="s">
        <v>24</v>
      </c>
      <c r="D883" s="4" t="s">
        <v>27</v>
      </c>
      <c r="E883" s="4" t="s">
        <v>136</v>
      </c>
      <c r="F883" s="5" t="s">
        <v>74</v>
      </c>
      <c r="G883" s="4" t="s">
        <v>2308</v>
      </c>
      <c r="H883" s="4" t="s">
        <v>531</v>
      </c>
      <c r="I883" s="4"/>
      <c r="J883" s="22" t="s">
        <v>2308</v>
      </c>
      <c r="K883" s="22" t="s">
        <v>2308</v>
      </c>
      <c r="L883" s="22" t="s">
        <v>2308</v>
      </c>
      <c r="M883" s="22" t="s">
        <v>2308</v>
      </c>
      <c r="N883" s="22" t="s">
        <v>2308</v>
      </c>
      <c r="O883" s="22" t="s">
        <v>2308</v>
      </c>
      <c r="P883" s="22" t="s">
        <v>2308</v>
      </c>
      <c r="Q883" s="22" t="s">
        <v>2308</v>
      </c>
      <c r="R883" s="22" t="s">
        <v>2308</v>
      </c>
      <c r="S883" s="22" t="s">
        <v>2308</v>
      </c>
      <c r="T883" s="22" t="s">
        <v>2308</v>
      </c>
      <c r="U883" s="22" t="s">
        <v>2308</v>
      </c>
      <c r="V883" s="22" t="s">
        <v>2308</v>
      </c>
      <c r="W883" s="22" t="s">
        <v>2308</v>
      </c>
      <c r="X883" s="22" t="s">
        <v>2308</v>
      </c>
      <c r="Y883" s="22" t="s">
        <v>2308</v>
      </c>
      <c r="Z883" s="22" t="s">
        <v>2308</v>
      </c>
      <c r="AA883" s="22" t="s">
        <v>2308</v>
      </c>
      <c r="AB883" s="22" t="s">
        <v>2308</v>
      </c>
      <c r="AC883" s="5" t="s">
        <v>2908</v>
      </c>
      <c r="AD883" s="4"/>
    </row>
    <row r="884" spans="1:30" ht="46.5" customHeight="1">
      <c r="A884" s="12" t="s">
        <v>2903</v>
      </c>
      <c r="B884" s="12" t="s">
        <v>2910</v>
      </c>
      <c r="C884" s="24" t="s">
        <v>24</v>
      </c>
      <c r="D884" s="4" t="s">
        <v>149</v>
      </c>
      <c r="E884" s="5" t="s">
        <v>403</v>
      </c>
      <c r="F884" s="5" t="s">
        <v>74</v>
      </c>
      <c r="G884" s="4" t="s">
        <v>2308</v>
      </c>
      <c r="H884" s="4" t="s">
        <v>531</v>
      </c>
      <c r="I884" s="4"/>
      <c r="J884" s="22" t="s">
        <v>2308</v>
      </c>
      <c r="K884" s="22" t="s">
        <v>2308</v>
      </c>
      <c r="L884" s="22" t="s">
        <v>2308</v>
      </c>
      <c r="M884" s="22" t="s">
        <v>2308</v>
      </c>
      <c r="N884" s="22" t="s">
        <v>2308</v>
      </c>
      <c r="O884" s="22" t="s">
        <v>2308</v>
      </c>
      <c r="P884" s="22" t="s">
        <v>2308</v>
      </c>
      <c r="Q884" s="22" t="s">
        <v>2308</v>
      </c>
      <c r="R884" s="22" t="s">
        <v>2308</v>
      </c>
      <c r="S884" s="22" t="s">
        <v>2308</v>
      </c>
      <c r="T884" s="22" t="s">
        <v>2308</v>
      </c>
      <c r="U884" s="22" t="s">
        <v>2308</v>
      </c>
      <c r="V884" s="22" t="s">
        <v>2308</v>
      </c>
      <c r="W884" s="22" t="s">
        <v>2308</v>
      </c>
      <c r="X884" s="22" t="s">
        <v>2308</v>
      </c>
      <c r="Y884" s="22" t="s">
        <v>2308</v>
      </c>
      <c r="Z884" s="22" t="s">
        <v>2308</v>
      </c>
      <c r="AA884" s="22" t="s">
        <v>2308</v>
      </c>
      <c r="AB884" s="22" t="s">
        <v>2308</v>
      </c>
      <c r="AC884" s="5" t="s">
        <v>2911</v>
      </c>
      <c r="AD884" s="4"/>
    </row>
    <row r="885" spans="1:30" ht="46.5" customHeight="1">
      <c r="A885" s="12" t="s">
        <v>2914</v>
      </c>
      <c r="B885" s="12" t="s">
        <v>2916</v>
      </c>
      <c r="C885" s="4" t="s">
        <v>24</v>
      </c>
      <c r="D885" s="4" t="s">
        <v>27</v>
      </c>
      <c r="E885" s="4" t="s">
        <v>136</v>
      </c>
      <c r="F885" s="5" t="s">
        <v>167</v>
      </c>
      <c r="G885" s="4" t="s">
        <v>2308</v>
      </c>
      <c r="H885" s="4" t="s">
        <v>531</v>
      </c>
      <c r="I885" s="4"/>
      <c r="J885" s="22" t="s">
        <v>2308</v>
      </c>
      <c r="K885" s="22" t="s">
        <v>2308</v>
      </c>
      <c r="L885" s="22" t="s">
        <v>2308</v>
      </c>
      <c r="M885" s="22" t="s">
        <v>2308</v>
      </c>
      <c r="N885" s="22" t="s">
        <v>2308</v>
      </c>
      <c r="O885" s="22" t="s">
        <v>2308</v>
      </c>
      <c r="P885" s="22" t="s">
        <v>2308</v>
      </c>
      <c r="Q885" s="22" t="s">
        <v>2308</v>
      </c>
      <c r="R885" s="22" t="s">
        <v>2308</v>
      </c>
      <c r="S885" s="22" t="s">
        <v>2308</v>
      </c>
      <c r="T885" s="22" t="s">
        <v>2308</v>
      </c>
      <c r="U885" s="22" t="s">
        <v>2308</v>
      </c>
      <c r="V885" s="22" t="s">
        <v>2308</v>
      </c>
      <c r="W885" s="22" t="s">
        <v>2308</v>
      </c>
      <c r="X885" s="22" t="s">
        <v>2308</v>
      </c>
      <c r="Y885" s="22" t="s">
        <v>2308</v>
      </c>
      <c r="Z885" s="4" t="s">
        <v>406</v>
      </c>
      <c r="AA885" s="4" t="s">
        <v>194</v>
      </c>
      <c r="AB885" s="4" t="s">
        <v>64</v>
      </c>
      <c r="AC885" s="4"/>
      <c r="AD885" s="4" t="s">
        <v>2909</v>
      </c>
    </row>
    <row r="886" spans="1:30" ht="36" customHeight="1">
      <c r="A886" s="12" t="s">
        <v>2919</v>
      </c>
      <c r="B886" s="12" t="s">
        <v>2927</v>
      </c>
      <c r="C886" s="4" t="s">
        <v>24</v>
      </c>
      <c r="D886" s="4" t="s">
        <v>1267</v>
      </c>
      <c r="E886" s="4" t="s">
        <v>877</v>
      </c>
      <c r="F886" s="5" t="s">
        <v>2695</v>
      </c>
      <c r="G886" s="4" t="s">
        <v>2308</v>
      </c>
      <c r="H886" s="4" t="s">
        <v>531</v>
      </c>
      <c r="I886" s="4"/>
      <c r="J886" s="4" t="s">
        <v>2308</v>
      </c>
      <c r="K886" s="4" t="s">
        <v>2308</v>
      </c>
      <c r="L886" s="4" t="s">
        <v>2308</v>
      </c>
      <c r="M886" s="4" t="s">
        <v>2308</v>
      </c>
      <c r="N886" s="4" t="s">
        <v>2308</v>
      </c>
      <c r="O886" s="4" t="s">
        <v>2308</v>
      </c>
      <c r="P886" s="4" t="s">
        <v>2308</v>
      </c>
      <c r="Q886" s="4" t="s">
        <v>2308</v>
      </c>
      <c r="R886" s="4" t="s">
        <v>2308</v>
      </c>
      <c r="S886" s="4" t="s">
        <v>2308</v>
      </c>
      <c r="T886" s="4" t="s">
        <v>2308</v>
      </c>
      <c r="U886" s="4" t="s">
        <v>2308</v>
      </c>
      <c r="V886" s="4" t="s">
        <v>2308</v>
      </c>
      <c r="W886" s="4" t="s">
        <v>2308</v>
      </c>
      <c r="X886" s="4" t="s">
        <v>2308</v>
      </c>
      <c r="Y886" s="4" t="s">
        <v>2308</v>
      </c>
      <c r="Z886" s="4" t="s">
        <v>2308</v>
      </c>
      <c r="AA886" s="4" t="s">
        <v>2308</v>
      </c>
      <c r="AB886" s="4" t="s">
        <v>2308</v>
      </c>
      <c r="AC886" s="4"/>
      <c r="AD886" s="4"/>
    </row>
    <row r="887" spans="1:30" ht="36" customHeight="1">
      <c r="A887" s="12" t="s">
        <v>2919</v>
      </c>
      <c r="B887" s="12" t="s">
        <v>2930</v>
      </c>
      <c r="C887" s="4" t="s">
        <v>24</v>
      </c>
      <c r="D887" s="4" t="s">
        <v>26</v>
      </c>
      <c r="E887" s="4" t="s">
        <v>877</v>
      </c>
      <c r="F887" s="5" t="s">
        <v>2695</v>
      </c>
      <c r="G887" s="4" t="s">
        <v>2308</v>
      </c>
      <c r="H887" s="4" t="s">
        <v>531</v>
      </c>
      <c r="I887" s="4"/>
      <c r="J887" s="4" t="s">
        <v>2308</v>
      </c>
      <c r="K887" s="4" t="s">
        <v>2308</v>
      </c>
      <c r="L887" s="4" t="s">
        <v>2308</v>
      </c>
      <c r="M887" s="4" t="s">
        <v>2308</v>
      </c>
      <c r="N887" s="4" t="s">
        <v>2308</v>
      </c>
      <c r="O887" s="4" t="s">
        <v>2308</v>
      </c>
      <c r="P887" s="4" t="s">
        <v>2308</v>
      </c>
      <c r="Q887" s="4" t="s">
        <v>2308</v>
      </c>
      <c r="R887" s="4" t="s">
        <v>2308</v>
      </c>
      <c r="S887" s="4" t="s">
        <v>2308</v>
      </c>
      <c r="T887" s="4" t="s">
        <v>2308</v>
      </c>
      <c r="U887" s="4" t="s">
        <v>2308</v>
      </c>
      <c r="V887" s="4" t="s">
        <v>2308</v>
      </c>
      <c r="W887" s="4" t="s">
        <v>2308</v>
      </c>
      <c r="X887" s="4" t="s">
        <v>2308</v>
      </c>
      <c r="Y887" s="4" t="s">
        <v>2308</v>
      </c>
      <c r="Z887" s="4" t="s">
        <v>2308</v>
      </c>
      <c r="AA887" s="4" t="s">
        <v>2308</v>
      </c>
      <c r="AB887" s="4" t="s">
        <v>2308</v>
      </c>
      <c r="AC887" s="5" t="s">
        <v>2937</v>
      </c>
      <c r="AD887" s="4"/>
    </row>
    <row r="888" spans="1:30" ht="36" customHeight="1">
      <c r="A888" s="12" t="s">
        <v>2919</v>
      </c>
      <c r="B888" s="12" t="s">
        <v>2931</v>
      </c>
      <c r="C888" s="4" t="s">
        <v>24</v>
      </c>
      <c r="D888" s="4" t="s">
        <v>2373</v>
      </c>
      <c r="E888" s="4" t="s">
        <v>877</v>
      </c>
      <c r="F888" s="5" t="s">
        <v>2695</v>
      </c>
      <c r="G888" s="4" t="s">
        <v>2308</v>
      </c>
      <c r="H888" s="4" t="s">
        <v>531</v>
      </c>
      <c r="I888" s="4"/>
      <c r="J888" s="4" t="s">
        <v>2308</v>
      </c>
      <c r="K888" s="4" t="s">
        <v>2308</v>
      </c>
      <c r="L888" s="4" t="s">
        <v>2308</v>
      </c>
      <c r="M888" s="4" t="s">
        <v>2308</v>
      </c>
      <c r="N888" s="4" t="s">
        <v>2308</v>
      </c>
      <c r="O888" s="4" t="s">
        <v>2308</v>
      </c>
      <c r="P888" s="4" t="s">
        <v>2308</v>
      </c>
      <c r="Q888" s="4" t="s">
        <v>2308</v>
      </c>
      <c r="R888" s="4" t="s">
        <v>2308</v>
      </c>
      <c r="S888" s="4" t="s">
        <v>2308</v>
      </c>
      <c r="T888" s="4" t="s">
        <v>2308</v>
      </c>
      <c r="U888" s="4" t="s">
        <v>2308</v>
      </c>
      <c r="V888" s="4" t="s">
        <v>2308</v>
      </c>
      <c r="W888" s="4" t="s">
        <v>2308</v>
      </c>
      <c r="X888" s="4" t="s">
        <v>2308</v>
      </c>
      <c r="Y888" s="4" t="s">
        <v>2308</v>
      </c>
      <c r="Z888" s="4" t="s">
        <v>2308</v>
      </c>
      <c r="AA888" s="4" t="s">
        <v>2308</v>
      </c>
      <c r="AB888" s="4" t="s">
        <v>2308</v>
      </c>
      <c r="AC888" s="5" t="s">
        <v>2938</v>
      </c>
      <c r="AD888" s="4"/>
    </row>
    <row r="889" spans="1:30" ht="36" customHeight="1">
      <c r="A889" s="12" t="s">
        <v>2919</v>
      </c>
      <c r="B889" s="12" t="s">
        <v>2932</v>
      </c>
      <c r="C889" s="4" t="s">
        <v>2491</v>
      </c>
      <c r="D889" s="4" t="s">
        <v>1125</v>
      </c>
      <c r="E889" s="4" t="s">
        <v>1125</v>
      </c>
      <c r="F889" s="5" t="s">
        <v>2695</v>
      </c>
      <c r="G889" s="4" t="s">
        <v>1125</v>
      </c>
      <c r="H889" s="4" t="s">
        <v>531</v>
      </c>
      <c r="I889" s="4"/>
      <c r="J889" s="4" t="s">
        <v>2308</v>
      </c>
      <c r="K889" s="4" t="s">
        <v>2308</v>
      </c>
      <c r="L889" s="4" t="s">
        <v>2308</v>
      </c>
      <c r="M889" s="4" t="s">
        <v>2308</v>
      </c>
      <c r="N889" s="4" t="s">
        <v>2308</v>
      </c>
      <c r="O889" s="4" t="s">
        <v>2308</v>
      </c>
      <c r="P889" s="4" t="s">
        <v>2308</v>
      </c>
      <c r="Q889" s="4" t="s">
        <v>2308</v>
      </c>
      <c r="R889" s="4" t="s">
        <v>2308</v>
      </c>
      <c r="S889" s="4" t="s">
        <v>2308</v>
      </c>
      <c r="T889" s="4" t="s">
        <v>2308</v>
      </c>
      <c r="U889" s="4" t="s">
        <v>2308</v>
      </c>
      <c r="V889" s="4" t="s">
        <v>2308</v>
      </c>
      <c r="W889" s="4" t="s">
        <v>2308</v>
      </c>
      <c r="X889" s="4" t="s">
        <v>2308</v>
      </c>
      <c r="Y889" s="4" t="s">
        <v>2308</v>
      </c>
      <c r="Z889" s="4" t="s">
        <v>35</v>
      </c>
      <c r="AA889" s="4" t="s">
        <v>38</v>
      </c>
      <c r="AB889" s="4" t="s">
        <v>64</v>
      </c>
      <c r="AC889" s="5"/>
      <c r="AD889" s="4"/>
    </row>
    <row r="890" spans="1:30" ht="36" customHeight="1">
      <c r="A890" s="12" t="s">
        <v>2919</v>
      </c>
      <c r="B890" s="12" t="s">
        <v>2933</v>
      </c>
      <c r="C890" s="4" t="s">
        <v>24</v>
      </c>
      <c r="D890" s="4" t="s">
        <v>27</v>
      </c>
      <c r="E890" s="4" t="s">
        <v>136</v>
      </c>
      <c r="F890" s="5" t="s">
        <v>167</v>
      </c>
      <c r="G890" s="4" t="s">
        <v>2308</v>
      </c>
      <c r="H890" s="4" t="s">
        <v>531</v>
      </c>
      <c r="I890" s="4"/>
      <c r="J890" s="4" t="s">
        <v>2308</v>
      </c>
      <c r="K890" s="4" t="s">
        <v>2308</v>
      </c>
      <c r="L890" s="4" t="s">
        <v>2308</v>
      </c>
      <c r="M890" s="4" t="s">
        <v>2308</v>
      </c>
      <c r="N890" s="4" t="s">
        <v>2308</v>
      </c>
      <c r="O890" s="4" t="s">
        <v>2308</v>
      </c>
      <c r="P890" s="4" t="s">
        <v>2308</v>
      </c>
      <c r="Q890" s="4" t="s">
        <v>2308</v>
      </c>
      <c r="R890" s="4" t="s">
        <v>2308</v>
      </c>
      <c r="S890" s="4" t="s">
        <v>2308</v>
      </c>
      <c r="T890" s="4" t="s">
        <v>2308</v>
      </c>
      <c r="U890" s="4" t="s">
        <v>2308</v>
      </c>
      <c r="V890" s="4" t="s">
        <v>2308</v>
      </c>
      <c r="W890" s="4" t="s">
        <v>2308</v>
      </c>
      <c r="X890" s="4" t="s">
        <v>2308</v>
      </c>
      <c r="Y890" s="4" t="s">
        <v>2308</v>
      </c>
      <c r="Z890" s="4" t="s">
        <v>68</v>
      </c>
      <c r="AA890" s="4" t="s">
        <v>35</v>
      </c>
      <c r="AB890" s="4" t="s">
        <v>64</v>
      </c>
      <c r="AC890" s="5"/>
      <c r="AD890" s="4"/>
    </row>
    <row r="891" spans="1:30" ht="36" customHeight="1">
      <c r="A891" s="12" t="s">
        <v>2919</v>
      </c>
      <c r="B891" s="12" t="s">
        <v>2934</v>
      </c>
      <c r="C891" s="4" t="s">
        <v>24</v>
      </c>
      <c r="D891" s="4" t="s">
        <v>2263</v>
      </c>
      <c r="E891" s="5" t="s">
        <v>403</v>
      </c>
      <c r="F891" s="5" t="s">
        <v>2695</v>
      </c>
      <c r="G891" s="4" t="s">
        <v>2308</v>
      </c>
      <c r="H891" s="4" t="s">
        <v>531</v>
      </c>
      <c r="I891" s="4"/>
      <c r="J891" s="4" t="s">
        <v>2308</v>
      </c>
      <c r="K891" s="4" t="s">
        <v>2308</v>
      </c>
      <c r="L891" s="4" t="s">
        <v>2308</v>
      </c>
      <c r="M891" s="4" t="s">
        <v>2308</v>
      </c>
      <c r="N891" s="4" t="s">
        <v>2308</v>
      </c>
      <c r="O891" s="4" t="s">
        <v>2308</v>
      </c>
      <c r="P891" s="4" t="s">
        <v>2308</v>
      </c>
      <c r="Q891" s="4" t="s">
        <v>2308</v>
      </c>
      <c r="R891" s="4" t="s">
        <v>2308</v>
      </c>
      <c r="S891" s="4" t="s">
        <v>2308</v>
      </c>
      <c r="T891" s="4" t="s">
        <v>2308</v>
      </c>
      <c r="U891" s="4" t="s">
        <v>2308</v>
      </c>
      <c r="V891" s="4" t="s">
        <v>2308</v>
      </c>
      <c r="W891" s="4" t="s">
        <v>2308</v>
      </c>
      <c r="X891" s="4" t="s">
        <v>2308</v>
      </c>
      <c r="Y891" s="4" t="s">
        <v>2308</v>
      </c>
      <c r="Z891" s="4" t="s">
        <v>2308</v>
      </c>
      <c r="AA891" s="4" t="s">
        <v>2308</v>
      </c>
      <c r="AB891" s="4" t="s">
        <v>2308</v>
      </c>
      <c r="AC891" s="5" t="s">
        <v>2939</v>
      </c>
      <c r="AD891" s="4"/>
    </row>
    <row r="892" spans="1:30" ht="36" customHeight="1">
      <c r="A892" s="12" t="s">
        <v>2919</v>
      </c>
      <c r="B892" s="12" t="s">
        <v>2935</v>
      </c>
      <c r="C892" s="4" t="s">
        <v>24</v>
      </c>
      <c r="D892" s="4" t="s">
        <v>2378</v>
      </c>
      <c r="E892" s="5" t="s">
        <v>1125</v>
      </c>
      <c r="F892" s="5" t="s">
        <v>2695</v>
      </c>
      <c r="G892" s="4" t="s">
        <v>2308</v>
      </c>
      <c r="H892" s="4" t="s">
        <v>531</v>
      </c>
      <c r="I892" s="4"/>
      <c r="J892" s="4" t="s">
        <v>2308</v>
      </c>
      <c r="K892" s="4" t="s">
        <v>2308</v>
      </c>
      <c r="L892" s="4" t="s">
        <v>2308</v>
      </c>
      <c r="M892" s="4" t="s">
        <v>2308</v>
      </c>
      <c r="N892" s="4" t="s">
        <v>2308</v>
      </c>
      <c r="O892" s="4" t="s">
        <v>2308</v>
      </c>
      <c r="P892" s="4" t="s">
        <v>2308</v>
      </c>
      <c r="Q892" s="4" t="s">
        <v>2308</v>
      </c>
      <c r="R892" s="4" t="s">
        <v>2308</v>
      </c>
      <c r="S892" s="4" t="s">
        <v>2308</v>
      </c>
      <c r="T892" s="4" t="s">
        <v>2308</v>
      </c>
      <c r="U892" s="4" t="s">
        <v>2308</v>
      </c>
      <c r="V892" s="4" t="s">
        <v>2308</v>
      </c>
      <c r="W892" s="4" t="s">
        <v>2308</v>
      </c>
      <c r="X892" s="4" t="s">
        <v>2308</v>
      </c>
      <c r="Y892" s="4" t="s">
        <v>2308</v>
      </c>
      <c r="Z892" s="4" t="s">
        <v>2308</v>
      </c>
      <c r="AA892" s="4" t="s">
        <v>2308</v>
      </c>
      <c r="AB892" s="4" t="s">
        <v>2308</v>
      </c>
      <c r="AC892" s="5" t="s">
        <v>2936</v>
      </c>
      <c r="AD892" s="4"/>
    </row>
    <row r="893" spans="1:30" ht="35.5" customHeight="1">
      <c r="A893" s="12" t="s">
        <v>2920</v>
      </c>
      <c r="B893" s="12" t="s">
        <v>2928</v>
      </c>
      <c r="C893" s="4" t="s">
        <v>24</v>
      </c>
      <c r="D893" s="4" t="s">
        <v>1267</v>
      </c>
      <c r="E893" s="4" t="s">
        <v>877</v>
      </c>
      <c r="F893" s="5" t="s">
        <v>2695</v>
      </c>
      <c r="G893" s="4" t="s">
        <v>2308</v>
      </c>
      <c r="H893" s="4" t="s">
        <v>531</v>
      </c>
      <c r="I893" s="4"/>
      <c r="J893" s="4" t="s">
        <v>2308</v>
      </c>
      <c r="K893" s="4" t="s">
        <v>2308</v>
      </c>
      <c r="L893" s="4" t="s">
        <v>2308</v>
      </c>
      <c r="M893" s="4" t="s">
        <v>2308</v>
      </c>
      <c r="N893" s="4" t="s">
        <v>2308</v>
      </c>
      <c r="O893" s="4" t="s">
        <v>2308</v>
      </c>
      <c r="P893" s="4" t="s">
        <v>2308</v>
      </c>
      <c r="Q893" s="4" t="s">
        <v>2308</v>
      </c>
      <c r="R893" s="4" t="s">
        <v>2308</v>
      </c>
      <c r="S893" s="4" t="s">
        <v>2308</v>
      </c>
      <c r="T893" s="4" t="s">
        <v>2308</v>
      </c>
      <c r="U893" s="4" t="s">
        <v>2308</v>
      </c>
      <c r="V893" s="4" t="s">
        <v>2308</v>
      </c>
      <c r="W893" s="4" t="s">
        <v>2308</v>
      </c>
      <c r="X893" s="4" t="s">
        <v>2308</v>
      </c>
      <c r="Y893" s="4" t="s">
        <v>2308</v>
      </c>
      <c r="Z893" s="4" t="s">
        <v>2308</v>
      </c>
      <c r="AA893" s="4" t="s">
        <v>2308</v>
      </c>
      <c r="AB893" s="4" t="s">
        <v>2308</v>
      </c>
      <c r="AC893" s="4"/>
      <c r="AD893" s="4"/>
    </row>
    <row r="894" spans="1:30" ht="33.5" customHeight="1">
      <c r="A894" s="12" t="s">
        <v>2920</v>
      </c>
      <c r="B894" s="12" t="s">
        <v>2940</v>
      </c>
      <c r="C894" s="4" t="s">
        <v>24</v>
      </c>
      <c r="D894" s="4" t="s">
        <v>26</v>
      </c>
      <c r="E894" s="4" t="s">
        <v>877</v>
      </c>
      <c r="F894" s="5" t="s">
        <v>2695</v>
      </c>
      <c r="G894" s="4" t="s">
        <v>2308</v>
      </c>
      <c r="H894" s="4" t="s">
        <v>531</v>
      </c>
      <c r="I894" s="4"/>
      <c r="J894" s="4" t="s">
        <v>2308</v>
      </c>
      <c r="K894" s="4" t="s">
        <v>2308</v>
      </c>
      <c r="L894" s="4" t="s">
        <v>2308</v>
      </c>
      <c r="M894" s="4" t="s">
        <v>2308</v>
      </c>
      <c r="N894" s="4" t="s">
        <v>2308</v>
      </c>
      <c r="O894" s="4" t="s">
        <v>2308</v>
      </c>
      <c r="P894" s="4" t="s">
        <v>2308</v>
      </c>
      <c r="Q894" s="4" t="s">
        <v>2308</v>
      </c>
      <c r="R894" s="4" t="s">
        <v>2308</v>
      </c>
      <c r="S894" s="4" t="s">
        <v>2308</v>
      </c>
      <c r="T894" s="4" t="s">
        <v>2308</v>
      </c>
      <c r="U894" s="4" t="s">
        <v>2308</v>
      </c>
      <c r="V894" s="4" t="s">
        <v>2308</v>
      </c>
      <c r="W894" s="4" t="s">
        <v>2308</v>
      </c>
      <c r="X894" s="4" t="s">
        <v>2308</v>
      </c>
      <c r="Y894" s="4" t="s">
        <v>2308</v>
      </c>
      <c r="Z894" s="4" t="s">
        <v>2308</v>
      </c>
      <c r="AA894" s="4" t="s">
        <v>2308</v>
      </c>
      <c r="AB894" s="4" t="s">
        <v>2308</v>
      </c>
      <c r="AC894" s="5" t="s">
        <v>2937</v>
      </c>
      <c r="AD894" s="4"/>
    </row>
    <row r="895" spans="1:30" ht="38" customHeight="1">
      <c r="A895" s="12" t="s">
        <v>2920</v>
      </c>
      <c r="B895" s="12" t="s">
        <v>2941</v>
      </c>
      <c r="C895" s="4" t="s">
        <v>24</v>
      </c>
      <c r="D895" s="4" t="s">
        <v>2373</v>
      </c>
      <c r="E895" s="4" t="s">
        <v>877</v>
      </c>
      <c r="F895" s="5" t="s">
        <v>2695</v>
      </c>
      <c r="G895" s="4" t="s">
        <v>2308</v>
      </c>
      <c r="H895" s="4" t="s">
        <v>531</v>
      </c>
      <c r="I895" s="4"/>
      <c r="J895" s="4" t="s">
        <v>2308</v>
      </c>
      <c r="K895" s="4" t="s">
        <v>2308</v>
      </c>
      <c r="L895" s="4" t="s">
        <v>2308</v>
      </c>
      <c r="M895" s="4" t="s">
        <v>2308</v>
      </c>
      <c r="N895" s="4" t="s">
        <v>2308</v>
      </c>
      <c r="O895" s="4" t="s">
        <v>2308</v>
      </c>
      <c r="P895" s="4" t="s">
        <v>2308</v>
      </c>
      <c r="Q895" s="4" t="s">
        <v>2308</v>
      </c>
      <c r="R895" s="4" t="s">
        <v>2308</v>
      </c>
      <c r="S895" s="4" t="s">
        <v>2308</v>
      </c>
      <c r="T895" s="4" t="s">
        <v>2308</v>
      </c>
      <c r="U895" s="4" t="s">
        <v>2308</v>
      </c>
      <c r="V895" s="4" t="s">
        <v>2308</v>
      </c>
      <c r="W895" s="4" t="s">
        <v>2308</v>
      </c>
      <c r="X895" s="4" t="s">
        <v>2308</v>
      </c>
      <c r="Y895" s="4" t="s">
        <v>2308</v>
      </c>
      <c r="Z895" s="4" t="s">
        <v>2308</v>
      </c>
      <c r="AA895" s="4" t="s">
        <v>2308</v>
      </c>
      <c r="AB895" s="4" t="s">
        <v>2308</v>
      </c>
      <c r="AC895" s="5" t="s">
        <v>2938</v>
      </c>
      <c r="AD895" s="4"/>
    </row>
    <row r="896" spans="1:30" ht="44.5" customHeight="1">
      <c r="A896" s="12" t="s">
        <v>2920</v>
      </c>
      <c r="B896" s="12" t="s">
        <v>2942</v>
      </c>
      <c r="C896" s="4" t="s">
        <v>2491</v>
      </c>
      <c r="D896" s="4" t="s">
        <v>1125</v>
      </c>
      <c r="E896" s="4" t="s">
        <v>1125</v>
      </c>
      <c r="F896" s="5" t="s">
        <v>2695</v>
      </c>
      <c r="G896" s="4" t="s">
        <v>1125</v>
      </c>
      <c r="H896" s="4" t="s">
        <v>531</v>
      </c>
      <c r="I896" s="4"/>
      <c r="J896" s="4" t="s">
        <v>2308</v>
      </c>
      <c r="K896" s="4" t="s">
        <v>2308</v>
      </c>
      <c r="L896" s="4" t="s">
        <v>2308</v>
      </c>
      <c r="M896" s="4" t="s">
        <v>2308</v>
      </c>
      <c r="N896" s="4" t="s">
        <v>2308</v>
      </c>
      <c r="O896" s="4" t="s">
        <v>2308</v>
      </c>
      <c r="P896" s="4" t="s">
        <v>2308</v>
      </c>
      <c r="Q896" s="4" t="s">
        <v>2308</v>
      </c>
      <c r="R896" s="4" t="s">
        <v>2308</v>
      </c>
      <c r="S896" s="4" t="s">
        <v>2308</v>
      </c>
      <c r="T896" s="4" t="s">
        <v>2308</v>
      </c>
      <c r="U896" s="4" t="s">
        <v>2308</v>
      </c>
      <c r="V896" s="4" t="s">
        <v>2308</v>
      </c>
      <c r="W896" s="4" t="s">
        <v>2308</v>
      </c>
      <c r="X896" s="4" t="s">
        <v>2308</v>
      </c>
      <c r="Y896" s="4" t="s">
        <v>2308</v>
      </c>
      <c r="Z896" s="4" t="s">
        <v>35</v>
      </c>
      <c r="AA896" s="4" t="s">
        <v>38</v>
      </c>
      <c r="AB896" s="4" t="s">
        <v>64</v>
      </c>
      <c r="AC896" s="5"/>
      <c r="AD896" s="4"/>
    </row>
    <row r="897" spans="1:30" ht="44.5" customHeight="1">
      <c r="A897" s="12" t="s">
        <v>2920</v>
      </c>
      <c r="B897" s="12" t="s">
        <v>2943</v>
      </c>
      <c r="C897" s="4" t="s">
        <v>24</v>
      </c>
      <c r="D897" s="4" t="s">
        <v>27</v>
      </c>
      <c r="E897" s="4" t="s">
        <v>136</v>
      </c>
      <c r="F897" s="5" t="s">
        <v>167</v>
      </c>
      <c r="G897" s="4" t="s">
        <v>2308</v>
      </c>
      <c r="H897" s="4" t="s">
        <v>531</v>
      </c>
      <c r="I897" s="4"/>
      <c r="J897" s="4" t="s">
        <v>2308</v>
      </c>
      <c r="K897" s="4" t="s">
        <v>2308</v>
      </c>
      <c r="L897" s="4" t="s">
        <v>2308</v>
      </c>
      <c r="M897" s="4" t="s">
        <v>2308</v>
      </c>
      <c r="N897" s="4" t="s">
        <v>2308</v>
      </c>
      <c r="O897" s="4" t="s">
        <v>2308</v>
      </c>
      <c r="P897" s="4" t="s">
        <v>2308</v>
      </c>
      <c r="Q897" s="4" t="s">
        <v>2308</v>
      </c>
      <c r="R897" s="4" t="s">
        <v>2308</v>
      </c>
      <c r="S897" s="4" t="s">
        <v>2308</v>
      </c>
      <c r="T897" s="4" t="s">
        <v>2308</v>
      </c>
      <c r="U897" s="4" t="s">
        <v>2308</v>
      </c>
      <c r="V897" s="4" t="s">
        <v>2308</v>
      </c>
      <c r="W897" s="4" t="s">
        <v>2308</v>
      </c>
      <c r="X897" s="4" t="s">
        <v>2308</v>
      </c>
      <c r="Y897" s="4" t="s">
        <v>2308</v>
      </c>
      <c r="Z897" s="4" t="s">
        <v>68</v>
      </c>
      <c r="AA897" s="4" t="s">
        <v>35</v>
      </c>
      <c r="AB897" s="4" t="s">
        <v>64</v>
      </c>
      <c r="AC897" s="5"/>
      <c r="AD897" s="4"/>
    </row>
    <row r="898" spans="1:30" ht="41.5" customHeight="1">
      <c r="A898" s="12" t="s">
        <v>2920</v>
      </c>
      <c r="B898" s="12" t="s">
        <v>2944</v>
      </c>
      <c r="C898" s="4" t="s">
        <v>24</v>
      </c>
      <c r="D898" s="4" t="s">
        <v>2263</v>
      </c>
      <c r="E898" s="5" t="s">
        <v>403</v>
      </c>
      <c r="F898" s="5" t="s">
        <v>2695</v>
      </c>
      <c r="G898" s="4" t="s">
        <v>2308</v>
      </c>
      <c r="H898" s="4" t="s">
        <v>531</v>
      </c>
      <c r="I898" s="4"/>
      <c r="J898" s="4" t="s">
        <v>2308</v>
      </c>
      <c r="K898" s="4" t="s">
        <v>2308</v>
      </c>
      <c r="L898" s="4" t="s">
        <v>2308</v>
      </c>
      <c r="M898" s="4" t="s">
        <v>2308</v>
      </c>
      <c r="N898" s="4" t="s">
        <v>2308</v>
      </c>
      <c r="O898" s="4" t="s">
        <v>2308</v>
      </c>
      <c r="P898" s="4" t="s">
        <v>2308</v>
      </c>
      <c r="Q898" s="4" t="s">
        <v>2308</v>
      </c>
      <c r="R898" s="4" t="s">
        <v>2308</v>
      </c>
      <c r="S898" s="4" t="s">
        <v>2308</v>
      </c>
      <c r="T898" s="4" t="s">
        <v>2308</v>
      </c>
      <c r="U898" s="4" t="s">
        <v>2308</v>
      </c>
      <c r="V898" s="4" t="s">
        <v>2308</v>
      </c>
      <c r="W898" s="4" t="s">
        <v>2308</v>
      </c>
      <c r="X898" s="4" t="s">
        <v>2308</v>
      </c>
      <c r="Y898" s="4" t="s">
        <v>2308</v>
      </c>
      <c r="Z898" s="4" t="s">
        <v>2308</v>
      </c>
      <c r="AA898" s="4" t="s">
        <v>2308</v>
      </c>
      <c r="AB898" s="4" t="s">
        <v>2308</v>
      </c>
      <c r="AC898" s="5" t="s">
        <v>2939</v>
      </c>
      <c r="AD898" s="4"/>
    </row>
    <row r="899" spans="1:30" ht="29">
      <c r="A899" s="12" t="s">
        <v>2920</v>
      </c>
      <c r="B899" s="12" t="s">
        <v>2945</v>
      </c>
      <c r="C899" s="4" t="s">
        <v>24</v>
      </c>
      <c r="D899" s="4" t="s">
        <v>2378</v>
      </c>
      <c r="E899" s="5" t="s">
        <v>1125</v>
      </c>
      <c r="F899" s="5" t="s">
        <v>2695</v>
      </c>
      <c r="G899" s="4" t="s">
        <v>2308</v>
      </c>
      <c r="H899" s="4" t="s">
        <v>531</v>
      </c>
      <c r="I899" s="4"/>
      <c r="J899" s="4" t="s">
        <v>2308</v>
      </c>
      <c r="K899" s="4" t="s">
        <v>2308</v>
      </c>
      <c r="L899" s="4" t="s">
        <v>2308</v>
      </c>
      <c r="M899" s="4" t="s">
        <v>2308</v>
      </c>
      <c r="N899" s="4" t="s">
        <v>2308</v>
      </c>
      <c r="O899" s="4" t="s">
        <v>2308</v>
      </c>
      <c r="P899" s="4" t="s">
        <v>2308</v>
      </c>
      <c r="Q899" s="4" t="s">
        <v>2308</v>
      </c>
      <c r="R899" s="4" t="s">
        <v>2308</v>
      </c>
      <c r="S899" s="4" t="s">
        <v>2308</v>
      </c>
      <c r="T899" s="4" t="s">
        <v>2308</v>
      </c>
      <c r="U899" s="4" t="s">
        <v>2308</v>
      </c>
      <c r="V899" s="4" t="s">
        <v>2308</v>
      </c>
      <c r="W899" s="4" t="s">
        <v>2308</v>
      </c>
      <c r="X899" s="4" t="s">
        <v>2308</v>
      </c>
      <c r="Y899" s="4" t="s">
        <v>2308</v>
      </c>
      <c r="Z899" s="4" t="s">
        <v>2308</v>
      </c>
      <c r="AA899" s="4" t="s">
        <v>2308</v>
      </c>
      <c r="AB899" s="4" t="s">
        <v>2308</v>
      </c>
      <c r="AC899" s="5" t="s">
        <v>2936</v>
      </c>
      <c r="AD899" s="4"/>
    </row>
    <row r="900" spans="1:30" ht="29">
      <c r="A900" s="12" t="s">
        <v>2921</v>
      </c>
      <c r="B900" s="12" t="s">
        <v>2929</v>
      </c>
      <c r="C900" s="4" t="s">
        <v>24</v>
      </c>
      <c r="D900" s="4" t="s">
        <v>1267</v>
      </c>
      <c r="E900" s="4" t="s">
        <v>877</v>
      </c>
      <c r="F900" s="5" t="s">
        <v>2695</v>
      </c>
      <c r="G900" s="4" t="s">
        <v>2308</v>
      </c>
      <c r="H900" s="4" t="s">
        <v>531</v>
      </c>
      <c r="I900" s="4"/>
      <c r="J900" s="4" t="s">
        <v>2308</v>
      </c>
      <c r="K900" s="4" t="s">
        <v>2308</v>
      </c>
      <c r="L900" s="4" t="s">
        <v>2308</v>
      </c>
      <c r="M900" s="4" t="s">
        <v>2308</v>
      </c>
      <c r="N900" s="4" t="s">
        <v>2308</v>
      </c>
      <c r="O900" s="4" t="s">
        <v>2308</v>
      </c>
      <c r="P900" s="4" t="s">
        <v>2308</v>
      </c>
      <c r="Q900" s="4" t="s">
        <v>2308</v>
      </c>
      <c r="R900" s="4" t="s">
        <v>2308</v>
      </c>
      <c r="S900" s="4" t="s">
        <v>2308</v>
      </c>
      <c r="T900" s="4" t="s">
        <v>2308</v>
      </c>
      <c r="U900" s="4" t="s">
        <v>2308</v>
      </c>
      <c r="V900" s="4" t="s">
        <v>2308</v>
      </c>
      <c r="W900" s="4" t="s">
        <v>2308</v>
      </c>
      <c r="X900" s="4" t="s">
        <v>2308</v>
      </c>
      <c r="Y900" s="4" t="s">
        <v>2308</v>
      </c>
      <c r="Z900" s="4" t="s">
        <v>2308</v>
      </c>
      <c r="AA900" s="4" t="s">
        <v>2308</v>
      </c>
      <c r="AB900" s="4" t="s">
        <v>2308</v>
      </c>
      <c r="AC900" s="4"/>
      <c r="AD900" s="4"/>
    </row>
    <row r="901" spans="1:30" ht="29">
      <c r="A901" s="12" t="s">
        <v>2921</v>
      </c>
      <c r="B901" s="12" t="s">
        <v>2946</v>
      </c>
      <c r="C901" s="4" t="s">
        <v>24</v>
      </c>
      <c r="D901" s="4" t="s">
        <v>26</v>
      </c>
      <c r="E901" s="4" t="s">
        <v>877</v>
      </c>
      <c r="F901" s="5" t="s">
        <v>2695</v>
      </c>
      <c r="G901" s="4" t="s">
        <v>2308</v>
      </c>
      <c r="H901" s="4" t="s">
        <v>531</v>
      </c>
      <c r="I901" s="4"/>
      <c r="J901" s="4" t="s">
        <v>2308</v>
      </c>
      <c r="K901" s="4" t="s">
        <v>2308</v>
      </c>
      <c r="L901" s="4" t="s">
        <v>2308</v>
      </c>
      <c r="M901" s="4" t="s">
        <v>2308</v>
      </c>
      <c r="N901" s="4" t="s">
        <v>2308</v>
      </c>
      <c r="O901" s="4" t="s">
        <v>2308</v>
      </c>
      <c r="P901" s="4" t="s">
        <v>2308</v>
      </c>
      <c r="Q901" s="4" t="s">
        <v>2308</v>
      </c>
      <c r="R901" s="4" t="s">
        <v>2308</v>
      </c>
      <c r="S901" s="4" t="s">
        <v>2308</v>
      </c>
      <c r="T901" s="4" t="s">
        <v>2308</v>
      </c>
      <c r="U901" s="4" t="s">
        <v>2308</v>
      </c>
      <c r="V901" s="4" t="s">
        <v>2308</v>
      </c>
      <c r="W901" s="4" t="s">
        <v>2308</v>
      </c>
      <c r="X901" s="4" t="s">
        <v>2308</v>
      </c>
      <c r="Y901" s="4" t="s">
        <v>2308</v>
      </c>
      <c r="Z901" s="4" t="s">
        <v>2308</v>
      </c>
      <c r="AA901" s="4" t="s">
        <v>2308</v>
      </c>
      <c r="AB901" s="4" t="s">
        <v>2308</v>
      </c>
      <c r="AC901" s="5" t="s">
        <v>2937</v>
      </c>
      <c r="AD901" s="4"/>
    </row>
    <row r="902" spans="1:30" ht="29">
      <c r="A902" s="12" t="s">
        <v>2921</v>
      </c>
      <c r="B902" s="12" t="s">
        <v>2947</v>
      </c>
      <c r="C902" s="4" t="s">
        <v>24</v>
      </c>
      <c r="D902" s="4" t="s">
        <v>2373</v>
      </c>
      <c r="E902" s="4" t="s">
        <v>877</v>
      </c>
      <c r="F902" s="5" t="s">
        <v>2695</v>
      </c>
      <c r="G902" s="4" t="s">
        <v>2308</v>
      </c>
      <c r="H902" s="4" t="s">
        <v>531</v>
      </c>
      <c r="I902" s="4"/>
      <c r="J902" s="4" t="s">
        <v>2308</v>
      </c>
      <c r="K902" s="4" t="s">
        <v>2308</v>
      </c>
      <c r="L902" s="4" t="s">
        <v>2308</v>
      </c>
      <c r="M902" s="4" t="s">
        <v>2308</v>
      </c>
      <c r="N902" s="4" t="s">
        <v>2308</v>
      </c>
      <c r="O902" s="4" t="s">
        <v>2308</v>
      </c>
      <c r="P902" s="4" t="s">
        <v>2308</v>
      </c>
      <c r="Q902" s="4" t="s">
        <v>2308</v>
      </c>
      <c r="R902" s="4" t="s">
        <v>2308</v>
      </c>
      <c r="S902" s="4" t="s">
        <v>2308</v>
      </c>
      <c r="T902" s="4" t="s">
        <v>2308</v>
      </c>
      <c r="U902" s="4" t="s">
        <v>2308</v>
      </c>
      <c r="V902" s="4" t="s">
        <v>2308</v>
      </c>
      <c r="W902" s="4" t="s">
        <v>2308</v>
      </c>
      <c r="X902" s="4" t="s">
        <v>2308</v>
      </c>
      <c r="Y902" s="4" t="s">
        <v>2308</v>
      </c>
      <c r="Z902" s="4" t="s">
        <v>2308</v>
      </c>
      <c r="AA902" s="4" t="s">
        <v>2308</v>
      </c>
      <c r="AB902" s="4" t="s">
        <v>2308</v>
      </c>
      <c r="AC902" s="5" t="s">
        <v>2938</v>
      </c>
      <c r="AD902" s="4"/>
    </row>
    <row r="903" spans="1:30" ht="29">
      <c r="A903" s="12" t="s">
        <v>2921</v>
      </c>
      <c r="B903" s="12" t="s">
        <v>2948</v>
      </c>
      <c r="C903" s="4" t="s">
        <v>2491</v>
      </c>
      <c r="D903" s="4" t="s">
        <v>1125</v>
      </c>
      <c r="E903" s="4" t="s">
        <v>1125</v>
      </c>
      <c r="F903" s="5" t="s">
        <v>2695</v>
      </c>
      <c r="G903" s="4" t="s">
        <v>1125</v>
      </c>
      <c r="H903" s="4" t="s">
        <v>531</v>
      </c>
      <c r="I903" s="4"/>
      <c r="J903" s="4" t="s">
        <v>2308</v>
      </c>
      <c r="K903" s="4" t="s">
        <v>2308</v>
      </c>
      <c r="L903" s="4" t="s">
        <v>2308</v>
      </c>
      <c r="M903" s="4" t="s">
        <v>2308</v>
      </c>
      <c r="N903" s="4" t="s">
        <v>2308</v>
      </c>
      <c r="O903" s="4" t="s">
        <v>2308</v>
      </c>
      <c r="P903" s="4" t="s">
        <v>2308</v>
      </c>
      <c r="Q903" s="4" t="s">
        <v>2308</v>
      </c>
      <c r="R903" s="4" t="s">
        <v>2308</v>
      </c>
      <c r="S903" s="4" t="s">
        <v>2308</v>
      </c>
      <c r="T903" s="4" t="s">
        <v>2308</v>
      </c>
      <c r="U903" s="4" t="s">
        <v>2308</v>
      </c>
      <c r="V903" s="4" t="s">
        <v>2308</v>
      </c>
      <c r="W903" s="4" t="s">
        <v>2308</v>
      </c>
      <c r="X903" s="4" t="s">
        <v>2308</v>
      </c>
      <c r="Y903" s="4" t="s">
        <v>2308</v>
      </c>
      <c r="Z903" s="4" t="s">
        <v>35</v>
      </c>
      <c r="AA903" s="4" t="s">
        <v>38</v>
      </c>
      <c r="AB903" s="4" t="s">
        <v>64</v>
      </c>
      <c r="AC903" s="5"/>
      <c r="AD903" s="4"/>
    </row>
    <row r="904" spans="1:30" ht="29.5" customHeight="1">
      <c r="A904" s="12" t="s">
        <v>2921</v>
      </c>
      <c r="B904" s="12" t="s">
        <v>2949</v>
      </c>
      <c r="C904" s="4" t="s">
        <v>24</v>
      </c>
      <c r="D904" s="4" t="s">
        <v>27</v>
      </c>
      <c r="E904" s="4" t="s">
        <v>136</v>
      </c>
      <c r="F904" s="5" t="s">
        <v>167</v>
      </c>
      <c r="G904" s="4" t="s">
        <v>2308</v>
      </c>
      <c r="H904" s="4" t="s">
        <v>531</v>
      </c>
      <c r="I904" s="4"/>
      <c r="J904" s="4" t="s">
        <v>2308</v>
      </c>
      <c r="K904" s="4" t="s">
        <v>2308</v>
      </c>
      <c r="L904" s="4" t="s">
        <v>2308</v>
      </c>
      <c r="M904" s="4" t="s">
        <v>2308</v>
      </c>
      <c r="N904" s="4" t="s">
        <v>2308</v>
      </c>
      <c r="O904" s="4" t="s">
        <v>2308</v>
      </c>
      <c r="P904" s="4" t="s">
        <v>2308</v>
      </c>
      <c r="Q904" s="4" t="s">
        <v>2308</v>
      </c>
      <c r="R904" s="4" t="s">
        <v>2308</v>
      </c>
      <c r="S904" s="4" t="s">
        <v>2308</v>
      </c>
      <c r="T904" s="4" t="s">
        <v>2308</v>
      </c>
      <c r="U904" s="4" t="s">
        <v>2308</v>
      </c>
      <c r="V904" s="4" t="s">
        <v>2308</v>
      </c>
      <c r="W904" s="4" t="s">
        <v>2308</v>
      </c>
      <c r="X904" s="4" t="s">
        <v>2308</v>
      </c>
      <c r="Y904" s="4" t="s">
        <v>2308</v>
      </c>
      <c r="Z904" s="4" t="s">
        <v>68</v>
      </c>
      <c r="AA904" s="4" t="s">
        <v>35</v>
      </c>
      <c r="AB904" s="4" t="s">
        <v>64</v>
      </c>
      <c r="AC904" s="5"/>
      <c r="AD904" s="4"/>
    </row>
    <row r="905" spans="1:30" ht="34.5" customHeight="1">
      <c r="A905" s="12" t="s">
        <v>2921</v>
      </c>
      <c r="B905" s="12" t="s">
        <v>2950</v>
      </c>
      <c r="C905" s="4" t="s">
        <v>24</v>
      </c>
      <c r="D905" s="4" t="s">
        <v>2263</v>
      </c>
      <c r="E905" s="5" t="s">
        <v>403</v>
      </c>
      <c r="F905" s="5" t="s">
        <v>2695</v>
      </c>
      <c r="G905" s="4" t="s">
        <v>2308</v>
      </c>
      <c r="H905" s="4" t="s">
        <v>531</v>
      </c>
      <c r="I905" s="4"/>
      <c r="J905" s="4" t="s">
        <v>2308</v>
      </c>
      <c r="K905" s="4" t="s">
        <v>2308</v>
      </c>
      <c r="L905" s="4" t="s">
        <v>2308</v>
      </c>
      <c r="M905" s="4" t="s">
        <v>2308</v>
      </c>
      <c r="N905" s="4" t="s">
        <v>2308</v>
      </c>
      <c r="O905" s="4" t="s">
        <v>2308</v>
      </c>
      <c r="P905" s="4" t="s">
        <v>2308</v>
      </c>
      <c r="Q905" s="4" t="s">
        <v>2308</v>
      </c>
      <c r="R905" s="4" t="s">
        <v>2308</v>
      </c>
      <c r="S905" s="4" t="s">
        <v>2308</v>
      </c>
      <c r="T905" s="4" t="s">
        <v>2308</v>
      </c>
      <c r="U905" s="4" t="s">
        <v>2308</v>
      </c>
      <c r="V905" s="4" t="s">
        <v>2308</v>
      </c>
      <c r="W905" s="4" t="s">
        <v>2308</v>
      </c>
      <c r="X905" s="4" t="s">
        <v>2308</v>
      </c>
      <c r="Y905" s="4" t="s">
        <v>2308</v>
      </c>
      <c r="Z905" s="4" t="s">
        <v>2308</v>
      </c>
      <c r="AA905" s="4" t="s">
        <v>2308</v>
      </c>
      <c r="AB905" s="4" t="s">
        <v>2308</v>
      </c>
      <c r="AC905" s="5" t="s">
        <v>2939</v>
      </c>
      <c r="AD905" s="4"/>
    </row>
    <row r="906" spans="1:30" ht="37" customHeight="1">
      <c r="A906" s="12" t="s">
        <v>2921</v>
      </c>
      <c r="B906" s="12" t="s">
        <v>2951</v>
      </c>
      <c r="C906" s="4" t="s">
        <v>24</v>
      </c>
      <c r="D906" s="4" t="s">
        <v>2378</v>
      </c>
      <c r="E906" s="5" t="s">
        <v>1125</v>
      </c>
      <c r="F906" s="5" t="s">
        <v>2695</v>
      </c>
      <c r="G906" s="4" t="s">
        <v>2308</v>
      </c>
      <c r="H906" s="4" t="s">
        <v>531</v>
      </c>
      <c r="I906" s="4"/>
      <c r="J906" s="4" t="s">
        <v>2308</v>
      </c>
      <c r="K906" s="4" t="s">
        <v>2308</v>
      </c>
      <c r="L906" s="4" t="s">
        <v>2308</v>
      </c>
      <c r="M906" s="4" t="s">
        <v>2308</v>
      </c>
      <c r="N906" s="4" t="s">
        <v>2308</v>
      </c>
      <c r="O906" s="4" t="s">
        <v>2308</v>
      </c>
      <c r="P906" s="4" t="s">
        <v>2308</v>
      </c>
      <c r="Q906" s="4" t="s">
        <v>2308</v>
      </c>
      <c r="R906" s="4" t="s">
        <v>2308</v>
      </c>
      <c r="S906" s="4" t="s">
        <v>2308</v>
      </c>
      <c r="T906" s="4" t="s">
        <v>2308</v>
      </c>
      <c r="U906" s="4" t="s">
        <v>2308</v>
      </c>
      <c r="V906" s="4" t="s">
        <v>2308</v>
      </c>
      <c r="W906" s="4" t="s">
        <v>2308</v>
      </c>
      <c r="X906" s="4" t="s">
        <v>2308</v>
      </c>
      <c r="Y906" s="4" t="s">
        <v>2308</v>
      </c>
      <c r="Z906" s="4" t="s">
        <v>2308</v>
      </c>
      <c r="AA906" s="4" t="s">
        <v>2308</v>
      </c>
      <c r="AB906" s="4" t="s">
        <v>2308</v>
      </c>
      <c r="AC906" s="5" t="s">
        <v>2936</v>
      </c>
      <c r="AD906" s="4"/>
    </row>
    <row r="907" spans="1:30" ht="34.5" customHeight="1">
      <c r="A907" s="20" t="s">
        <v>2957</v>
      </c>
      <c r="B907" s="20" t="s">
        <v>2961</v>
      </c>
      <c r="C907" s="5" t="s">
        <v>24</v>
      </c>
      <c r="D907" s="5" t="s">
        <v>150</v>
      </c>
      <c r="E907" s="5" t="s">
        <v>143</v>
      </c>
      <c r="F907" s="5" t="s">
        <v>2695</v>
      </c>
      <c r="G907" s="5" t="s">
        <v>2695</v>
      </c>
      <c r="H907" s="5" t="s">
        <v>531</v>
      </c>
      <c r="I907" s="4"/>
      <c r="J907" s="4" t="s">
        <v>2308</v>
      </c>
      <c r="K907" s="4" t="s">
        <v>2308</v>
      </c>
      <c r="L907" s="4" t="s">
        <v>2308</v>
      </c>
      <c r="M907" s="4" t="s">
        <v>2308</v>
      </c>
      <c r="N907" s="4" t="s">
        <v>2308</v>
      </c>
      <c r="O907" s="4" t="s">
        <v>2308</v>
      </c>
      <c r="P907" s="4" t="s">
        <v>2308</v>
      </c>
      <c r="Q907" s="4" t="s">
        <v>2308</v>
      </c>
      <c r="R907" s="4" t="s">
        <v>2308</v>
      </c>
      <c r="S907" s="4" t="s">
        <v>2308</v>
      </c>
      <c r="T907" s="4" t="s">
        <v>2308</v>
      </c>
      <c r="U907" s="4" t="s">
        <v>2308</v>
      </c>
      <c r="V907" s="4" t="s">
        <v>2308</v>
      </c>
      <c r="W907" s="4" t="s">
        <v>2308</v>
      </c>
      <c r="X907" s="4" t="s">
        <v>2308</v>
      </c>
      <c r="Y907" s="4" t="s">
        <v>2308</v>
      </c>
      <c r="Z907" s="4" t="s">
        <v>2308</v>
      </c>
      <c r="AA907" s="4" t="s">
        <v>2308</v>
      </c>
      <c r="AB907" s="4" t="s">
        <v>2308</v>
      </c>
      <c r="AC907" s="4"/>
      <c r="AD907" s="4"/>
    </row>
    <row r="908" spans="1:30" ht="35.5" customHeight="1">
      <c r="A908" s="12" t="s">
        <v>2967</v>
      </c>
      <c r="B908" s="12" t="s">
        <v>2970</v>
      </c>
      <c r="C908" s="24" t="s">
        <v>24</v>
      </c>
      <c r="D908" s="4" t="s">
        <v>27</v>
      </c>
      <c r="E908" s="4" t="s">
        <v>136</v>
      </c>
      <c r="F908" s="5" t="s">
        <v>167</v>
      </c>
      <c r="G908" s="4" t="s">
        <v>2308</v>
      </c>
      <c r="H908" s="4" t="s">
        <v>531</v>
      </c>
      <c r="I908" s="4">
        <v>1990</v>
      </c>
      <c r="J908" s="4" t="s">
        <v>2308</v>
      </c>
      <c r="K908" s="4" t="s">
        <v>2308</v>
      </c>
      <c r="L908" s="4" t="s">
        <v>2308</v>
      </c>
      <c r="M908" s="4" t="s">
        <v>2308</v>
      </c>
      <c r="N908" s="4" t="s">
        <v>2308</v>
      </c>
      <c r="O908" s="4" t="s">
        <v>2308</v>
      </c>
      <c r="P908" s="4" t="s">
        <v>2308</v>
      </c>
      <c r="Q908" s="4" t="s">
        <v>2308</v>
      </c>
      <c r="R908" s="4" t="s">
        <v>2308</v>
      </c>
      <c r="S908" s="4" t="s">
        <v>2308</v>
      </c>
      <c r="T908" s="4" t="s">
        <v>2308</v>
      </c>
      <c r="U908" s="4" t="s">
        <v>2308</v>
      </c>
      <c r="V908" s="4" t="s">
        <v>2308</v>
      </c>
      <c r="W908" s="4" t="s">
        <v>2308</v>
      </c>
      <c r="X908" s="4" t="s">
        <v>2308</v>
      </c>
      <c r="Y908" s="4" t="s">
        <v>2308</v>
      </c>
      <c r="Z908" s="4" t="s">
        <v>2308</v>
      </c>
      <c r="AA908" s="4" t="s">
        <v>2308</v>
      </c>
      <c r="AB908" s="4" t="s">
        <v>2308</v>
      </c>
      <c r="AC908" s="4"/>
      <c r="AD908" s="4"/>
    </row>
    <row r="909" spans="1:30" ht="40" customHeight="1">
      <c r="A909" s="12" t="s">
        <v>2967</v>
      </c>
      <c r="B909" s="12" t="s">
        <v>2972</v>
      </c>
      <c r="C909" s="24" t="s">
        <v>24</v>
      </c>
      <c r="D909" s="4" t="s">
        <v>27</v>
      </c>
      <c r="E909" s="4" t="s">
        <v>136</v>
      </c>
      <c r="F909" s="5" t="s">
        <v>167</v>
      </c>
      <c r="G909" s="4" t="s">
        <v>2308</v>
      </c>
      <c r="H909" s="4" t="s">
        <v>531</v>
      </c>
      <c r="I909" s="4">
        <v>1995</v>
      </c>
      <c r="J909" s="4" t="s">
        <v>2308</v>
      </c>
      <c r="K909" s="4" t="s">
        <v>2308</v>
      </c>
      <c r="L909" s="4" t="s">
        <v>2308</v>
      </c>
      <c r="M909" s="4" t="s">
        <v>2308</v>
      </c>
      <c r="N909" s="4" t="s">
        <v>2308</v>
      </c>
      <c r="O909" s="4" t="s">
        <v>2308</v>
      </c>
      <c r="P909" s="4" t="s">
        <v>2308</v>
      </c>
      <c r="Q909" s="4" t="s">
        <v>2308</v>
      </c>
      <c r="R909" s="4" t="s">
        <v>2308</v>
      </c>
      <c r="S909" s="4" t="s">
        <v>2308</v>
      </c>
      <c r="T909" s="4" t="s">
        <v>2308</v>
      </c>
      <c r="U909" s="4" t="s">
        <v>2308</v>
      </c>
      <c r="V909" s="4" t="s">
        <v>2308</v>
      </c>
      <c r="W909" s="4" t="s">
        <v>2308</v>
      </c>
      <c r="X909" s="4" t="s">
        <v>2308</v>
      </c>
      <c r="Y909" s="4" t="s">
        <v>2308</v>
      </c>
      <c r="Z909" s="4" t="s">
        <v>2308</v>
      </c>
      <c r="AA909" s="4" t="s">
        <v>2308</v>
      </c>
      <c r="AB909" s="4" t="s">
        <v>2308</v>
      </c>
      <c r="AC909" s="4"/>
      <c r="AD909" s="4"/>
    </row>
    <row r="910" spans="1:30" ht="30" customHeight="1">
      <c r="A910" s="12" t="s">
        <v>2969</v>
      </c>
      <c r="B910" s="12" t="s">
        <v>2971</v>
      </c>
      <c r="C910" s="24" t="s">
        <v>24</v>
      </c>
      <c r="D910" s="4" t="s">
        <v>27</v>
      </c>
      <c r="E910" s="4" t="s">
        <v>136</v>
      </c>
      <c r="F910" s="5" t="s">
        <v>167</v>
      </c>
      <c r="G910" s="4" t="s">
        <v>2308</v>
      </c>
      <c r="H910" s="4" t="s">
        <v>531</v>
      </c>
      <c r="I910" s="4">
        <v>2000</v>
      </c>
      <c r="J910" s="4" t="s">
        <v>2308</v>
      </c>
      <c r="K910" s="4" t="s">
        <v>2308</v>
      </c>
      <c r="L910" s="4" t="s">
        <v>2308</v>
      </c>
      <c r="M910" s="4" t="s">
        <v>2308</v>
      </c>
      <c r="N910" s="4" t="s">
        <v>2308</v>
      </c>
      <c r="O910" s="4" t="s">
        <v>2308</v>
      </c>
      <c r="P910" s="4" t="s">
        <v>2308</v>
      </c>
      <c r="Q910" s="4" t="s">
        <v>2308</v>
      </c>
      <c r="R910" s="4" t="s">
        <v>2308</v>
      </c>
      <c r="S910" s="4" t="s">
        <v>2308</v>
      </c>
      <c r="T910" s="4" t="s">
        <v>2308</v>
      </c>
      <c r="U910" s="4" t="s">
        <v>2308</v>
      </c>
      <c r="V910" s="4" t="s">
        <v>2308</v>
      </c>
      <c r="W910" s="4" t="s">
        <v>2308</v>
      </c>
      <c r="X910" s="4" t="s">
        <v>2308</v>
      </c>
      <c r="Y910" s="4" t="s">
        <v>2308</v>
      </c>
      <c r="Z910" s="4" t="s">
        <v>2308</v>
      </c>
      <c r="AA910" s="4" t="s">
        <v>2308</v>
      </c>
      <c r="AB910" s="4" t="s">
        <v>2308</v>
      </c>
      <c r="AC910" s="4"/>
      <c r="AD910" s="4"/>
    </row>
    <row r="911" spans="1:30" ht="34.5" customHeight="1">
      <c r="A911" s="12" t="s">
        <v>2969</v>
      </c>
      <c r="B911" s="12" t="s">
        <v>2974</v>
      </c>
      <c r="C911" s="24" t="s">
        <v>24</v>
      </c>
      <c r="D911" s="4" t="s">
        <v>27</v>
      </c>
      <c r="E911" s="4" t="s">
        <v>136</v>
      </c>
      <c r="F911" s="5" t="s">
        <v>167</v>
      </c>
      <c r="G911" s="4" t="s">
        <v>2308</v>
      </c>
      <c r="H911" s="4" t="s">
        <v>531</v>
      </c>
      <c r="I911" s="4">
        <v>2007</v>
      </c>
      <c r="J911" s="4" t="s">
        <v>2308</v>
      </c>
      <c r="K911" s="4" t="s">
        <v>2308</v>
      </c>
      <c r="L911" s="4" t="s">
        <v>2308</v>
      </c>
      <c r="M911" s="4" t="s">
        <v>2308</v>
      </c>
      <c r="N911" s="4" t="s">
        <v>2308</v>
      </c>
      <c r="O911" s="4" t="s">
        <v>2308</v>
      </c>
      <c r="P911" s="4" t="s">
        <v>2308</v>
      </c>
      <c r="Q911" s="4" t="s">
        <v>2308</v>
      </c>
      <c r="R911" s="4" t="s">
        <v>2308</v>
      </c>
      <c r="S911" s="4" t="s">
        <v>2308</v>
      </c>
      <c r="T911" s="4" t="s">
        <v>2308</v>
      </c>
      <c r="U911" s="4" t="s">
        <v>2308</v>
      </c>
      <c r="V911" s="4" t="s">
        <v>2308</v>
      </c>
      <c r="W911" s="4" t="s">
        <v>2308</v>
      </c>
      <c r="X911" s="4" t="s">
        <v>2308</v>
      </c>
      <c r="Y911" s="4" t="s">
        <v>2308</v>
      </c>
      <c r="Z911" s="4" t="s">
        <v>2308</v>
      </c>
      <c r="AA911" s="4" t="s">
        <v>2308</v>
      </c>
      <c r="AB911" s="4" t="s">
        <v>2308</v>
      </c>
      <c r="AC911" s="4"/>
      <c r="AD911" s="4"/>
    </row>
    <row r="912" spans="1:30" ht="34.5" customHeight="1">
      <c r="A912" s="12" t="s">
        <v>2977</v>
      </c>
      <c r="B912" s="12" t="s">
        <v>2981</v>
      </c>
      <c r="C912" s="24" t="s">
        <v>24</v>
      </c>
      <c r="D912" s="4" t="s">
        <v>27</v>
      </c>
      <c r="E912" s="4" t="s">
        <v>136</v>
      </c>
      <c r="F912" s="5" t="s">
        <v>167</v>
      </c>
      <c r="G912" s="4" t="s">
        <v>2308</v>
      </c>
      <c r="H912" s="4" t="s">
        <v>531</v>
      </c>
      <c r="I912" s="4"/>
      <c r="J912" s="4" t="s">
        <v>2308</v>
      </c>
      <c r="K912" s="4" t="s">
        <v>2308</v>
      </c>
      <c r="L912" s="4" t="s">
        <v>2308</v>
      </c>
      <c r="M912" s="4" t="s">
        <v>2308</v>
      </c>
      <c r="N912" s="4" t="s">
        <v>2308</v>
      </c>
      <c r="O912" s="4" t="s">
        <v>2308</v>
      </c>
      <c r="P912" s="4" t="s">
        <v>2308</v>
      </c>
      <c r="Q912" s="4" t="s">
        <v>2308</v>
      </c>
      <c r="R912" s="4" t="s">
        <v>2308</v>
      </c>
      <c r="S912" s="4" t="s">
        <v>2308</v>
      </c>
      <c r="T912" s="4" t="s">
        <v>2308</v>
      </c>
      <c r="U912" s="4" t="s">
        <v>2308</v>
      </c>
      <c r="V912" s="4" t="s">
        <v>2308</v>
      </c>
      <c r="W912" s="4" t="s">
        <v>2308</v>
      </c>
      <c r="X912" s="4" t="s">
        <v>2308</v>
      </c>
      <c r="Y912" s="4" t="s">
        <v>2308</v>
      </c>
      <c r="Z912" s="4" t="s">
        <v>38</v>
      </c>
      <c r="AA912" s="4" t="s">
        <v>86</v>
      </c>
      <c r="AB912" s="4" t="s">
        <v>64</v>
      </c>
      <c r="AC912" s="4"/>
      <c r="AD912" s="5" t="s">
        <v>2982</v>
      </c>
    </row>
    <row r="913" spans="1:30" ht="39" customHeight="1">
      <c r="A913" s="12" t="s">
        <v>2987</v>
      </c>
      <c r="B913" s="4" t="s">
        <v>2991</v>
      </c>
      <c r="C913" s="24" t="s">
        <v>24</v>
      </c>
      <c r="D913" s="4" t="s">
        <v>1264</v>
      </c>
      <c r="E913" s="4" t="s">
        <v>136</v>
      </c>
      <c r="F913" s="5" t="s">
        <v>2695</v>
      </c>
      <c r="G913" s="4" t="s">
        <v>2308</v>
      </c>
      <c r="H913" s="4" t="s">
        <v>531</v>
      </c>
      <c r="I913" s="4"/>
      <c r="J913" s="4" t="s">
        <v>2308</v>
      </c>
      <c r="K913" s="4" t="s">
        <v>2308</v>
      </c>
      <c r="L913" s="4" t="s">
        <v>2308</v>
      </c>
      <c r="M913" s="4" t="s">
        <v>2308</v>
      </c>
      <c r="N913" s="4" t="s">
        <v>2308</v>
      </c>
      <c r="O913" s="4" t="s">
        <v>2308</v>
      </c>
      <c r="P913" s="4" t="s">
        <v>2308</v>
      </c>
      <c r="Q913" s="4" t="s">
        <v>2308</v>
      </c>
      <c r="R913" s="4" t="s">
        <v>2308</v>
      </c>
      <c r="S913" s="4" t="s">
        <v>2308</v>
      </c>
      <c r="T913" s="4" t="s">
        <v>2308</v>
      </c>
      <c r="U913" s="4" t="s">
        <v>2308</v>
      </c>
      <c r="V913" s="4" t="s">
        <v>2308</v>
      </c>
      <c r="W913" s="4" t="s">
        <v>2308</v>
      </c>
      <c r="X913" s="4" t="s">
        <v>2308</v>
      </c>
      <c r="Y913" s="4" t="s">
        <v>2308</v>
      </c>
      <c r="Z913" s="4" t="s">
        <v>38</v>
      </c>
      <c r="AA913" s="4" t="s">
        <v>86</v>
      </c>
      <c r="AB913" s="4" t="s">
        <v>64</v>
      </c>
      <c r="AC913" s="5" t="s">
        <v>2992</v>
      </c>
      <c r="AD913" s="4"/>
    </row>
    <row r="914" spans="1:30" ht="37.5" customHeight="1">
      <c r="A914" s="12" t="s">
        <v>2987</v>
      </c>
      <c r="B914" s="4" t="s">
        <v>2993</v>
      </c>
      <c r="C914" s="24" t="s">
        <v>24</v>
      </c>
      <c r="D914" s="4" t="s">
        <v>1264</v>
      </c>
      <c r="E914" s="4" t="s">
        <v>116</v>
      </c>
      <c r="F914" s="5" t="s">
        <v>2695</v>
      </c>
      <c r="G914" s="4" t="s">
        <v>2308</v>
      </c>
      <c r="H914" s="4" t="s">
        <v>531</v>
      </c>
      <c r="I914" s="4"/>
      <c r="J914" s="4" t="s">
        <v>2308</v>
      </c>
      <c r="K914" s="4" t="s">
        <v>2308</v>
      </c>
      <c r="L914" s="4" t="s">
        <v>2308</v>
      </c>
      <c r="M914" s="4" t="s">
        <v>2308</v>
      </c>
      <c r="N914" s="4" t="s">
        <v>2308</v>
      </c>
      <c r="O914" s="4" t="s">
        <v>2308</v>
      </c>
      <c r="P914" s="4" t="s">
        <v>2308</v>
      </c>
      <c r="Q914" s="4" t="s">
        <v>2308</v>
      </c>
      <c r="R914" s="4" t="s">
        <v>2308</v>
      </c>
      <c r="S914" s="4" t="s">
        <v>2308</v>
      </c>
      <c r="T914" s="4" t="s">
        <v>2308</v>
      </c>
      <c r="U914" s="4" t="s">
        <v>2308</v>
      </c>
      <c r="V914" s="4" t="s">
        <v>2308</v>
      </c>
      <c r="W914" s="4" t="s">
        <v>2308</v>
      </c>
      <c r="X914" s="4" t="s">
        <v>2308</v>
      </c>
      <c r="Y914" s="4" t="s">
        <v>2308</v>
      </c>
      <c r="Z914" s="4" t="s">
        <v>38</v>
      </c>
      <c r="AA914" s="4" t="s">
        <v>86</v>
      </c>
      <c r="AB914" s="4" t="s">
        <v>64</v>
      </c>
      <c r="AC914" s="5" t="s">
        <v>2994</v>
      </c>
      <c r="AD914" s="4"/>
    </row>
    <row r="915" spans="1:30" ht="36.5" customHeight="1">
      <c r="A915" s="12" t="s">
        <v>2987</v>
      </c>
      <c r="B915" s="4" t="s">
        <v>2995</v>
      </c>
      <c r="C915" s="24" t="s">
        <v>24</v>
      </c>
      <c r="D915" s="4" t="s">
        <v>1267</v>
      </c>
      <c r="E915" s="4" t="s">
        <v>116</v>
      </c>
      <c r="F915" s="5" t="s">
        <v>2695</v>
      </c>
      <c r="G915" s="4" t="s">
        <v>2308</v>
      </c>
      <c r="H915" s="4" t="s">
        <v>531</v>
      </c>
      <c r="I915" s="4"/>
      <c r="J915" s="4" t="s">
        <v>2308</v>
      </c>
      <c r="K915" s="4" t="s">
        <v>2308</v>
      </c>
      <c r="L915" s="4" t="s">
        <v>2308</v>
      </c>
      <c r="M915" s="4" t="s">
        <v>2308</v>
      </c>
      <c r="N915" s="4" t="s">
        <v>2308</v>
      </c>
      <c r="O915" s="4" t="s">
        <v>2308</v>
      </c>
      <c r="P915" s="4" t="s">
        <v>2308</v>
      </c>
      <c r="Q915" s="4" t="s">
        <v>2308</v>
      </c>
      <c r="R915" s="4" t="s">
        <v>2308</v>
      </c>
      <c r="S915" s="4" t="s">
        <v>2308</v>
      </c>
      <c r="T915" s="4" t="s">
        <v>2308</v>
      </c>
      <c r="U915" s="4" t="s">
        <v>2308</v>
      </c>
      <c r="V915" s="4" t="s">
        <v>2308</v>
      </c>
      <c r="W915" s="4" t="s">
        <v>2308</v>
      </c>
      <c r="X915" s="4" t="s">
        <v>2308</v>
      </c>
      <c r="Y915" s="4" t="s">
        <v>2308</v>
      </c>
      <c r="Z915" s="4" t="s">
        <v>38</v>
      </c>
      <c r="AA915" s="4" t="s">
        <v>38</v>
      </c>
      <c r="AB915" s="4" t="s">
        <v>64</v>
      </c>
      <c r="AC915" s="5" t="s">
        <v>3007</v>
      </c>
      <c r="AD915" s="4"/>
    </row>
    <row r="916" spans="1:30" ht="50.5" customHeight="1">
      <c r="A916" s="12" t="s">
        <v>2987</v>
      </c>
      <c r="B916" s="4" t="s">
        <v>2996</v>
      </c>
      <c r="C916" s="24" t="s">
        <v>24</v>
      </c>
      <c r="D916" s="4" t="s">
        <v>1151</v>
      </c>
      <c r="E916" s="4" t="s">
        <v>116</v>
      </c>
      <c r="F916" s="5" t="s">
        <v>2695</v>
      </c>
      <c r="G916" s="4" t="s">
        <v>2308</v>
      </c>
      <c r="H916" s="4" t="s">
        <v>531</v>
      </c>
      <c r="I916" s="4"/>
      <c r="J916" s="4" t="s">
        <v>2308</v>
      </c>
      <c r="K916" s="4" t="s">
        <v>2308</v>
      </c>
      <c r="L916" s="4" t="s">
        <v>2308</v>
      </c>
      <c r="M916" s="4" t="s">
        <v>2308</v>
      </c>
      <c r="N916" s="4" t="s">
        <v>2308</v>
      </c>
      <c r="O916" s="4" t="s">
        <v>2308</v>
      </c>
      <c r="P916" s="4" t="s">
        <v>2308</v>
      </c>
      <c r="Q916" s="4" t="s">
        <v>2308</v>
      </c>
      <c r="R916" s="4" t="s">
        <v>2308</v>
      </c>
      <c r="S916" s="4" t="s">
        <v>2308</v>
      </c>
      <c r="T916" s="4" t="s">
        <v>2308</v>
      </c>
      <c r="U916" s="4" t="s">
        <v>2308</v>
      </c>
      <c r="V916" s="4" t="s">
        <v>2308</v>
      </c>
      <c r="W916" s="4" t="s">
        <v>2308</v>
      </c>
      <c r="X916" s="4" t="s">
        <v>2308</v>
      </c>
      <c r="Y916" s="22">
        <v>5.5</v>
      </c>
      <c r="Z916" s="4" t="s">
        <v>38</v>
      </c>
      <c r="AA916" s="4" t="s">
        <v>86</v>
      </c>
      <c r="AB916" s="4" t="s">
        <v>64</v>
      </c>
      <c r="AC916" s="5" t="s">
        <v>2997</v>
      </c>
      <c r="AD916" s="4"/>
    </row>
    <row r="917" spans="1:30" ht="47.5" customHeight="1">
      <c r="A917" s="12" t="s">
        <v>2987</v>
      </c>
      <c r="B917" s="4" t="s">
        <v>2998</v>
      </c>
      <c r="C917" s="24" t="s">
        <v>24</v>
      </c>
      <c r="D917" s="4" t="s">
        <v>25</v>
      </c>
      <c r="E917" s="4" t="s">
        <v>45</v>
      </c>
      <c r="F917" s="5" t="s">
        <v>29</v>
      </c>
      <c r="G917" s="4" t="s">
        <v>2308</v>
      </c>
      <c r="H917" s="4" t="s">
        <v>531</v>
      </c>
      <c r="I917" s="4"/>
      <c r="J917" s="4" t="s">
        <v>2308</v>
      </c>
      <c r="K917" s="4" t="s">
        <v>2308</v>
      </c>
      <c r="L917" s="4" t="s">
        <v>2308</v>
      </c>
      <c r="M917" s="4" t="s">
        <v>2308</v>
      </c>
      <c r="N917" s="4" t="s">
        <v>2308</v>
      </c>
      <c r="O917" s="4" t="s">
        <v>2308</v>
      </c>
      <c r="P917" s="4" t="s">
        <v>2308</v>
      </c>
      <c r="Q917" s="4" t="s">
        <v>2308</v>
      </c>
      <c r="R917" s="4" t="s">
        <v>2308</v>
      </c>
      <c r="S917" s="4" t="s">
        <v>2308</v>
      </c>
      <c r="T917" s="4" t="s">
        <v>2308</v>
      </c>
      <c r="U917" s="4" t="s">
        <v>2308</v>
      </c>
      <c r="V917" s="4" t="s">
        <v>2308</v>
      </c>
      <c r="W917" s="4" t="s">
        <v>2308</v>
      </c>
      <c r="X917" s="4" t="s">
        <v>2308</v>
      </c>
      <c r="Y917" s="22">
        <v>1</v>
      </c>
      <c r="Z917" s="4" t="s">
        <v>86</v>
      </c>
      <c r="AA917" s="4" t="s">
        <v>86</v>
      </c>
      <c r="AB917" s="4" t="s">
        <v>64</v>
      </c>
      <c r="AC917" s="4" t="s">
        <v>2999</v>
      </c>
      <c r="AD917" s="4"/>
    </row>
    <row r="918" spans="1:30" ht="42.5" customHeight="1">
      <c r="A918" s="12" t="s">
        <v>2987</v>
      </c>
      <c r="B918" s="4" t="s">
        <v>3000</v>
      </c>
      <c r="C918" s="24" t="s">
        <v>24</v>
      </c>
      <c r="D918" s="4" t="s">
        <v>27</v>
      </c>
      <c r="E918" s="4" t="s">
        <v>136</v>
      </c>
      <c r="F918" s="5" t="s">
        <v>167</v>
      </c>
      <c r="G918" s="4" t="s">
        <v>2308</v>
      </c>
      <c r="H918" s="4" t="s">
        <v>531</v>
      </c>
      <c r="I918" s="4"/>
      <c r="J918" s="4" t="s">
        <v>2308</v>
      </c>
      <c r="K918" s="4" t="s">
        <v>2308</v>
      </c>
      <c r="L918" s="4" t="s">
        <v>2308</v>
      </c>
      <c r="M918" s="4" t="s">
        <v>2308</v>
      </c>
      <c r="N918" s="4" t="s">
        <v>2308</v>
      </c>
      <c r="O918" s="4" t="s">
        <v>2308</v>
      </c>
      <c r="P918" s="4" t="s">
        <v>2308</v>
      </c>
      <c r="Q918" s="4" t="s">
        <v>2308</v>
      </c>
      <c r="R918" s="4" t="s">
        <v>2308</v>
      </c>
      <c r="S918" s="4" t="s">
        <v>2308</v>
      </c>
      <c r="T918" s="4" t="s">
        <v>2308</v>
      </c>
      <c r="U918" s="4" t="s">
        <v>2308</v>
      </c>
      <c r="V918" s="4" t="s">
        <v>2308</v>
      </c>
      <c r="W918" s="4" t="s">
        <v>2308</v>
      </c>
      <c r="X918" s="4" t="s">
        <v>2308</v>
      </c>
      <c r="Y918" s="4" t="s">
        <v>2308</v>
      </c>
      <c r="Z918" s="4" t="s">
        <v>412</v>
      </c>
      <c r="AA918" s="4" t="s">
        <v>432</v>
      </c>
      <c r="AB918" s="4" t="s">
        <v>76</v>
      </c>
      <c r="AC918" s="5" t="s">
        <v>3001</v>
      </c>
      <c r="AD918" s="4"/>
    </row>
    <row r="919" spans="1:30" ht="34.5" customHeight="1">
      <c r="A919" s="12" t="s">
        <v>2987</v>
      </c>
      <c r="B919" s="4" t="s">
        <v>3002</v>
      </c>
      <c r="C919" s="24" t="s">
        <v>24</v>
      </c>
      <c r="D919" s="4" t="s">
        <v>2373</v>
      </c>
      <c r="E919" s="4" t="s">
        <v>116</v>
      </c>
      <c r="F919" s="5" t="s">
        <v>2695</v>
      </c>
      <c r="G919" s="4" t="s">
        <v>2308</v>
      </c>
      <c r="H919" s="4" t="s">
        <v>531</v>
      </c>
      <c r="I919" s="4"/>
      <c r="J919" s="4" t="s">
        <v>2308</v>
      </c>
      <c r="K919" s="4" t="s">
        <v>2308</v>
      </c>
      <c r="L919" s="4" t="s">
        <v>2308</v>
      </c>
      <c r="M919" s="4" t="s">
        <v>2308</v>
      </c>
      <c r="N919" s="4" t="s">
        <v>2308</v>
      </c>
      <c r="O919" s="4" t="s">
        <v>2308</v>
      </c>
      <c r="P919" s="4" t="s">
        <v>2308</v>
      </c>
      <c r="Q919" s="4" t="s">
        <v>2308</v>
      </c>
      <c r="R919" s="4" t="s">
        <v>2308</v>
      </c>
      <c r="S919" s="4" t="s">
        <v>2308</v>
      </c>
      <c r="T919" s="4" t="s">
        <v>2308</v>
      </c>
      <c r="U919" s="4" t="s">
        <v>2308</v>
      </c>
      <c r="V919" s="4" t="s">
        <v>2308</v>
      </c>
      <c r="W919" s="4" t="s">
        <v>2308</v>
      </c>
      <c r="X919" s="4" t="s">
        <v>2308</v>
      </c>
      <c r="Y919" s="4" t="s">
        <v>2308</v>
      </c>
      <c r="Z919" s="4" t="s">
        <v>38</v>
      </c>
      <c r="AA919" s="4" t="s">
        <v>432</v>
      </c>
      <c r="AB919" s="4" t="s">
        <v>64</v>
      </c>
      <c r="AC919" s="4" t="s">
        <v>3009</v>
      </c>
      <c r="AD919" s="4"/>
    </row>
    <row r="920" spans="1:30" ht="34.5" customHeight="1">
      <c r="A920" s="12" t="s">
        <v>2987</v>
      </c>
      <c r="B920" s="4" t="s">
        <v>3003</v>
      </c>
      <c r="C920" s="24" t="s">
        <v>24</v>
      </c>
      <c r="D920" s="4" t="s">
        <v>2373</v>
      </c>
      <c r="E920" s="4" t="s">
        <v>136</v>
      </c>
      <c r="F920" s="5" t="s">
        <v>2695</v>
      </c>
      <c r="G920" s="4" t="s">
        <v>2308</v>
      </c>
      <c r="H920" s="4" t="s">
        <v>531</v>
      </c>
      <c r="I920" s="4"/>
      <c r="J920" s="4" t="s">
        <v>2308</v>
      </c>
      <c r="K920" s="4" t="s">
        <v>2308</v>
      </c>
      <c r="L920" s="4" t="s">
        <v>2308</v>
      </c>
      <c r="M920" s="4" t="s">
        <v>2308</v>
      </c>
      <c r="N920" s="4" t="s">
        <v>2308</v>
      </c>
      <c r="O920" s="4" t="s">
        <v>2308</v>
      </c>
      <c r="P920" s="4" t="s">
        <v>2308</v>
      </c>
      <c r="Q920" s="4" t="s">
        <v>2308</v>
      </c>
      <c r="R920" s="4" t="s">
        <v>2308</v>
      </c>
      <c r="S920" s="4" t="s">
        <v>2308</v>
      </c>
      <c r="T920" s="4" t="s">
        <v>2308</v>
      </c>
      <c r="U920" s="4" t="s">
        <v>2308</v>
      </c>
      <c r="V920" s="4" t="s">
        <v>2308</v>
      </c>
      <c r="W920" s="4" t="s">
        <v>2308</v>
      </c>
      <c r="X920" s="4" t="s">
        <v>2308</v>
      </c>
      <c r="Y920" s="4" t="s">
        <v>2308</v>
      </c>
      <c r="Z920" s="4" t="s">
        <v>38</v>
      </c>
      <c r="AA920" s="4" t="s">
        <v>432</v>
      </c>
      <c r="AB920" s="4" t="s">
        <v>64</v>
      </c>
      <c r="AC920" s="5" t="s">
        <v>3010</v>
      </c>
      <c r="AD920" s="4"/>
    </row>
    <row r="921" spans="1:30" ht="41" customHeight="1">
      <c r="A921" s="12" t="s">
        <v>2987</v>
      </c>
      <c r="B921" s="4" t="s">
        <v>3004</v>
      </c>
      <c r="C921" s="24" t="s">
        <v>24</v>
      </c>
      <c r="D921" s="4" t="s">
        <v>26</v>
      </c>
      <c r="E921" s="4" t="s">
        <v>136</v>
      </c>
      <c r="F921" s="5" t="s">
        <v>2695</v>
      </c>
      <c r="G921" s="4" t="s">
        <v>2308</v>
      </c>
      <c r="H921" s="4" t="s">
        <v>531</v>
      </c>
      <c r="I921" s="4"/>
      <c r="J921" s="4" t="s">
        <v>2308</v>
      </c>
      <c r="K921" s="4" t="s">
        <v>2308</v>
      </c>
      <c r="L921" s="4" t="s">
        <v>2308</v>
      </c>
      <c r="M921" s="4" t="s">
        <v>2308</v>
      </c>
      <c r="N921" s="4" t="s">
        <v>2308</v>
      </c>
      <c r="O921" s="4" t="s">
        <v>2308</v>
      </c>
      <c r="P921" s="4" t="s">
        <v>2308</v>
      </c>
      <c r="Q921" s="4" t="s">
        <v>2308</v>
      </c>
      <c r="R921" s="4" t="s">
        <v>2308</v>
      </c>
      <c r="S921" s="4" t="s">
        <v>2308</v>
      </c>
      <c r="T921" s="4" t="s">
        <v>2308</v>
      </c>
      <c r="U921" s="4" t="s">
        <v>2308</v>
      </c>
      <c r="V921" s="4" t="s">
        <v>2308</v>
      </c>
      <c r="W921" s="4" t="s">
        <v>2308</v>
      </c>
      <c r="X921" s="4" t="s">
        <v>2308</v>
      </c>
      <c r="Y921" s="4" t="s">
        <v>2308</v>
      </c>
      <c r="Z921" s="4" t="s">
        <v>38</v>
      </c>
      <c r="AA921" s="4" t="s">
        <v>432</v>
      </c>
      <c r="AB921" s="4" t="s">
        <v>64</v>
      </c>
      <c r="AC921" s="4"/>
      <c r="AD921" s="4"/>
    </row>
    <row r="922" spans="1:30" ht="39" customHeight="1">
      <c r="A922" s="12" t="s">
        <v>2987</v>
      </c>
      <c r="B922" s="4" t="s">
        <v>3005</v>
      </c>
      <c r="C922" s="24" t="s">
        <v>24</v>
      </c>
      <c r="D922" s="4" t="s">
        <v>26</v>
      </c>
      <c r="E922" s="4" t="s">
        <v>116</v>
      </c>
      <c r="F922" s="5" t="s">
        <v>2695</v>
      </c>
      <c r="G922" s="4" t="s">
        <v>2308</v>
      </c>
      <c r="H922" s="4" t="s">
        <v>531</v>
      </c>
      <c r="I922" s="4"/>
      <c r="J922" s="4" t="s">
        <v>2308</v>
      </c>
      <c r="K922" s="4" t="s">
        <v>2308</v>
      </c>
      <c r="L922" s="4" t="s">
        <v>2308</v>
      </c>
      <c r="M922" s="4" t="s">
        <v>2308</v>
      </c>
      <c r="N922" s="4" t="s">
        <v>2308</v>
      </c>
      <c r="O922" s="4" t="s">
        <v>2308</v>
      </c>
      <c r="P922" s="4" t="s">
        <v>2308</v>
      </c>
      <c r="Q922" s="4" t="s">
        <v>2308</v>
      </c>
      <c r="R922" s="4" t="s">
        <v>2308</v>
      </c>
      <c r="S922" s="4" t="s">
        <v>2308</v>
      </c>
      <c r="T922" s="4" t="s">
        <v>2308</v>
      </c>
      <c r="U922" s="4" t="s">
        <v>2308</v>
      </c>
      <c r="V922" s="4" t="s">
        <v>2308</v>
      </c>
      <c r="W922" s="4" t="s">
        <v>2308</v>
      </c>
      <c r="X922" s="4" t="s">
        <v>2308</v>
      </c>
      <c r="Y922" s="4" t="s">
        <v>2308</v>
      </c>
      <c r="Z922" s="4" t="s">
        <v>38</v>
      </c>
      <c r="AA922" s="4" t="s">
        <v>432</v>
      </c>
      <c r="AB922" s="4" t="s">
        <v>64</v>
      </c>
      <c r="AC922" s="4"/>
      <c r="AD922" s="4"/>
    </row>
    <row r="923" spans="1:30" ht="40.5" customHeight="1">
      <c r="A923" s="12" t="s">
        <v>2987</v>
      </c>
      <c r="B923" s="4" t="s">
        <v>3008</v>
      </c>
      <c r="C923" s="24" t="s">
        <v>2491</v>
      </c>
      <c r="D923" s="4" t="s">
        <v>25</v>
      </c>
      <c r="E923" s="4" t="s">
        <v>2680</v>
      </c>
      <c r="F923" s="5" t="s">
        <v>29</v>
      </c>
      <c r="G923" s="5" t="s">
        <v>2695</v>
      </c>
      <c r="H923" s="4" t="s">
        <v>531</v>
      </c>
      <c r="I923" s="4"/>
      <c r="J923" s="4" t="s">
        <v>2308</v>
      </c>
      <c r="K923" s="4" t="s">
        <v>2308</v>
      </c>
      <c r="L923" s="4" t="s">
        <v>2308</v>
      </c>
      <c r="M923" s="4" t="s">
        <v>2308</v>
      </c>
      <c r="N923" s="4" t="s">
        <v>2308</v>
      </c>
      <c r="O923" s="4" t="s">
        <v>2308</v>
      </c>
      <c r="P923" s="4" t="s">
        <v>2308</v>
      </c>
      <c r="Q923" s="4" t="s">
        <v>2308</v>
      </c>
      <c r="R923" s="4" t="s">
        <v>2308</v>
      </c>
      <c r="S923" s="4" t="s">
        <v>2308</v>
      </c>
      <c r="T923" s="4" t="s">
        <v>2308</v>
      </c>
      <c r="U923" s="4" t="s">
        <v>2308</v>
      </c>
      <c r="V923" s="4" t="s">
        <v>2308</v>
      </c>
      <c r="W923" s="4" t="s">
        <v>2308</v>
      </c>
      <c r="X923" s="4" t="s">
        <v>2308</v>
      </c>
      <c r="Y923" s="4" t="s">
        <v>2308</v>
      </c>
      <c r="Z923" s="4" t="s">
        <v>38</v>
      </c>
      <c r="AA923" s="4" t="s">
        <v>432</v>
      </c>
      <c r="AB923" s="4" t="s">
        <v>64</v>
      </c>
      <c r="AC923" s="5" t="s">
        <v>3006</v>
      </c>
      <c r="AD923" s="4"/>
    </row>
    <row r="924" spans="1:30" ht="50" customHeight="1">
      <c r="A924" s="12" t="s">
        <v>2987</v>
      </c>
      <c r="B924" s="4" t="s">
        <v>3014</v>
      </c>
      <c r="C924" s="24" t="s">
        <v>2491</v>
      </c>
      <c r="D924" s="4" t="s">
        <v>27</v>
      </c>
      <c r="E924" s="4" t="s">
        <v>136</v>
      </c>
      <c r="F924" s="5" t="s">
        <v>167</v>
      </c>
      <c r="G924" s="5" t="s">
        <v>2695</v>
      </c>
      <c r="H924" s="4" t="s">
        <v>531</v>
      </c>
      <c r="I924" s="4"/>
      <c r="J924" s="4" t="s">
        <v>2308</v>
      </c>
      <c r="K924" s="4" t="s">
        <v>2308</v>
      </c>
      <c r="L924" s="4" t="s">
        <v>2308</v>
      </c>
      <c r="M924" s="4" t="s">
        <v>2308</v>
      </c>
      <c r="N924" s="4" t="s">
        <v>2308</v>
      </c>
      <c r="O924" s="4" t="s">
        <v>2308</v>
      </c>
      <c r="P924" s="4" t="s">
        <v>2308</v>
      </c>
      <c r="Q924" s="4" t="s">
        <v>2308</v>
      </c>
      <c r="R924" s="4" t="s">
        <v>2308</v>
      </c>
      <c r="S924" s="4" t="s">
        <v>2308</v>
      </c>
      <c r="T924" s="4" t="s">
        <v>2308</v>
      </c>
      <c r="U924" s="4" t="s">
        <v>2308</v>
      </c>
      <c r="V924" s="4" t="s">
        <v>2308</v>
      </c>
      <c r="W924" s="4" t="s">
        <v>2308</v>
      </c>
      <c r="X924" s="4" t="s">
        <v>2308</v>
      </c>
      <c r="Y924" s="4" t="s">
        <v>2308</v>
      </c>
      <c r="Z924" s="4" t="s">
        <v>412</v>
      </c>
      <c r="AA924" s="4" t="s">
        <v>432</v>
      </c>
      <c r="AB924" s="4" t="s">
        <v>76</v>
      </c>
      <c r="AC924" s="5" t="s">
        <v>3015</v>
      </c>
      <c r="AD924" s="4"/>
    </row>
    <row r="925" spans="1:30" ht="63.5" customHeight="1">
      <c r="A925" s="12" t="s">
        <v>3021</v>
      </c>
      <c r="B925" s="12" t="s">
        <v>3022</v>
      </c>
      <c r="C925" s="24" t="s">
        <v>24</v>
      </c>
      <c r="D925" s="4" t="s">
        <v>25</v>
      </c>
      <c r="E925" s="4" t="s">
        <v>5065</v>
      </c>
      <c r="F925" s="5" t="s">
        <v>2695</v>
      </c>
      <c r="G925" s="4" t="s">
        <v>2308</v>
      </c>
      <c r="H925" s="4" t="s">
        <v>531</v>
      </c>
      <c r="I925" s="4"/>
      <c r="J925" s="4" t="s">
        <v>2308</v>
      </c>
      <c r="K925" s="4" t="s">
        <v>2308</v>
      </c>
      <c r="L925" s="4" t="s">
        <v>2308</v>
      </c>
      <c r="M925" s="4" t="s">
        <v>2308</v>
      </c>
      <c r="N925" s="4" t="s">
        <v>2308</v>
      </c>
      <c r="O925" s="4" t="s">
        <v>2308</v>
      </c>
      <c r="P925" s="4" t="s">
        <v>2308</v>
      </c>
      <c r="Q925" s="4" t="s">
        <v>2308</v>
      </c>
      <c r="R925" s="4" t="s">
        <v>2308</v>
      </c>
      <c r="S925" s="4" t="s">
        <v>2308</v>
      </c>
      <c r="T925" s="4" t="s">
        <v>2308</v>
      </c>
      <c r="U925" s="4" t="s">
        <v>2308</v>
      </c>
      <c r="V925" s="4" t="s">
        <v>2308</v>
      </c>
      <c r="W925" s="4" t="s">
        <v>2308</v>
      </c>
      <c r="X925" s="4" t="s">
        <v>2308</v>
      </c>
      <c r="Y925" s="4" t="s">
        <v>2308</v>
      </c>
      <c r="Z925" s="4" t="s">
        <v>68</v>
      </c>
      <c r="AA925" s="4" t="s">
        <v>35</v>
      </c>
      <c r="AB925" s="4" t="s">
        <v>64</v>
      </c>
      <c r="AC925" s="5" t="s">
        <v>3039</v>
      </c>
      <c r="AD925" s="4"/>
    </row>
    <row r="926" spans="1:30" ht="46" customHeight="1">
      <c r="A926" s="12" t="s">
        <v>3021</v>
      </c>
      <c r="B926" s="12" t="s">
        <v>3023</v>
      </c>
      <c r="C926" s="24" t="s">
        <v>24</v>
      </c>
      <c r="D926" s="4" t="s">
        <v>26</v>
      </c>
      <c r="E926" s="4" t="s">
        <v>5065</v>
      </c>
      <c r="F926" s="5" t="s">
        <v>2695</v>
      </c>
      <c r="G926" s="4" t="s">
        <v>2308</v>
      </c>
      <c r="H926" s="4" t="s">
        <v>531</v>
      </c>
      <c r="I926" s="4"/>
      <c r="J926" s="4" t="s">
        <v>2308</v>
      </c>
      <c r="K926" s="4" t="s">
        <v>2308</v>
      </c>
      <c r="L926" s="4" t="s">
        <v>2308</v>
      </c>
      <c r="M926" s="4" t="s">
        <v>2308</v>
      </c>
      <c r="N926" s="4" t="s">
        <v>2308</v>
      </c>
      <c r="O926" s="4" t="s">
        <v>2308</v>
      </c>
      <c r="P926" s="4" t="s">
        <v>2308</v>
      </c>
      <c r="Q926" s="4" t="s">
        <v>2308</v>
      </c>
      <c r="R926" s="4" t="s">
        <v>2308</v>
      </c>
      <c r="S926" s="4" t="s">
        <v>2308</v>
      </c>
      <c r="T926" s="4" t="s">
        <v>2308</v>
      </c>
      <c r="U926" s="4" t="s">
        <v>2308</v>
      </c>
      <c r="V926" s="4" t="s">
        <v>2308</v>
      </c>
      <c r="W926" s="4" t="s">
        <v>2308</v>
      </c>
      <c r="X926" s="4" t="s">
        <v>2308</v>
      </c>
      <c r="Y926" s="4" t="s">
        <v>2308</v>
      </c>
      <c r="Z926" s="4" t="s">
        <v>2308</v>
      </c>
      <c r="AA926" s="4" t="s">
        <v>2308</v>
      </c>
      <c r="AB926" s="4" t="s">
        <v>2308</v>
      </c>
      <c r="AC926" s="4"/>
      <c r="AD926" s="4"/>
    </row>
    <row r="927" spans="1:30" ht="70" customHeight="1">
      <c r="A927" s="12" t="s">
        <v>3021</v>
      </c>
      <c r="B927" s="12" t="s">
        <v>3024</v>
      </c>
      <c r="C927" s="24" t="s">
        <v>24</v>
      </c>
      <c r="D927" s="4" t="s">
        <v>2373</v>
      </c>
      <c r="E927" s="4" t="s">
        <v>5065</v>
      </c>
      <c r="F927" s="5" t="s">
        <v>2695</v>
      </c>
      <c r="G927" s="4" t="s">
        <v>2308</v>
      </c>
      <c r="H927" s="4" t="s">
        <v>531</v>
      </c>
      <c r="I927" s="4"/>
      <c r="J927" s="4" t="s">
        <v>2308</v>
      </c>
      <c r="K927" s="4" t="s">
        <v>2308</v>
      </c>
      <c r="L927" s="4" t="s">
        <v>2308</v>
      </c>
      <c r="M927" s="4" t="s">
        <v>2308</v>
      </c>
      <c r="N927" s="4" t="s">
        <v>2308</v>
      </c>
      <c r="O927" s="4" t="s">
        <v>2308</v>
      </c>
      <c r="P927" s="4" t="s">
        <v>2308</v>
      </c>
      <c r="Q927" s="4" t="s">
        <v>2308</v>
      </c>
      <c r="R927" s="4" t="s">
        <v>2308</v>
      </c>
      <c r="S927" s="4" t="s">
        <v>2308</v>
      </c>
      <c r="T927" s="4" t="s">
        <v>2308</v>
      </c>
      <c r="U927" s="4" t="s">
        <v>2308</v>
      </c>
      <c r="V927" s="4" t="s">
        <v>2308</v>
      </c>
      <c r="W927" s="4" t="s">
        <v>2308</v>
      </c>
      <c r="X927" s="4" t="s">
        <v>2308</v>
      </c>
      <c r="Y927" s="4" t="s">
        <v>2308</v>
      </c>
      <c r="Z927" s="4" t="s">
        <v>68</v>
      </c>
      <c r="AA927" s="4" t="s">
        <v>35</v>
      </c>
      <c r="AB927" s="4" t="s">
        <v>64</v>
      </c>
      <c r="AC927" s="5" t="s">
        <v>3044</v>
      </c>
      <c r="AD927" s="4"/>
    </row>
    <row r="928" spans="1:30" ht="39.5" customHeight="1">
      <c r="A928" s="12" t="s">
        <v>3021</v>
      </c>
      <c r="B928" s="12" t="s">
        <v>3026</v>
      </c>
      <c r="C928" s="24" t="s">
        <v>2491</v>
      </c>
      <c r="D928" s="4" t="s">
        <v>3027</v>
      </c>
      <c r="E928" s="4" t="s">
        <v>5065</v>
      </c>
      <c r="F928" s="5" t="s">
        <v>2308</v>
      </c>
      <c r="G928" s="5" t="s">
        <v>2695</v>
      </c>
      <c r="H928" s="4" t="s">
        <v>531</v>
      </c>
      <c r="I928" s="4"/>
      <c r="J928" s="4" t="s">
        <v>2308</v>
      </c>
      <c r="K928" s="4" t="s">
        <v>2308</v>
      </c>
      <c r="L928" s="4" t="s">
        <v>2308</v>
      </c>
      <c r="M928" s="4" t="s">
        <v>2308</v>
      </c>
      <c r="N928" s="4" t="s">
        <v>2308</v>
      </c>
      <c r="O928" s="4" t="s">
        <v>2308</v>
      </c>
      <c r="P928" s="4" t="s">
        <v>2308</v>
      </c>
      <c r="Q928" s="4" t="s">
        <v>2308</v>
      </c>
      <c r="R928" s="4" t="s">
        <v>2308</v>
      </c>
      <c r="S928" s="4" t="s">
        <v>2308</v>
      </c>
      <c r="T928" s="4" t="s">
        <v>2308</v>
      </c>
      <c r="U928" s="4" t="s">
        <v>2308</v>
      </c>
      <c r="V928" s="4" t="s">
        <v>2308</v>
      </c>
      <c r="W928" s="4" t="s">
        <v>2308</v>
      </c>
      <c r="X928" s="4" t="s">
        <v>2308</v>
      </c>
      <c r="Y928" s="4" t="s">
        <v>2308</v>
      </c>
      <c r="Z928" s="4" t="s">
        <v>2308</v>
      </c>
      <c r="AA928" s="4" t="s">
        <v>2308</v>
      </c>
      <c r="AB928" s="4" t="s">
        <v>2308</v>
      </c>
      <c r="AC928" s="4"/>
      <c r="AD928" s="4"/>
    </row>
    <row r="929" spans="1:30" ht="37" customHeight="1">
      <c r="A929" s="12" t="s">
        <v>3021</v>
      </c>
      <c r="B929" s="12" t="s">
        <v>3030</v>
      </c>
      <c r="C929" s="24" t="s">
        <v>24</v>
      </c>
      <c r="D929" s="4" t="s">
        <v>27</v>
      </c>
      <c r="E929" s="4" t="s">
        <v>136</v>
      </c>
      <c r="F929" s="5" t="s">
        <v>2695</v>
      </c>
      <c r="G929" s="4" t="s">
        <v>2308</v>
      </c>
      <c r="H929" s="4" t="s">
        <v>531</v>
      </c>
      <c r="I929" s="4"/>
      <c r="J929" s="4" t="s">
        <v>2308</v>
      </c>
      <c r="K929" s="4" t="s">
        <v>2308</v>
      </c>
      <c r="L929" s="4" t="s">
        <v>2308</v>
      </c>
      <c r="M929" s="4" t="s">
        <v>2308</v>
      </c>
      <c r="N929" s="4" t="s">
        <v>2308</v>
      </c>
      <c r="O929" s="4" t="s">
        <v>2308</v>
      </c>
      <c r="P929" s="4" t="s">
        <v>2308</v>
      </c>
      <c r="Q929" s="4" t="s">
        <v>2308</v>
      </c>
      <c r="R929" s="4" t="s">
        <v>2308</v>
      </c>
      <c r="S929" s="4" t="s">
        <v>2308</v>
      </c>
      <c r="T929" s="4" t="s">
        <v>2308</v>
      </c>
      <c r="U929" s="4" t="s">
        <v>2308</v>
      </c>
      <c r="V929" s="4" t="s">
        <v>2308</v>
      </c>
      <c r="W929" s="4" t="s">
        <v>2308</v>
      </c>
      <c r="X929" s="4" t="s">
        <v>2308</v>
      </c>
      <c r="Y929" s="4" t="s">
        <v>2308</v>
      </c>
      <c r="Z929" s="4" t="s">
        <v>34</v>
      </c>
      <c r="AA929" s="4" t="s">
        <v>34</v>
      </c>
      <c r="AB929" s="4" t="s">
        <v>2688</v>
      </c>
      <c r="AC929" s="5" t="s">
        <v>3040</v>
      </c>
      <c r="AD929" s="4"/>
    </row>
    <row r="930" spans="1:30" ht="43.5" customHeight="1">
      <c r="A930" s="12" t="s">
        <v>3021</v>
      </c>
      <c r="B930" s="12" t="s">
        <v>3031</v>
      </c>
      <c r="C930" s="24" t="s">
        <v>24</v>
      </c>
      <c r="D930" s="4" t="s">
        <v>27</v>
      </c>
      <c r="E930" s="4" t="s">
        <v>136</v>
      </c>
      <c r="F930" s="5" t="s">
        <v>167</v>
      </c>
      <c r="G930" s="4" t="s">
        <v>2308</v>
      </c>
      <c r="H930" s="4" t="s">
        <v>531</v>
      </c>
      <c r="I930" s="4"/>
      <c r="J930" s="4" t="s">
        <v>2308</v>
      </c>
      <c r="K930" s="4" t="s">
        <v>2308</v>
      </c>
      <c r="L930" s="4" t="s">
        <v>2308</v>
      </c>
      <c r="M930" s="4" t="s">
        <v>2308</v>
      </c>
      <c r="N930" s="4" t="s">
        <v>2308</v>
      </c>
      <c r="O930" s="4" t="s">
        <v>2308</v>
      </c>
      <c r="P930" s="4" t="s">
        <v>2308</v>
      </c>
      <c r="Q930" s="4" t="s">
        <v>2308</v>
      </c>
      <c r="R930" s="4" t="s">
        <v>2308</v>
      </c>
      <c r="S930" s="4" t="s">
        <v>2308</v>
      </c>
      <c r="T930" s="4" t="s">
        <v>2308</v>
      </c>
      <c r="U930" s="4" t="s">
        <v>2308</v>
      </c>
      <c r="V930" s="4" t="s">
        <v>2308</v>
      </c>
      <c r="W930" s="4" t="s">
        <v>2308</v>
      </c>
      <c r="X930" s="4" t="s">
        <v>2308</v>
      </c>
      <c r="Y930" s="4" t="s">
        <v>2308</v>
      </c>
      <c r="Z930" s="4" t="s">
        <v>34</v>
      </c>
      <c r="AA930" s="4" t="s">
        <v>34</v>
      </c>
      <c r="AB930" s="4" t="s">
        <v>2688</v>
      </c>
      <c r="AC930" s="5" t="s">
        <v>3040</v>
      </c>
      <c r="AD930" s="4"/>
    </row>
    <row r="931" spans="1:30" ht="40" customHeight="1">
      <c r="A931" s="12" t="s">
        <v>3021</v>
      </c>
      <c r="B931" s="12" t="s">
        <v>3032</v>
      </c>
      <c r="C931" s="4" t="s">
        <v>24</v>
      </c>
      <c r="D931" s="4" t="s">
        <v>1264</v>
      </c>
      <c r="E931" s="4" t="s">
        <v>136</v>
      </c>
      <c r="F931" s="5" t="s">
        <v>2695</v>
      </c>
      <c r="G931" s="4" t="s">
        <v>2308</v>
      </c>
      <c r="H931" s="4" t="s">
        <v>531</v>
      </c>
      <c r="I931" s="4"/>
      <c r="J931" s="4" t="s">
        <v>2308</v>
      </c>
      <c r="K931" s="4" t="s">
        <v>2308</v>
      </c>
      <c r="L931" s="4" t="s">
        <v>2308</v>
      </c>
      <c r="M931" s="4" t="s">
        <v>2308</v>
      </c>
      <c r="N931" s="4" t="s">
        <v>2308</v>
      </c>
      <c r="O931" s="4" t="s">
        <v>2308</v>
      </c>
      <c r="P931" s="4" t="s">
        <v>2308</v>
      </c>
      <c r="Q931" s="4" t="s">
        <v>2308</v>
      </c>
      <c r="R931" s="4" t="s">
        <v>2308</v>
      </c>
      <c r="S931" s="4" t="s">
        <v>2308</v>
      </c>
      <c r="T931" s="4" t="s">
        <v>2308</v>
      </c>
      <c r="U931" s="4" t="s">
        <v>2308</v>
      </c>
      <c r="V931" s="4" t="s">
        <v>2308</v>
      </c>
      <c r="W931" s="4" t="s">
        <v>2308</v>
      </c>
      <c r="X931" s="4" t="s">
        <v>2308</v>
      </c>
      <c r="Y931" s="4" t="s">
        <v>2308</v>
      </c>
      <c r="Z931" s="4" t="s">
        <v>68</v>
      </c>
      <c r="AA931" s="4" t="s">
        <v>35</v>
      </c>
      <c r="AB931" s="4" t="s">
        <v>64</v>
      </c>
      <c r="AC931" s="5" t="s">
        <v>3041</v>
      </c>
      <c r="AD931" s="4"/>
    </row>
    <row r="932" spans="1:30" ht="34" customHeight="1">
      <c r="A932" s="12" t="s">
        <v>3021</v>
      </c>
      <c r="B932" s="12" t="s">
        <v>3033</v>
      </c>
      <c r="C932" s="4" t="s">
        <v>24</v>
      </c>
      <c r="D932" s="4" t="s">
        <v>1151</v>
      </c>
      <c r="E932" s="4" t="s">
        <v>136</v>
      </c>
      <c r="F932" s="5" t="s">
        <v>2695</v>
      </c>
      <c r="G932" s="4" t="s">
        <v>2308</v>
      </c>
      <c r="H932" s="4" t="s">
        <v>531</v>
      </c>
      <c r="I932" s="4"/>
      <c r="J932" s="4" t="s">
        <v>2308</v>
      </c>
      <c r="K932" s="4" t="s">
        <v>2308</v>
      </c>
      <c r="L932" s="4" t="s">
        <v>2308</v>
      </c>
      <c r="M932" s="4" t="s">
        <v>2308</v>
      </c>
      <c r="N932" s="4" t="s">
        <v>2308</v>
      </c>
      <c r="O932" s="4" t="s">
        <v>2308</v>
      </c>
      <c r="P932" s="4" t="s">
        <v>2308</v>
      </c>
      <c r="Q932" s="4" t="s">
        <v>2308</v>
      </c>
      <c r="R932" s="4" t="s">
        <v>2308</v>
      </c>
      <c r="S932" s="4" t="s">
        <v>2308</v>
      </c>
      <c r="T932" s="4" t="s">
        <v>2308</v>
      </c>
      <c r="U932" s="4" t="s">
        <v>2308</v>
      </c>
      <c r="V932" s="4" t="s">
        <v>2308</v>
      </c>
      <c r="W932" s="4" t="s">
        <v>2308</v>
      </c>
      <c r="X932" s="4" t="s">
        <v>2308</v>
      </c>
      <c r="Y932" s="4" t="s">
        <v>2308</v>
      </c>
      <c r="Z932" s="4" t="s">
        <v>2308</v>
      </c>
      <c r="AA932" s="4" t="s">
        <v>2308</v>
      </c>
      <c r="AB932" s="4" t="s">
        <v>2308</v>
      </c>
      <c r="AC932" s="4"/>
      <c r="AD932" s="4"/>
    </row>
    <row r="933" spans="1:30" ht="42.5" customHeight="1">
      <c r="A933" s="12" t="s">
        <v>3021</v>
      </c>
      <c r="B933" s="12" t="s">
        <v>3034</v>
      </c>
      <c r="C933" s="4" t="s">
        <v>24</v>
      </c>
      <c r="D933" s="4" t="s">
        <v>1267</v>
      </c>
      <c r="E933" s="4" t="s">
        <v>116</v>
      </c>
      <c r="F933" s="5" t="s">
        <v>2695</v>
      </c>
      <c r="G933" s="4" t="s">
        <v>2308</v>
      </c>
      <c r="H933" s="4" t="s">
        <v>531</v>
      </c>
      <c r="I933" s="4"/>
      <c r="J933" s="4" t="s">
        <v>2308</v>
      </c>
      <c r="K933" s="4" t="s">
        <v>2308</v>
      </c>
      <c r="L933" s="4" t="s">
        <v>2308</v>
      </c>
      <c r="M933" s="4" t="s">
        <v>2308</v>
      </c>
      <c r="N933" s="4" t="s">
        <v>2308</v>
      </c>
      <c r="O933" s="4" t="s">
        <v>2308</v>
      </c>
      <c r="P933" s="4" t="s">
        <v>2308</v>
      </c>
      <c r="Q933" s="4" t="s">
        <v>2308</v>
      </c>
      <c r="R933" s="4" t="s">
        <v>2308</v>
      </c>
      <c r="S933" s="4" t="s">
        <v>2308</v>
      </c>
      <c r="T933" s="4" t="s">
        <v>2308</v>
      </c>
      <c r="U933" s="4" t="s">
        <v>2308</v>
      </c>
      <c r="V933" s="4" t="s">
        <v>2308</v>
      </c>
      <c r="W933" s="4" t="s">
        <v>2308</v>
      </c>
      <c r="X933" s="4" t="s">
        <v>2308</v>
      </c>
      <c r="Y933" s="4" t="s">
        <v>2308</v>
      </c>
      <c r="Z933" s="4" t="s">
        <v>2308</v>
      </c>
      <c r="AA933" s="4" t="s">
        <v>2308</v>
      </c>
      <c r="AB933" s="4" t="s">
        <v>2308</v>
      </c>
      <c r="AC933" s="4"/>
      <c r="AD933" s="4"/>
    </row>
    <row r="934" spans="1:30" ht="40.5" customHeight="1">
      <c r="A934" s="12" t="s">
        <v>3021</v>
      </c>
      <c r="B934" s="12" t="s">
        <v>3035</v>
      </c>
      <c r="C934" s="4" t="s">
        <v>24</v>
      </c>
      <c r="D934" s="4" t="s">
        <v>3529</v>
      </c>
      <c r="E934" s="4" t="s">
        <v>116</v>
      </c>
      <c r="F934" s="5" t="s">
        <v>2695</v>
      </c>
      <c r="G934" s="4" t="s">
        <v>2308</v>
      </c>
      <c r="H934" s="4" t="s">
        <v>531</v>
      </c>
      <c r="I934" s="4"/>
      <c r="J934" s="4" t="s">
        <v>2308</v>
      </c>
      <c r="K934" s="4" t="s">
        <v>2308</v>
      </c>
      <c r="L934" s="4" t="s">
        <v>2308</v>
      </c>
      <c r="M934" s="4" t="s">
        <v>2308</v>
      </c>
      <c r="N934" s="4" t="s">
        <v>2308</v>
      </c>
      <c r="O934" s="4" t="s">
        <v>2308</v>
      </c>
      <c r="P934" s="4" t="s">
        <v>2308</v>
      </c>
      <c r="Q934" s="4" t="s">
        <v>2308</v>
      </c>
      <c r="R934" s="4" t="s">
        <v>2308</v>
      </c>
      <c r="S934" s="4" t="s">
        <v>2308</v>
      </c>
      <c r="T934" s="4" t="s">
        <v>2308</v>
      </c>
      <c r="U934" s="4" t="s">
        <v>2308</v>
      </c>
      <c r="V934" s="4" t="s">
        <v>2308</v>
      </c>
      <c r="W934" s="4" t="s">
        <v>2308</v>
      </c>
      <c r="X934" s="4" t="s">
        <v>2308</v>
      </c>
      <c r="Y934" s="4" t="s">
        <v>2308</v>
      </c>
      <c r="Z934" s="4" t="s">
        <v>2308</v>
      </c>
      <c r="AA934" s="4" t="s">
        <v>2308</v>
      </c>
      <c r="AB934" s="4" t="s">
        <v>2308</v>
      </c>
      <c r="AC934" s="5" t="s">
        <v>3036</v>
      </c>
      <c r="AD934" s="4"/>
    </row>
    <row r="935" spans="1:30" ht="39" customHeight="1">
      <c r="A935" s="12" t="s">
        <v>3021</v>
      </c>
      <c r="B935" s="12" t="s">
        <v>3037</v>
      </c>
      <c r="C935" s="4" t="s">
        <v>31</v>
      </c>
      <c r="D935" s="4" t="s">
        <v>1125</v>
      </c>
      <c r="E935" s="4" t="s">
        <v>1125</v>
      </c>
      <c r="F935" s="5" t="s">
        <v>2308</v>
      </c>
      <c r="G935" s="5" t="s">
        <v>2695</v>
      </c>
      <c r="H935" s="4" t="s">
        <v>531</v>
      </c>
      <c r="I935" s="4"/>
      <c r="J935" s="4" t="s">
        <v>2308</v>
      </c>
      <c r="K935" s="4" t="s">
        <v>2308</v>
      </c>
      <c r="L935" s="4" t="s">
        <v>2308</v>
      </c>
      <c r="M935" s="4" t="s">
        <v>2308</v>
      </c>
      <c r="N935" s="4" t="s">
        <v>2308</v>
      </c>
      <c r="O935" s="4" t="s">
        <v>2308</v>
      </c>
      <c r="P935" s="4" t="s">
        <v>2308</v>
      </c>
      <c r="Q935" s="4" t="s">
        <v>2308</v>
      </c>
      <c r="R935" s="4" t="s">
        <v>2308</v>
      </c>
      <c r="S935" s="4" t="s">
        <v>2308</v>
      </c>
      <c r="T935" s="4" t="s">
        <v>2308</v>
      </c>
      <c r="U935" s="4" t="s">
        <v>2308</v>
      </c>
      <c r="V935" s="4" t="s">
        <v>2308</v>
      </c>
      <c r="W935" s="4" t="s">
        <v>2308</v>
      </c>
      <c r="X935" s="4" t="s">
        <v>2308</v>
      </c>
      <c r="Y935" s="4" t="s">
        <v>2308</v>
      </c>
      <c r="Z935" s="4" t="s">
        <v>2308</v>
      </c>
      <c r="AA935" s="4" t="s">
        <v>2308</v>
      </c>
      <c r="AB935" s="4" t="s">
        <v>2308</v>
      </c>
      <c r="AC935" s="4" t="s">
        <v>3038</v>
      </c>
      <c r="AD935" s="4"/>
    </row>
    <row r="936" spans="1:30" ht="43.5" customHeight="1">
      <c r="A936" s="12" t="s">
        <v>3021</v>
      </c>
      <c r="B936" s="12" t="s">
        <v>3042</v>
      </c>
      <c r="C936" s="4" t="s">
        <v>24</v>
      </c>
      <c r="D936" s="4" t="s">
        <v>1264</v>
      </c>
      <c r="E936" s="4" t="s">
        <v>2682</v>
      </c>
      <c r="F936" s="5" t="s">
        <v>2308</v>
      </c>
      <c r="G936" s="5" t="s">
        <v>2695</v>
      </c>
      <c r="H936" s="4" t="s">
        <v>531</v>
      </c>
      <c r="I936" s="4"/>
      <c r="J936" s="4" t="s">
        <v>2308</v>
      </c>
      <c r="K936" s="4" t="s">
        <v>2308</v>
      </c>
      <c r="L936" s="4" t="s">
        <v>2308</v>
      </c>
      <c r="M936" s="4" t="s">
        <v>2308</v>
      </c>
      <c r="N936" s="4" t="s">
        <v>2308</v>
      </c>
      <c r="O936" s="4" t="s">
        <v>2308</v>
      </c>
      <c r="P936" s="4" t="s">
        <v>2308</v>
      </c>
      <c r="Q936" s="4" t="s">
        <v>2308</v>
      </c>
      <c r="R936" s="4" t="s">
        <v>2308</v>
      </c>
      <c r="S936" s="4" t="s">
        <v>2308</v>
      </c>
      <c r="T936" s="4" t="s">
        <v>2308</v>
      </c>
      <c r="U936" s="4" t="s">
        <v>2308</v>
      </c>
      <c r="V936" s="4" t="s">
        <v>2308</v>
      </c>
      <c r="W936" s="4" t="s">
        <v>2308</v>
      </c>
      <c r="X936" s="4" t="s">
        <v>2308</v>
      </c>
      <c r="Y936" s="4" t="s">
        <v>2308</v>
      </c>
      <c r="Z936" s="4" t="s">
        <v>68</v>
      </c>
      <c r="AA936" s="4" t="s">
        <v>35</v>
      </c>
      <c r="AB936" s="4" t="s">
        <v>64</v>
      </c>
      <c r="AC936" s="5" t="s">
        <v>3043</v>
      </c>
      <c r="AD936" s="4"/>
    </row>
    <row r="937" spans="1:30" ht="41" customHeight="1">
      <c r="A937" s="12" t="s">
        <v>3021</v>
      </c>
      <c r="B937" s="12" t="s">
        <v>3047</v>
      </c>
      <c r="C937" s="4" t="s">
        <v>2491</v>
      </c>
      <c r="D937" s="4" t="s">
        <v>27</v>
      </c>
      <c r="E937" s="4" t="s">
        <v>136</v>
      </c>
      <c r="F937" s="5" t="s">
        <v>2695</v>
      </c>
      <c r="G937" s="4" t="s">
        <v>2308</v>
      </c>
      <c r="H937" s="4" t="s">
        <v>531</v>
      </c>
      <c r="I937" s="4"/>
      <c r="J937" s="4" t="s">
        <v>2308</v>
      </c>
      <c r="K937" s="4" t="s">
        <v>2308</v>
      </c>
      <c r="L937" s="4" t="s">
        <v>2308</v>
      </c>
      <c r="M937" s="4" t="s">
        <v>2308</v>
      </c>
      <c r="N937" s="4" t="s">
        <v>2308</v>
      </c>
      <c r="O937" s="4" t="s">
        <v>2308</v>
      </c>
      <c r="P937" s="4" t="s">
        <v>2308</v>
      </c>
      <c r="Q937" s="4" t="s">
        <v>2308</v>
      </c>
      <c r="R937" s="4" t="s">
        <v>2308</v>
      </c>
      <c r="S937" s="4" t="s">
        <v>2308</v>
      </c>
      <c r="T937" s="4" t="s">
        <v>2308</v>
      </c>
      <c r="U937" s="4" t="s">
        <v>2308</v>
      </c>
      <c r="V937" s="4" t="s">
        <v>2308</v>
      </c>
      <c r="W937" s="4" t="s">
        <v>2308</v>
      </c>
      <c r="X937" s="4" t="s">
        <v>2308</v>
      </c>
      <c r="Y937" s="4" t="s">
        <v>2308</v>
      </c>
      <c r="Z937" s="4" t="s">
        <v>34</v>
      </c>
      <c r="AA937" s="4" t="s">
        <v>34</v>
      </c>
      <c r="AB937" s="4" t="s">
        <v>2688</v>
      </c>
      <c r="AC937" s="4"/>
      <c r="AD937" s="4"/>
    </row>
    <row r="938" spans="1:30" ht="35.5" customHeight="1">
      <c r="A938" s="12" t="s">
        <v>3021</v>
      </c>
      <c r="B938" s="12" t="s">
        <v>3048</v>
      </c>
      <c r="C938" s="4" t="s">
        <v>2491</v>
      </c>
      <c r="D938" s="4" t="s">
        <v>27</v>
      </c>
      <c r="E938" s="4" t="s">
        <v>136</v>
      </c>
      <c r="F938" s="5" t="s">
        <v>167</v>
      </c>
      <c r="G938" s="4" t="s">
        <v>2308</v>
      </c>
      <c r="H938" s="4" t="s">
        <v>531</v>
      </c>
      <c r="I938" s="4"/>
      <c r="J938" s="4" t="s">
        <v>2308</v>
      </c>
      <c r="K938" s="4" t="s">
        <v>2308</v>
      </c>
      <c r="L938" s="4" t="s">
        <v>2308</v>
      </c>
      <c r="M938" s="4" t="s">
        <v>2308</v>
      </c>
      <c r="N938" s="4" t="s">
        <v>2308</v>
      </c>
      <c r="O938" s="4" t="s">
        <v>2308</v>
      </c>
      <c r="P938" s="4" t="s">
        <v>2308</v>
      </c>
      <c r="Q938" s="4" t="s">
        <v>2308</v>
      </c>
      <c r="R938" s="4" t="s">
        <v>2308</v>
      </c>
      <c r="S938" s="4" t="s">
        <v>2308</v>
      </c>
      <c r="T938" s="4" t="s">
        <v>2308</v>
      </c>
      <c r="U938" s="4" t="s">
        <v>2308</v>
      </c>
      <c r="V938" s="4" t="s">
        <v>2308</v>
      </c>
      <c r="W938" s="4" t="s">
        <v>2308</v>
      </c>
      <c r="X938" s="4" t="s">
        <v>2308</v>
      </c>
      <c r="Y938" s="4" t="s">
        <v>2308</v>
      </c>
      <c r="Z938" s="4" t="s">
        <v>34</v>
      </c>
      <c r="AA938" s="4" t="s">
        <v>34</v>
      </c>
      <c r="AB938" s="4" t="s">
        <v>2688</v>
      </c>
      <c r="AC938" s="4"/>
      <c r="AD938" s="4"/>
    </row>
    <row r="939" spans="1:30" ht="83.5" customHeight="1">
      <c r="A939" s="12" t="s">
        <v>3028</v>
      </c>
      <c r="B939" s="12" t="s">
        <v>3029</v>
      </c>
      <c r="C939" s="4" t="s">
        <v>24</v>
      </c>
      <c r="D939" s="4" t="s">
        <v>25</v>
      </c>
      <c r="E939" s="4" t="s">
        <v>45</v>
      </c>
      <c r="F939" s="5" t="s">
        <v>29</v>
      </c>
      <c r="G939" s="4" t="s">
        <v>2308</v>
      </c>
      <c r="H939" s="4" t="s">
        <v>531</v>
      </c>
      <c r="I939" s="4"/>
      <c r="J939" s="4" t="s">
        <v>2308</v>
      </c>
      <c r="K939" s="4" t="s">
        <v>2308</v>
      </c>
      <c r="L939" s="4" t="s">
        <v>2308</v>
      </c>
      <c r="M939" s="4" t="s">
        <v>2308</v>
      </c>
      <c r="N939" s="4" t="s">
        <v>2308</v>
      </c>
      <c r="O939" s="4" t="s">
        <v>2308</v>
      </c>
      <c r="P939" s="4" t="s">
        <v>2308</v>
      </c>
      <c r="Q939" s="4" t="s">
        <v>2308</v>
      </c>
      <c r="R939" s="4" t="s">
        <v>2308</v>
      </c>
      <c r="S939" s="4" t="s">
        <v>2308</v>
      </c>
      <c r="T939" s="4" t="s">
        <v>2308</v>
      </c>
      <c r="U939" s="4" t="s">
        <v>2308</v>
      </c>
      <c r="V939" s="4" t="s">
        <v>2308</v>
      </c>
      <c r="W939" s="4" t="s">
        <v>2308</v>
      </c>
      <c r="X939" s="4" t="s">
        <v>2308</v>
      </c>
      <c r="Y939" s="4" t="s">
        <v>2308</v>
      </c>
      <c r="Z939" s="4" t="s">
        <v>86</v>
      </c>
      <c r="AA939" s="4" t="s">
        <v>432</v>
      </c>
      <c r="AB939" s="4" t="s">
        <v>64</v>
      </c>
      <c r="AC939" s="5" t="s">
        <v>3058</v>
      </c>
      <c r="AD939" s="5" t="s">
        <v>3064</v>
      </c>
    </row>
    <row r="940" spans="1:30" ht="82.5" customHeight="1">
      <c r="A940" s="12" t="s">
        <v>3028</v>
      </c>
      <c r="B940" s="12" t="s">
        <v>3054</v>
      </c>
      <c r="C940" s="4" t="s">
        <v>24</v>
      </c>
      <c r="D940" s="4" t="s">
        <v>25</v>
      </c>
      <c r="E940" s="4" t="s">
        <v>2680</v>
      </c>
      <c r="F940" s="5" t="s">
        <v>29</v>
      </c>
      <c r="G940" s="4" t="s">
        <v>2308</v>
      </c>
      <c r="H940" s="4" t="s">
        <v>532</v>
      </c>
      <c r="I940" s="4"/>
      <c r="J940" s="22">
        <v>0</v>
      </c>
      <c r="K940" s="22">
        <v>0</v>
      </c>
      <c r="L940" s="22">
        <v>0</v>
      </c>
      <c r="M940" s="22">
        <v>0</v>
      </c>
      <c r="N940" s="22">
        <v>0</v>
      </c>
      <c r="O940" s="22">
        <v>0</v>
      </c>
      <c r="P940" s="22">
        <v>0</v>
      </c>
      <c r="Q940" s="22">
        <v>0</v>
      </c>
      <c r="R940" s="22">
        <v>0</v>
      </c>
      <c r="S940" s="22">
        <v>0</v>
      </c>
      <c r="T940" s="22">
        <v>0</v>
      </c>
      <c r="U940" s="22">
        <v>0</v>
      </c>
      <c r="V940" s="22">
        <v>0</v>
      </c>
      <c r="W940" s="22">
        <v>0</v>
      </c>
      <c r="X940" s="22">
        <v>0</v>
      </c>
      <c r="Y940" s="22">
        <v>0</v>
      </c>
      <c r="Z940" s="4" t="s">
        <v>2308</v>
      </c>
      <c r="AA940" s="4" t="s">
        <v>2308</v>
      </c>
      <c r="AB940" s="4" t="s">
        <v>2308</v>
      </c>
      <c r="AC940" s="5" t="s">
        <v>3059</v>
      </c>
      <c r="AD940" s="4"/>
    </row>
    <row r="941" spans="1:30" ht="44.5" customHeight="1">
      <c r="A941" s="12" t="s">
        <v>3028</v>
      </c>
      <c r="B941" s="12" t="s">
        <v>3055</v>
      </c>
      <c r="C941" s="4" t="s">
        <v>24</v>
      </c>
      <c r="D941" s="4" t="s">
        <v>2263</v>
      </c>
      <c r="E941" s="4" t="s">
        <v>45</v>
      </c>
      <c r="F941" s="5" t="s">
        <v>2695</v>
      </c>
      <c r="G941" s="4" t="s">
        <v>2308</v>
      </c>
      <c r="H941" s="4" t="s">
        <v>531</v>
      </c>
      <c r="I941" s="4"/>
      <c r="J941" s="4" t="s">
        <v>2308</v>
      </c>
      <c r="K941" s="4" t="s">
        <v>2308</v>
      </c>
      <c r="L941" s="4" t="s">
        <v>2308</v>
      </c>
      <c r="M941" s="4" t="s">
        <v>2308</v>
      </c>
      <c r="N941" s="4" t="s">
        <v>2308</v>
      </c>
      <c r="O941" s="4" t="s">
        <v>2308</v>
      </c>
      <c r="P941" s="4" t="s">
        <v>2308</v>
      </c>
      <c r="Q941" s="4" t="s">
        <v>2308</v>
      </c>
      <c r="R941" s="4" t="s">
        <v>2308</v>
      </c>
      <c r="S941" s="4" t="s">
        <v>2308</v>
      </c>
      <c r="T941" s="4" t="s">
        <v>2308</v>
      </c>
      <c r="U941" s="4" t="s">
        <v>2308</v>
      </c>
      <c r="V941" s="4" t="s">
        <v>2308</v>
      </c>
      <c r="W941" s="4" t="s">
        <v>2308</v>
      </c>
      <c r="X941" s="4" t="s">
        <v>2308</v>
      </c>
      <c r="Y941" s="4" t="s">
        <v>2308</v>
      </c>
      <c r="Z941" s="4" t="s">
        <v>86</v>
      </c>
      <c r="AA941" s="4" t="s">
        <v>432</v>
      </c>
      <c r="AB941" s="4" t="s">
        <v>64</v>
      </c>
      <c r="AC941" s="4"/>
      <c r="AD941" s="4"/>
    </row>
    <row r="942" spans="1:30" ht="66" customHeight="1">
      <c r="A942" s="12" t="s">
        <v>3028</v>
      </c>
      <c r="B942" s="12" t="s">
        <v>3056</v>
      </c>
      <c r="C942" s="4" t="s">
        <v>24</v>
      </c>
      <c r="D942" s="4" t="s">
        <v>1264</v>
      </c>
      <c r="E942" s="4" t="s">
        <v>45</v>
      </c>
      <c r="F942" s="5" t="s">
        <v>2308</v>
      </c>
      <c r="G942" s="4" t="s">
        <v>2308</v>
      </c>
      <c r="H942" s="4" t="s">
        <v>531</v>
      </c>
      <c r="I942" s="4"/>
      <c r="J942" s="4" t="s">
        <v>2308</v>
      </c>
      <c r="K942" s="4" t="s">
        <v>2308</v>
      </c>
      <c r="L942" s="4" t="s">
        <v>2308</v>
      </c>
      <c r="M942" s="4" t="s">
        <v>2308</v>
      </c>
      <c r="N942" s="4" t="s">
        <v>2308</v>
      </c>
      <c r="O942" s="4" t="s">
        <v>2308</v>
      </c>
      <c r="P942" s="4" t="s">
        <v>2308</v>
      </c>
      <c r="Q942" s="4" t="s">
        <v>2308</v>
      </c>
      <c r="R942" s="4" t="s">
        <v>2308</v>
      </c>
      <c r="S942" s="4" t="s">
        <v>2308</v>
      </c>
      <c r="T942" s="4" t="s">
        <v>2308</v>
      </c>
      <c r="U942" s="4" t="s">
        <v>2308</v>
      </c>
      <c r="V942" s="4" t="s">
        <v>2308</v>
      </c>
      <c r="W942" s="4" t="s">
        <v>2308</v>
      </c>
      <c r="X942" s="4" t="s">
        <v>2308</v>
      </c>
      <c r="Y942" s="4" t="s">
        <v>2308</v>
      </c>
      <c r="Z942" s="4" t="s">
        <v>86</v>
      </c>
      <c r="AA942" s="4" t="s">
        <v>432</v>
      </c>
      <c r="AB942" s="4" t="s">
        <v>64</v>
      </c>
      <c r="AC942" s="5" t="s">
        <v>3060</v>
      </c>
      <c r="AD942" s="4"/>
    </row>
    <row r="943" spans="1:30" ht="57.5" customHeight="1">
      <c r="A943" s="12" t="s">
        <v>3028</v>
      </c>
      <c r="B943" s="12" t="s">
        <v>3057</v>
      </c>
      <c r="C943" s="4" t="s">
        <v>24</v>
      </c>
      <c r="D943" s="4" t="s">
        <v>27</v>
      </c>
      <c r="E943" s="4" t="s">
        <v>136</v>
      </c>
      <c r="F943" s="5" t="s">
        <v>167</v>
      </c>
      <c r="G943" s="4" t="s">
        <v>2308</v>
      </c>
      <c r="H943" s="4" t="s">
        <v>531</v>
      </c>
      <c r="I943" s="4"/>
      <c r="J943" s="4" t="s">
        <v>2308</v>
      </c>
      <c r="K943" s="4" t="s">
        <v>2308</v>
      </c>
      <c r="L943" s="4" t="s">
        <v>2308</v>
      </c>
      <c r="M943" s="4" t="s">
        <v>2308</v>
      </c>
      <c r="N943" s="4" t="s">
        <v>2308</v>
      </c>
      <c r="O943" s="4" t="s">
        <v>2308</v>
      </c>
      <c r="P943" s="4" t="s">
        <v>2308</v>
      </c>
      <c r="Q943" s="4" t="s">
        <v>2308</v>
      </c>
      <c r="R943" s="4" t="s">
        <v>2308</v>
      </c>
      <c r="S943" s="4" t="s">
        <v>2308</v>
      </c>
      <c r="T943" s="4" t="s">
        <v>2308</v>
      </c>
      <c r="U943" s="4" t="s">
        <v>2308</v>
      </c>
      <c r="V943" s="4" t="s">
        <v>2308</v>
      </c>
      <c r="W943" s="4" t="s">
        <v>2308</v>
      </c>
      <c r="X943" s="4" t="s">
        <v>2308</v>
      </c>
      <c r="Y943" s="4" t="s">
        <v>2308</v>
      </c>
      <c r="Z943" s="4" t="s">
        <v>412</v>
      </c>
      <c r="AA943" s="4" t="s">
        <v>432</v>
      </c>
      <c r="AB943" s="4" t="s">
        <v>64</v>
      </c>
      <c r="AC943" s="5" t="s">
        <v>3065</v>
      </c>
      <c r="AD943" s="5" t="s">
        <v>3064</v>
      </c>
    </row>
    <row r="944" spans="1:30" ht="42.5" customHeight="1">
      <c r="A944" s="12" t="s">
        <v>3028</v>
      </c>
      <c r="B944" s="12" t="s">
        <v>3061</v>
      </c>
      <c r="C944" s="4" t="s">
        <v>2491</v>
      </c>
      <c r="D944" s="4" t="s">
        <v>25</v>
      </c>
      <c r="E944" s="4" t="s">
        <v>45</v>
      </c>
      <c r="F944" s="5" t="s">
        <v>29</v>
      </c>
      <c r="G944" s="4" t="s">
        <v>2308</v>
      </c>
      <c r="H944" s="4" t="s">
        <v>531</v>
      </c>
      <c r="I944" s="4"/>
      <c r="J944" s="4" t="s">
        <v>2308</v>
      </c>
      <c r="K944" s="4" t="s">
        <v>2308</v>
      </c>
      <c r="L944" s="4" t="s">
        <v>2308</v>
      </c>
      <c r="M944" s="4" t="s">
        <v>2308</v>
      </c>
      <c r="N944" s="4" t="s">
        <v>2308</v>
      </c>
      <c r="O944" s="4" t="s">
        <v>2308</v>
      </c>
      <c r="P944" s="4" t="s">
        <v>2308</v>
      </c>
      <c r="Q944" s="4" t="s">
        <v>2308</v>
      </c>
      <c r="R944" s="4" t="s">
        <v>2308</v>
      </c>
      <c r="S944" s="4" t="s">
        <v>2308</v>
      </c>
      <c r="T944" s="4" t="s">
        <v>2308</v>
      </c>
      <c r="U944" s="4" t="s">
        <v>2308</v>
      </c>
      <c r="V944" s="4" t="s">
        <v>2308</v>
      </c>
      <c r="W944" s="4" t="s">
        <v>2308</v>
      </c>
      <c r="X944" s="4" t="s">
        <v>2308</v>
      </c>
      <c r="Y944" s="4" t="s">
        <v>2308</v>
      </c>
      <c r="Z944" s="4" t="s">
        <v>86</v>
      </c>
      <c r="AA944" s="4" t="s">
        <v>432</v>
      </c>
      <c r="AB944" s="4" t="s">
        <v>76</v>
      </c>
      <c r="AC944" s="4" t="s">
        <v>3063</v>
      </c>
      <c r="AD944" s="4"/>
    </row>
    <row r="945" spans="1:30" ht="36.5" customHeight="1">
      <c r="A945" s="12" t="s">
        <v>3070</v>
      </c>
      <c r="B945" s="12" t="s">
        <v>3073</v>
      </c>
      <c r="C945" s="4" t="s">
        <v>24</v>
      </c>
      <c r="D945" s="4" t="s">
        <v>1264</v>
      </c>
      <c r="E945" s="4" t="s">
        <v>2682</v>
      </c>
      <c r="F945" s="5" t="s">
        <v>2695</v>
      </c>
      <c r="G945" s="4" t="s">
        <v>2308</v>
      </c>
      <c r="H945" s="4" t="s">
        <v>531</v>
      </c>
      <c r="I945" s="4"/>
      <c r="J945" s="4" t="s">
        <v>2308</v>
      </c>
      <c r="K945" s="4" t="s">
        <v>2308</v>
      </c>
      <c r="L945" s="4" t="s">
        <v>2308</v>
      </c>
      <c r="M945" s="4" t="s">
        <v>2308</v>
      </c>
      <c r="N945" s="4" t="s">
        <v>2308</v>
      </c>
      <c r="O945" s="4" t="s">
        <v>2308</v>
      </c>
      <c r="P945" s="4" t="s">
        <v>2308</v>
      </c>
      <c r="Q945" s="4" t="s">
        <v>2308</v>
      </c>
      <c r="R945" s="4" t="s">
        <v>2308</v>
      </c>
      <c r="S945" s="4" t="s">
        <v>2308</v>
      </c>
      <c r="T945" s="4" t="s">
        <v>2308</v>
      </c>
      <c r="U945" s="4" t="s">
        <v>2308</v>
      </c>
      <c r="V945" s="4" t="s">
        <v>2308</v>
      </c>
      <c r="W945" s="4" t="s">
        <v>2308</v>
      </c>
      <c r="X945" s="4" t="s">
        <v>2308</v>
      </c>
      <c r="Y945" s="4" t="s">
        <v>2308</v>
      </c>
      <c r="Z945" s="4" t="s">
        <v>68</v>
      </c>
      <c r="AA945" s="4" t="s">
        <v>35</v>
      </c>
      <c r="AB945" s="4" t="s">
        <v>64</v>
      </c>
      <c r="AC945" s="5" t="s">
        <v>3074</v>
      </c>
      <c r="AD945" s="4"/>
    </row>
    <row r="946" spans="1:30" ht="32.5" customHeight="1">
      <c r="A946" s="12" t="s">
        <v>3070</v>
      </c>
      <c r="B946" s="12" t="s">
        <v>3075</v>
      </c>
      <c r="C946" s="4" t="s">
        <v>24</v>
      </c>
      <c r="D946" s="4" t="s">
        <v>25</v>
      </c>
      <c r="E946" s="4" t="s">
        <v>45</v>
      </c>
      <c r="F946" s="5" t="s">
        <v>29</v>
      </c>
      <c r="G946" s="4" t="s">
        <v>2308</v>
      </c>
      <c r="H946" s="4" t="s">
        <v>531</v>
      </c>
      <c r="I946" s="4"/>
      <c r="J946" s="4" t="s">
        <v>2308</v>
      </c>
      <c r="K946" s="4" t="s">
        <v>2308</v>
      </c>
      <c r="L946" s="4" t="s">
        <v>2308</v>
      </c>
      <c r="M946" s="4" t="s">
        <v>2308</v>
      </c>
      <c r="N946" s="4" t="s">
        <v>2308</v>
      </c>
      <c r="O946" s="4" t="s">
        <v>2308</v>
      </c>
      <c r="P946" s="4" t="s">
        <v>2308</v>
      </c>
      <c r="Q946" s="4" t="s">
        <v>2308</v>
      </c>
      <c r="R946" s="4" t="s">
        <v>2308</v>
      </c>
      <c r="S946" s="4" t="s">
        <v>2308</v>
      </c>
      <c r="T946" s="4" t="s">
        <v>2308</v>
      </c>
      <c r="U946" s="4" t="s">
        <v>2308</v>
      </c>
      <c r="V946" s="4" t="s">
        <v>2308</v>
      </c>
      <c r="W946" s="4" t="s">
        <v>2308</v>
      </c>
      <c r="X946" s="4" t="s">
        <v>2308</v>
      </c>
      <c r="Y946" s="4" t="s">
        <v>2308</v>
      </c>
      <c r="Z946" s="4" t="s">
        <v>68</v>
      </c>
      <c r="AA946" s="4" t="s">
        <v>38</v>
      </c>
      <c r="AB946" s="4" t="s">
        <v>2308</v>
      </c>
      <c r="AC946" s="4"/>
      <c r="AD946" s="4"/>
    </row>
    <row r="947" spans="1:30" ht="34" customHeight="1">
      <c r="A947" s="24" t="s">
        <v>3077</v>
      </c>
      <c r="B947" s="24" t="s">
        <v>3082</v>
      </c>
      <c r="C947" s="23" t="s">
        <v>24</v>
      </c>
      <c r="D947" s="23" t="s">
        <v>25</v>
      </c>
      <c r="E947" s="23" t="s">
        <v>45</v>
      </c>
      <c r="F947" s="25" t="s">
        <v>2695</v>
      </c>
      <c r="G947" s="4" t="s">
        <v>2308</v>
      </c>
      <c r="H947" s="4" t="s">
        <v>531</v>
      </c>
      <c r="I947" s="23"/>
      <c r="J947" s="4" t="s">
        <v>2308</v>
      </c>
      <c r="K947" s="4" t="s">
        <v>2308</v>
      </c>
      <c r="L947" s="84">
        <v>10</v>
      </c>
      <c r="M947" s="4" t="s">
        <v>2308</v>
      </c>
      <c r="N947" s="84">
        <v>150</v>
      </c>
      <c r="O947" s="4" t="s">
        <v>2308</v>
      </c>
      <c r="P947" s="4" t="s">
        <v>2308</v>
      </c>
      <c r="Q947" s="4" t="s">
        <v>2308</v>
      </c>
      <c r="R947" s="4" t="s">
        <v>2308</v>
      </c>
      <c r="S947" s="4" t="s">
        <v>2308</v>
      </c>
      <c r="T947" s="4" t="s">
        <v>2308</v>
      </c>
      <c r="U947" s="4" t="s">
        <v>2308</v>
      </c>
      <c r="V947" s="4" t="s">
        <v>2308</v>
      </c>
      <c r="W947" s="4" t="s">
        <v>2308</v>
      </c>
      <c r="X947" s="4" t="s">
        <v>2308</v>
      </c>
      <c r="Y947" s="4" t="s">
        <v>2308</v>
      </c>
      <c r="Z947" s="23" t="s">
        <v>86</v>
      </c>
      <c r="AA947" s="23" t="s">
        <v>34</v>
      </c>
      <c r="AB947" s="23" t="s">
        <v>64</v>
      </c>
      <c r="AC947" s="23" t="s">
        <v>3093</v>
      </c>
      <c r="AD947" s="23"/>
    </row>
    <row r="948" spans="1:30" ht="34.5" customHeight="1">
      <c r="A948" s="24" t="s">
        <v>3077</v>
      </c>
      <c r="B948" s="24" t="s">
        <v>3083</v>
      </c>
      <c r="C948" s="23" t="s">
        <v>24</v>
      </c>
      <c r="D948" s="23" t="s">
        <v>25</v>
      </c>
      <c r="E948" s="23" t="s">
        <v>45</v>
      </c>
      <c r="F948" s="25" t="s">
        <v>55</v>
      </c>
      <c r="G948" s="4" t="s">
        <v>2308</v>
      </c>
      <c r="H948" s="4" t="s">
        <v>531</v>
      </c>
      <c r="I948" s="23"/>
      <c r="J948" s="4" t="s">
        <v>2308</v>
      </c>
      <c r="K948" s="4" t="s">
        <v>2308</v>
      </c>
      <c r="L948" s="84">
        <v>10</v>
      </c>
      <c r="M948" s="4" t="s">
        <v>2308</v>
      </c>
      <c r="N948" s="84">
        <v>150</v>
      </c>
      <c r="O948" s="4" t="s">
        <v>2308</v>
      </c>
      <c r="P948" s="4" t="s">
        <v>2308</v>
      </c>
      <c r="Q948" s="4" t="s">
        <v>2308</v>
      </c>
      <c r="R948" s="4" t="s">
        <v>2308</v>
      </c>
      <c r="S948" s="4" t="s">
        <v>2308</v>
      </c>
      <c r="T948" s="4" t="s">
        <v>2308</v>
      </c>
      <c r="U948" s="4" t="s">
        <v>2308</v>
      </c>
      <c r="V948" s="4" t="s">
        <v>2308</v>
      </c>
      <c r="W948" s="4" t="s">
        <v>2308</v>
      </c>
      <c r="X948" s="4" t="s">
        <v>2308</v>
      </c>
      <c r="Y948" s="4" t="s">
        <v>2308</v>
      </c>
      <c r="Z948" s="23" t="s">
        <v>86</v>
      </c>
      <c r="AA948" s="23" t="s">
        <v>34</v>
      </c>
      <c r="AB948" s="23" t="s">
        <v>64</v>
      </c>
      <c r="AC948" s="23" t="s">
        <v>3092</v>
      </c>
      <c r="AD948" s="23"/>
    </row>
    <row r="949" spans="1:30" ht="38.5" customHeight="1">
      <c r="A949" s="24" t="s">
        <v>3077</v>
      </c>
      <c r="B949" s="24" t="s">
        <v>3084</v>
      </c>
      <c r="C949" s="23" t="s">
        <v>24</v>
      </c>
      <c r="D949" s="23" t="s">
        <v>25</v>
      </c>
      <c r="E949" s="23" t="s">
        <v>45</v>
      </c>
      <c r="F949" s="25" t="s">
        <v>55</v>
      </c>
      <c r="G949" s="4" t="s">
        <v>2308</v>
      </c>
      <c r="H949" s="4" t="s">
        <v>531</v>
      </c>
      <c r="I949" s="23"/>
      <c r="J949" s="4" t="s">
        <v>2308</v>
      </c>
      <c r="K949" s="4" t="s">
        <v>2308</v>
      </c>
      <c r="L949" s="84">
        <v>10</v>
      </c>
      <c r="M949" s="4" t="s">
        <v>2308</v>
      </c>
      <c r="N949" s="84">
        <v>150</v>
      </c>
      <c r="O949" s="4" t="s">
        <v>2308</v>
      </c>
      <c r="P949" s="4" t="s">
        <v>2308</v>
      </c>
      <c r="Q949" s="4" t="s">
        <v>2308</v>
      </c>
      <c r="R949" s="4" t="s">
        <v>2308</v>
      </c>
      <c r="S949" s="4" t="s">
        <v>2308</v>
      </c>
      <c r="T949" s="4" t="s">
        <v>2308</v>
      </c>
      <c r="U949" s="4" t="s">
        <v>2308</v>
      </c>
      <c r="V949" s="4" t="s">
        <v>2308</v>
      </c>
      <c r="W949" s="4" t="s">
        <v>2308</v>
      </c>
      <c r="X949" s="4" t="s">
        <v>2308</v>
      </c>
      <c r="Y949" s="4" t="s">
        <v>2308</v>
      </c>
      <c r="Z949" s="23" t="s">
        <v>411</v>
      </c>
      <c r="AA949" s="23" t="s">
        <v>412</v>
      </c>
      <c r="AB949" s="23" t="s">
        <v>64</v>
      </c>
      <c r="AC949" s="23" t="s">
        <v>3092</v>
      </c>
      <c r="AD949" s="23"/>
    </row>
    <row r="950" spans="1:30" ht="38.5" customHeight="1">
      <c r="A950" s="24" t="s">
        <v>3077</v>
      </c>
      <c r="B950" s="24" t="s">
        <v>3085</v>
      </c>
      <c r="C950" s="23" t="s">
        <v>24</v>
      </c>
      <c r="D950" s="23" t="s">
        <v>25</v>
      </c>
      <c r="E950" s="23" t="s">
        <v>45</v>
      </c>
      <c r="F950" s="25" t="s">
        <v>29</v>
      </c>
      <c r="G950" s="4" t="s">
        <v>2308</v>
      </c>
      <c r="H950" s="4" t="s">
        <v>531</v>
      </c>
      <c r="I950" s="23"/>
      <c r="J950" s="4" t="s">
        <v>2308</v>
      </c>
      <c r="K950" s="4" t="s">
        <v>2308</v>
      </c>
      <c r="L950" s="84">
        <v>10</v>
      </c>
      <c r="M950" s="4" t="s">
        <v>2308</v>
      </c>
      <c r="N950" s="84">
        <v>150</v>
      </c>
      <c r="O950" s="4" t="s">
        <v>2308</v>
      </c>
      <c r="P950" s="4" t="s">
        <v>2308</v>
      </c>
      <c r="Q950" s="4" t="s">
        <v>2308</v>
      </c>
      <c r="R950" s="4" t="s">
        <v>2308</v>
      </c>
      <c r="S950" s="4" t="s">
        <v>2308</v>
      </c>
      <c r="T950" s="4" t="s">
        <v>2308</v>
      </c>
      <c r="U950" s="4" t="s">
        <v>2308</v>
      </c>
      <c r="V950" s="4" t="s">
        <v>2308</v>
      </c>
      <c r="W950" s="4" t="s">
        <v>2308</v>
      </c>
      <c r="X950" s="4" t="s">
        <v>2308</v>
      </c>
      <c r="Y950" s="4" t="s">
        <v>2308</v>
      </c>
      <c r="Z950" s="23" t="s">
        <v>412</v>
      </c>
      <c r="AA950" s="23" t="s">
        <v>432</v>
      </c>
      <c r="AB950" s="23" t="s">
        <v>76</v>
      </c>
      <c r="AC950" s="25" t="s">
        <v>3111</v>
      </c>
      <c r="AD950" s="23"/>
    </row>
    <row r="951" spans="1:30" ht="92" customHeight="1">
      <c r="A951" s="24" t="s">
        <v>3077</v>
      </c>
      <c r="B951" s="24" t="s">
        <v>3086</v>
      </c>
      <c r="C951" s="23" t="s">
        <v>24</v>
      </c>
      <c r="D951" s="23" t="s">
        <v>25</v>
      </c>
      <c r="E951" s="23" t="s">
        <v>45</v>
      </c>
      <c r="F951" s="25" t="s">
        <v>29</v>
      </c>
      <c r="G951" s="4" t="s">
        <v>2308</v>
      </c>
      <c r="H951" s="4" t="s">
        <v>531</v>
      </c>
      <c r="I951" s="23"/>
      <c r="J951" s="4" t="s">
        <v>2308</v>
      </c>
      <c r="K951" s="4" t="s">
        <v>2308</v>
      </c>
      <c r="L951" s="4" t="s">
        <v>2308</v>
      </c>
      <c r="M951" s="4" t="s">
        <v>2308</v>
      </c>
      <c r="N951" s="4" t="s">
        <v>2308</v>
      </c>
      <c r="O951" s="4" t="s">
        <v>2308</v>
      </c>
      <c r="P951" s="4" t="s">
        <v>2308</v>
      </c>
      <c r="Q951" s="4" t="s">
        <v>2308</v>
      </c>
      <c r="R951" s="4" t="s">
        <v>2308</v>
      </c>
      <c r="S951" s="4" t="s">
        <v>2308</v>
      </c>
      <c r="T951" s="4" t="s">
        <v>2308</v>
      </c>
      <c r="U951" s="4" t="s">
        <v>2308</v>
      </c>
      <c r="V951" s="4" t="s">
        <v>2308</v>
      </c>
      <c r="W951" s="4" t="s">
        <v>2308</v>
      </c>
      <c r="X951" s="4" t="s">
        <v>2308</v>
      </c>
      <c r="Y951" s="4" t="s">
        <v>2308</v>
      </c>
      <c r="Z951" s="23" t="s">
        <v>68</v>
      </c>
      <c r="AA951" s="23" t="s">
        <v>35</v>
      </c>
      <c r="AB951" s="23" t="s">
        <v>64</v>
      </c>
      <c r="AC951" s="25" t="s">
        <v>3089</v>
      </c>
      <c r="AD951" s="23" t="s">
        <v>3112</v>
      </c>
    </row>
    <row r="952" spans="1:30" ht="62" customHeight="1">
      <c r="A952" s="24" t="s">
        <v>3077</v>
      </c>
      <c r="B952" s="24" t="s">
        <v>3087</v>
      </c>
      <c r="C952" s="23" t="s">
        <v>24</v>
      </c>
      <c r="D952" s="23" t="s">
        <v>1264</v>
      </c>
      <c r="E952" s="23" t="s">
        <v>45</v>
      </c>
      <c r="F952" s="25" t="s">
        <v>2695</v>
      </c>
      <c r="G952" s="4" t="s">
        <v>2308</v>
      </c>
      <c r="H952" s="4" t="s">
        <v>531</v>
      </c>
      <c r="I952" s="23"/>
      <c r="J952" s="4" t="s">
        <v>2308</v>
      </c>
      <c r="K952" s="4" t="s">
        <v>2308</v>
      </c>
      <c r="L952" s="84">
        <v>10</v>
      </c>
      <c r="M952" s="4" t="s">
        <v>2308</v>
      </c>
      <c r="N952" s="84">
        <v>150</v>
      </c>
      <c r="O952" s="4" t="s">
        <v>2308</v>
      </c>
      <c r="P952" s="4" t="s">
        <v>2308</v>
      </c>
      <c r="Q952" s="4" t="s">
        <v>2308</v>
      </c>
      <c r="R952" s="4" t="s">
        <v>2308</v>
      </c>
      <c r="S952" s="4" t="s">
        <v>2308</v>
      </c>
      <c r="T952" s="4" t="s">
        <v>2308</v>
      </c>
      <c r="U952" s="4" t="s">
        <v>2308</v>
      </c>
      <c r="V952" s="4" t="s">
        <v>2308</v>
      </c>
      <c r="W952" s="4" t="s">
        <v>2308</v>
      </c>
      <c r="X952" s="4" t="s">
        <v>2308</v>
      </c>
      <c r="Y952" s="4" t="s">
        <v>2308</v>
      </c>
      <c r="Z952" s="23" t="s">
        <v>68</v>
      </c>
      <c r="AA952" s="23" t="s">
        <v>35</v>
      </c>
      <c r="AB952" s="23" t="s">
        <v>64</v>
      </c>
      <c r="AC952" s="25" t="s">
        <v>3088</v>
      </c>
      <c r="AD952" s="23"/>
    </row>
    <row r="953" spans="1:30" ht="51.5" customHeight="1">
      <c r="A953" s="24" t="s">
        <v>3077</v>
      </c>
      <c r="B953" s="24" t="s">
        <v>3090</v>
      </c>
      <c r="C953" s="23" t="s">
        <v>2491</v>
      </c>
      <c r="D953" s="23" t="s">
        <v>25</v>
      </c>
      <c r="E953" s="23" t="s">
        <v>45</v>
      </c>
      <c r="F953" s="25" t="s">
        <v>55</v>
      </c>
      <c r="G953" s="4" t="s">
        <v>2308</v>
      </c>
      <c r="H953" s="4" t="s">
        <v>531</v>
      </c>
      <c r="I953" s="23"/>
      <c r="J953" s="4" t="s">
        <v>2308</v>
      </c>
      <c r="K953" s="4" t="s">
        <v>2308</v>
      </c>
      <c r="L953" s="4" t="s">
        <v>2308</v>
      </c>
      <c r="M953" s="4" t="s">
        <v>2308</v>
      </c>
      <c r="N953" s="4" t="s">
        <v>2308</v>
      </c>
      <c r="O953" s="4" t="s">
        <v>2308</v>
      </c>
      <c r="P953" s="4" t="s">
        <v>2308</v>
      </c>
      <c r="Q953" s="4" t="s">
        <v>2308</v>
      </c>
      <c r="R953" s="4" t="s">
        <v>2308</v>
      </c>
      <c r="S953" s="4" t="s">
        <v>2308</v>
      </c>
      <c r="T953" s="4" t="s">
        <v>2308</v>
      </c>
      <c r="U953" s="4" t="s">
        <v>2308</v>
      </c>
      <c r="V953" s="4" t="s">
        <v>2308</v>
      </c>
      <c r="W953" s="4" t="s">
        <v>2308</v>
      </c>
      <c r="X953" s="4" t="s">
        <v>2308</v>
      </c>
      <c r="Y953" s="4" t="s">
        <v>2308</v>
      </c>
      <c r="Z953" s="23" t="s">
        <v>412</v>
      </c>
      <c r="AA953" s="23" t="s">
        <v>432</v>
      </c>
      <c r="AB953" s="23" t="s">
        <v>76</v>
      </c>
      <c r="AC953" s="25" t="s">
        <v>3091</v>
      </c>
      <c r="AD953" s="23"/>
    </row>
    <row r="954" spans="1:30" ht="36.5" customHeight="1">
      <c r="A954" s="24" t="s">
        <v>3078</v>
      </c>
      <c r="B954" s="24" t="s">
        <v>3098</v>
      </c>
      <c r="C954" s="23" t="s">
        <v>24</v>
      </c>
      <c r="D954" s="23" t="s">
        <v>25</v>
      </c>
      <c r="E954" s="23" t="s">
        <v>45</v>
      </c>
      <c r="F954" s="25" t="s">
        <v>2695</v>
      </c>
      <c r="G954" s="4" t="s">
        <v>2308</v>
      </c>
      <c r="H954" s="4" t="s">
        <v>531</v>
      </c>
      <c r="I954" s="23"/>
      <c r="J954" s="4" t="s">
        <v>2308</v>
      </c>
      <c r="K954" s="4" t="s">
        <v>2308</v>
      </c>
      <c r="L954" s="84">
        <v>10</v>
      </c>
      <c r="M954" s="4" t="s">
        <v>2308</v>
      </c>
      <c r="N954" s="84">
        <v>150</v>
      </c>
      <c r="O954" s="4" t="s">
        <v>2308</v>
      </c>
      <c r="P954" s="4" t="s">
        <v>2308</v>
      </c>
      <c r="Q954" s="4" t="s">
        <v>2308</v>
      </c>
      <c r="R954" s="4" t="s">
        <v>2308</v>
      </c>
      <c r="S954" s="4" t="s">
        <v>2308</v>
      </c>
      <c r="T954" s="4" t="s">
        <v>2308</v>
      </c>
      <c r="U954" s="4" t="s">
        <v>2308</v>
      </c>
      <c r="V954" s="4" t="s">
        <v>2308</v>
      </c>
      <c r="W954" s="4" t="s">
        <v>2308</v>
      </c>
      <c r="X954" s="4" t="s">
        <v>2308</v>
      </c>
      <c r="Y954" s="4" t="s">
        <v>2308</v>
      </c>
      <c r="Z954" s="23" t="s">
        <v>86</v>
      </c>
      <c r="AA954" s="23" t="s">
        <v>34</v>
      </c>
      <c r="AB954" s="23" t="s">
        <v>64</v>
      </c>
      <c r="AC954" s="23" t="s">
        <v>3093</v>
      </c>
      <c r="AD954" s="23"/>
    </row>
    <row r="955" spans="1:30" ht="37" customHeight="1">
      <c r="A955" s="24" t="s">
        <v>3078</v>
      </c>
      <c r="B955" s="24" t="s">
        <v>3099</v>
      </c>
      <c r="C955" s="23" t="s">
        <v>24</v>
      </c>
      <c r="D955" s="23" t="s">
        <v>25</v>
      </c>
      <c r="E955" s="23" t="s">
        <v>45</v>
      </c>
      <c r="F955" s="25" t="s">
        <v>55</v>
      </c>
      <c r="G955" s="4" t="s">
        <v>2308</v>
      </c>
      <c r="H955" s="4" t="s">
        <v>531</v>
      </c>
      <c r="I955" s="23"/>
      <c r="J955" s="4" t="s">
        <v>2308</v>
      </c>
      <c r="K955" s="4" t="s">
        <v>2308</v>
      </c>
      <c r="L955" s="84">
        <v>10</v>
      </c>
      <c r="M955" s="4" t="s">
        <v>2308</v>
      </c>
      <c r="N955" s="84">
        <v>150</v>
      </c>
      <c r="O955" s="4" t="s">
        <v>2308</v>
      </c>
      <c r="P955" s="4" t="s">
        <v>2308</v>
      </c>
      <c r="Q955" s="4" t="s">
        <v>2308</v>
      </c>
      <c r="R955" s="4" t="s">
        <v>2308</v>
      </c>
      <c r="S955" s="4" t="s">
        <v>2308</v>
      </c>
      <c r="T955" s="4" t="s">
        <v>2308</v>
      </c>
      <c r="U955" s="4" t="s">
        <v>2308</v>
      </c>
      <c r="V955" s="4" t="s">
        <v>2308</v>
      </c>
      <c r="W955" s="4" t="s">
        <v>2308</v>
      </c>
      <c r="X955" s="4" t="s">
        <v>2308</v>
      </c>
      <c r="Y955" s="4" t="s">
        <v>2308</v>
      </c>
      <c r="Z955" s="23" t="s">
        <v>86</v>
      </c>
      <c r="AA955" s="23" t="s">
        <v>34</v>
      </c>
      <c r="AB955" s="23" t="s">
        <v>64</v>
      </c>
      <c r="AC955" s="23" t="s">
        <v>3092</v>
      </c>
      <c r="AD955" s="23"/>
    </row>
    <row r="956" spans="1:30" ht="50" customHeight="1">
      <c r="A956" s="24" t="s">
        <v>3078</v>
      </c>
      <c r="B956" s="24" t="s">
        <v>3100</v>
      </c>
      <c r="C956" s="23" t="s">
        <v>24</v>
      </c>
      <c r="D956" s="23" t="s">
        <v>25</v>
      </c>
      <c r="E956" s="23" t="s">
        <v>45</v>
      </c>
      <c r="F956" s="25" t="s">
        <v>55</v>
      </c>
      <c r="G956" s="4" t="s">
        <v>2308</v>
      </c>
      <c r="H956" s="4" t="s">
        <v>531</v>
      </c>
      <c r="I956" s="23"/>
      <c r="J956" s="4" t="s">
        <v>2308</v>
      </c>
      <c r="K956" s="4" t="s">
        <v>2308</v>
      </c>
      <c r="L956" s="84">
        <v>10</v>
      </c>
      <c r="M956" s="4" t="s">
        <v>2308</v>
      </c>
      <c r="N956" s="84">
        <v>150</v>
      </c>
      <c r="O956" s="4" t="s">
        <v>2308</v>
      </c>
      <c r="P956" s="4" t="s">
        <v>2308</v>
      </c>
      <c r="Q956" s="4" t="s">
        <v>2308</v>
      </c>
      <c r="R956" s="4" t="s">
        <v>2308</v>
      </c>
      <c r="S956" s="4" t="s">
        <v>2308</v>
      </c>
      <c r="T956" s="4" t="s">
        <v>2308</v>
      </c>
      <c r="U956" s="4" t="s">
        <v>2308</v>
      </c>
      <c r="V956" s="4" t="s">
        <v>2308</v>
      </c>
      <c r="W956" s="4" t="s">
        <v>2308</v>
      </c>
      <c r="X956" s="4" t="s">
        <v>2308</v>
      </c>
      <c r="Y956" s="4" t="s">
        <v>2308</v>
      </c>
      <c r="Z956" s="23" t="s">
        <v>411</v>
      </c>
      <c r="AA956" s="23" t="s">
        <v>412</v>
      </c>
      <c r="AB956" s="23" t="s">
        <v>64</v>
      </c>
      <c r="AC956" s="23" t="s">
        <v>3092</v>
      </c>
      <c r="AD956" s="23"/>
    </row>
    <row r="957" spans="1:30" ht="90" customHeight="1">
      <c r="A957" s="24" t="s">
        <v>3078</v>
      </c>
      <c r="B957" s="24" t="s">
        <v>3101</v>
      </c>
      <c r="C957" s="23" t="s">
        <v>24</v>
      </c>
      <c r="D957" s="23" t="s">
        <v>25</v>
      </c>
      <c r="E957" s="23" t="s">
        <v>45</v>
      </c>
      <c r="F957" s="25" t="s">
        <v>29</v>
      </c>
      <c r="G957" s="4" t="s">
        <v>2308</v>
      </c>
      <c r="H957" s="4" t="s">
        <v>531</v>
      </c>
      <c r="I957" s="23"/>
      <c r="J957" s="4" t="s">
        <v>2308</v>
      </c>
      <c r="K957" s="4" t="s">
        <v>2308</v>
      </c>
      <c r="L957" s="84">
        <v>10</v>
      </c>
      <c r="M957" s="4" t="s">
        <v>2308</v>
      </c>
      <c r="N957" s="84">
        <v>150</v>
      </c>
      <c r="O957" s="4" t="s">
        <v>2308</v>
      </c>
      <c r="P957" s="4" t="s">
        <v>2308</v>
      </c>
      <c r="Q957" s="4" t="s">
        <v>2308</v>
      </c>
      <c r="R957" s="4" t="s">
        <v>2308</v>
      </c>
      <c r="S957" s="4" t="s">
        <v>2308</v>
      </c>
      <c r="T957" s="4" t="s">
        <v>2308</v>
      </c>
      <c r="U957" s="4" t="s">
        <v>2308</v>
      </c>
      <c r="V957" s="4" t="s">
        <v>2308</v>
      </c>
      <c r="W957" s="4" t="s">
        <v>2308</v>
      </c>
      <c r="X957" s="4" t="s">
        <v>2308</v>
      </c>
      <c r="Y957" s="4" t="s">
        <v>2308</v>
      </c>
      <c r="Z957" s="23" t="s">
        <v>412</v>
      </c>
      <c r="AA957" s="23" t="s">
        <v>432</v>
      </c>
      <c r="AB957" s="23" t="s">
        <v>64</v>
      </c>
      <c r="AC957" s="25" t="s">
        <v>3111</v>
      </c>
      <c r="AD957" s="23"/>
    </row>
    <row r="958" spans="1:30" ht="90" customHeight="1">
      <c r="A958" s="24" t="s">
        <v>3078</v>
      </c>
      <c r="B958" s="24" t="s">
        <v>3102</v>
      </c>
      <c r="C958" s="23" t="s">
        <v>24</v>
      </c>
      <c r="D958" s="23" t="s">
        <v>25</v>
      </c>
      <c r="E958" s="23" t="s">
        <v>45</v>
      </c>
      <c r="F958" s="25" t="s">
        <v>29</v>
      </c>
      <c r="G958" s="4" t="s">
        <v>2308</v>
      </c>
      <c r="H958" s="4" t="s">
        <v>531</v>
      </c>
      <c r="I958" s="23"/>
      <c r="J958" s="4" t="s">
        <v>2308</v>
      </c>
      <c r="K958" s="4" t="s">
        <v>2308</v>
      </c>
      <c r="L958" s="4" t="s">
        <v>2308</v>
      </c>
      <c r="M958" s="4" t="s">
        <v>2308</v>
      </c>
      <c r="N958" s="4" t="s">
        <v>2308</v>
      </c>
      <c r="O958" s="4" t="s">
        <v>2308</v>
      </c>
      <c r="P958" s="4" t="s">
        <v>2308</v>
      </c>
      <c r="Q958" s="4" t="s">
        <v>2308</v>
      </c>
      <c r="R958" s="4" t="s">
        <v>2308</v>
      </c>
      <c r="S958" s="4" t="s">
        <v>2308</v>
      </c>
      <c r="T958" s="4" t="s">
        <v>2308</v>
      </c>
      <c r="U958" s="4" t="s">
        <v>2308</v>
      </c>
      <c r="V958" s="4" t="s">
        <v>2308</v>
      </c>
      <c r="W958" s="4" t="s">
        <v>2308</v>
      </c>
      <c r="X958" s="4" t="s">
        <v>2308</v>
      </c>
      <c r="Y958" s="4" t="s">
        <v>2308</v>
      </c>
      <c r="Z958" s="23" t="s">
        <v>68</v>
      </c>
      <c r="AA958" s="23" t="s">
        <v>35</v>
      </c>
      <c r="AB958" s="23" t="s">
        <v>64</v>
      </c>
      <c r="AC958" s="25" t="s">
        <v>3089</v>
      </c>
      <c r="AD958" s="23" t="s">
        <v>3112</v>
      </c>
    </row>
    <row r="959" spans="1:30" ht="44.5" customHeight="1">
      <c r="A959" s="24" t="s">
        <v>3078</v>
      </c>
      <c r="B959" s="24" t="s">
        <v>3103</v>
      </c>
      <c r="C959" s="23" t="s">
        <v>24</v>
      </c>
      <c r="D959" s="23" t="s">
        <v>1264</v>
      </c>
      <c r="E959" s="23" t="s">
        <v>45</v>
      </c>
      <c r="F959" s="25" t="s">
        <v>2695</v>
      </c>
      <c r="G959" s="4" t="s">
        <v>2308</v>
      </c>
      <c r="H959" s="4" t="s">
        <v>531</v>
      </c>
      <c r="I959" s="23"/>
      <c r="J959" s="4" t="s">
        <v>2308</v>
      </c>
      <c r="K959" s="4" t="s">
        <v>2308</v>
      </c>
      <c r="L959" s="84">
        <v>10</v>
      </c>
      <c r="M959" s="4" t="s">
        <v>2308</v>
      </c>
      <c r="N959" s="84">
        <v>150</v>
      </c>
      <c r="O959" s="4" t="s">
        <v>2308</v>
      </c>
      <c r="P959" s="4" t="s">
        <v>2308</v>
      </c>
      <c r="Q959" s="4" t="s">
        <v>2308</v>
      </c>
      <c r="R959" s="4" t="s">
        <v>2308</v>
      </c>
      <c r="S959" s="4" t="s">
        <v>2308</v>
      </c>
      <c r="T959" s="4" t="s">
        <v>2308</v>
      </c>
      <c r="U959" s="4" t="s">
        <v>2308</v>
      </c>
      <c r="V959" s="4" t="s">
        <v>2308</v>
      </c>
      <c r="W959" s="4" t="s">
        <v>2308</v>
      </c>
      <c r="X959" s="4" t="s">
        <v>2308</v>
      </c>
      <c r="Y959" s="4" t="s">
        <v>2308</v>
      </c>
      <c r="Z959" s="23" t="s">
        <v>68</v>
      </c>
      <c r="AA959" s="23" t="s">
        <v>35</v>
      </c>
      <c r="AB959" s="23" t="s">
        <v>64</v>
      </c>
      <c r="AC959" s="25" t="s">
        <v>3088</v>
      </c>
      <c r="AD959" s="23"/>
    </row>
    <row r="960" spans="1:30" ht="48" customHeight="1">
      <c r="A960" s="24" t="s">
        <v>3078</v>
      </c>
      <c r="B960" s="24" t="s">
        <v>3104</v>
      </c>
      <c r="C960" s="23" t="s">
        <v>2491</v>
      </c>
      <c r="D960" s="23" t="s">
        <v>25</v>
      </c>
      <c r="E960" s="23" t="s">
        <v>45</v>
      </c>
      <c r="F960" s="25" t="s">
        <v>55</v>
      </c>
      <c r="G960" s="4" t="s">
        <v>2308</v>
      </c>
      <c r="H960" s="4" t="s">
        <v>531</v>
      </c>
      <c r="I960" s="23"/>
      <c r="J960" s="4" t="s">
        <v>2308</v>
      </c>
      <c r="K960" s="4" t="s">
        <v>2308</v>
      </c>
      <c r="L960" s="4" t="s">
        <v>2308</v>
      </c>
      <c r="M960" s="4" t="s">
        <v>2308</v>
      </c>
      <c r="N960" s="4" t="s">
        <v>2308</v>
      </c>
      <c r="O960" s="4" t="s">
        <v>2308</v>
      </c>
      <c r="P960" s="4" t="s">
        <v>2308</v>
      </c>
      <c r="Q960" s="4" t="s">
        <v>2308</v>
      </c>
      <c r="R960" s="4" t="s">
        <v>2308</v>
      </c>
      <c r="S960" s="4" t="s">
        <v>2308</v>
      </c>
      <c r="T960" s="4" t="s">
        <v>2308</v>
      </c>
      <c r="U960" s="4" t="s">
        <v>2308</v>
      </c>
      <c r="V960" s="4" t="s">
        <v>2308</v>
      </c>
      <c r="W960" s="4" t="s">
        <v>2308</v>
      </c>
      <c r="X960" s="4" t="s">
        <v>2308</v>
      </c>
      <c r="Y960" s="4" t="s">
        <v>2308</v>
      </c>
      <c r="Z960" s="23" t="s">
        <v>412</v>
      </c>
      <c r="AA960" s="23" t="s">
        <v>68</v>
      </c>
      <c r="AB960" s="23" t="s">
        <v>64</v>
      </c>
      <c r="AC960" s="25" t="s">
        <v>3091</v>
      </c>
      <c r="AD960" s="23"/>
    </row>
    <row r="961" spans="1:30" ht="41.5" customHeight="1">
      <c r="A961" s="24" t="s">
        <v>3095</v>
      </c>
      <c r="B961" s="24" t="s">
        <v>3105</v>
      </c>
      <c r="C961" s="23" t="s">
        <v>24</v>
      </c>
      <c r="D961" s="23" t="s">
        <v>1264</v>
      </c>
      <c r="E961" s="23" t="s">
        <v>143</v>
      </c>
      <c r="F961" s="25" t="s">
        <v>2695</v>
      </c>
      <c r="G961" s="4" t="s">
        <v>2308</v>
      </c>
      <c r="H961" s="161" t="s">
        <v>532</v>
      </c>
      <c r="I961" s="23"/>
      <c r="J961" s="84">
        <v>0</v>
      </c>
      <c r="K961" s="84">
        <v>0</v>
      </c>
      <c r="L961" s="84">
        <v>0</v>
      </c>
      <c r="M961" s="84">
        <v>0</v>
      </c>
      <c r="N961" s="84">
        <v>0</v>
      </c>
      <c r="O961" s="84">
        <v>0</v>
      </c>
      <c r="P961" s="84">
        <v>0</v>
      </c>
      <c r="Q961" s="84">
        <v>0</v>
      </c>
      <c r="R961" s="84">
        <v>0</v>
      </c>
      <c r="S961" s="84">
        <v>0</v>
      </c>
      <c r="T961" s="84">
        <v>0</v>
      </c>
      <c r="U961" s="84">
        <v>0</v>
      </c>
      <c r="V961" s="84">
        <v>0</v>
      </c>
      <c r="W961" s="84">
        <v>0</v>
      </c>
      <c r="X961" s="84">
        <v>0</v>
      </c>
      <c r="Y961" s="84">
        <v>0</v>
      </c>
      <c r="Z961" s="23" t="s">
        <v>406</v>
      </c>
      <c r="AA961" s="23" t="s">
        <v>133</v>
      </c>
      <c r="AB961" s="23" t="s">
        <v>2308</v>
      </c>
      <c r="AC961" s="23" t="s">
        <v>3107</v>
      </c>
      <c r="AD961" s="23"/>
    </row>
    <row r="962" spans="1:30" ht="44.5" customHeight="1">
      <c r="A962" s="24" t="s">
        <v>3095</v>
      </c>
      <c r="B962" s="24" t="s">
        <v>3106</v>
      </c>
      <c r="C962" s="23" t="s">
        <v>1125</v>
      </c>
      <c r="D962" s="23" t="s">
        <v>1125</v>
      </c>
      <c r="E962" s="23" t="s">
        <v>1125</v>
      </c>
      <c r="F962" s="25" t="s">
        <v>2695</v>
      </c>
      <c r="G962" s="4" t="s">
        <v>2308</v>
      </c>
      <c r="H962" s="4" t="s">
        <v>531</v>
      </c>
      <c r="I962" s="162">
        <v>2014</v>
      </c>
      <c r="J962" s="4" t="s">
        <v>2308</v>
      </c>
      <c r="K962" s="4" t="s">
        <v>2308</v>
      </c>
      <c r="L962" s="4" t="s">
        <v>2308</v>
      </c>
      <c r="M962" s="4" t="s">
        <v>2308</v>
      </c>
      <c r="N962" s="4" t="s">
        <v>2308</v>
      </c>
      <c r="O962" s="4" t="s">
        <v>2308</v>
      </c>
      <c r="P962" s="4" t="s">
        <v>2308</v>
      </c>
      <c r="Q962" s="4" t="s">
        <v>2308</v>
      </c>
      <c r="R962" s="4" t="s">
        <v>2308</v>
      </c>
      <c r="S962" s="4" t="s">
        <v>2308</v>
      </c>
      <c r="T962" s="4" t="s">
        <v>2308</v>
      </c>
      <c r="U962" s="4" t="s">
        <v>2308</v>
      </c>
      <c r="V962" s="4" t="s">
        <v>2308</v>
      </c>
      <c r="W962" s="4" t="s">
        <v>2308</v>
      </c>
      <c r="X962" s="4" t="s">
        <v>2308</v>
      </c>
      <c r="Y962" s="4" t="s">
        <v>2308</v>
      </c>
      <c r="Z962" s="23" t="s">
        <v>86</v>
      </c>
      <c r="AA962" s="23" t="s">
        <v>34</v>
      </c>
      <c r="AB962" s="23" t="s">
        <v>64</v>
      </c>
      <c r="AC962" s="25"/>
      <c r="AD962" s="25" t="s">
        <v>3118</v>
      </c>
    </row>
    <row r="963" spans="1:30" ht="53.5" customHeight="1">
      <c r="A963" s="24" t="s">
        <v>3095</v>
      </c>
      <c r="B963" s="24" t="s">
        <v>3110</v>
      </c>
      <c r="C963" s="23" t="s">
        <v>1125</v>
      </c>
      <c r="D963" s="23" t="s">
        <v>1125</v>
      </c>
      <c r="E963" s="23" t="s">
        <v>1125</v>
      </c>
      <c r="F963" s="25" t="s">
        <v>2695</v>
      </c>
      <c r="G963" s="4" t="s">
        <v>2308</v>
      </c>
      <c r="H963" s="4" t="s">
        <v>531</v>
      </c>
      <c r="I963" s="162">
        <v>2014</v>
      </c>
      <c r="J963" s="4" t="s">
        <v>2308</v>
      </c>
      <c r="K963" s="4" t="s">
        <v>2308</v>
      </c>
      <c r="L963" s="4" t="s">
        <v>2308</v>
      </c>
      <c r="M963" s="4" t="s">
        <v>2308</v>
      </c>
      <c r="N963" s="4" t="s">
        <v>2308</v>
      </c>
      <c r="O963" s="4" t="s">
        <v>2308</v>
      </c>
      <c r="P963" s="4" t="s">
        <v>2308</v>
      </c>
      <c r="Q963" s="4" t="s">
        <v>2308</v>
      </c>
      <c r="R963" s="4" t="s">
        <v>2308</v>
      </c>
      <c r="S963" s="4" t="s">
        <v>2308</v>
      </c>
      <c r="T963" s="4" t="s">
        <v>2308</v>
      </c>
      <c r="U963" s="4" t="s">
        <v>2308</v>
      </c>
      <c r="V963" s="4" t="s">
        <v>2308</v>
      </c>
      <c r="W963" s="4" t="s">
        <v>2308</v>
      </c>
      <c r="X963" s="4" t="s">
        <v>2308</v>
      </c>
      <c r="Y963" s="4" t="s">
        <v>2308</v>
      </c>
      <c r="Z963" s="23" t="s">
        <v>34</v>
      </c>
      <c r="AA963" s="23" t="s">
        <v>412</v>
      </c>
      <c r="AB963" s="23" t="s">
        <v>64</v>
      </c>
      <c r="AC963" s="25"/>
      <c r="AD963" s="25" t="s">
        <v>3118</v>
      </c>
    </row>
    <row r="964" spans="1:30" ht="58" customHeight="1">
      <c r="A964" s="24" t="s">
        <v>3095</v>
      </c>
      <c r="B964" s="24" t="s">
        <v>3115</v>
      </c>
      <c r="C964" s="23" t="s">
        <v>1125</v>
      </c>
      <c r="D964" s="23" t="s">
        <v>1125</v>
      </c>
      <c r="E964" s="23" t="s">
        <v>1125</v>
      </c>
      <c r="F964" s="25" t="s">
        <v>2695</v>
      </c>
      <c r="G964" s="4" t="s">
        <v>2308</v>
      </c>
      <c r="H964" s="4" t="s">
        <v>531</v>
      </c>
      <c r="I964" s="162">
        <v>2014</v>
      </c>
      <c r="J964" s="4" t="s">
        <v>2308</v>
      </c>
      <c r="K964" s="4" t="s">
        <v>2308</v>
      </c>
      <c r="L964" s="4" t="s">
        <v>2308</v>
      </c>
      <c r="M964" s="4" t="s">
        <v>2308</v>
      </c>
      <c r="N964" s="4" t="s">
        <v>2308</v>
      </c>
      <c r="O964" s="4" t="s">
        <v>2308</v>
      </c>
      <c r="P964" s="4" t="s">
        <v>2308</v>
      </c>
      <c r="Q964" s="4" t="s">
        <v>2308</v>
      </c>
      <c r="R964" s="4" t="s">
        <v>2308</v>
      </c>
      <c r="S964" s="4" t="s">
        <v>2308</v>
      </c>
      <c r="T964" s="22">
        <v>44450</v>
      </c>
      <c r="U964" s="4" t="s">
        <v>2308</v>
      </c>
      <c r="V964" s="4" t="s">
        <v>2308</v>
      </c>
      <c r="W964" s="4" t="s">
        <v>2308</v>
      </c>
      <c r="X964" s="84">
        <v>41</v>
      </c>
      <c r="Y964" s="4" t="s">
        <v>2308</v>
      </c>
      <c r="Z964" s="23" t="s">
        <v>412</v>
      </c>
      <c r="AA964" s="23" t="s">
        <v>432</v>
      </c>
      <c r="AB964" s="23" t="s">
        <v>76</v>
      </c>
      <c r="AC964" s="25" t="s">
        <v>3117</v>
      </c>
      <c r="AD964" s="23"/>
    </row>
    <row r="965" spans="1:30" ht="61" customHeight="1">
      <c r="A965" s="24" t="s">
        <v>3095</v>
      </c>
      <c r="B965" s="24" t="s">
        <v>3116</v>
      </c>
      <c r="C965" s="23" t="s">
        <v>1125</v>
      </c>
      <c r="D965" s="23" t="s">
        <v>1125</v>
      </c>
      <c r="E965" s="23" t="s">
        <v>1125</v>
      </c>
      <c r="F965" s="25" t="s">
        <v>2695</v>
      </c>
      <c r="G965" s="4" t="s">
        <v>2308</v>
      </c>
      <c r="H965" s="4" t="s">
        <v>531</v>
      </c>
      <c r="I965" s="162">
        <v>2015</v>
      </c>
      <c r="J965" s="4" t="s">
        <v>2308</v>
      </c>
      <c r="K965" s="4" t="s">
        <v>2308</v>
      </c>
      <c r="L965" s="4" t="s">
        <v>2308</v>
      </c>
      <c r="M965" s="4" t="s">
        <v>2308</v>
      </c>
      <c r="N965" s="4" t="s">
        <v>2308</v>
      </c>
      <c r="O965" s="4" t="s">
        <v>2308</v>
      </c>
      <c r="P965" s="4" t="s">
        <v>2308</v>
      </c>
      <c r="Q965" s="4" t="s">
        <v>2308</v>
      </c>
      <c r="R965" s="4" t="s">
        <v>2308</v>
      </c>
      <c r="S965" s="4" t="s">
        <v>2308</v>
      </c>
      <c r="T965" s="4" t="s">
        <v>2308</v>
      </c>
      <c r="U965" s="4" t="s">
        <v>2308</v>
      </c>
      <c r="V965" s="4" t="s">
        <v>2308</v>
      </c>
      <c r="W965" s="4" t="s">
        <v>2308</v>
      </c>
      <c r="X965" s="4" t="s">
        <v>2308</v>
      </c>
      <c r="Y965" s="4" t="s">
        <v>2308</v>
      </c>
      <c r="Z965" s="23" t="s">
        <v>86</v>
      </c>
      <c r="AA965" s="23" t="s">
        <v>34</v>
      </c>
      <c r="AB965" s="23" t="s">
        <v>64</v>
      </c>
      <c r="AC965" s="25"/>
      <c r="AD965" s="25" t="s">
        <v>3118</v>
      </c>
    </row>
    <row r="966" spans="1:30" ht="45" customHeight="1">
      <c r="A966" s="24" t="s">
        <v>3095</v>
      </c>
      <c r="B966" s="24" t="s">
        <v>3119</v>
      </c>
      <c r="C966" s="23" t="s">
        <v>1125</v>
      </c>
      <c r="D966" s="23" t="s">
        <v>1125</v>
      </c>
      <c r="E966" s="23" t="s">
        <v>1125</v>
      </c>
      <c r="F966" s="25" t="s">
        <v>2695</v>
      </c>
      <c r="G966" s="4" t="s">
        <v>2308</v>
      </c>
      <c r="H966" s="4" t="s">
        <v>531</v>
      </c>
      <c r="I966" s="162">
        <v>2015</v>
      </c>
      <c r="J966" s="4" t="s">
        <v>2308</v>
      </c>
      <c r="K966" s="4" t="s">
        <v>2308</v>
      </c>
      <c r="L966" s="4" t="s">
        <v>2308</v>
      </c>
      <c r="M966" s="4" t="s">
        <v>2308</v>
      </c>
      <c r="N966" s="4" t="s">
        <v>2308</v>
      </c>
      <c r="O966" s="4" t="s">
        <v>2308</v>
      </c>
      <c r="P966" s="4" t="s">
        <v>2308</v>
      </c>
      <c r="Q966" s="4" t="s">
        <v>2308</v>
      </c>
      <c r="R966" s="4" t="s">
        <v>2308</v>
      </c>
      <c r="S966" s="4" t="s">
        <v>2308</v>
      </c>
      <c r="T966" s="4" t="s">
        <v>2308</v>
      </c>
      <c r="U966" s="4" t="s">
        <v>2308</v>
      </c>
      <c r="V966" s="4" t="s">
        <v>2308</v>
      </c>
      <c r="W966" s="4" t="s">
        <v>2308</v>
      </c>
      <c r="X966" s="4" t="s">
        <v>2308</v>
      </c>
      <c r="Y966" s="4" t="s">
        <v>2308</v>
      </c>
      <c r="Z966" s="23" t="s">
        <v>34</v>
      </c>
      <c r="AA966" s="23" t="s">
        <v>412</v>
      </c>
      <c r="AB966" s="23" t="s">
        <v>64</v>
      </c>
      <c r="AC966" s="25"/>
      <c r="AD966" s="25" t="s">
        <v>3118</v>
      </c>
    </row>
    <row r="967" spans="1:30" ht="46" customHeight="1">
      <c r="A967" s="24" t="s">
        <v>3095</v>
      </c>
      <c r="B967" s="24" t="s">
        <v>3120</v>
      </c>
      <c r="C967" s="23" t="s">
        <v>1125</v>
      </c>
      <c r="D967" s="23" t="s">
        <v>1125</v>
      </c>
      <c r="E967" s="23" t="s">
        <v>1125</v>
      </c>
      <c r="F967" s="25" t="s">
        <v>2695</v>
      </c>
      <c r="G967" s="4" t="s">
        <v>2308</v>
      </c>
      <c r="H967" s="4" t="s">
        <v>531</v>
      </c>
      <c r="I967" s="162">
        <v>2015</v>
      </c>
      <c r="J967" s="4" t="s">
        <v>2308</v>
      </c>
      <c r="K967" s="4" t="s">
        <v>2308</v>
      </c>
      <c r="L967" s="4" t="s">
        <v>2308</v>
      </c>
      <c r="M967" s="4" t="s">
        <v>2308</v>
      </c>
      <c r="N967" s="4" t="s">
        <v>2308</v>
      </c>
      <c r="O967" s="4" t="s">
        <v>2308</v>
      </c>
      <c r="P967" s="4" t="s">
        <v>2308</v>
      </c>
      <c r="Q967" s="4" t="s">
        <v>2308</v>
      </c>
      <c r="R967" s="4" t="s">
        <v>2308</v>
      </c>
      <c r="S967" s="4" t="s">
        <v>2308</v>
      </c>
      <c r="T967" s="4" t="s">
        <v>2308</v>
      </c>
      <c r="U967" s="4" t="s">
        <v>2308</v>
      </c>
      <c r="V967" s="4" t="s">
        <v>2308</v>
      </c>
      <c r="W967" s="4" t="s">
        <v>2308</v>
      </c>
      <c r="X967" s="4" t="s">
        <v>2308</v>
      </c>
      <c r="Y967" s="4" t="s">
        <v>2308</v>
      </c>
      <c r="Z967" s="23" t="s">
        <v>412</v>
      </c>
      <c r="AA967" s="23" t="s">
        <v>432</v>
      </c>
      <c r="AB967" s="23" t="s">
        <v>76</v>
      </c>
      <c r="AC967" s="25" t="s">
        <v>3117</v>
      </c>
      <c r="AD967" s="23"/>
    </row>
    <row r="968" spans="1:30" ht="44" customHeight="1">
      <c r="A968" s="24" t="s">
        <v>3096</v>
      </c>
      <c r="B968" s="24" t="s">
        <v>3121</v>
      </c>
      <c r="C968" s="23" t="s">
        <v>24</v>
      </c>
      <c r="D968" s="23" t="s">
        <v>1264</v>
      </c>
      <c r="E968" s="23" t="s">
        <v>143</v>
      </c>
      <c r="F968" s="25" t="s">
        <v>2695</v>
      </c>
      <c r="G968" s="4" t="s">
        <v>2308</v>
      </c>
      <c r="H968" s="161" t="s">
        <v>532</v>
      </c>
      <c r="I968" s="23"/>
      <c r="J968" s="84">
        <v>0</v>
      </c>
      <c r="K968" s="84">
        <v>0</v>
      </c>
      <c r="L968" s="84">
        <v>0</v>
      </c>
      <c r="M968" s="84">
        <v>0</v>
      </c>
      <c r="N968" s="84">
        <v>0</v>
      </c>
      <c r="O968" s="84">
        <v>0</v>
      </c>
      <c r="P968" s="84">
        <v>0</v>
      </c>
      <c r="Q968" s="84">
        <v>0</v>
      </c>
      <c r="R968" s="84">
        <v>0</v>
      </c>
      <c r="S968" s="84">
        <v>0</v>
      </c>
      <c r="T968" s="84">
        <v>0</v>
      </c>
      <c r="U968" s="84">
        <v>0</v>
      </c>
      <c r="V968" s="84">
        <v>0</v>
      </c>
      <c r="W968" s="84">
        <v>0</v>
      </c>
      <c r="X968" s="84">
        <v>0</v>
      </c>
      <c r="Y968" s="84">
        <v>0</v>
      </c>
      <c r="Z968" s="23" t="s">
        <v>406</v>
      </c>
      <c r="AA968" s="23" t="s">
        <v>133</v>
      </c>
      <c r="AB968" s="23" t="s">
        <v>2308</v>
      </c>
      <c r="AC968" s="23" t="s">
        <v>3107</v>
      </c>
      <c r="AD968" s="23"/>
    </row>
    <row r="969" spans="1:30" ht="40.5" customHeight="1">
      <c r="A969" s="24" t="s">
        <v>3096</v>
      </c>
      <c r="B969" s="24" t="s">
        <v>3122</v>
      </c>
      <c r="C969" s="23" t="s">
        <v>1125</v>
      </c>
      <c r="D969" s="23" t="s">
        <v>1125</v>
      </c>
      <c r="E969" s="23" t="s">
        <v>1125</v>
      </c>
      <c r="F969" s="25" t="s">
        <v>2695</v>
      </c>
      <c r="G969" s="4" t="s">
        <v>2308</v>
      </c>
      <c r="H969" s="4" t="s">
        <v>531</v>
      </c>
      <c r="I969" s="162">
        <v>2014</v>
      </c>
      <c r="J969" s="4" t="s">
        <v>2308</v>
      </c>
      <c r="K969" s="4" t="s">
        <v>2308</v>
      </c>
      <c r="L969" s="4" t="s">
        <v>2308</v>
      </c>
      <c r="M969" s="4" t="s">
        <v>2308</v>
      </c>
      <c r="N969" s="4" t="s">
        <v>2308</v>
      </c>
      <c r="O969" s="4" t="s">
        <v>2308</v>
      </c>
      <c r="P969" s="4" t="s">
        <v>2308</v>
      </c>
      <c r="Q969" s="4" t="s">
        <v>2308</v>
      </c>
      <c r="R969" s="4" t="s">
        <v>2308</v>
      </c>
      <c r="S969" s="4" t="s">
        <v>2308</v>
      </c>
      <c r="T969" s="4" t="s">
        <v>2308</v>
      </c>
      <c r="U969" s="4" t="s">
        <v>2308</v>
      </c>
      <c r="V969" s="4" t="s">
        <v>2308</v>
      </c>
      <c r="W969" s="4" t="s">
        <v>2308</v>
      </c>
      <c r="X969" s="4" t="s">
        <v>2308</v>
      </c>
      <c r="Y969" s="4" t="s">
        <v>2308</v>
      </c>
      <c r="Z969" s="23" t="s">
        <v>86</v>
      </c>
      <c r="AA969" s="23" t="s">
        <v>34</v>
      </c>
      <c r="AB969" s="23" t="s">
        <v>64</v>
      </c>
      <c r="AC969" s="25"/>
      <c r="AD969" s="25" t="s">
        <v>3118</v>
      </c>
    </row>
    <row r="970" spans="1:30" ht="44.5" customHeight="1">
      <c r="A970" s="24" t="s">
        <v>3096</v>
      </c>
      <c r="B970" s="24" t="s">
        <v>3123</v>
      </c>
      <c r="C970" s="23" t="s">
        <v>1125</v>
      </c>
      <c r="D970" s="23" t="s">
        <v>1125</v>
      </c>
      <c r="E970" s="23" t="s">
        <v>1125</v>
      </c>
      <c r="F970" s="25" t="s">
        <v>2695</v>
      </c>
      <c r="G970" s="4" t="s">
        <v>2308</v>
      </c>
      <c r="H970" s="4" t="s">
        <v>531</v>
      </c>
      <c r="I970" s="162">
        <v>2014</v>
      </c>
      <c r="J970" s="4" t="s">
        <v>2308</v>
      </c>
      <c r="K970" s="4" t="s">
        <v>2308</v>
      </c>
      <c r="L970" s="4" t="s">
        <v>2308</v>
      </c>
      <c r="M970" s="4" t="s">
        <v>2308</v>
      </c>
      <c r="N970" s="4" t="s">
        <v>2308</v>
      </c>
      <c r="O970" s="4" t="s">
        <v>2308</v>
      </c>
      <c r="P970" s="4" t="s">
        <v>2308</v>
      </c>
      <c r="Q970" s="4" t="s">
        <v>2308</v>
      </c>
      <c r="R970" s="4" t="s">
        <v>2308</v>
      </c>
      <c r="S970" s="4" t="s">
        <v>2308</v>
      </c>
      <c r="T970" s="4" t="s">
        <v>2308</v>
      </c>
      <c r="U970" s="4" t="s">
        <v>2308</v>
      </c>
      <c r="V970" s="4" t="s">
        <v>2308</v>
      </c>
      <c r="W970" s="4" t="s">
        <v>2308</v>
      </c>
      <c r="X970" s="4" t="s">
        <v>2308</v>
      </c>
      <c r="Y970" s="4" t="s">
        <v>2308</v>
      </c>
      <c r="Z970" s="23" t="s">
        <v>34</v>
      </c>
      <c r="AA970" s="23" t="s">
        <v>412</v>
      </c>
      <c r="AB970" s="23" t="s">
        <v>64</v>
      </c>
      <c r="AC970" s="25"/>
      <c r="AD970" s="25" t="s">
        <v>3118</v>
      </c>
    </row>
    <row r="971" spans="1:30" ht="50" customHeight="1">
      <c r="A971" s="24" t="s">
        <v>3096</v>
      </c>
      <c r="B971" s="24" t="s">
        <v>3124</v>
      </c>
      <c r="C971" s="23" t="s">
        <v>1125</v>
      </c>
      <c r="D971" s="23" t="s">
        <v>1125</v>
      </c>
      <c r="E971" s="23" t="s">
        <v>1125</v>
      </c>
      <c r="F971" s="25" t="s">
        <v>2695</v>
      </c>
      <c r="G971" s="4" t="s">
        <v>2308</v>
      </c>
      <c r="H971" s="4" t="s">
        <v>531</v>
      </c>
      <c r="I971" s="162">
        <v>2014</v>
      </c>
      <c r="J971" s="4" t="s">
        <v>2308</v>
      </c>
      <c r="K971" s="4" t="s">
        <v>2308</v>
      </c>
      <c r="L971" s="4" t="s">
        <v>2308</v>
      </c>
      <c r="M971" s="4" t="s">
        <v>2308</v>
      </c>
      <c r="N971" s="4" t="s">
        <v>2308</v>
      </c>
      <c r="O971" s="4" t="s">
        <v>2308</v>
      </c>
      <c r="P971" s="4" t="s">
        <v>2308</v>
      </c>
      <c r="Q971" s="4" t="s">
        <v>2308</v>
      </c>
      <c r="R971" s="4" t="s">
        <v>2308</v>
      </c>
      <c r="S971" s="4" t="s">
        <v>2308</v>
      </c>
      <c r="T971" s="4" t="s">
        <v>2308</v>
      </c>
      <c r="U971" s="4" t="s">
        <v>2308</v>
      </c>
      <c r="V971" s="4" t="s">
        <v>2308</v>
      </c>
      <c r="W971" s="4" t="s">
        <v>2308</v>
      </c>
      <c r="X971" s="4" t="s">
        <v>2308</v>
      </c>
      <c r="Y971" s="4" t="s">
        <v>2308</v>
      </c>
      <c r="Z971" s="23" t="s">
        <v>412</v>
      </c>
      <c r="AA971" s="23" t="s">
        <v>432</v>
      </c>
      <c r="AB971" s="23" t="s">
        <v>76</v>
      </c>
      <c r="AC971" s="25" t="s">
        <v>3117</v>
      </c>
      <c r="AD971" s="23"/>
    </row>
    <row r="972" spans="1:30" ht="38" customHeight="1">
      <c r="A972" s="24" t="s">
        <v>3096</v>
      </c>
      <c r="B972" s="24" t="s">
        <v>3125</v>
      </c>
      <c r="C972" s="23" t="s">
        <v>1125</v>
      </c>
      <c r="D972" s="23" t="s">
        <v>1125</v>
      </c>
      <c r="E972" s="23" t="s">
        <v>1125</v>
      </c>
      <c r="F972" s="25" t="s">
        <v>2695</v>
      </c>
      <c r="G972" s="4" t="s">
        <v>2308</v>
      </c>
      <c r="H972" s="4" t="s">
        <v>531</v>
      </c>
      <c r="I972" s="162">
        <v>2015</v>
      </c>
      <c r="J972" s="4" t="s">
        <v>2308</v>
      </c>
      <c r="K972" s="4" t="s">
        <v>2308</v>
      </c>
      <c r="L972" s="4" t="s">
        <v>2308</v>
      </c>
      <c r="M972" s="4" t="s">
        <v>2308</v>
      </c>
      <c r="N972" s="4" t="s">
        <v>2308</v>
      </c>
      <c r="O972" s="4" t="s">
        <v>2308</v>
      </c>
      <c r="P972" s="4" t="s">
        <v>2308</v>
      </c>
      <c r="Q972" s="4" t="s">
        <v>2308</v>
      </c>
      <c r="R972" s="4" t="s">
        <v>2308</v>
      </c>
      <c r="S972" s="4" t="s">
        <v>2308</v>
      </c>
      <c r="T972" s="4" t="s">
        <v>2308</v>
      </c>
      <c r="U972" s="4" t="s">
        <v>2308</v>
      </c>
      <c r="V972" s="4" t="s">
        <v>2308</v>
      </c>
      <c r="W972" s="4" t="s">
        <v>2308</v>
      </c>
      <c r="X972" s="4" t="s">
        <v>2308</v>
      </c>
      <c r="Y972" s="4" t="s">
        <v>2308</v>
      </c>
      <c r="Z972" s="23" t="s">
        <v>86</v>
      </c>
      <c r="AA972" s="23" t="s">
        <v>34</v>
      </c>
      <c r="AB972" s="23" t="s">
        <v>64</v>
      </c>
      <c r="AC972" s="25"/>
      <c r="AD972" s="25" t="s">
        <v>3118</v>
      </c>
    </row>
    <row r="973" spans="1:30" ht="41.5" customHeight="1">
      <c r="A973" s="24" t="s">
        <v>3096</v>
      </c>
      <c r="B973" s="24" t="s">
        <v>3126</v>
      </c>
      <c r="C973" s="23" t="s">
        <v>1125</v>
      </c>
      <c r="D973" s="23" t="s">
        <v>1125</v>
      </c>
      <c r="E973" s="23" t="s">
        <v>1125</v>
      </c>
      <c r="F973" s="25" t="s">
        <v>2695</v>
      </c>
      <c r="G973" s="4" t="s">
        <v>2308</v>
      </c>
      <c r="H973" s="4" t="s">
        <v>531</v>
      </c>
      <c r="I973" s="162">
        <v>2015</v>
      </c>
      <c r="J973" s="4" t="s">
        <v>2308</v>
      </c>
      <c r="K973" s="4" t="s">
        <v>2308</v>
      </c>
      <c r="L973" s="4" t="s">
        <v>2308</v>
      </c>
      <c r="M973" s="4" t="s">
        <v>2308</v>
      </c>
      <c r="N973" s="4" t="s">
        <v>2308</v>
      </c>
      <c r="O973" s="4" t="s">
        <v>2308</v>
      </c>
      <c r="P973" s="4" t="s">
        <v>2308</v>
      </c>
      <c r="Q973" s="4" t="s">
        <v>2308</v>
      </c>
      <c r="R973" s="4" t="s">
        <v>2308</v>
      </c>
      <c r="S973" s="4" t="s">
        <v>2308</v>
      </c>
      <c r="T973" s="4" t="s">
        <v>2308</v>
      </c>
      <c r="U973" s="4" t="s">
        <v>2308</v>
      </c>
      <c r="V973" s="4" t="s">
        <v>2308</v>
      </c>
      <c r="W973" s="4" t="s">
        <v>2308</v>
      </c>
      <c r="X973" s="4" t="s">
        <v>2308</v>
      </c>
      <c r="Y973" s="4" t="s">
        <v>2308</v>
      </c>
      <c r="Z973" s="23" t="s">
        <v>34</v>
      </c>
      <c r="AA973" s="23" t="s">
        <v>412</v>
      </c>
      <c r="AB973" s="23" t="s">
        <v>64</v>
      </c>
      <c r="AC973" s="25"/>
      <c r="AD973" s="25" t="s">
        <v>3118</v>
      </c>
    </row>
    <row r="974" spans="1:30" ht="48.5" customHeight="1">
      <c r="A974" s="24" t="s">
        <v>3096</v>
      </c>
      <c r="B974" s="24" t="s">
        <v>3127</v>
      </c>
      <c r="C974" s="23" t="s">
        <v>1125</v>
      </c>
      <c r="D974" s="23" t="s">
        <v>1125</v>
      </c>
      <c r="E974" s="23" t="s">
        <v>1125</v>
      </c>
      <c r="F974" s="25" t="s">
        <v>2695</v>
      </c>
      <c r="G974" s="4" t="s">
        <v>2308</v>
      </c>
      <c r="H974" s="4" t="s">
        <v>531</v>
      </c>
      <c r="I974" s="162">
        <v>2015</v>
      </c>
      <c r="J974" s="4" t="s">
        <v>2308</v>
      </c>
      <c r="K974" s="4" t="s">
        <v>2308</v>
      </c>
      <c r="L974" s="4" t="s">
        <v>2308</v>
      </c>
      <c r="M974" s="4" t="s">
        <v>2308</v>
      </c>
      <c r="N974" s="4" t="s">
        <v>2308</v>
      </c>
      <c r="O974" s="4" t="s">
        <v>2308</v>
      </c>
      <c r="P974" s="4" t="s">
        <v>2308</v>
      </c>
      <c r="Q974" s="4" t="s">
        <v>2308</v>
      </c>
      <c r="R974" s="4" t="s">
        <v>2308</v>
      </c>
      <c r="S974" s="4" t="s">
        <v>2308</v>
      </c>
      <c r="T974" s="4" t="s">
        <v>2308</v>
      </c>
      <c r="U974" s="4" t="s">
        <v>2308</v>
      </c>
      <c r="V974" s="4" t="s">
        <v>2308</v>
      </c>
      <c r="W974" s="4" t="s">
        <v>2308</v>
      </c>
      <c r="X974" s="4" t="s">
        <v>2308</v>
      </c>
      <c r="Y974" s="4" t="s">
        <v>2308</v>
      </c>
      <c r="Z974" s="23" t="s">
        <v>412</v>
      </c>
      <c r="AA974" s="23" t="s">
        <v>432</v>
      </c>
      <c r="AB974" s="23" t="s">
        <v>76</v>
      </c>
      <c r="AC974" s="25" t="s">
        <v>3117</v>
      </c>
      <c r="AD974" s="23"/>
    </row>
    <row r="975" spans="1:30" ht="42" customHeight="1">
      <c r="A975" s="24" t="s">
        <v>3131</v>
      </c>
      <c r="B975" s="4" t="s">
        <v>3152</v>
      </c>
      <c r="C975" s="4" t="s">
        <v>24</v>
      </c>
      <c r="D975" s="4" t="s">
        <v>27</v>
      </c>
      <c r="E975" s="4" t="s">
        <v>136</v>
      </c>
      <c r="F975" s="5" t="s">
        <v>74</v>
      </c>
      <c r="G975" s="4" t="s">
        <v>2308</v>
      </c>
      <c r="H975" s="4" t="s">
        <v>531</v>
      </c>
      <c r="I975" s="4"/>
      <c r="J975" s="4" t="s">
        <v>2308</v>
      </c>
      <c r="K975" s="4" t="s">
        <v>2308</v>
      </c>
      <c r="L975" s="4" t="s">
        <v>2308</v>
      </c>
      <c r="M975" s="4" t="s">
        <v>2308</v>
      </c>
      <c r="N975" s="4" t="s">
        <v>2308</v>
      </c>
      <c r="O975" s="4" t="s">
        <v>2308</v>
      </c>
      <c r="P975" s="4" t="s">
        <v>2308</v>
      </c>
      <c r="Q975" s="4" t="s">
        <v>2308</v>
      </c>
      <c r="R975" s="4" t="s">
        <v>2308</v>
      </c>
      <c r="S975" s="4" t="s">
        <v>2308</v>
      </c>
      <c r="T975" s="4" t="s">
        <v>2308</v>
      </c>
      <c r="U975" s="4" t="s">
        <v>2308</v>
      </c>
      <c r="V975" s="4" t="s">
        <v>2308</v>
      </c>
      <c r="W975" s="4" t="s">
        <v>2308</v>
      </c>
      <c r="X975" s="4" t="s">
        <v>2308</v>
      </c>
      <c r="Y975" s="4" t="s">
        <v>2308</v>
      </c>
      <c r="Z975" s="4" t="s">
        <v>2308</v>
      </c>
      <c r="AA975" s="4" t="s">
        <v>2308</v>
      </c>
      <c r="AB975" s="4" t="s">
        <v>2308</v>
      </c>
      <c r="AC975" s="4"/>
      <c r="AD975" s="4"/>
    </row>
    <row r="976" spans="1:30" ht="42" customHeight="1">
      <c r="A976" s="24" t="s">
        <v>3132</v>
      </c>
      <c r="B976" s="24" t="s">
        <v>3153</v>
      </c>
      <c r="C976" s="4" t="s">
        <v>24</v>
      </c>
      <c r="D976" s="4" t="s">
        <v>27</v>
      </c>
      <c r="E976" s="4" t="s">
        <v>136</v>
      </c>
      <c r="F976" s="5" t="s">
        <v>74</v>
      </c>
      <c r="G976" s="4" t="s">
        <v>2308</v>
      </c>
      <c r="H976" s="4" t="s">
        <v>531</v>
      </c>
      <c r="I976" s="4"/>
      <c r="J976" s="4" t="s">
        <v>2308</v>
      </c>
      <c r="K976" s="4" t="s">
        <v>2308</v>
      </c>
      <c r="L976" s="4" t="s">
        <v>2308</v>
      </c>
      <c r="M976" s="4" t="s">
        <v>2308</v>
      </c>
      <c r="N976" s="4" t="s">
        <v>2308</v>
      </c>
      <c r="O976" s="4" t="s">
        <v>2308</v>
      </c>
      <c r="P976" s="4" t="s">
        <v>2308</v>
      </c>
      <c r="Q976" s="4" t="s">
        <v>2308</v>
      </c>
      <c r="R976" s="4" t="s">
        <v>2308</v>
      </c>
      <c r="S976" s="4" t="s">
        <v>2308</v>
      </c>
      <c r="T976" s="4" t="s">
        <v>2308</v>
      </c>
      <c r="U976" s="4" t="s">
        <v>2308</v>
      </c>
      <c r="V976" s="4" t="s">
        <v>2308</v>
      </c>
      <c r="W976" s="4" t="s">
        <v>2308</v>
      </c>
      <c r="X976" s="4" t="s">
        <v>2308</v>
      </c>
      <c r="Y976" s="4" t="s">
        <v>2308</v>
      </c>
      <c r="Z976" s="4" t="s">
        <v>2308</v>
      </c>
      <c r="AA976" s="4" t="s">
        <v>2308</v>
      </c>
      <c r="AB976" s="4" t="s">
        <v>2308</v>
      </c>
      <c r="AC976" s="4"/>
      <c r="AD976" s="4"/>
    </row>
    <row r="977" spans="1:30" ht="38.5" customHeight="1">
      <c r="A977" s="24" t="s">
        <v>3134</v>
      </c>
      <c r="B977" s="24" t="s">
        <v>3154</v>
      </c>
      <c r="C977" s="4" t="s">
        <v>24</v>
      </c>
      <c r="D977" s="4" t="s">
        <v>27</v>
      </c>
      <c r="E977" s="4" t="s">
        <v>136</v>
      </c>
      <c r="F977" s="5" t="s">
        <v>74</v>
      </c>
      <c r="G977" s="4" t="s">
        <v>2308</v>
      </c>
      <c r="H977" s="4" t="s">
        <v>531</v>
      </c>
      <c r="I977" s="4"/>
      <c r="J977" s="4" t="s">
        <v>2308</v>
      </c>
      <c r="K977" s="4" t="s">
        <v>2308</v>
      </c>
      <c r="L977" s="4" t="s">
        <v>2308</v>
      </c>
      <c r="M977" s="4" t="s">
        <v>2308</v>
      </c>
      <c r="N977" s="4" t="s">
        <v>2308</v>
      </c>
      <c r="O977" s="4" t="s">
        <v>2308</v>
      </c>
      <c r="P977" s="4" t="s">
        <v>2308</v>
      </c>
      <c r="Q977" s="4" t="s">
        <v>2308</v>
      </c>
      <c r="R977" s="4" t="s">
        <v>2308</v>
      </c>
      <c r="S977" s="4" t="s">
        <v>2308</v>
      </c>
      <c r="T977" s="4" t="s">
        <v>2308</v>
      </c>
      <c r="U977" s="4" t="s">
        <v>2308</v>
      </c>
      <c r="V977" s="4" t="s">
        <v>2308</v>
      </c>
      <c r="W977" s="4" t="s">
        <v>2308</v>
      </c>
      <c r="X977" s="4" t="s">
        <v>2308</v>
      </c>
      <c r="Y977" s="4" t="s">
        <v>2308</v>
      </c>
      <c r="Z977" s="4" t="s">
        <v>2308</v>
      </c>
      <c r="AA977" s="4" t="s">
        <v>2308</v>
      </c>
      <c r="AB977" s="4" t="s">
        <v>2308</v>
      </c>
      <c r="AC977" s="4"/>
      <c r="AD977" s="4"/>
    </row>
    <row r="978" spans="1:30" ht="31" customHeight="1">
      <c r="A978" s="24" t="s">
        <v>3135</v>
      </c>
      <c r="B978" s="24" t="s">
        <v>3155</v>
      </c>
      <c r="C978" s="4" t="s">
        <v>24</v>
      </c>
      <c r="D978" s="4" t="s">
        <v>27</v>
      </c>
      <c r="E978" s="4" t="s">
        <v>136</v>
      </c>
      <c r="F978" s="5" t="s">
        <v>167</v>
      </c>
      <c r="G978" s="4" t="s">
        <v>2308</v>
      </c>
      <c r="H978" s="4" t="s">
        <v>531</v>
      </c>
      <c r="I978" s="4"/>
      <c r="J978" s="4" t="s">
        <v>2308</v>
      </c>
      <c r="K978" s="4" t="s">
        <v>2308</v>
      </c>
      <c r="L978" s="4" t="s">
        <v>2308</v>
      </c>
      <c r="M978" s="4" t="s">
        <v>2308</v>
      </c>
      <c r="N978" s="4" t="s">
        <v>2308</v>
      </c>
      <c r="O978" s="4" t="s">
        <v>2308</v>
      </c>
      <c r="P978" s="4" t="s">
        <v>2308</v>
      </c>
      <c r="Q978" s="4" t="s">
        <v>2308</v>
      </c>
      <c r="R978" s="4" t="s">
        <v>2308</v>
      </c>
      <c r="S978" s="4" t="s">
        <v>2308</v>
      </c>
      <c r="T978" s="4" t="s">
        <v>2308</v>
      </c>
      <c r="U978" s="4" t="s">
        <v>2308</v>
      </c>
      <c r="V978" s="4" t="s">
        <v>2308</v>
      </c>
      <c r="W978" s="4" t="s">
        <v>2308</v>
      </c>
      <c r="X978" s="4" t="s">
        <v>2308</v>
      </c>
      <c r="Y978" s="4" t="s">
        <v>2308</v>
      </c>
      <c r="Z978" s="4" t="s">
        <v>2308</v>
      </c>
      <c r="AA978" s="4" t="s">
        <v>2308</v>
      </c>
      <c r="AB978" s="4" t="s">
        <v>2308</v>
      </c>
      <c r="AC978" s="4"/>
      <c r="AD978" s="4"/>
    </row>
    <row r="979" spans="1:30" ht="33.5" customHeight="1">
      <c r="A979" s="24" t="s">
        <v>3136</v>
      </c>
      <c r="B979" s="24" t="s">
        <v>3156</v>
      </c>
      <c r="C979" s="4" t="s">
        <v>24</v>
      </c>
      <c r="D979" s="4" t="s">
        <v>27</v>
      </c>
      <c r="E979" s="4" t="s">
        <v>136</v>
      </c>
      <c r="F979" s="5" t="s">
        <v>167</v>
      </c>
      <c r="G979" s="4" t="s">
        <v>2308</v>
      </c>
      <c r="H979" s="4" t="s">
        <v>531</v>
      </c>
      <c r="I979" s="4"/>
      <c r="J979" s="4" t="s">
        <v>2308</v>
      </c>
      <c r="K979" s="4" t="s">
        <v>2308</v>
      </c>
      <c r="L979" s="4" t="s">
        <v>2308</v>
      </c>
      <c r="M979" s="4" t="s">
        <v>2308</v>
      </c>
      <c r="N979" s="4" t="s">
        <v>2308</v>
      </c>
      <c r="O979" s="4" t="s">
        <v>2308</v>
      </c>
      <c r="P979" s="4" t="s">
        <v>2308</v>
      </c>
      <c r="Q979" s="4" t="s">
        <v>2308</v>
      </c>
      <c r="R979" s="4" t="s">
        <v>2308</v>
      </c>
      <c r="S979" s="4" t="s">
        <v>2308</v>
      </c>
      <c r="T979" s="4" t="s">
        <v>2308</v>
      </c>
      <c r="U979" s="4" t="s">
        <v>2308</v>
      </c>
      <c r="V979" s="4" t="s">
        <v>2308</v>
      </c>
      <c r="W979" s="4" t="s">
        <v>2308</v>
      </c>
      <c r="X979" s="4" t="s">
        <v>2308</v>
      </c>
      <c r="Y979" s="4" t="s">
        <v>2308</v>
      </c>
      <c r="Z979" s="4" t="s">
        <v>2308</v>
      </c>
      <c r="AA979" s="4" t="s">
        <v>2308</v>
      </c>
      <c r="AB979" s="4" t="s">
        <v>2308</v>
      </c>
      <c r="AC979" s="4"/>
      <c r="AD979" s="4"/>
    </row>
    <row r="980" spans="1:30" ht="33.5" customHeight="1">
      <c r="A980" s="24" t="s">
        <v>3137</v>
      </c>
      <c r="B980" s="24" t="s">
        <v>3157</v>
      </c>
      <c r="C980" s="4" t="s">
        <v>24</v>
      </c>
      <c r="D980" s="4" t="s">
        <v>27</v>
      </c>
      <c r="E980" s="4" t="s">
        <v>136</v>
      </c>
      <c r="F980" s="5" t="s">
        <v>167</v>
      </c>
      <c r="G980" s="4" t="s">
        <v>2308</v>
      </c>
      <c r="H980" s="4" t="s">
        <v>531</v>
      </c>
      <c r="I980" s="4"/>
      <c r="J980" s="4" t="s">
        <v>2308</v>
      </c>
      <c r="K980" s="4" t="s">
        <v>2308</v>
      </c>
      <c r="L980" s="4" t="s">
        <v>2308</v>
      </c>
      <c r="M980" s="4" t="s">
        <v>2308</v>
      </c>
      <c r="N980" s="4" t="s">
        <v>2308</v>
      </c>
      <c r="O980" s="4" t="s">
        <v>2308</v>
      </c>
      <c r="P980" s="4" t="s">
        <v>2308</v>
      </c>
      <c r="Q980" s="4" t="s">
        <v>2308</v>
      </c>
      <c r="R980" s="4" t="s">
        <v>2308</v>
      </c>
      <c r="S980" s="4" t="s">
        <v>2308</v>
      </c>
      <c r="T980" s="4" t="s">
        <v>2308</v>
      </c>
      <c r="U980" s="4" t="s">
        <v>2308</v>
      </c>
      <c r="V980" s="4" t="s">
        <v>2308</v>
      </c>
      <c r="W980" s="4" t="s">
        <v>2308</v>
      </c>
      <c r="X980" s="4" t="s">
        <v>2308</v>
      </c>
      <c r="Y980" s="4" t="s">
        <v>2308</v>
      </c>
      <c r="Z980" s="4" t="s">
        <v>2308</v>
      </c>
      <c r="AA980" s="4" t="s">
        <v>2308</v>
      </c>
      <c r="AB980" s="4" t="s">
        <v>2308</v>
      </c>
      <c r="AC980" s="4"/>
      <c r="AD980" s="4"/>
    </row>
    <row r="981" spans="1:30" ht="40" customHeight="1">
      <c r="A981" s="24" t="s">
        <v>3163</v>
      </c>
      <c r="B981" s="24" t="s">
        <v>3172</v>
      </c>
      <c r="C981" s="4" t="s">
        <v>24</v>
      </c>
      <c r="D981" s="4" t="s">
        <v>27</v>
      </c>
      <c r="E981" s="4" t="s">
        <v>136</v>
      </c>
      <c r="F981" s="5" t="s">
        <v>167</v>
      </c>
      <c r="G981" s="4" t="s">
        <v>2308</v>
      </c>
      <c r="H981" s="4" t="s">
        <v>531</v>
      </c>
      <c r="I981" s="4"/>
      <c r="J981" s="4" t="s">
        <v>2308</v>
      </c>
      <c r="K981" s="4" t="s">
        <v>2308</v>
      </c>
      <c r="L981" s="4" t="s">
        <v>2308</v>
      </c>
      <c r="M981" s="4" t="s">
        <v>2308</v>
      </c>
      <c r="N981" s="4" t="s">
        <v>2308</v>
      </c>
      <c r="O981" s="4" t="s">
        <v>2308</v>
      </c>
      <c r="P981" s="4" t="s">
        <v>2308</v>
      </c>
      <c r="Q981" s="4" t="s">
        <v>2308</v>
      </c>
      <c r="R981" s="4" t="s">
        <v>2308</v>
      </c>
      <c r="S981" s="4" t="s">
        <v>2308</v>
      </c>
      <c r="T981" s="4" t="s">
        <v>2308</v>
      </c>
      <c r="U981" s="4" t="s">
        <v>2308</v>
      </c>
      <c r="V981" s="4" t="s">
        <v>2308</v>
      </c>
      <c r="W981" s="4" t="s">
        <v>2308</v>
      </c>
      <c r="X981" s="4" t="s">
        <v>2308</v>
      </c>
      <c r="Y981" s="4" t="s">
        <v>2308</v>
      </c>
      <c r="Z981" s="4" t="s">
        <v>2308</v>
      </c>
      <c r="AA981" s="4" t="s">
        <v>2308</v>
      </c>
      <c r="AB981" s="4" t="s">
        <v>2308</v>
      </c>
      <c r="AC981" s="4"/>
      <c r="AD981" s="4" t="s">
        <v>3180</v>
      </c>
    </row>
    <row r="982" spans="1:30" ht="40" customHeight="1">
      <c r="A982" s="24" t="s">
        <v>3163</v>
      </c>
      <c r="B982" s="24" t="s">
        <v>3181</v>
      </c>
      <c r="C982" s="4" t="s">
        <v>24</v>
      </c>
      <c r="D982" s="4" t="s">
        <v>1267</v>
      </c>
      <c r="E982" s="4" t="s">
        <v>116</v>
      </c>
      <c r="F982" s="5" t="s">
        <v>74</v>
      </c>
      <c r="G982" s="4" t="s">
        <v>2308</v>
      </c>
      <c r="H982" s="4" t="s">
        <v>531</v>
      </c>
      <c r="I982" s="4"/>
      <c r="J982" s="4" t="s">
        <v>2308</v>
      </c>
      <c r="K982" s="4" t="s">
        <v>2308</v>
      </c>
      <c r="L982" s="4" t="s">
        <v>2308</v>
      </c>
      <c r="M982" s="4" t="s">
        <v>2308</v>
      </c>
      <c r="N982" s="4" t="s">
        <v>2308</v>
      </c>
      <c r="O982" s="4" t="s">
        <v>2308</v>
      </c>
      <c r="P982" s="4" t="s">
        <v>2308</v>
      </c>
      <c r="Q982" s="4" t="s">
        <v>2308</v>
      </c>
      <c r="R982" s="4" t="s">
        <v>2308</v>
      </c>
      <c r="S982" s="4" t="s">
        <v>2308</v>
      </c>
      <c r="T982" s="4" t="s">
        <v>2308</v>
      </c>
      <c r="U982" s="4" t="s">
        <v>2308</v>
      </c>
      <c r="V982" s="4" t="s">
        <v>2308</v>
      </c>
      <c r="W982" s="4" t="s">
        <v>2308</v>
      </c>
      <c r="X982" s="4" t="s">
        <v>2308</v>
      </c>
      <c r="Y982" s="4" t="s">
        <v>2308</v>
      </c>
      <c r="Z982" s="4" t="s">
        <v>2308</v>
      </c>
      <c r="AA982" s="4" t="s">
        <v>2308</v>
      </c>
      <c r="AB982" s="4" t="s">
        <v>2308</v>
      </c>
      <c r="AC982" s="4"/>
      <c r="AD982" s="4"/>
    </row>
    <row r="983" spans="1:30" ht="40" customHeight="1">
      <c r="A983" s="24" t="s">
        <v>3163</v>
      </c>
      <c r="B983" s="24" t="s">
        <v>3182</v>
      </c>
      <c r="C983" s="4" t="s">
        <v>24</v>
      </c>
      <c r="D983" s="4" t="s">
        <v>1267</v>
      </c>
      <c r="E983" s="4" t="s">
        <v>116</v>
      </c>
      <c r="F983" s="5" t="s">
        <v>2695</v>
      </c>
      <c r="G983" s="4" t="s">
        <v>2308</v>
      </c>
      <c r="H983" s="4" t="s">
        <v>531</v>
      </c>
      <c r="I983" s="4"/>
      <c r="J983" s="4" t="s">
        <v>2308</v>
      </c>
      <c r="K983" s="4" t="s">
        <v>2308</v>
      </c>
      <c r="L983" s="4" t="s">
        <v>2308</v>
      </c>
      <c r="M983" s="4" t="s">
        <v>2308</v>
      </c>
      <c r="N983" s="4" t="s">
        <v>2308</v>
      </c>
      <c r="O983" s="4" t="s">
        <v>2308</v>
      </c>
      <c r="P983" s="4" t="s">
        <v>2308</v>
      </c>
      <c r="Q983" s="4" t="s">
        <v>2308</v>
      </c>
      <c r="R983" s="4" t="s">
        <v>2308</v>
      </c>
      <c r="S983" s="4" t="s">
        <v>2308</v>
      </c>
      <c r="T983" s="4" t="s">
        <v>2308</v>
      </c>
      <c r="U983" s="4" t="s">
        <v>2308</v>
      </c>
      <c r="V983" s="4" t="s">
        <v>2308</v>
      </c>
      <c r="W983" s="4" t="s">
        <v>2308</v>
      </c>
      <c r="X983" s="4" t="s">
        <v>2308</v>
      </c>
      <c r="Y983" s="4" t="s">
        <v>2308</v>
      </c>
      <c r="Z983" s="4" t="s">
        <v>2308</v>
      </c>
      <c r="AA983" s="4" t="s">
        <v>2308</v>
      </c>
      <c r="AB983" s="4" t="s">
        <v>2308</v>
      </c>
      <c r="AC983" s="4"/>
      <c r="AD983" s="4"/>
    </row>
    <row r="984" spans="1:30" ht="40" customHeight="1">
      <c r="A984" s="24" t="s">
        <v>3163</v>
      </c>
      <c r="B984" s="24" t="s">
        <v>3183</v>
      </c>
      <c r="C984" s="4" t="s">
        <v>24</v>
      </c>
      <c r="D984" s="4" t="s">
        <v>2337</v>
      </c>
      <c r="E984" s="4" t="s">
        <v>116</v>
      </c>
      <c r="F984" s="5" t="s">
        <v>2308</v>
      </c>
      <c r="G984" s="4" t="s">
        <v>2308</v>
      </c>
      <c r="H984" s="4" t="s">
        <v>531</v>
      </c>
      <c r="I984" s="4"/>
      <c r="J984" s="4" t="s">
        <v>2308</v>
      </c>
      <c r="K984" s="4" t="s">
        <v>2308</v>
      </c>
      <c r="L984" s="4" t="s">
        <v>2308</v>
      </c>
      <c r="M984" s="4" t="s">
        <v>2308</v>
      </c>
      <c r="N984" s="4" t="s">
        <v>2308</v>
      </c>
      <c r="O984" s="4" t="s">
        <v>2308</v>
      </c>
      <c r="P984" s="4" t="s">
        <v>2308</v>
      </c>
      <c r="Q984" s="4" t="s">
        <v>2308</v>
      </c>
      <c r="R984" s="4" t="s">
        <v>2308</v>
      </c>
      <c r="S984" s="4" t="s">
        <v>2308</v>
      </c>
      <c r="T984" s="4" t="s">
        <v>2308</v>
      </c>
      <c r="U984" s="4" t="s">
        <v>2308</v>
      </c>
      <c r="V984" s="4" t="s">
        <v>2308</v>
      </c>
      <c r="W984" s="4" t="s">
        <v>2308</v>
      </c>
      <c r="X984" s="4" t="s">
        <v>2308</v>
      </c>
      <c r="Y984" s="4" t="s">
        <v>2308</v>
      </c>
      <c r="Z984" s="4" t="s">
        <v>2308</v>
      </c>
      <c r="AA984" s="4" t="s">
        <v>2308</v>
      </c>
      <c r="AB984" s="4" t="s">
        <v>2308</v>
      </c>
      <c r="AC984" s="5" t="s">
        <v>3193</v>
      </c>
      <c r="AD984" s="4"/>
    </row>
    <row r="985" spans="1:30" ht="40" customHeight="1">
      <c r="A985" s="24" t="s">
        <v>3163</v>
      </c>
      <c r="B985" s="24" t="s">
        <v>3184</v>
      </c>
      <c r="C985" s="4" t="s">
        <v>24</v>
      </c>
      <c r="D985" s="4" t="s">
        <v>26</v>
      </c>
      <c r="E985" s="4" t="s">
        <v>116</v>
      </c>
      <c r="F985" s="5" t="s">
        <v>2308</v>
      </c>
      <c r="G985" s="4" t="s">
        <v>2308</v>
      </c>
      <c r="H985" s="4" t="s">
        <v>531</v>
      </c>
      <c r="I985" s="4"/>
      <c r="J985" s="4" t="s">
        <v>2308</v>
      </c>
      <c r="K985" s="4" t="s">
        <v>2308</v>
      </c>
      <c r="L985" s="4" t="s">
        <v>2308</v>
      </c>
      <c r="M985" s="4" t="s">
        <v>2308</v>
      </c>
      <c r="N985" s="4" t="s">
        <v>2308</v>
      </c>
      <c r="O985" s="4" t="s">
        <v>2308</v>
      </c>
      <c r="P985" s="4" t="s">
        <v>2308</v>
      </c>
      <c r="Q985" s="4" t="s">
        <v>2308</v>
      </c>
      <c r="R985" s="4" t="s">
        <v>2308</v>
      </c>
      <c r="S985" s="4" t="s">
        <v>2308</v>
      </c>
      <c r="T985" s="4" t="s">
        <v>2308</v>
      </c>
      <c r="U985" s="4" t="s">
        <v>2308</v>
      </c>
      <c r="V985" s="4" t="s">
        <v>2308</v>
      </c>
      <c r="W985" s="4" t="s">
        <v>2308</v>
      </c>
      <c r="X985" s="4" t="s">
        <v>2308</v>
      </c>
      <c r="Y985" s="4" t="s">
        <v>2308</v>
      </c>
      <c r="Z985" s="4" t="s">
        <v>2308</v>
      </c>
      <c r="AA985" s="4" t="s">
        <v>2308</v>
      </c>
      <c r="AB985" s="4" t="s">
        <v>2308</v>
      </c>
      <c r="AC985" s="4"/>
      <c r="AD985" s="4"/>
    </row>
    <row r="986" spans="1:30" ht="40" customHeight="1">
      <c r="A986" s="24" t="s">
        <v>3163</v>
      </c>
      <c r="B986" s="24" t="s">
        <v>3185</v>
      </c>
      <c r="C986" s="4" t="s">
        <v>24</v>
      </c>
      <c r="D986" s="4" t="s">
        <v>2373</v>
      </c>
      <c r="E986" s="4" t="s">
        <v>116</v>
      </c>
      <c r="F986" s="5" t="s">
        <v>2308</v>
      </c>
      <c r="G986" s="4" t="s">
        <v>2308</v>
      </c>
      <c r="H986" s="4" t="s">
        <v>531</v>
      </c>
      <c r="I986" s="4"/>
      <c r="J986" s="4" t="s">
        <v>2308</v>
      </c>
      <c r="K986" s="4" t="s">
        <v>2308</v>
      </c>
      <c r="L986" s="4" t="s">
        <v>2308</v>
      </c>
      <c r="M986" s="4" t="s">
        <v>2308</v>
      </c>
      <c r="N986" s="4" t="s">
        <v>2308</v>
      </c>
      <c r="O986" s="4" t="s">
        <v>2308</v>
      </c>
      <c r="P986" s="4" t="s">
        <v>2308</v>
      </c>
      <c r="Q986" s="4" t="s">
        <v>2308</v>
      </c>
      <c r="R986" s="4" t="s">
        <v>2308</v>
      </c>
      <c r="S986" s="4" t="s">
        <v>2308</v>
      </c>
      <c r="T986" s="4" t="s">
        <v>2308</v>
      </c>
      <c r="U986" s="4" t="s">
        <v>2308</v>
      </c>
      <c r="V986" s="4" t="s">
        <v>2308</v>
      </c>
      <c r="W986" s="4" t="s">
        <v>2308</v>
      </c>
      <c r="X986" s="4" t="s">
        <v>2308</v>
      </c>
      <c r="Y986" s="4" t="s">
        <v>2308</v>
      </c>
      <c r="Z986" s="4" t="s">
        <v>2308</v>
      </c>
      <c r="AA986" s="4" t="s">
        <v>2308</v>
      </c>
      <c r="AB986" s="4" t="s">
        <v>2308</v>
      </c>
      <c r="AC986" s="4"/>
      <c r="AD986" s="4"/>
    </row>
    <row r="987" spans="1:30" ht="40" customHeight="1">
      <c r="A987" s="24" t="s">
        <v>3163</v>
      </c>
      <c r="B987" s="24" t="s">
        <v>3186</v>
      </c>
      <c r="C987" s="4" t="s">
        <v>24</v>
      </c>
      <c r="D987" s="4" t="s">
        <v>413</v>
      </c>
      <c r="E987" s="4" t="s">
        <v>116</v>
      </c>
      <c r="F987" s="5" t="s">
        <v>2308</v>
      </c>
      <c r="G987" s="4" t="s">
        <v>2308</v>
      </c>
      <c r="H987" s="4" t="s">
        <v>531</v>
      </c>
      <c r="I987" s="4"/>
      <c r="J987" s="4" t="s">
        <v>2308</v>
      </c>
      <c r="K987" s="4" t="s">
        <v>2308</v>
      </c>
      <c r="L987" s="4" t="s">
        <v>2308</v>
      </c>
      <c r="M987" s="4" t="s">
        <v>2308</v>
      </c>
      <c r="N987" s="4" t="s">
        <v>2308</v>
      </c>
      <c r="O987" s="4" t="s">
        <v>2308</v>
      </c>
      <c r="P987" s="4" t="s">
        <v>2308</v>
      </c>
      <c r="Q987" s="4" t="s">
        <v>2308</v>
      </c>
      <c r="R987" s="4" t="s">
        <v>2308</v>
      </c>
      <c r="S987" s="4" t="s">
        <v>2308</v>
      </c>
      <c r="T987" s="4" t="s">
        <v>2308</v>
      </c>
      <c r="U987" s="4" t="s">
        <v>2308</v>
      </c>
      <c r="V987" s="4" t="s">
        <v>2308</v>
      </c>
      <c r="W987" s="4" t="s">
        <v>2308</v>
      </c>
      <c r="X987" s="4" t="s">
        <v>2308</v>
      </c>
      <c r="Y987" s="4" t="s">
        <v>2308</v>
      </c>
      <c r="Z987" s="4" t="s">
        <v>2308</v>
      </c>
      <c r="AA987" s="4" t="s">
        <v>2308</v>
      </c>
      <c r="AB987" s="4" t="s">
        <v>2308</v>
      </c>
      <c r="AC987" s="4"/>
      <c r="AD987" s="4"/>
    </row>
    <row r="988" spans="1:30" ht="40" customHeight="1">
      <c r="A988" s="24" t="s">
        <v>3163</v>
      </c>
      <c r="B988" s="24" t="s">
        <v>3187</v>
      </c>
      <c r="C988" s="4" t="s">
        <v>24</v>
      </c>
      <c r="D988" s="4" t="s">
        <v>3027</v>
      </c>
      <c r="E988" s="4" t="s">
        <v>116</v>
      </c>
      <c r="F988" s="5" t="s">
        <v>2308</v>
      </c>
      <c r="G988" s="4" t="s">
        <v>2308</v>
      </c>
      <c r="H988" s="4" t="s">
        <v>531</v>
      </c>
      <c r="I988" s="4"/>
      <c r="J988" s="4" t="s">
        <v>2308</v>
      </c>
      <c r="K988" s="4" t="s">
        <v>2308</v>
      </c>
      <c r="L988" s="4" t="s">
        <v>2308</v>
      </c>
      <c r="M988" s="4" t="s">
        <v>2308</v>
      </c>
      <c r="N988" s="4" t="s">
        <v>2308</v>
      </c>
      <c r="O988" s="4" t="s">
        <v>2308</v>
      </c>
      <c r="P988" s="4" t="s">
        <v>2308</v>
      </c>
      <c r="Q988" s="4" t="s">
        <v>2308</v>
      </c>
      <c r="R988" s="4" t="s">
        <v>2308</v>
      </c>
      <c r="S988" s="4" t="s">
        <v>2308</v>
      </c>
      <c r="T988" s="4" t="s">
        <v>2308</v>
      </c>
      <c r="U988" s="4" t="s">
        <v>2308</v>
      </c>
      <c r="V988" s="4" t="s">
        <v>2308</v>
      </c>
      <c r="W988" s="4" t="s">
        <v>2308</v>
      </c>
      <c r="X988" s="4" t="s">
        <v>2308</v>
      </c>
      <c r="Y988" s="4" t="s">
        <v>2308</v>
      </c>
      <c r="Z988" s="4" t="s">
        <v>2308</v>
      </c>
      <c r="AA988" s="4" t="s">
        <v>2308</v>
      </c>
      <c r="AB988" s="4" t="s">
        <v>2308</v>
      </c>
      <c r="AC988" s="4"/>
      <c r="AD988" s="4"/>
    </row>
    <row r="989" spans="1:30" ht="40" customHeight="1">
      <c r="A989" s="24" t="s">
        <v>3163</v>
      </c>
      <c r="B989" s="24" t="s">
        <v>3188</v>
      </c>
      <c r="C989" s="4" t="s">
        <v>24</v>
      </c>
      <c r="D989" s="4" t="s">
        <v>26</v>
      </c>
      <c r="E989" s="4" t="s">
        <v>136</v>
      </c>
      <c r="F989" s="5" t="s">
        <v>2308</v>
      </c>
      <c r="G989" s="4" t="s">
        <v>2308</v>
      </c>
      <c r="H989" s="4" t="s">
        <v>531</v>
      </c>
      <c r="I989" s="4"/>
      <c r="J989" s="4" t="s">
        <v>2308</v>
      </c>
      <c r="K989" s="4" t="s">
        <v>2308</v>
      </c>
      <c r="L989" s="4" t="s">
        <v>2308</v>
      </c>
      <c r="M989" s="4" t="s">
        <v>2308</v>
      </c>
      <c r="N989" s="4" t="s">
        <v>2308</v>
      </c>
      <c r="O989" s="4" t="s">
        <v>2308</v>
      </c>
      <c r="P989" s="4" t="s">
        <v>2308</v>
      </c>
      <c r="Q989" s="4" t="s">
        <v>2308</v>
      </c>
      <c r="R989" s="4" t="s">
        <v>2308</v>
      </c>
      <c r="S989" s="4" t="s">
        <v>2308</v>
      </c>
      <c r="T989" s="4" t="s">
        <v>2308</v>
      </c>
      <c r="U989" s="4" t="s">
        <v>2308</v>
      </c>
      <c r="V989" s="4" t="s">
        <v>2308</v>
      </c>
      <c r="W989" s="4" t="s">
        <v>2308</v>
      </c>
      <c r="X989" s="4" t="s">
        <v>2308</v>
      </c>
      <c r="Y989" s="4" t="s">
        <v>2308</v>
      </c>
      <c r="Z989" s="4" t="s">
        <v>2308</v>
      </c>
      <c r="AA989" s="4" t="s">
        <v>2308</v>
      </c>
      <c r="AB989" s="4" t="s">
        <v>2308</v>
      </c>
      <c r="AC989" s="4"/>
      <c r="AD989" s="4"/>
    </row>
    <row r="990" spans="1:30" ht="40" customHeight="1">
      <c r="A990" s="24" t="s">
        <v>3163</v>
      </c>
      <c r="B990" s="24" t="s">
        <v>3189</v>
      </c>
      <c r="C990" s="4" t="s">
        <v>24</v>
      </c>
      <c r="D990" s="4" t="s">
        <v>2373</v>
      </c>
      <c r="E990" s="4" t="s">
        <v>136</v>
      </c>
      <c r="F990" s="5" t="s">
        <v>2308</v>
      </c>
      <c r="G990" s="4" t="s">
        <v>2308</v>
      </c>
      <c r="H990" s="4" t="s">
        <v>531</v>
      </c>
      <c r="I990" s="4"/>
      <c r="J990" s="4" t="s">
        <v>2308</v>
      </c>
      <c r="K990" s="4" t="s">
        <v>2308</v>
      </c>
      <c r="L990" s="4" t="s">
        <v>2308</v>
      </c>
      <c r="M990" s="4" t="s">
        <v>2308</v>
      </c>
      <c r="N990" s="4" t="s">
        <v>2308</v>
      </c>
      <c r="O990" s="4" t="s">
        <v>2308</v>
      </c>
      <c r="P990" s="4" t="s">
        <v>2308</v>
      </c>
      <c r="Q990" s="4" t="s">
        <v>2308</v>
      </c>
      <c r="R990" s="4" t="s">
        <v>2308</v>
      </c>
      <c r="S990" s="4" t="s">
        <v>2308</v>
      </c>
      <c r="T990" s="4" t="s">
        <v>2308</v>
      </c>
      <c r="U990" s="4" t="s">
        <v>2308</v>
      </c>
      <c r="V990" s="4" t="s">
        <v>2308</v>
      </c>
      <c r="W990" s="4" t="s">
        <v>2308</v>
      </c>
      <c r="X990" s="4" t="s">
        <v>2308</v>
      </c>
      <c r="Y990" s="4" t="s">
        <v>2308</v>
      </c>
      <c r="Z990" s="4" t="s">
        <v>2308</v>
      </c>
      <c r="AA990" s="4" t="s">
        <v>2308</v>
      </c>
      <c r="AB990" s="4" t="s">
        <v>2308</v>
      </c>
      <c r="AC990" s="4"/>
      <c r="AD990" s="4"/>
    </row>
    <row r="991" spans="1:30" ht="40" customHeight="1">
      <c r="A991" s="24" t="s">
        <v>3163</v>
      </c>
      <c r="B991" s="24" t="s">
        <v>3190</v>
      </c>
      <c r="C991" s="4" t="s">
        <v>24</v>
      </c>
      <c r="D991" s="4" t="s">
        <v>413</v>
      </c>
      <c r="E991" s="4" t="s">
        <v>136</v>
      </c>
      <c r="F991" s="5" t="s">
        <v>2308</v>
      </c>
      <c r="G991" s="4" t="s">
        <v>2308</v>
      </c>
      <c r="H991" s="4" t="s">
        <v>531</v>
      </c>
      <c r="I991" s="4"/>
      <c r="J991" s="4" t="s">
        <v>2308</v>
      </c>
      <c r="K991" s="4" t="s">
        <v>2308</v>
      </c>
      <c r="L991" s="4" t="s">
        <v>2308</v>
      </c>
      <c r="M991" s="4" t="s">
        <v>2308</v>
      </c>
      <c r="N991" s="4" t="s">
        <v>2308</v>
      </c>
      <c r="O991" s="4" t="s">
        <v>2308</v>
      </c>
      <c r="P991" s="4" t="s">
        <v>2308</v>
      </c>
      <c r="Q991" s="4" t="s">
        <v>2308</v>
      </c>
      <c r="R991" s="4" t="s">
        <v>2308</v>
      </c>
      <c r="S991" s="4" t="s">
        <v>2308</v>
      </c>
      <c r="T991" s="4" t="s">
        <v>2308</v>
      </c>
      <c r="U991" s="4" t="s">
        <v>2308</v>
      </c>
      <c r="V991" s="4" t="s">
        <v>2308</v>
      </c>
      <c r="W991" s="4" t="s">
        <v>2308</v>
      </c>
      <c r="X991" s="4" t="s">
        <v>2308</v>
      </c>
      <c r="Y991" s="4" t="s">
        <v>2308</v>
      </c>
      <c r="Z991" s="4" t="s">
        <v>2308</v>
      </c>
      <c r="AA991" s="4" t="s">
        <v>2308</v>
      </c>
      <c r="AB991" s="4" t="s">
        <v>2308</v>
      </c>
      <c r="AC991" s="4"/>
      <c r="AD991" s="4"/>
    </row>
    <row r="992" spans="1:30" ht="40" customHeight="1">
      <c r="A992" s="37" t="s">
        <v>3163</v>
      </c>
      <c r="B992" s="37" t="s">
        <v>3191</v>
      </c>
      <c r="C992" s="39" t="s">
        <v>24</v>
      </c>
      <c r="D992" s="39" t="s">
        <v>3027</v>
      </c>
      <c r="E992" s="39" t="s">
        <v>136</v>
      </c>
      <c r="F992" s="177" t="s">
        <v>2308</v>
      </c>
      <c r="G992" s="4" t="s">
        <v>2308</v>
      </c>
      <c r="H992" s="39" t="s">
        <v>531</v>
      </c>
      <c r="I992" s="4"/>
      <c r="J992" s="4" t="s">
        <v>2308</v>
      </c>
      <c r="K992" s="4" t="s">
        <v>2308</v>
      </c>
      <c r="L992" s="4" t="s">
        <v>2308</v>
      </c>
      <c r="M992" s="4" t="s">
        <v>2308</v>
      </c>
      <c r="N992" s="4" t="s">
        <v>2308</v>
      </c>
      <c r="O992" s="4" t="s">
        <v>2308</v>
      </c>
      <c r="P992" s="4" t="s">
        <v>2308</v>
      </c>
      <c r="Q992" s="4" t="s">
        <v>2308</v>
      </c>
      <c r="R992" s="4" t="s">
        <v>2308</v>
      </c>
      <c r="S992" s="4" t="s">
        <v>2308</v>
      </c>
      <c r="T992" s="4" t="s">
        <v>2308</v>
      </c>
      <c r="U992" s="4" t="s">
        <v>2308</v>
      </c>
      <c r="V992" s="4" t="s">
        <v>2308</v>
      </c>
      <c r="W992" s="4" t="s">
        <v>2308</v>
      </c>
      <c r="X992" s="4" t="s">
        <v>2308</v>
      </c>
      <c r="Y992" s="4" t="s">
        <v>2308</v>
      </c>
      <c r="Z992" s="4" t="s">
        <v>2308</v>
      </c>
      <c r="AA992" s="4" t="s">
        <v>2308</v>
      </c>
      <c r="AB992" s="4" t="s">
        <v>2308</v>
      </c>
      <c r="AC992" s="4"/>
      <c r="AD992" s="4"/>
    </row>
    <row r="993" spans="1:30" ht="40" customHeight="1">
      <c r="A993" s="24" t="s">
        <v>3163</v>
      </c>
      <c r="B993" s="24" t="s">
        <v>3192</v>
      </c>
      <c r="C993" s="4" t="s">
        <v>31</v>
      </c>
      <c r="D993" s="4" t="s">
        <v>2308</v>
      </c>
      <c r="E993" s="4" t="s">
        <v>2685</v>
      </c>
      <c r="F993" s="5" t="s">
        <v>2308</v>
      </c>
      <c r="G993" s="4" t="s">
        <v>2308</v>
      </c>
      <c r="H993" s="4" t="s">
        <v>531</v>
      </c>
      <c r="I993" s="4"/>
      <c r="J993" s="4" t="s">
        <v>2308</v>
      </c>
      <c r="K993" s="4" t="s">
        <v>2308</v>
      </c>
      <c r="L993" s="4" t="s">
        <v>2308</v>
      </c>
      <c r="M993" s="4" t="s">
        <v>2308</v>
      </c>
      <c r="N993" s="4" t="s">
        <v>2308</v>
      </c>
      <c r="O993" s="4" t="s">
        <v>2308</v>
      </c>
      <c r="P993" s="4" t="s">
        <v>2308</v>
      </c>
      <c r="Q993" s="4" t="s">
        <v>2308</v>
      </c>
      <c r="R993" s="4" t="s">
        <v>2308</v>
      </c>
      <c r="S993" s="4" t="s">
        <v>2308</v>
      </c>
      <c r="T993" s="4" t="s">
        <v>2308</v>
      </c>
      <c r="U993" s="4" t="s">
        <v>2308</v>
      </c>
      <c r="V993" s="4" t="s">
        <v>2308</v>
      </c>
      <c r="W993" s="4" t="s">
        <v>2308</v>
      </c>
      <c r="X993" s="4" t="s">
        <v>2308</v>
      </c>
      <c r="Y993" s="4" t="s">
        <v>2308</v>
      </c>
      <c r="Z993" s="4" t="s">
        <v>2308</v>
      </c>
      <c r="AA993" s="4" t="s">
        <v>2308</v>
      </c>
      <c r="AB993" s="4" t="s">
        <v>2308</v>
      </c>
      <c r="AC993" s="4"/>
      <c r="AD993" s="4"/>
    </row>
    <row r="994" spans="1:30" ht="40" customHeight="1">
      <c r="A994" s="24" t="s">
        <v>3163</v>
      </c>
      <c r="B994" s="24" t="s">
        <v>3194</v>
      </c>
      <c r="C994" s="4" t="s">
        <v>24</v>
      </c>
      <c r="D994" s="4" t="s">
        <v>1264</v>
      </c>
      <c r="E994" s="4" t="s">
        <v>116</v>
      </c>
      <c r="F994" s="5" t="s">
        <v>2695</v>
      </c>
      <c r="G994" s="4" t="s">
        <v>2308</v>
      </c>
      <c r="H994" s="4" t="s">
        <v>531</v>
      </c>
      <c r="I994" s="4"/>
      <c r="J994" s="4" t="s">
        <v>2308</v>
      </c>
      <c r="K994" s="4" t="s">
        <v>2308</v>
      </c>
      <c r="L994" s="4" t="s">
        <v>2308</v>
      </c>
      <c r="M994" s="4" t="s">
        <v>2308</v>
      </c>
      <c r="N994" s="4" t="s">
        <v>2308</v>
      </c>
      <c r="O994" s="4" t="s">
        <v>2308</v>
      </c>
      <c r="P994" s="4" t="s">
        <v>2308</v>
      </c>
      <c r="Q994" s="4" t="s">
        <v>2308</v>
      </c>
      <c r="R994" s="4" t="s">
        <v>2308</v>
      </c>
      <c r="S994" s="4" t="s">
        <v>2308</v>
      </c>
      <c r="T994" s="4" t="s">
        <v>2308</v>
      </c>
      <c r="U994" s="4" t="s">
        <v>2308</v>
      </c>
      <c r="V994" s="4" t="s">
        <v>2308</v>
      </c>
      <c r="W994" s="4" t="s">
        <v>2308</v>
      </c>
      <c r="X994" s="4" t="s">
        <v>2308</v>
      </c>
      <c r="Y994" s="4" t="s">
        <v>2308</v>
      </c>
      <c r="Z994" s="4" t="s">
        <v>2308</v>
      </c>
      <c r="AA994" s="4" t="s">
        <v>2308</v>
      </c>
      <c r="AB994" s="4" t="s">
        <v>2308</v>
      </c>
      <c r="AC994" s="4"/>
      <c r="AD994" s="4"/>
    </row>
    <row r="995" spans="1:30" ht="40" customHeight="1">
      <c r="A995" s="24" t="s">
        <v>3163</v>
      </c>
      <c r="B995" s="24" t="s">
        <v>3195</v>
      </c>
      <c r="C995" s="4" t="s">
        <v>24</v>
      </c>
      <c r="D995" s="4" t="s">
        <v>1264</v>
      </c>
      <c r="E995" s="4" t="s">
        <v>136</v>
      </c>
      <c r="F995" s="5" t="s">
        <v>2695</v>
      </c>
      <c r="G995" s="4" t="s">
        <v>2308</v>
      </c>
      <c r="H995" s="4" t="s">
        <v>531</v>
      </c>
      <c r="I995" s="4"/>
      <c r="J995" s="4" t="s">
        <v>2308</v>
      </c>
      <c r="K995" s="4" t="s">
        <v>2308</v>
      </c>
      <c r="L995" s="4" t="s">
        <v>2308</v>
      </c>
      <c r="M995" s="4" t="s">
        <v>2308</v>
      </c>
      <c r="N995" s="4" t="s">
        <v>2308</v>
      </c>
      <c r="O995" s="4" t="s">
        <v>2308</v>
      </c>
      <c r="P995" s="4" t="s">
        <v>2308</v>
      </c>
      <c r="Q995" s="4" t="s">
        <v>2308</v>
      </c>
      <c r="R995" s="4" t="s">
        <v>2308</v>
      </c>
      <c r="S995" s="4" t="s">
        <v>2308</v>
      </c>
      <c r="T995" s="4" t="s">
        <v>2308</v>
      </c>
      <c r="U995" s="4" t="s">
        <v>2308</v>
      </c>
      <c r="V995" s="4" t="s">
        <v>2308</v>
      </c>
      <c r="W995" s="4" t="s">
        <v>2308</v>
      </c>
      <c r="X995" s="4" t="s">
        <v>2308</v>
      </c>
      <c r="Y995" s="4" t="s">
        <v>2308</v>
      </c>
      <c r="Z995" s="4" t="s">
        <v>2308</v>
      </c>
      <c r="AA995" s="4" t="s">
        <v>2308</v>
      </c>
      <c r="AB995" s="4" t="s">
        <v>2308</v>
      </c>
      <c r="AC995" s="4"/>
      <c r="AD995" s="4"/>
    </row>
    <row r="996" spans="1:30" ht="40" customHeight="1">
      <c r="A996" s="24" t="s">
        <v>3163</v>
      </c>
      <c r="B996" s="24" t="s">
        <v>3196</v>
      </c>
      <c r="C996" s="4" t="s">
        <v>24</v>
      </c>
      <c r="D996" s="4" t="s">
        <v>25</v>
      </c>
      <c r="E996" s="4" t="s">
        <v>136</v>
      </c>
      <c r="F996" s="5" t="s">
        <v>2695</v>
      </c>
      <c r="G996" s="4" t="s">
        <v>2308</v>
      </c>
      <c r="H996" s="4" t="s">
        <v>531</v>
      </c>
      <c r="I996" s="4"/>
      <c r="J996" s="4" t="s">
        <v>2308</v>
      </c>
      <c r="K996" s="4" t="s">
        <v>2308</v>
      </c>
      <c r="L996" s="4" t="s">
        <v>2308</v>
      </c>
      <c r="M996" s="4" t="s">
        <v>2308</v>
      </c>
      <c r="N996" s="4" t="s">
        <v>2308</v>
      </c>
      <c r="O996" s="4" t="s">
        <v>2308</v>
      </c>
      <c r="P996" s="4" t="s">
        <v>2308</v>
      </c>
      <c r="Q996" s="4" t="s">
        <v>2308</v>
      </c>
      <c r="R996" s="4" t="s">
        <v>2308</v>
      </c>
      <c r="S996" s="4" t="s">
        <v>2308</v>
      </c>
      <c r="T996" s="4" t="s">
        <v>2308</v>
      </c>
      <c r="U996" s="4" t="s">
        <v>2308</v>
      </c>
      <c r="V996" s="4" t="s">
        <v>2308</v>
      </c>
      <c r="W996" s="4" t="s">
        <v>2308</v>
      </c>
      <c r="X996" s="4" t="s">
        <v>2308</v>
      </c>
      <c r="Y996" s="4" t="s">
        <v>2308</v>
      </c>
      <c r="Z996" s="4" t="s">
        <v>2308</v>
      </c>
      <c r="AA996" s="4" t="s">
        <v>2308</v>
      </c>
      <c r="AB996" s="4" t="s">
        <v>2308</v>
      </c>
      <c r="AC996" s="5" t="s">
        <v>3197</v>
      </c>
      <c r="AD996" s="4"/>
    </row>
    <row r="997" spans="1:30" ht="40" customHeight="1">
      <c r="A997" s="24" t="s">
        <v>3164</v>
      </c>
      <c r="B997" s="24" t="s">
        <v>3173</v>
      </c>
      <c r="C997" s="4" t="s">
        <v>24</v>
      </c>
      <c r="D997" s="4" t="s">
        <v>27</v>
      </c>
      <c r="E997" s="4" t="s">
        <v>136</v>
      </c>
      <c r="F997" s="5" t="s">
        <v>167</v>
      </c>
      <c r="G997" s="4" t="s">
        <v>2308</v>
      </c>
      <c r="H997" s="4" t="s">
        <v>531</v>
      </c>
      <c r="I997" s="4"/>
      <c r="J997" s="4" t="s">
        <v>2308</v>
      </c>
      <c r="K997" s="4" t="s">
        <v>2308</v>
      </c>
      <c r="L997" s="4" t="s">
        <v>2308</v>
      </c>
      <c r="M997" s="4" t="s">
        <v>2308</v>
      </c>
      <c r="N997" s="4" t="s">
        <v>2308</v>
      </c>
      <c r="O997" s="4" t="s">
        <v>2308</v>
      </c>
      <c r="P997" s="4" t="s">
        <v>2308</v>
      </c>
      <c r="Q997" s="4" t="s">
        <v>2308</v>
      </c>
      <c r="R997" s="4" t="s">
        <v>2308</v>
      </c>
      <c r="S997" s="4" t="s">
        <v>2308</v>
      </c>
      <c r="T997" s="4" t="s">
        <v>2308</v>
      </c>
      <c r="U997" s="4" t="s">
        <v>2308</v>
      </c>
      <c r="V997" s="4" t="s">
        <v>2308</v>
      </c>
      <c r="W997" s="4" t="s">
        <v>2308</v>
      </c>
      <c r="X997" s="4" t="s">
        <v>2308</v>
      </c>
      <c r="Y997" s="4" t="s">
        <v>2308</v>
      </c>
      <c r="Z997" s="4" t="s">
        <v>2308</v>
      </c>
      <c r="AA997" s="4" t="s">
        <v>2308</v>
      </c>
      <c r="AB997" s="4" t="s">
        <v>2308</v>
      </c>
      <c r="AC997" s="4"/>
      <c r="AD997" s="4" t="s">
        <v>3180</v>
      </c>
    </row>
    <row r="998" spans="1:30" ht="40" customHeight="1">
      <c r="A998" s="24" t="s">
        <v>3164</v>
      </c>
      <c r="B998" s="24" t="s">
        <v>3198</v>
      </c>
      <c r="C998" s="4" t="s">
        <v>24</v>
      </c>
      <c r="D998" s="4" t="s">
        <v>1267</v>
      </c>
      <c r="E998" s="4" t="s">
        <v>116</v>
      </c>
      <c r="F998" s="5" t="s">
        <v>74</v>
      </c>
      <c r="G998" s="4" t="s">
        <v>2308</v>
      </c>
      <c r="H998" s="4" t="s">
        <v>531</v>
      </c>
      <c r="I998" s="4"/>
      <c r="J998" s="4" t="s">
        <v>2308</v>
      </c>
      <c r="K998" s="4" t="s">
        <v>2308</v>
      </c>
      <c r="L998" s="4" t="s">
        <v>2308</v>
      </c>
      <c r="M998" s="4" t="s">
        <v>2308</v>
      </c>
      <c r="N998" s="4" t="s">
        <v>2308</v>
      </c>
      <c r="O998" s="4" t="s">
        <v>2308</v>
      </c>
      <c r="P998" s="4" t="s">
        <v>2308</v>
      </c>
      <c r="Q998" s="4" t="s">
        <v>2308</v>
      </c>
      <c r="R998" s="4" t="s">
        <v>2308</v>
      </c>
      <c r="S998" s="4" t="s">
        <v>2308</v>
      </c>
      <c r="T998" s="4" t="s">
        <v>2308</v>
      </c>
      <c r="U998" s="4" t="s">
        <v>2308</v>
      </c>
      <c r="V998" s="4" t="s">
        <v>2308</v>
      </c>
      <c r="W998" s="4" t="s">
        <v>2308</v>
      </c>
      <c r="X998" s="4" t="s">
        <v>2308</v>
      </c>
      <c r="Y998" s="4" t="s">
        <v>2308</v>
      </c>
      <c r="Z998" s="4" t="s">
        <v>2308</v>
      </c>
      <c r="AA998" s="4" t="s">
        <v>2308</v>
      </c>
      <c r="AB998" s="4" t="s">
        <v>2308</v>
      </c>
      <c r="AC998" s="4"/>
      <c r="AD998" s="4"/>
    </row>
    <row r="999" spans="1:30" ht="40" customHeight="1">
      <c r="A999" s="24" t="s">
        <v>3164</v>
      </c>
      <c r="B999" s="24" t="s">
        <v>3199</v>
      </c>
      <c r="C999" s="4" t="s">
        <v>24</v>
      </c>
      <c r="D999" s="4" t="s">
        <v>1267</v>
      </c>
      <c r="E999" s="4" t="s">
        <v>116</v>
      </c>
      <c r="F999" s="5" t="s">
        <v>2695</v>
      </c>
      <c r="G999" s="4" t="s">
        <v>2308</v>
      </c>
      <c r="H999" s="4" t="s">
        <v>531</v>
      </c>
      <c r="I999" s="4"/>
      <c r="J999" s="4" t="s">
        <v>2308</v>
      </c>
      <c r="K999" s="4" t="s">
        <v>2308</v>
      </c>
      <c r="L999" s="4" t="s">
        <v>2308</v>
      </c>
      <c r="M999" s="4" t="s">
        <v>2308</v>
      </c>
      <c r="N999" s="4" t="s">
        <v>2308</v>
      </c>
      <c r="O999" s="4" t="s">
        <v>2308</v>
      </c>
      <c r="P999" s="4" t="s">
        <v>2308</v>
      </c>
      <c r="Q999" s="4" t="s">
        <v>2308</v>
      </c>
      <c r="R999" s="4" t="s">
        <v>2308</v>
      </c>
      <c r="S999" s="4" t="s">
        <v>2308</v>
      </c>
      <c r="T999" s="4" t="s">
        <v>2308</v>
      </c>
      <c r="U999" s="4" t="s">
        <v>2308</v>
      </c>
      <c r="V999" s="4" t="s">
        <v>2308</v>
      </c>
      <c r="W999" s="4" t="s">
        <v>2308</v>
      </c>
      <c r="X999" s="4" t="s">
        <v>2308</v>
      </c>
      <c r="Y999" s="4" t="s">
        <v>2308</v>
      </c>
      <c r="Z999" s="4" t="s">
        <v>2308</v>
      </c>
      <c r="AA999" s="4" t="s">
        <v>2308</v>
      </c>
      <c r="AB999" s="4" t="s">
        <v>2308</v>
      </c>
      <c r="AC999" s="4"/>
      <c r="AD999" s="4"/>
    </row>
    <row r="1000" spans="1:30" ht="40" customHeight="1">
      <c r="A1000" s="24" t="s">
        <v>3164</v>
      </c>
      <c r="B1000" s="24" t="s">
        <v>3200</v>
      </c>
      <c r="C1000" s="4" t="s">
        <v>24</v>
      </c>
      <c r="D1000" s="4" t="s">
        <v>2337</v>
      </c>
      <c r="E1000" s="4" t="s">
        <v>116</v>
      </c>
      <c r="F1000" s="5" t="s">
        <v>2308</v>
      </c>
      <c r="G1000" s="4" t="s">
        <v>2308</v>
      </c>
      <c r="H1000" s="4" t="s">
        <v>531</v>
      </c>
      <c r="I1000" s="4"/>
      <c r="J1000" s="4" t="s">
        <v>2308</v>
      </c>
      <c r="K1000" s="4" t="s">
        <v>2308</v>
      </c>
      <c r="L1000" s="4" t="s">
        <v>2308</v>
      </c>
      <c r="M1000" s="4" t="s">
        <v>2308</v>
      </c>
      <c r="N1000" s="4" t="s">
        <v>2308</v>
      </c>
      <c r="O1000" s="4" t="s">
        <v>2308</v>
      </c>
      <c r="P1000" s="4" t="s">
        <v>2308</v>
      </c>
      <c r="Q1000" s="4" t="s">
        <v>2308</v>
      </c>
      <c r="R1000" s="4" t="s">
        <v>2308</v>
      </c>
      <c r="S1000" s="4" t="s">
        <v>2308</v>
      </c>
      <c r="T1000" s="4" t="s">
        <v>2308</v>
      </c>
      <c r="U1000" s="4" t="s">
        <v>2308</v>
      </c>
      <c r="V1000" s="4" t="s">
        <v>2308</v>
      </c>
      <c r="W1000" s="4" t="s">
        <v>2308</v>
      </c>
      <c r="X1000" s="4" t="s">
        <v>2308</v>
      </c>
      <c r="Y1000" s="4" t="s">
        <v>2308</v>
      </c>
      <c r="Z1000" s="4" t="s">
        <v>2308</v>
      </c>
      <c r="AA1000" s="4" t="s">
        <v>2308</v>
      </c>
      <c r="AB1000" s="4" t="s">
        <v>2308</v>
      </c>
      <c r="AC1000" s="5" t="s">
        <v>3193</v>
      </c>
      <c r="AD1000" s="4"/>
    </row>
    <row r="1001" spans="1:30" ht="40" customHeight="1">
      <c r="A1001" s="24" t="s">
        <v>3164</v>
      </c>
      <c r="B1001" s="24" t="s">
        <v>3201</v>
      </c>
      <c r="C1001" s="4" t="s">
        <v>24</v>
      </c>
      <c r="D1001" s="4" t="s">
        <v>26</v>
      </c>
      <c r="E1001" s="4" t="s">
        <v>116</v>
      </c>
      <c r="F1001" s="5" t="s">
        <v>2308</v>
      </c>
      <c r="G1001" s="4" t="s">
        <v>2308</v>
      </c>
      <c r="H1001" s="4" t="s">
        <v>531</v>
      </c>
      <c r="I1001" s="4"/>
      <c r="J1001" s="4" t="s">
        <v>2308</v>
      </c>
      <c r="K1001" s="4" t="s">
        <v>2308</v>
      </c>
      <c r="L1001" s="4" t="s">
        <v>2308</v>
      </c>
      <c r="M1001" s="4" t="s">
        <v>2308</v>
      </c>
      <c r="N1001" s="4" t="s">
        <v>2308</v>
      </c>
      <c r="O1001" s="4" t="s">
        <v>2308</v>
      </c>
      <c r="P1001" s="4" t="s">
        <v>2308</v>
      </c>
      <c r="Q1001" s="4" t="s">
        <v>2308</v>
      </c>
      <c r="R1001" s="4" t="s">
        <v>2308</v>
      </c>
      <c r="S1001" s="4" t="s">
        <v>2308</v>
      </c>
      <c r="T1001" s="4" t="s">
        <v>2308</v>
      </c>
      <c r="U1001" s="4" t="s">
        <v>2308</v>
      </c>
      <c r="V1001" s="4" t="s">
        <v>2308</v>
      </c>
      <c r="W1001" s="4" t="s">
        <v>2308</v>
      </c>
      <c r="X1001" s="4" t="s">
        <v>2308</v>
      </c>
      <c r="Y1001" s="4" t="s">
        <v>2308</v>
      </c>
      <c r="Z1001" s="4" t="s">
        <v>2308</v>
      </c>
      <c r="AA1001" s="4" t="s">
        <v>2308</v>
      </c>
      <c r="AB1001" s="4" t="s">
        <v>2308</v>
      </c>
      <c r="AC1001" s="4"/>
      <c r="AD1001" s="4"/>
    </row>
    <row r="1002" spans="1:30" ht="40" customHeight="1">
      <c r="A1002" s="24" t="s">
        <v>3164</v>
      </c>
      <c r="B1002" s="24" t="s">
        <v>3202</v>
      </c>
      <c r="C1002" s="4" t="s">
        <v>24</v>
      </c>
      <c r="D1002" s="4" t="s">
        <v>2373</v>
      </c>
      <c r="E1002" s="4" t="s">
        <v>116</v>
      </c>
      <c r="F1002" s="5" t="s">
        <v>2308</v>
      </c>
      <c r="G1002" s="4" t="s">
        <v>2308</v>
      </c>
      <c r="H1002" s="4" t="s">
        <v>531</v>
      </c>
      <c r="I1002" s="4"/>
      <c r="J1002" s="4" t="s">
        <v>2308</v>
      </c>
      <c r="K1002" s="4" t="s">
        <v>2308</v>
      </c>
      <c r="L1002" s="4" t="s">
        <v>2308</v>
      </c>
      <c r="M1002" s="4" t="s">
        <v>2308</v>
      </c>
      <c r="N1002" s="4" t="s">
        <v>2308</v>
      </c>
      <c r="O1002" s="4" t="s">
        <v>2308</v>
      </c>
      <c r="P1002" s="4" t="s">
        <v>2308</v>
      </c>
      <c r="Q1002" s="4" t="s">
        <v>2308</v>
      </c>
      <c r="R1002" s="4" t="s">
        <v>2308</v>
      </c>
      <c r="S1002" s="4" t="s">
        <v>2308</v>
      </c>
      <c r="T1002" s="4" t="s">
        <v>2308</v>
      </c>
      <c r="U1002" s="4" t="s">
        <v>2308</v>
      </c>
      <c r="V1002" s="4" t="s">
        <v>2308</v>
      </c>
      <c r="W1002" s="4" t="s">
        <v>2308</v>
      </c>
      <c r="X1002" s="4" t="s">
        <v>2308</v>
      </c>
      <c r="Y1002" s="4" t="s">
        <v>2308</v>
      </c>
      <c r="Z1002" s="4" t="s">
        <v>2308</v>
      </c>
      <c r="AA1002" s="4" t="s">
        <v>2308</v>
      </c>
      <c r="AB1002" s="4" t="s">
        <v>2308</v>
      </c>
      <c r="AC1002" s="4"/>
      <c r="AD1002" s="4"/>
    </row>
    <row r="1003" spans="1:30" ht="40" customHeight="1">
      <c r="A1003" s="24" t="s">
        <v>3164</v>
      </c>
      <c r="B1003" s="24" t="s">
        <v>3203</v>
      </c>
      <c r="C1003" s="4" t="s">
        <v>24</v>
      </c>
      <c r="D1003" s="4" t="s">
        <v>413</v>
      </c>
      <c r="E1003" s="4" t="s">
        <v>116</v>
      </c>
      <c r="F1003" s="5" t="s">
        <v>2308</v>
      </c>
      <c r="G1003" s="4" t="s">
        <v>2308</v>
      </c>
      <c r="H1003" s="4" t="s">
        <v>531</v>
      </c>
      <c r="I1003" s="4"/>
      <c r="J1003" s="4" t="s">
        <v>2308</v>
      </c>
      <c r="K1003" s="4" t="s">
        <v>2308</v>
      </c>
      <c r="L1003" s="4" t="s">
        <v>2308</v>
      </c>
      <c r="M1003" s="4" t="s">
        <v>2308</v>
      </c>
      <c r="N1003" s="4" t="s">
        <v>2308</v>
      </c>
      <c r="O1003" s="4" t="s">
        <v>2308</v>
      </c>
      <c r="P1003" s="4" t="s">
        <v>2308</v>
      </c>
      <c r="Q1003" s="4" t="s">
        <v>2308</v>
      </c>
      <c r="R1003" s="4" t="s">
        <v>2308</v>
      </c>
      <c r="S1003" s="4" t="s">
        <v>2308</v>
      </c>
      <c r="T1003" s="4" t="s">
        <v>2308</v>
      </c>
      <c r="U1003" s="4" t="s">
        <v>2308</v>
      </c>
      <c r="V1003" s="4" t="s">
        <v>2308</v>
      </c>
      <c r="W1003" s="4" t="s">
        <v>2308</v>
      </c>
      <c r="X1003" s="4" t="s">
        <v>2308</v>
      </c>
      <c r="Y1003" s="4" t="s">
        <v>2308</v>
      </c>
      <c r="Z1003" s="4" t="s">
        <v>2308</v>
      </c>
      <c r="AA1003" s="4" t="s">
        <v>2308</v>
      </c>
      <c r="AB1003" s="4" t="s">
        <v>2308</v>
      </c>
      <c r="AC1003" s="4"/>
      <c r="AD1003" s="4"/>
    </row>
    <row r="1004" spans="1:30" ht="40" customHeight="1">
      <c r="A1004" s="24" t="s">
        <v>3164</v>
      </c>
      <c r="B1004" s="24" t="s">
        <v>3204</v>
      </c>
      <c r="C1004" s="4" t="s">
        <v>24</v>
      </c>
      <c r="D1004" s="4" t="s">
        <v>3027</v>
      </c>
      <c r="E1004" s="4" t="s">
        <v>116</v>
      </c>
      <c r="F1004" s="5" t="s">
        <v>2308</v>
      </c>
      <c r="G1004" s="4" t="s">
        <v>2308</v>
      </c>
      <c r="H1004" s="4" t="s">
        <v>531</v>
      </c>
      <c r="I1004" s="4"/>
      <c r="J1004" s="4" t="s">
        <v>2308</v>
      </c>
      <c r="K1004" s="4" t="s">
        <v>2308</v>
      </c>
      <c r="L1004" s="4" t="s">
        <v>2308</v>
      </c>
      <c r="M1004" s="4" t="s">
        <v>2308</v>
      </c>
      <c r="N1004" s="4" t="s">
        <v>2308</v>
      </c>
      <c r="O1004" s="4" t="s">
        <v>2308</v>
      </c>
      <c r="P1004" s="4" t="s">
        <v>2308</v>
      </c>
      <c r="Q1004" s="4" t="s">
        <v>2308</v>
      </c>
      <c r="R1004" s="4" t="s">
        <v>2308</v>
      </c>
      <c r="S1004" s="4" t="s">
        <v>2308</v>
      </c>
      <c r="T1004" s="4" t="s">
        <v>2308</v>
      </c>
      <c r="U1004" s="4" t="s">
        <v>2308</v>
      </c>
      <c r="V1004" s="4" t="s">
        <v>2308</v>
      </c>
      <c r="W1004" s="4" t="s">
        <v>2308</v>
      </c>
      <c r="X1004" s="4" t="s">
        <v>2308</v>
      </c>
      <c r="Y1004" s="4" t="s">
        <v>2308</v>
      </c>
      <c r="Z1004" s="4" t="s">
        <v>2308</v>
      </c>
      <c r="AA1004" s="4" t="s">
        <v>2308</v>
      </c>
      <c r="AB1004" s="4" t="s">
        <v>2308</v>
      </c>
      <c r="AC1004" s="4"/>
      <c r="AD1004" s="4"/>
    </row>
    <row r="1005" spans="1:30" ht="40" customHeight="1">
      <c r="A1005" s="24" t="s">
        <v>3164</v>
      </c>
      <c r="B1005" s="24" t="s">
        <v>3205</v>
      </c>
      <c r="C1005" s="4" t="s">
        <v>24</v>
      </c>
      <c r="D1005" s="4" t="s">
        <v>26</v>
      </c>
      <c r="E1005" s="4" t="s">
        <v>136</v>
      </c>
      <c r="F1005" s="5" t="s">
        <v>2308</v>
      </c>
      <c r="G1005" s="4" t="s">
        <v>2308</v>
      </c>
      <c r="H1005" s="4" t="s">
        <v>531</v>
      </c>
      <c r="I1005" s="4"/>
      <c r="J1005" s="4" t="s">
        <v>2308</v>
      </c>
      <c r="K1005" s="4" t="s">
        <v>2308</v>
      </c>
      <c r="L1005" s="4" t="s">
        <v>2308</v>
      </c>
      <c r="M1005" s="4" t="s">
        <v>2308</v>
      </c>
      <c r="N1005" s="4" t="s">
        <v>2308</v>
      </c>
      <c r="O1005" s="4" t="s">
        <v>2308</v>
      </c>
      <c r="P1005" s="4" t="s">
        <v>2308</v>
      </c>
      <c r="Q1005" s="4" t="s">
        <v>2308</v>
      </c>
      <c r="R1005" s="4" t="s">
        <v>2308</v>
      </c>
      <c r="S1005" s="4" t="s">
        <v>2308</v>
      </c>
      <c r="T1005" s="4" t="s">
        <v>2308</v>
      </c>
      <c r="U1005" s="4" t="s">
        <v>2308</v>
      </c>
      <c r="V1005" s="4" t="s">
        <v>2308</v>
      </c>
      <c r="W1005" s="4" t="s">
        <v>2308</v>
      </c>
      <c r="X1005" s="4" t="s">
        <v>2308</v>
      </c>
      <c r="Y1005" s="4" t="s">
        <v>2308</v>
      </c>
      <c r="Z1005" s="4" t="s">
        <v>2308</v>
      </c>
      <c r="AA1005" s="4" t="s">
        <v>2308</v>
      </c>
      <c r="AB1005" s="4" t="s">
        <v>2308</v>
      </c>
      <c r="AC1005" s="4"/>
      <c r="AD1005" s="4"/>
    </row>
    <row r="1006" spans="1:30" ht="40" customHeight="1">
      <c r="A1006" s="24" t="s">
        <v>3164</v>
      </c>
      <c r="B1006" s="24" t="s">
        <v>3206</v>
      </c>
      <c r="C1006" s="4" t="s">
        <v>24</v>
      </c>
      <c r="D1006" s="4" t="s">
        <v>2373</v>
      </c>
      <c r="E1006" s="4" t="s">
        <v>136</v>
      </c>
      <c r="F1006" s="5" t="s">
        <v>2308</v>
      </c>
      <c r="G1006" s="4" t="s">
        <v>2308</v>
      </c>
      <c r="H1006" s="4" t="s">
        <v>531</v>
      </c>
      <c r="I1006" s="4"/>
      <c r="J1006" s="4" t="s">
        <v>2308</v>
      </c>
      <c r="K1006" s="4" t="s">
        <v>2308</v>
      </c>
      <c r="L1006" s="4" t="s">
        <v>2308</v>
      </c>
      <c r="M1006" s="4" t="s">
        <v>2308</v>
      </c>
      <c r="N1006" s="4" t="s">
        <v>2308</v>
      </c>
      <c r="O1006" s="4" t="s">
        <v>2308</v>
      </c>
      <c r="P1006" s="4" t="s">
        <v>2308</v>
      </c>
      <c r="Q1006" s="4" t="s">
        <v>2308</v>
      </c>
      <c r="R1006" s="4" t="s">
        <v>2308</v>
      </c>
      <c r="S1006" s="4" t="s">
        <v>2308</v>
      </c>
      <c r="T1006" s="4" t="s">
        <v>2308</v>
      </c>
      <c r="U1006" s="4" t="s">
        <v>2308</v>
      </c>
      <c r="V1006" s="4" t="s">
        <v>2308</v>
      </c>
      <c r="W1006" s="4" t="s">
        <v>2308</v>
      </c>
      <c r="X1006" s="4" t="s">
        <v>2308</v>
      </c>
      <c r="Y1006" s="4" t="s">
        <v>2308</v>
      </c>
      <c r="Z1006" s="4" t="s">
        <v>2308</v>
      </c>
      <c r="AA1006" s="4" t="s">
        <v>2308</v>
      </c>
      <c r="AB1006" s="4" t="s">
        <v>2308</v>
      </c>
      <c r="AC1006" s="4"/>
      <c r="AD1006" s="4"/>
    </row>
    <row r="1007" spans="1:30" ht="40" customHeight="1">
      <c r="A1007" s="24" t="s">
        <v>3164</v>
      </c>
      <c r="B1007" s="24" t="s">
        <v>3207</v>
      </c>
      <c r="C1007" s="4" t="s">
        <v>24</v>
      </c>
      <c r="D1007" s="4" t="s">
        <v>413</v>
      </c>
      <c r="E1007" s="4" t="s">
        <v>136</v>
      </c>
      <c r="F1007" s="5" t="s">
        <v>2308</v>
      </c>
      <c r="G1007" s="4" t="s">
        <v>2308</v>
      </c>
      <c r="H1007" s="4" t="s">
        <v>531</v>
      </c>
      <c r="I1007" s="4"/>
      <c r="J1007" s="4" t="s">
        <v>2308</v>
      </c>
      <c r="K1007" s="4" t="s">
        <v>2308</v>
      </c>
      <c r="L1007" s="4" t="s">
        <v>2308</v>
      </c>
      <c r="M1007" s="4" t="s">
        <v>2308</v>
      </c>
      <c r="N1007" s="4" t="s">
        <v>2308</v>
      </c>
      <c r="O1007" s="4" t="s">
        <v>2308</v>
      </c>
      <c r="P1007" s="4" t="s">
        <v>2308</v>
      </c>
      <c r="Q1007" s="4" t="s">
        <v>2308</v>
      </c>
      <c r="R1007" s="4" t="s">
        <v>2308</v>
      </c>
      <c r="S1007" s="4" t="s">
        <v>2308</v>
      </c>
      <c r="T1007" s="4" t="s">
        <v>2308</v>
      </c>
      <c r="U1007" s="4" t="s">
        <v>2308</v>
      </c>
      <c r="V1007" s="4" t="s">
        <v>2308</v>
      </c>
      <c r="W1007" s="4" t="s">
        <v>2308</v>
      </c>
      <c r="X1007" s="4" t="s">
        <v>2308</v>
      </c>
      <c r="Y1007" s="4" t="s">
        <v>2308</v>
      </c>
      <c r="Z1007" s="4" t="s">
        <v>2308</v>
      </c>
      <c r="AA1007" s="4" t="s">
        <v>2308</v>
      </c>
      <c r="AB1007" s="4" t="s">
        <v>2308</v>
      </c>
      <c r="AC1007" s="4"/>
      <c r="AD1007" s="4"/>
    </row>
    <row r="1008" spans="1:30" ht="40" customHeight="1">
      <c r="A1008" s="24" t="s">
        <v>3164</v>
      </c>
      <c r="B1008" s="24" t="s">
        <v>3208</v>
      </c>
      <c r="C1008" s="39" t="s">
        <v>24</v>
      </c>
      <c r="D1008" s="39" t="s">
        <v>3027</v>
      </c>
      <c r="E1008" s="39" t="s">
        <v>136</v>
      </c>
      <c r="F1008" s="177" t="s">
        <v>2308</v>
      </c>
      <c r="G1008" s="4" t="s">
        <v>2308</v>
      </c>
      <c r="H1008" s="39" t="s">
        <v>531</v>
      </c>
      <c r="I1008" s="4"/>
      <c r="J1008" s="4" t="s">
        <v>2308</v>
      </c>
      <c r="K1008" s="4" t="s">
        <v>2308</v>
      </c>
      <c r="L1008" s="4" t="s">
        <v>2308</v>
      </c>
      <c r="M1008" s="4" t="s">
        <v>2308</v>
      </c>
      <c r="N1008" s="4" t="s">
        <v>2308</v>
      </c>
      <c r="O1008" s="4" t="s">
        <v>2308</v>
      </c>
      <c r="P1008" s="4" t="s">
        <v>2308</v>
      </c>
      <c r="Q1008" s="4" t="s">
        <v>2308</v>
      </c>
      <c r="R1008" s="4" t="s">
        <v>2308</v>
      </c>
      <c r="S1008" s="4" t="s">
        <v>2308</v>
      </c>
      <c r="T1008" s="4" t="s">
        <v>2308</v>
      </c>
      <c r="U1008" s="4" t="s">
        <v>2308</v>
      </c>
      <c r="V1008" s="4" t="s">
        <v>2308</v>
      </c>
      <c r="W1008" s="4" t="s">
        <v>2308</v>
      </c>
      <c r="X1008" s="4" t="s">
        <v>2308</v>
      </c>
      <c r="Y1008" s="4" t="s">
        <v>2308</v>
      </c>
      <c r="Z1008" s="4" t="s">
        <v>2308</v>
      </c>
      <c r="AA1008" s="4" t="s">
        <v>2308</v>
      </c>
      <c r="AB1008" s="4" t="s">
        <v>2308</v>
      </c>
      <c r="AC1008" s="4"/>
      <c r="AD1008" s="4"/>
    </row>
    <row r="1009" spans="1:30" ht="40" customHeight="1">
      <c r="A1009" s="24" t="s">
        <v>3164</v>
      </c>
      <c r="B1009" s="24" t="s">
        <v>3209</v>
      </c>
      <c r="C1009" s="4" t="s">
        <v>31</v>
      </c>
      <c r="D1009" s="4" t="s">
        <v>2308</v>
      </c>
      <c r="E1009" s="4" t="s">
        <v>2685</v>
      </c>
      <c r="F1009" s="5" t="s">
        <v>2308</v>
      </c>
      <c r="G1009" s="4" t="s">
        <v>2308</v>
      </c>
      <c r="H1009" s="4" t="s">
        <v>531</v>
      </c>
      <c r="I1009" s="4"/>
      <c r="J1009" s="4" t="s">
        <v>2308</v>
      </c>
      <c r="K1009" s="4" t="s">
        <v>2308</v>
      </c>
      <c r="L1009" s="4" t="s">
        <v>2308</v>
      </c>
      <c r="M1009" s="4" t="s">
        <v>2308</v>
      </c>
      <c r="N1009" s="4" t="s">
        <v>2308</v>
      </c>
      <c r="O1009" s="4" t="s">
        <v>2308</v>
      </c>
      <c r="P1009" s="4" t="s">
        <v>2308</v>
      </c>
      <c r="Q1009" s="4" t="s">
        <v>2308</v>
      </c>
      <c r="R1009" s="4" t="s">
        <v>2308</v>
      </c>
      <c r="S1009" s="4" t="s">
        <v>2308</v>
      </c>
      <c r="T1009" s="4" t="s">
        <v>2308</v>
      </c>
      <c r="U1009" s="4" t="s">
        <v>2308</v>
      </c>
      <c r="V1009" s="4" t="s">
        <v>2308</v>
      </c>
      <c r="W1009" s="4" t="s">
        <v>2308</v>
      </c>
      <c r="X1009" s="4" t="s">
        <v>2308</v>
      </c>
      <c r="Y1009" s="4" t="s">
        <v>2308</v>
      </c>
      <c r="Z1009" s="4" t="s">
        <v>2308</v>
      </c>
      <c r="AA1009" s="4" t="s">
        <v>2308</v>
      </c>
      <c r="AB1009" s="4" t="s">
        <v>2308</v>
      </c>
      <c r="AC1009" s="4"/>
      <c r="AD1009" s="4"/>
    </row>
    <row r="1010" spans="1:30" ht="40" customHeight="1">
      <c r="A1010" s="24" t="s">
        <v>3164</v>
      </c>
      <c r="B1010" s="24" t="s">
        <v>3210</v>
      </c>
      <c r="C1010" s="4" t="s">
        <v>24</v>
      </c>
      <c r="D1010" s="4" t="s">
        <v>1264</v>
      </c>
      <c r="E1010" s="4" t="s">
        <v>116</v>
      </c>
      <c r="F1010" s="5" t="s">
        <v>2695</v>
      </c>
      <c r="G1010" s="4" t="s">
        <v>2308</v>
      </c>
      <c r="H1010" s="4" t="s">
        <v>531</v>
      </c>
      <c r="I1010" s="4"/>
      <c r="J1010" s="4" t="s">
        <v>2308</v>
      </c>
      <c r="K1010" s="4" t="s">
        <v>2308</v>
      </c>
      <c r="L1010" s="4" t="s">
        <v>2308</v>
      </c>
      <c r="M1010" s="4" t="s">
        <v>2308</v>
      </c>
      <c r="N1010" s="4" t="s">
        <v>2308</v>
      </c>
      <c r="O1010" s="4" t="s">
        <v>2308</v>
      </c>
      <c r="P1010" s="4" t="s">
        <v>2308</v>
      </c>
      <c r="Q1010" s="4" t="s">
        <v>2308</v>
      </c>
      <c r="R1010" s="4" t="s">
        <v>2308</v>
      </c>
      <c r="S1010" s="4" t="s">
        <v>2308</v>
      </c>
      <c r="T1010" s="4" t="s">
        <v>2308</v>
      </c>
      <c r="U1010" s="4" t="s">
        <v>2308</v>
      </c>
      <c r="V1010" s="4" t="s">
        <v>2308</v>
      </c>
      <c r="W1010" s="4" t="s">
        <v>2308</v>
      </c>
      <c r="X1010" s="4" t="s">
        <v>2308</v>
      </c>
      <c r="Y1010" s="4" t="s">
        <v>2308</v>
      </c>
      <c r="Z1010" s="4" t="s">
        <v>2308</v>
      </c>
      <c r="AA1010" s="4" t="s">
        <v>2308</v>
      </c>
      <c r="AB1010" s="4" t="s">
        <v>2308</v>
      </c>
      <c r="AC1010" s="4"/>
      <c r="AD1010" s="4"/>
    </row>
    <row r="1011" spans="1:30" ht="40" customHeight="1">
      <c r="A1011" s="24" t="s">
        <v>3164</v>
      </c>
      <c r="B1011" s="24" t="s">
        <v>3211</v>
      </c>
      <c r="C1011" s="4" t="s">
        <v>24</v>
      </c>
      <c r="D1011" s="4" t="s">
        <v>1264</v>
      </c>
      <c r="E1011" s="4" t="s">
        <v>136</v>
      </c>
      <c r="F1011" s="5" t="s">
        <v>2695</v>
      </c>
      <c r="G1011" s="4" t="s">
        <v>2308</v>
      </c>
      <c r="H1011" s="4" t="s">
        <v>531</v>
      </c>
      <c r="I1011" s="4"/>
      <c r="J1011" s="4" t="s">
        <v>2308</v>
      </c>
      <c r="K1011" s="4" t="s">
        <v>2308</v>
      </c>
      <c r="L1011" s="4" t="s">
        <v>2308</v>
      </c>
      <c r="M1011" s="4" t="s">
        <v>2308</v>
      </c>
      <c r="N1011" s="4" t="s">
        <v>2308</v>
      </c>
      <c r="O1011" s="4" t="s">
        <v>2308</v>
      </c>
      <c r="P1011" s="4" t="s">
        <v>2308</v>
      </c>
      <c r="Q1011" s="4" t="s">
        <v>2308</v>
      </c>
      <c r="R1011" s="4" t="s">
        <v>2308</v>
      </c>
      <c r="S1011" s="4" t="s">
        <v>2308</v>
      </c>
      <c r="T1011" s="4" t="s">
        <v>2308</v>
      </c>
      <c r="U1011" s="4" t="s">
        <v>2308</v>
      </c>
      <c r="V1011" s="4" t="s">
        <v>2308</v>
      </c>
      <c r="W1011" s="4" t="s">
        <v>2308</v>
      </c>
      <c r="X1011" s="4" t="s">
        <v>2308</v>
      </c>
      <c r="Y1011" s="4" t="s">
        <v>2308</v>
      </c>
      <c r="Z1011" s="4" t="s">
        <v>2308</v>
      </c>
      <c r="AA1011" s="4" t="s">
        <v>2308</v>
      </c>
      <c r="AB1011" s="4" t="s">
        <v>2308</v>
      </c>
      <c r="AC1011" s="4"/>
      <c r="AD1011" s="4"/>
    </row>
    <row r="1012" spans="1:30" ht="40" customHeight="1">
      <c r="A1012" s="24" t="s">
        <v>3164</v>
      </c>
      <c r="B1012" s="24" t="s">
        <v>3212</v>
      </c>
      <c r="C1012" s="4" t="s">
        <v>24</v>
      </c>
      <c r="D1012" s="4" t="s">
        <v>25</v>
      </c>
      <c r="E1012" s="4" t="s">
        <v>136</v>
      </c>
      <c r="F1012" s="5" t="s">
        <v>2695</v>
      </c>
      <c r="G1012" s="4" t="s">
        <v>2308</v>
      </c>
      <c r="H1012" s="4" t="s">
        <v>531</v>
      </c>
      <c r="I1012" s="4"/>
      <c r="J1012" s="4" t="s">
        <v>2308</v>
      </c>
      <c r="K1012" s="4" t="s">
        <v>2308</v>
      </c>
      <c r="L1012" s="4" t="s">
        <v>2308</v>
      </c>
      <c r="M1012" s="4" t="s">
        <v>2308</v>
      </c>
      <c r="N1012" s="4" t="s">
        <v>2308</v>
      </c>
      <c r="O1012" s="4" t="s">
        <v>2308</v>
      </c>
      <c r="P1012" s="4" t="s">
        <v>2308</v>
      </c>
      <c r="Q1012" s="4" t="s">
        <v>2308</v>
      </c>
      <c r="R1012" s="4" t="s">
        <v>2308</v>
      </c>
      <c r="S1012" s="4" t="s">
        <v>2308</v>
      </c>
      <c r="T1012" s="4" t="s">
        <v>2308</v>
      </c>
      <c r="U1012" s="4" t="s">
        <v>2308</v>
      </c>
      <c r="V1012" s="4" t="s">
        <v>2308</v>
      </c>
      <c r="W1012" s="4" t="s">
        <v>2308</v>
      </c>
      <c r="X1012" s="4" t="s">
        <v>2308</v>
      </c>
      <c r="Y1012" s="4" t="s">
        <v>2308</v>
      </c>
      <c r="Z1012" s="4" t="s">
        <v>2308</v>
      </c>
      <c r="AA1012" s="4" t="s">
        <v>2308</v>
      </c>
      <c r="AB1012" s="4" t="s">
        <v>2308</v>
      </c>
      <c r="AC1012" s="5" t="s">
        <v>3197</v>
      </c>
      <c r="AD1012" s="4"/>
    </row>
    <row r="1013" spans="1:30" ht="40" customHeight="1">
      <c r="A1013" s="24" t="s">
        <v>3165</v>
      </c>
      <c r="B1013" s="24" t="s">
        <v>3174</v>
      </c>
      <c r="C1013" s="4" t="s">
        <v>24</v>
      </c>
      <c r="D1013" s="4" t="s">
        <v>27</v>
      </c>
      <c r="E1013" s="4" t="s">
        <v>136</v>
      </c>
      <c r="F1013" s="5" t="s">
        <v>167</v>
      </c>
      <c r="G1013" s="4" t="s">
        <v>2308</v>
      </c>
      <c r="H1013" s="4" t="s">
        <v>531</v>
      </c>
      <c r="I1013" s="4"/>
      <c r="J1013" s="4" t="s">
        <v>2308</v>
      </c>
      <c r="K1013" s="4" t="s">
        <v>2308</v>
      </c>
      <c r="L1013" s="4" t="s">
        <v>2308</v>
      </c>
      <c r="M1013" s="4" t="s">
        <v>2308</v>
      </c>
      <c r="N1013" s="4" t="s">
        <v>2308</v>
      </c>
      <c r="O1013" s="4" t="s">
        <v>2308</v>
      </c>
      <c r="P1013" s="4" t="s">
        <v>2308</v>
      </c>
      <c r="Q1013" s="4" t="s">
        <v>2308</v>
      </c>
      <c r="R1013" s="4" t="s">
        <v>2308</v>
      </c>
      <c r="S1013" s="4" t="s">
        <v>2308</v>
      </c>
      <c r="T1013" s="4" t="s">
        <v>2308</v>
      </c>
      <c r="U1013" s="4" t="s">
        <v>2308</v>
      </c>
      <c r="V1013" s="4" t="s">
        <v>2308</v>
      </c>
      <c r="W1013" s="4" t="s">
        <v>2308</v>
      </c>
      <c r="X1013" s="4" t="s">
        <v>2308</v>
      </c>
      <c r="Y1013" s="4" t="s">
        <v>2308</v>
      </c>
      <c r="Z1013" s="4" t="s">
        <v>2308</v>
      </c>
      <c r="AA1013" s="4" t="s">
        <v>2308</v>
      </c>
      <c r="AB1013" s="4" t="s">
        <v>2308</v>
      </c>
      <c r="AC1013" s="4"/>
      <c r="AD1013" s="4" t="s">
        <v>3180</v>
      </c>
    </row>
    <row r="1014" spans="1:30" ht="40" customHeight="1">
      <c r="A1014" s="24" t="s">
        <v>3165</v>
      </c>
      <c r="B1014" s="24" t="s">
        <v>3177</v>
      </c>
      <c r="C1014" s="4" t="s">
        <v>24</v>
      </c>
      <c r="D1014" s="4" t="s">
        <v>1267</v>
      </c>
      <c r="E1014" s="4" t="s">
        <v>116</v>
      </c>
      <c r="F1014" s="5" t="s">
        <v>74</v>
      </c>
      <c r="G1014" s="4" t="s">
        <v>2308</v>
      </c>
      <c r="H1014" s="4" t="s">
        <v>531</v>
      </c>
      <c r="I1014" s="4"/>
      <c r="J1014" s="4" t="s">
        <v>2308</v>
      </c>
      <c r="K1014" s="4" t="s">
        <v>2308</v>
      </c>
      <c r="L1014" s="4" t="s">
        <v>2308</v>
      </c>
      <c r="M1014" s="4" t="s">
        <v>2308</v>
      </c>
      <c r="N1014" s="4" t="s">
        <v>2308</v>
      </c>
      <c r="O1014" s="4" t="s">
        <v>2308</v>
      </c>
      <c r="P1014" s="4" t="s">
        <v>2308</v>
      </c>
      <c r="Q1014" s="4" t="s">
        <v>2308</v>
      </c>
      <c r="R1014" s="4" t="s">
        <v>2308</v>
      </c>
      <c r="S1014" s="4" t="s">
        <v>2308</v>
      </c>
      <c r="T1014" s="4" t="s">
        <v>2308</v>
      </c>
      <c r="U1014" s="4" t="s">
        <v>2308</v>
      </c>
      <c r="V1014" s="4" t="s">
        <v>2308</v>
      </c>
      <c r="W1014" s="4" t="s">
        <v>2308</v>
      </c>
      <c r="X1014" s="4" t="s">
        <v>2308</v>
      </c>
      <c r="Y1014" s="4" t="s">
        <v>2308</v>
      </c>
      <c r="Z1014" s="4" t="s">
        <v>2308</v>
      </c>
      <c r="AA1014" s="4" t="s">
        <v>2308</v>
      </c>
      <c r="AB1014" s="4" t="s">
        <v>2308</v>
      </c>
      <c r="AC1014" s="4"/>
      <c r="AD1014" s="4"/>
    </row>
    <row r="1015" spans="1:30" ht="40" customHeight="1">
      <c r="A1015" s="24" t="s">
        <v>3165</v>
      </c>
      <c r="B1015" s="24" t="s">
        <v>3213</v>
      </c>
      <c r="C1015" s="4" t="s">
        <v>24</v>
      </c>
      <c r="D1015" s="4" t="s">
        <v>1267</v>
      </c>
      <c r="E1015" s="4" t="s">
        <v>116</v>
      </c>
      <c r="F1015" s="5" t="s">
        <v>2695</v>
      </c>
      <c r="G1015" s="4" t="s">
        <v>2308</v>
      </c>
      <c r="H1015" s="4" t="s">
        <v>531</v>
      </c>
      <c r="I1015" s="4"/>
      <c r="J1015" s="4" t="s">
        <v>2308</v>
      </c>
      <c r="K1015" s="4" t="s">
        <v>2308</v>
      </c>
      <c r="L1015" s="4" t="s">
        <v>2308</v>
      </c>
      <c r="M1015" s="4" t="s">
        <v>2308</v>
      </c>
      <c r="N1015" s="4" t="s">
        <v>2308</v>
      </c>
      <c r="O1015" s="4" t="s">
        <v>2308</v>
      </c>
      <c r="P1015" s="4" t="s">
        <v>2308</v>
      </c>
      <c r="Q1015" s="4" t="s">
        <v>2308</v>
      </c>
      <c r="R1015" s="4" t="s">
        <v>2308</v>
      </c>
      <c r="S1015" s="4" t="s">
        <v>2308</v>
      </c>
      <c r="T1015" s="4" t="s">
        <v>2308</v>
      </c>
      <c r="U1015" s="4" t="s">
        <v>2308</v>
      </c>
      <c r="V1015" s="4" t="s">
        <v>2308</v>
      </c>
      <c r="W1015" s="4" t="s">
        <v>2308</v>
      </c>
      <c r="X1015" s="4" t="s">
        <v>2308</v>
      </c>
      <c r="Y1015" s="4" t="s">
        <v>2308</v>
      </c>
      <c r="Z1015" s="4" t="s">
        <v>2308</v>
      </c>
      <c r="AA1015" s="4" t="s">
        <v>2308</v>
      </c>
      <c r="AB1015" s="4" t="s">
        <v>2308</v>
      </c>
      <c r="AC1015" s="4"/>
      <c r="AD1015" s="4"/>
    </row>
    <row r="1016" spans="1:30" ht="40" customHeight="1">
      <c r="A1016" s="24" t="s">
        <v>3165</v>
      </c>
      <c r="B1016" s="24" t="s">
        <v>3214</v>
      </c>
      <c r="C1016" s="4" t="s">
        <v>24</v>
      </c>
      <c r="D1016" s="4" t="s">
        <v>2337</v>
      </c>
      <c r="E1016" s="4" t="s">
        <v>116</v>
      </c>
      <c r="F1016" s="5" t="s">
        <v>2308</v>
      </c>
      <c r="G1016" s="4" t="s">
        <v>2308</v>
      </c>
      <c r="H1016" s="4" t="s">
        <v>531</v>
      </c>
      <c r="I1016" s="4"/>
      <c r="J1016" s="4" t="s">
        <v>2308</v>
      </c>
      <c r="K1016" s="4" t="s">
        <v>2308</v>
      </c>
      <c r="L1016" s="4" t="s">
        <v>2308</v>
      </c>
      <c r="M1016" s="4" t="s">
        <v>2308</v>
      </c>
      <c r="N1016" s="4" t="s">
        <v>2308</v>
      </c>
      <c r="O1016" s="4" t="s">
        <v>2308</v>
      </c>
      <c r="P1016" s="4" t="s">
        <v>2308</v>
      </c>
      <c r="Q1016" s="4" t="s">
        <v>2308</v>
      </c>
      <c r="R1016" s="4" t="s">
        <v>2308</v>
      </c>
      <c r="S1016" s="4" t="s">
        <v>2308</v>
      </c>
      <c r="T1016" s="4" t="s">
        <v>2308</v>
      </c>
      <c r="U1016" s="4" t="s">
        <v>2308</v>
      </c>
      <c r="V1016" s="4" t="s">
        <v>2308</v>
      </c>
      <c r="W1016" s="4" t="s">
        <v>2308</v>
      </c>
      <c r="X1016" s="4" t="s">
        <v>2308</v>
      </c>
      <c r="Y1016" s="4" t="s">
        <v>2308</v>
      </c>
      <c r="Z1016" s="4" t="s">
        <v>2308</v>
      </c>
      <c r="AA1016" s="4" t="s">
        <v>2308</v>
      </c>
      <c r="AB1016" s="4" t="s">
        <v>2308</v>
      </c>
      <c r="AC1016" s="5" t="s">
        <v>3193</v>
      </c>
      <c r="AD1016" s="4"/>
    </row>
    <row r="1017" spans="1:30" ht="40" customHeight="1">
      <c r="A1017" s="24" t="s">
        <v>3165</v>
      </c>
      <c r="B1017" s="24" t="s">
        <v>3215</v>
      </c>
      <c r="C1017" s="4" t="s">
        <v>24</v>
      </c>
      <c r="D1017" s="4" t="s">
        <v>26</v>
      </c>
      <c r="E1017" s="4" t="s">
        <v>116</v>
      </c>
      <c r="F1017" s="5" t="s">
        <v>2308</v>
      </c>
      <c r="G1017" s="4" t="s">
        <v>2308</v>
      </c>
      <c r="H1017" s="4" t="s">
        <v>531</v>
      </c>
      <c r="I1017" s="4"/>
      <c r="J1017" s="4" t="s">
        <v>2308</v>
      </c>
      <c r="K1017" s="4" t="s">
        <v>2308</v>
      </c>
      <c r="L1017" s="4" t="s">
        <v>2308</v>
      </c>
      <c r="M1017" s="4" t="s">
        <v>2308</v>
      </c>
      <c r="N1017" s="4" t="s">
        <v>2308</v>
      </c>
      <c r="O1017" s="4" t="s">
        <v>2308</v>
      </c>
      <c r="P1017" s="4" t="s">
        <v>2308</v>
      </c>
      <c r="Q1017" s="4" t="s">
        <v>2308</v>
      </c>
      <c r="R1017" s="4" t="s">
        <v>2308</v>
      </c>
      <c r="S1017" s="4" t="s">
        <v>2308</v>
      </c>
      <c r="T1017" s="4" t="s">
        <v>2308</v>
      </c>
      <c r="U1017" s="4" t="s">
        <v>2308</v>
      </c>
      <c r="V1017" s="4" t="s">
        <v>2308</v>
      </c>
      <c r="W1017" s="4" t="s">
        <v>2308</v>
      </c>
      <c r="X1017" s="4" t="s">
        <v>2308</v>
      </c>
      <c r="Y1017" s="4" t="s">
        <v>2308</v>
      </c>
      <c r="Z1017" s="4" t="s">
        <v>2308</v>
      </c>
      <c r="AA1017" s="4" t="s">
        <v>2308</v>
      </c>
      <c r="AB1017" s="4" t="s">
        <v>2308</v>
      </c>
      <c r="AC1017" s="4"/>
      <c r="AD1017" s="4"/>
    </row>
    <row r="1018" spans="1:30" ht="40" customHeight="1">
      <c r="A1018" s="24" t="s">
        <v>3165</v>
      </c>
      <c r="B1018" s="24" t="s">
        <v>3216</v>
      </c>
      <c r="C1018" s="4" t="s">
        <v>24</v>
      </c>
      <c r="D1018" s="4" t="s">
        <v>2373</v>
      </c>
      <c r="E1018" s="4" t="s">
        <v>116</v>
      </c>
      <c r="F1018" s="5" t="s">
        <v>2308</v>
      </c>
      <c r="G1018" s="4" t="s">
        <v>2308</v>
      </c>
      <c r="H1018" s="4" t="s">
        <v>531</v>
      </c>
      <c r="I1018" s="4"/>
      <c r="J1018" s="4" t="s">
        <v>2308</v>
      </c>
      <c r="K1018" s="4" t="s">
        <v>2308</v>
      </c>
      <c r="L1018" s="4" t="s">
        <v>2308</v>
      </c>
      <c r="M1018" s="4" t="s">
        <v>2308</v>
      </c>
      <c r="N1018" s="4" t="s">
        <v>2308</v>
      </c>
      <c r="O1018" s="4" t="s">
        <v>2308</v>
      </c>
      <c r="P1018" s="4" t="s">
        <v>2308</v>
      </c>
      <c r="Q1018" s="4" t="s">
        <v>2308</v>
      </c>
      <c r="R1018" s="4" t="s">
        <v>2308</v>
      </c>
      <c r="S1018" s="4" t="s">
        <v>2308</v>
      </c>
      <c r="T1018" s="4" t="s">
        <v>2308</v>
      </c>
      <c r="U1018" s="4" t="s">
        <v>2308</v>
      </c>
      <c r="V1018" s="4" t="s">
        <v>2308</v>
      </c>
      <c r="W1018" s="4" t="s">
        <v>2308</v>
      </c>
      <c r="X1018" s="4" t="s">
        <v>2308</v>
      </c>
      <c r="Y1018" s="4" t="s">
        <v>2308</v>
      </c>
      <c r="Z1018" s="4" t="s">
        <v>2308</v>
      </c>
      <c r="AA1018" s="4" t="s">
        <v>2308</v>
      </c>
      <c r="AB1018" s="4" t="s">
        <v>2308</v>
      </c>
      <c r="AC1018" s="4"/>
      <c r="AD1018" s="4"/>
    </row>
    <row r="1019" spans="1:30" ht="40" customHeight="1">
      <c r="A1019" s="24" t="s">
        <v>3165</v>
      </c>
      <c r="B1019" s="24" t="s">
        <v>3217</v>
      </c>
      <c r="C1019" s="4" t="s">
        <v>24</v>
      </c>
      <c r="D1019" s="4" t="s">
        <v>413</v>
      </c>
      <c r="E1019" s="4" t="s">
        <v>116</v>
      </c>
      <c r="F1019" s="5" t="s">
        <v>2308</v>
      </c>
      <c r="G1019" s="4" t="s">
        <v>2308</v>
      </c>
      <c r="H1019" s="4" t="s">
        <v>531</v>
      </c>
      <c r="I1019" s="4"/>
      <c r="J1019" s="4" t="s">
        <v>2308</v>
      </c>
      <c r="K1019" s="4" t="s">
        <v>2308</v>
      </c>
      <c r="L1019" s="4" t="s">
        <v>2308</v>
      </c>
      <c r="M1019" s="4" t="s">
        <v>2308</v>
      </c>
      <c r="N1019" s="4" t="s">
        <v>2308</v>
      </c>
      <c r="O1019" s="4" t="s">
        <v>2308</v>
      </c>
      <c r="P1019" s="4" t="s">
        <v>2308</v>
      </c>
      <c r="Q1019" s="4" t="s">
        <v>2308</v>
      </c>
      <c r="R1019" s="4" t="s">
        <v>2308</v>
      </c>
      <c r="S1019" s="4" t="s">
        <v>2308</v>
      </c>
      <c r="T1019" s="4" t="s">
        <v>2308</v>
      </c>
      <c r="U1019" s="4" t="s">
        <v>2308</v>
      </c>
      <c r="V1019" s="4" t="s">
        <v>2308</v>
      </c>
      <c r="W1019" s="4" t="s">
        <v>2308</v>
      </c>
      <c r="X1019" s="4" t="s">
        <v>2308</v>
      </c>
      <c r="Y1019" s="4" t="s">
        <v>2308</v>
      </c>
      <c r="Z1019" s="4" t="s">
        <v>2308</v>
      </c>
      <c r="AA1019" s="4" t="s">
        <v>2308</v>
      </c>
      <c r="AB1019" s="4" t="s">
        <v>2308</v>
      </c>
      <c r="AC1019" s="4"/>
      <c r="AD1019" s="4"/>
    </row>
    <row r="1020" spans="1:30" ht="40" customHeight="1">
      <c r="A1020" s="24" t="s">
        <v>3165</v>
      </c>
      <c r="B1020" s="24" t="s">
        <v>3218</v>
      </c>
      <c r="C1020" s="4" t="s">
        <v>24</v>
      </c>
      <c r="D1020" s="4" t="s">
        <v>3027</v>
      </c>
      <c r="E1020" s="4" t="s">
        <v>116</v>
      </c>
      <c r="F1020" s="5" t="s">
        <v>2308</v>
      </c>
      <c r="G1020" s="4" t="s">
        <v>2308</v>
      </c>
      <c r="H1020" s="4" t="s">
        <v>531</v>
      </c>
      <c r="I1020" s="4"/>
      <c r="J1020" s="4" t="s">
        <v>2308</v>
      </c>
      <c r="K1020" s="4" t="s">
        <v>2308</v>
      </c>
      <c r="L1020" s="4" t="s">
        <v>2308</v>
      </c>
      <c r="M1020" s="4" t="s">
        <v>2308</v>
      </c>
      <c r="N1020" s="4" t="s">
        <v>2308</v>
      </c>
      <c r="O1020" s="4" t="s">
        <v>2308</v>
      </c>
      <c r="P1020" s="4" t="s">
        <v>2308</v>
      </c>
      <c r="Q1020" s="4" t="s">
        <v>2308</v>
      </c>
      <c r="R1020" s="4" t="s">
        <v>2308</v>
      </c>
      <c r="S1020" s="4" t="s">
        <v>2308</v>
      </c>
      <c r="T1020" s="4" t="s">
        <v>2308</v>
      </c>
      <c r="U1020" s="4" t="s">
        <v>2308</v>
      </c>
      <c r="V1020" s="4" t="s">
        <v>2308</v>
      </c>
      <c r="W1020" s="4" t="s">
        <v>2308</v>
      </c>
      <c r="X1020" s="4" t="s">
        <v>2308</v>
      </c>
      <c r="Y1020" s="4" t="s">
        <v>2308</v>
      </c>
      <c r="Z1020" s="4" t="s">
        <v>2308</v>
      </c>
      <c r="AA1020" s="4" t="s">
        <v>2308</v>
      </c>
      <c r="AB1020" s="4" t="s">
        <v>2308</v>
      </c>
      <c r="AC1020" s="4"/>
      <c r="AD1020" s="4"/>
    </row>
    <row r="1021" spans="1:30" ht="40" customHeight="1">
      <c r="A1021" s="24" t="s">
        <v>3165</v>
      </c>
      <c r="B1021" s="24" t="s">
        <v>3219</v>
      </c>
      <c r="C1021" s="4" t="s">
        <v>24</v>
      </c>
      <c r="D1021" s="4" t="s">
        <v>26</v>
      </c>
      <c r="E1021" s="4" t="s">
        <v>136</v>
      </c>
      <c r="F1021" s="5" t="s">
        <v>2308</v>
      </c>
      <c r="G1021" s="4" t="s">
        <v>2308</v>
      </c>
      <c r="H1021" s="4" t="s">
        <v>531</v>
      </c>
      <c r="I1021" s="4"/>
      <c r="J1021" s="4" t="s">
        <v>2308</v>
      </c>
      <c r="K1021" s="4" t="s">
        <v>2308</v>
      </c>
      <c r="L1021" s="4" t="s">
        <v>2308</v>
      </c>
      <c r="M1021" s="4" t="s">
        <v>2308</v>
      </c>
      <c r="N1021" s="4" t="s">
        <v>2308</v>
      </c>
      <c r="O1021" s="4" t="s">
        <v>2308</v>
      </c>
      <c r="P1021" s="4" t="s">
        <v>2308</v>
      </c>
      <c r="Q1021" s="4" t="s">
        <v>2308</v>
      </c>
      <c r="R1021" s="4" t="s">
        <v>2308</v>
      </c>
      <c r="S1021" s="4" t="s">
        <v>2308</v>
      </c>
      <c r="T1021" s="4" t="s">
        <v>2308</v>
      </c>
      <c r="U1021" s="4" t="s">
        <v>2308</v>
      </c>
      <c r="V1021" s="4" t="s">
        <v>2308</v>
      </c>
      <c r="W1021" s="4" t="s">
        <v>2308</v>
      </c>
      <c r="X1021" s="4" t="s">
        <v>2308</v>
      </c>
      <c r="Y1021" s="4" t="s">
        <v>2308</v>
      </c>
      <c r="Z1021" s="4" t="s">
        <v>2308</v>
      </c>
      <c r="AA1021" s="4" t="s">
        <v>2308</v>
      </c>
      <c r="AB1021" s="4" t="s">
        <v>2308</v>
      </c>
      <c r="AC1021" s="4"/>
      <c r="AD1021" s="4"/>
    </row>
    <row r="1022" spans="1:30" ht="40" customHeight="1">
      <c r="A1022" s="24" t="s">
        <v>3165</v>
      </c>
      <c r="B1022" s="24" t="s">
        <v>3220</v>
      </c>
      <c r="C1022" s="4" t="s">
        <v>24</v>
      </c>
      <c r="D1022" s="4" t="s">
        <v>2373</v>
      </c>
      <c r="E1022" s="4" t="s">
        <v>136</v>
      </c>
      <c r="F1022" s="5" t="s">
        <v>2308</v>
      </c>
      <c r="G1022" s="4" t="s">
        <v>2308</v>
      </c>
      <c r="H1022" s="4" t="s">
        <v>531</v>
      </c>
      <c r="I1022" s="4"/>
      <c r="J1022" s="4" t="s">
        <v>2308</v>
      </c>
      <c r="K1022" s="4" t="s">
        <v>2308</v>
      </c>
      <c r="L1022" s="4" t="s">
        <v>2308</v>
      </c>
      <c r="M1022" s="4" t="s">
        <v>2308</v>
      </c>
      <c r="N1022" s="4" t="s">
        <v>2308</v>
      </c>
      <c r="O1022" s="4" t="s">
        <v>2308</v>
      </c>
      <c r="P1022" s="4" t="s">
        <v>2308</v>
      </c>
      <c r="Q1022" s="4" t="s">
        <v>2308</v>
      </c>
      <c r="R1022" s="4" t="s">
        <v>2308</v>
      </c>
      <c r="S1022" s="4" t="s">
        <v>2308</v>
      </c>
      <c r="T1022" s="4" t="s">
        <v>2308</v>
      </c>
      <c r="U1022" s="4" t="s">
        <v>2308</v>
      </c>
      <c r="V1022" s="4" t="s">
        <v>2308</v>
      </c>
      <c r="W1022" s="4" t="s">
        <v>2308</v>
      </c>
      <c r="X1022" s="4" t="s">
        <v>2308</v>
      </c>
      <c r="Y1022" s="4" t="s">
        <v>2308</v>
      </c>
      <c r="Z1022" s="4" t="s">
        <v>2308</v>
      </c>
      <c r="AA1022" s="4" t="s">
        <v>2308</v>
      </c>
      <c r="AB1022" s="4" t="s">
        <v>2308</v>
      </c>
      <c r="AC1022" s="4"/>
      <c r="AD1022" s="4"/>
    </row>
    <row r="1023" spans="1:30" ht="40" customHeight="1">
      <c r="A1023" s="24" t="s">
        <v>3165</v>
      </c>
      <c r="B1023" s="24" t="s">
        <v>3221</v>
      </c>
      <c r="C1023" s="4" t="s">
        <v>24</v>
      </c>
      <c r="D1023" s="4" t="s">
        <v>413</v>
      </c>
      <c r="E1023" s="4" t="s">
        <v>136</v>
      </c>
      <c r="F1023" s="5" t="s">
        <v>2308</v>
      </c>
      <c r="G1023" s="4" t="s">
        <v>2308</v>
      </c>
      <c r="H1023" s="4" t="s">
        <v>531</v>
      </c>
      <c r="I1023" s="4"/>
      <c r="J1023" s="4" t="s">
        <v>2308</v>
      </c>
      <c r="K1023" s="4" t="s">
        <v>2308</v>
      </c>
      <c r="L1023" s="4" t="s">
        <v>2308</v>
      </c>
      <c r="M1023" s="4" t="s">
        <v>2308</v>
      </c>
      <c r="N1023" s="4" t="s">
        <v>2308</v>
      </c>
      <c r="O1023" s="4" t="s">
        <v>2308</v>
      </c>
      <c r="P1023" s="4" t="s">
        <v>2308</v>
      </c>
      <c r="Q1023" s="4" t="s">
        <v>2308</v>
      </c>
      <c r="R1023" s="4" t="s">
        <v>2308</v>
      </c>
      <c r="S1023" s="4" t="s">
        <v>2308</v>
      </c>
      <c r="T1023" s="4" t="s">
        <v>2308</v>
      </c>
      <c r="U1023" s="4" t="s">
        <v>2308</v>
      </c>
      <c r="V1023" s="4" t="s">
        <v>2308</v>
      </c>
      <c r="W1023" s="4" t="s">
        <v>2308</v>
      </c>
      <c r="X1023" s="4" t="s">
        <v>2308</v>
      </c>
      <c r="Y1023" s="4" t="s">
        <v>2308</v>
      </c>
      <c r="Z1023" s="4" t="s">
        <v>2308</v>
      </c>
      <c r="AA1023" s="4" t="s">
        <v>2308</v>
      </c>
      <c r="AB1023" s="4" t="s">
        <v>2308</v>
      </c>
      <c r="AC1023" s="4"/>
      <c r="AD1023" s="4"/>
    </row>
    <row r="1024" spans="1:30" ht="40" customHeight="1">
      <c r="A1024" s="24" t="s">
        <v>3165</v>
      </c>
      <c r="B1024" s="24" t="s">
        <v>3222</v>
      </c>
      <c r="C1024" s="39" t="s">
        <v>24</v>
      </c>
      <c r="D1024" s="39" t="s">
        <v>3027</v>
      </c>
      <c r="E1024" s="39" t="s">
        <v>136</v>
      </c>
      <c r="F1024" s="177" t="s">
        <v>2308</v>
      </c>
      <c r="G1024" s="4" t="s">
        <v>2308</v>
      </c>
      <c r="H1024" s="39" t="s">
        <v>531</v>
      </c>
      <c r="I1024" s="4"/>
      <c r="J1024" s="4" t="s">
        <v>2308</v>
      </c>
      <c r="K1024" s="4" t="s">
        <v>2308</v>
      </c>
      <c r="L1024" s="4" t="s">
        <v>2308</v>
      </c>
      <c r="M1024" s="4" t="s">
        <v>2308</v>
      </c>
      <c r="N1024" s="4" t="s">
        <v>2308</v>
      </c>
      <c r="O1024" s="4" t="s">
        <v>2308</v>
      </c>
      <c r="P1024" s="4" t="s">
        <v>2308</v>
      </c>
      <c r="Q1024" s="4" t="s">
        <v>2308</v>
      </c>
      <c r="R1024" s="4" t="s">
        <v>2308</v>
      </c>
      <c r="S1024" s="4" t="s">
        <v>2308</v>
      </c>
      <c r="T1024" s="4" t="s">
        <v>2308</v>
      </c>
      <c r="U1024" s="4" t="s">
        <v>2308</v>
      </c>
      <c r="V1024" s="4" t="s">
        <v>2308</v>
      </c>
      <c r="W1024" s="4" t="s">
        <v>2308</v>
      </c>
      <c r="X1024" s="4" t="s">
        <v>2308</v>
      </c>
      <c r="Y1024" s="4" t="s">
        <v>2308</v>
      </c>
      <c r="Z1024" s="4" t="s">
        <v>2308</v>
      </c>
      <c r="AA1024" s="4" t="s">
        <v>2308</v>
      </c>
      <c r="AB1024" s="4" t="s">
        <v>2308</v>
      </c>
      <c r="AC1024" s="4"/>
      <c r="AD1024" s="4"/>
    </row>
    <row r="1025" spans="1:30" ht="40" customHeight="1">
      <c r="A1025" s="24" t="s">
        <v>3165</v>
      </c>
      <c r="B1025" s="24" t="s">
        <v>3223</v>
      </c>
      <c r="C1025" s="4" t="s">
        <v>24</v>
      </c>
      <c r="D1025" s="4" t="s">
        <v>1264</v>
      </c>
      <c r="E1025" s="4" t="s">
        <v>116</v>
      </c>
      <c r="F1025" s="5" t="s">
        <v>2695</v>
      </c>
      <c r="G1025" s="4" t="s">
        <v>2308</v>
      </c>
      <c r="H1025" s="4" t="s">
        <v>531</v>
      </c>
      <c r="I1025" s="4"/>
      <c r="J1025" s="4" t="s">
        <v>2308</v>
      </c>
      <c r="K1025" s="4" t="s">
        <v>2308</v>
      </c>
      <c r="L1025" s="4" t="s">
        <v>2308</v>
      </c>
      <c r="M1025" s="4" t="s">
        <v>2308</v>
      </c>
      <c r="N1025" s="4" t="s">
        <v>2308</v>
      </c>
      <c r="O1025" s="4" t="s">
        <v>2308</v>
      </c>
      <c r="P1025" s="4" t="s">
        <v>2308</v>
      </c>
      <c r="Q1025" s="4" t="s">
        <v>2308</v>
      </c>
      <c r="R1025" s="4" t="s">
        <v>2308</v>
      </c>
      <c r="S1025" s="4" t="s">
        <v>2308</v>
      </c>
      <c r="T1025" s="4" t="s">
        <v>2308</v>
      </c>
      <c r="U1025" s="4" t="s">
        <v>2308</v>
      </c>
      <c r="V1025" s="4" t="s">
        <v>2308</v>
      </c>
      <c r="W1025" s="4" t="s">
        <v>2308</v>
      </c>
      <c r="X1025" s="4" t="s">
        <v>2308</v>
      </c>
      <c r="Y1025" s="4" t="s">
        <v>2308</v>
      </c>
      <c r="Z1025" s="4" t="s">
        <v>2308</v>
      </c>
      <c r="AA1025" s="4" t="s">
        <v>2308</v>
      </c>
      <c r="AB1025" s="4" t="s">
        <v>2308</v>
      </c>
      <c r="AC1025" s="4"/>
      <c r="AD1025" s="4"/>
    </row>
    <row r="1026" spans="1:30" ht="40" customHeight="1">
      <c r="A1026" s="24" t="s">
        <v>3165</v>
      </c>
      <c r="B1026" s="24" t="s">
        <v>3224</v>
      </c>
      <c r="C1026" s="4" t="s">
        <v>24</v>
      </c>
      <c r="D1026" s="4" t="s">
        <v>1264</v>
      </c>
      <c r="E1026" s="4" t="s">
        <v>136</v>
      </c>
      <c r="F1026" s="5" t="s">
        <v>2695</v>
      </c>
      <c r="G1026" s="4" t="s">
        <v>2308</v>
      </c>
      <c r="H1026" s="4" t="s">
        <v>531</v>
      </c>
      <c r="I1026" s="4"/>
      <c r="J1026" s="4" t="s">
        <v>2308</v>
      </c>
      <c r="K1026" s="4" t="s">
        <v>2308</v>
      </c>
      <c r="L1026" s="4" t="s">
        <v>2308</v>
      </c>
      <c r="M1026" s="4" t="s">
        <v>2308</v>
      </c>
      <c r="N1026" s="4" t="s">
        <v>2308</v>
      </c>
      <c r="O1026" s="4" t="s">
        <v>2308</v>
      </c>
      <c r="P1026" s="4" t="s">
        <v>2308</v>
      </c>
      <c r="Q1026" s="4" t="s">
        <v>2308</v>
      </c>
      <c r="R1026" s="4" t="s">
        <v>2308</v>
      </c>
      <c r="S1026" s="4" t="s">
        <v>2308</v>
      </c>
      <c r="T1026" s="4" t="s">
        <v>2308</v>
      </c>
      <c r="U1026" s="4" t="s">
        <v>2308</v>
      </c>
      <c r="V1026" s="4" t="s">
        <v>2308</v>
      </c>
      <c r="W1026" s="4" t="s">
        <v>2308</v>
      </c>
      <c r="X1026" s="4" t="s">
        <v>2308</v>
      </c>
      <c r="Y1026" s="4" t="s">
        <v>2308</v>
      </c>
      <c r="Z1026" s="4" t="s">
        <v>2308</v>
      </c>
      <c r="AA1026" s="4" t="s">
        <v>2308</v>
      </c>
      <c r="AB1026" s="4" t="s">
        <v>2308</v>
      </c>
      <c r="AC1026" s="4"/>
      <c r="AD1026" s="4"/>
    </row>
    <row r="1027" spans="1:30" ht="40" customHeight="1">
      <c r="A1027" s="24" t="s">
        <v>3166</v>
      </c>
      <c r="B1027" s="24" t="s">
        <v>3175</v>
      </c>
      <c r="C1027" s="4" t="s">
        <v>24</v>
      </c>
      <c r="D1027" s="4" t="s">
        <v>27</v>
      </c>
      <c r="E1027" s="4" t="s">
        <v>136</v>
      </c>
      <c r="F1027" s="5" t="s">
        <v>167</v>
      </c>
      <c r="G1027" s="4" t="s">
        <v>2308</v>
      </c>
      <c r="H1027" s="4" t="s">
        <v>531</v>
      </c>
      <c r="I1027" s="4"/>
      <c r="J1027" s="4" t="s">
        <v>2308</v>
      </c>
      <c r="K1027" s="4" t="s">
        <v>2308</v>
      </c>
      <c r="L1027" s="4" t="s">
        <v>2308</v>
      </c>
      <c r="M1027" s="4" t="s">
        <v>2308</v>
      </c>
      <c r="N1027" s="4" t="s">
        <v>2308</v>
      </c>
      <c r="O1027" s="4" t="s">
        <v>2308</v>
      </c>
      <c r="P1027" s="4" t="s">
        <v>2308</v>
      </c>
      <c r="Q1027" s="4" t="s">
        <v>2308</v>
      </c>
      <c r="R1027" s="4" t="s">
        <v>2308</v>
      </c>
      <c r="S1027" s="4" t="s">
        <v>2308</v>
      </c>
      <c r="T1027" s="4" t="s">
        <v>2308</v>
      </c>
      <c r="U1027" s="4" t="s">
        <v>2308</v>
      </c>
      <c r="V1027" s="4" t="s">
        <v>2308</v>
      </c>
      <c r="W1027" s="4" t="s">
        <v>2308</v>
      </c>
      <c r="X1027" s="4" t="s">
        <v>2308</v>
      </c>
      <c r="Y1027" s="4" t="s">
        <v>2308</v>
      </c>
      <c r="Z1027" s="4" t="s">
        <v>2308</v>
      </c>
      <c r="AA1027" s="4" t="s">
        <v>2308</v>
      </c>
      <c r="AB1027" s="4" t="s">
        <v>2308</v>
      </c>
      <c r="AC1027" s="4"/>
      <c r="AD1027" s="4" t="s">
        <v>3180</v>
      </c>
    </row>
    <row r="1028" spans="1:30" ht="40" customHeight="1">
      <c r="A1028" s="24" t="s">
        <v>3166</v>
      </c>
      <c r="B1028" s="24" t="s">
        <v>3225</v>
      </c>
      <c r="C1028" s="4" t="s">
        <v>24</v>
      </c>
      <c r="D1028" s="4" t="s">
        <v>1267</v>
      </c>
      <c r="E1028" s="4" t="s">
        <v>116</v>
      </c>
      <c r="F1028" s="5" t="s">
        <v>74</v>
      </c>
      <c r="G1028" s="4" t="s">
        <v>2308</v>
      </c>
      <c r="H1028" s="4" t="s">
        <v>531</v>
      </c>
      <c r="I1028" s="4"/>
      <c r="J1028" s="4" t="s">
        <v>2308</v>
      </c>
      <c r="K1028" s="4" t="s">
        <v>2308</v>
      </c>
      <c r="L1028" s="4" t="s">
        <v>2308</v>
      </c>
      <c r="M1028" s="4" t="s">
        <v>2308</v>
      </c>
      <c r="N1028" s="4" t="s">
        <v>2308</v>
      </c>
      <c r="O1028" s="4" t="s">
        <v>2308</v>
      </c>
      <c r="P1028" s="4" t="s">
        <v>2308</v>
      </c>
      <c r="Q1028" s="4" t="s">
        <v>2308</v>
      </c>
      <c r="R1028" s="4" t="s">
        <v>2308</v>
      </c>
      <c r="S1028" s="4" t="s">
        <v>2308</v>
      </c>
      <c r="T1028" s="4" t="s">
        <v>2308</v>
      </c>
      <c r="U1028" s="4" t="s">
        <v>2308</v>
      </c>
      <c r="V1028" s="4" t="s">
        <v>2308</v>
      </c>
      <c r="W1028" s="4" t="s">
        <v>2308</v>
      </c>
      <c r="X1028" s="4" t="s">
        <v>2308</v>
      </c>
      <c r="Y1028" s="4" t="s">
        <v>2308</v>
      </c>
      <c r="Z1028" s="4" t="s">
        <v>2308</v>
      </c>
      <c r="AA1028" s="4" t="s">
        <v>2308</v>
      </c>
      <c r="AB1028" s="4" t="s">
        <v>2308</v>
      </c>
      <c r="AC1028" s="4"/>
      <c r="AD1028" s="4"/>
    </row>
    <row r="1029" spans="1:30" ht="40" customHeight="1">
      <c r="A1029" s="24" t="s">
        <v>3166</v>
      </c>
      <c r="B1029" s="24" t="s">
        <v>3226</v>
      </c>
      <c r="C1029" s="4" t="s">
        <v>24</v>
      </c>
      <c r="D1029" s="4" t="s">
        <v>1267</v>
      </c>
      <c r="E1029" s="4" t="s">
        <v>116</v>
      </c>
      <c r="F1029" s="5" t="s">
        <v>2695</v>
      </c>
      <c r="G1029" s="4" t="s">
        <v>2308</v>
      </c>
      <c r="H1029" s="4" t="s">
        <v>531</v>
      </c>
      <c r="I1029" s="4"/>
      <c r="J1029" s="4" t="s">
        <v>2308</v>
      </c>
      <c r="K1029" s="4" t="s">
        <v>2308</v>
      </c>
      <c r="L1029" s="4" t="s">
        <v>2308</v>
      </c>
      <c r="M1029" s="4" t="s">
        <v>2308</v>
      </c>
      <c r="N1029" s="4" t="s">
        <v>2308</v>
      </c>
      <c r="O1029" s="4" t="s">
        <v>2308</v>
      </c>
      <c r="P1029" s="4" t="s">
        <v>2308</v>
      </c>
      <c r="Q1029" s="4" t="s">
        <v>2308</v>
      </c>
      <c r="R1029" s="4" t="s">
        <v>2308</v>
      </c>
      <c r="S1029" s="4" t="s">
        <v>2308</v>
      </c>
      <c r="T1029" s="4" t="s">
        <v>2308</v>
      </c>
      <c r="U1029" s="4" t="s">
        <v>2308</v>
      </c>
      <c r="V1029" s="4" t="s">
        <v>2308</v>
      </c>
      <c r="W1029" s="4" t="s">
        <v>2308</v>
      </c>
      <c r="X1029" s="4" t="s">
        <v>2308</v>
      </c>
      <c r="Y1029" s="4" t="s">
        <v>2308</v>
      </c>
      <c r="Z1029" s="4" t="s">
        <v>2308</v>
      </c>
      <c r="AA1029" s="4" t="s">
        <v>2308</v>
      </c>
      <c r="AB1029" s="4" t="s">
        <v>2308</v>
      </c>
      <c r="AC1029" s="4"/>
      <c r="AD1029" s="4"/>
    </row>
    <row r="1030" spans="1:30" ht="40" customHeight="1">
      <c r="A1030" s="24" t="s">
        <v>3166</v>
      </c>
      <c r="B1030" s="24" t="s">
        <v>3227</v>
      </c>
      <c r="C1030" s="4" t="s">
        <v>24</v>
      </c>
      <c r="D1030" s="4" t="s">
        <v>2337</v>
      </c>
      <c r="E1030" s="4" t="s">
        <v>116</v>
      </c>
      <c r="F1030" s="5" t="s">
        <v>2308</v>
      </c>
      <c r="G1030" s="4" t="s">
        <v>2308</v>
      </c>
      <c r="H1030" s="4" t="s">
        <v>531</v>
      </c>
      <c r="I1030" s="4"/>
      <c r="J1030" s="4" t="s">
        <v>2308</v>
      </c>
      <c r="K1030" s="4" t="s">
        <v>2308</v>
      </c>
      <c r="L1030" s="4" t="s">
        <v>2308</v>
      </c>
      <c r="M1030" s="4" t="s">
        <v>2308</v>
      </c>
      <c r="N1030" s="4" t="s">
        <v>2308</v>
      </c>
      <c r="O1030" s="4" t="s">
        <v>2308</v>
      </c>
      <c r="P1030" s="4" t="s">
        <v>2308</v>
      </c>
      <c r="Q1030" s="4" t="s">
        <v>2308</v>
      </c>
      <c r="R1030" s="4" t="s">
        <v>2308</v>
      </c>
      <c r="S1030" s="4" t="s">
        <v>2308</v>
      </c>
      <c r="T1030" s="4" t="s">
        <v>2308</v>
      </c>
      <c r="U1030" s="4" t="s">
        <v>2308</v>
      </c>
      <c r="V1030" s="4" t="s">
        <v>2308</v>
      </c>
      <c r="W1030" s="4" t="s">
        <v>2308</v>
      </c>
      <c r="X1030" s="4" t="s">
        <v>2308</v>
      </c>
      <c r="Y1030" s="4" t="s">
        <v>2308</v>
      </c>
      <c r="Z1030" s="4" t="s">
        <v>2308</v>
      </c>
      <c r="AA1030" s="4" t="s">
        <v>2308</v>
      </c>
      <c r="AB1030" s="4" t="s">
        <v>2308</v>
      </c>
      <c r="AC1030" s="5" t="s">
        <v>3193</v>
      </c>
      <c r="AD1030" s="4"/>
    </row>
    <row r="1031" spans="1:30" ht="40" customHeight="1">
      <c r="A1031" s="24" t="s">
        <v>3166</v>
      </c>
      <c r="B1031" s="24" t="s">
        <v>3228</v>
      </c>
      <c r="C1031" s="4" t="s">
        <v>24</v>
      </c>
      <c r="D1031" s="4" t="s">
        <v>26</v>
      </c>
      <c r="E1031" s="4" t="s">
        <v>116</v>
      </c>
      <c r="F1031" s="5" t="s">
        <v>2308</v>
      </c>
      <c r="G1031" s="4" t="s">
        <v>2308</v>
      </c>
      <c r="H1031" s="4" t="s">
        <v>531</v>
      </c>
      <c r="I1031" s="4"/>
      <c r="J1031" s="4" t="s">
        <v>2308</v>
      </c>
      <c r="K1031" s="4" t="s">
        <v>2308</v>
      </c>
      <c r="L1031" s="4" t="s">
        <v>2308</v>
      </c>
      <c r="M1031" s="4" t="s">
        <v>2308</v>
      </c>
      <c r="N1031" s="4" t="s">
        <v>2308</v>
      </c>
      <c r="O1031" s="4" t="s">
        <v>2308</v>
      </c>
      <c r="P1031" s="4" t="s">
        <v>2308</v>
      </c>
      <c r="Q1031" s="4" t="s">
        <v>2308</v>
      </c>
      <c r="R1031" s="4" t="s">
        <v>2308</v>
      </c>
      <c r="S1031" s="4" t="s">
        <v>2308</v>
      </c>
      <c r="T1031" s="4" t="s">
        <v>2308</v>
      </c>
      <c r="U1031" s="4" t="s">
        <v>2308</v>
      </c>
      <c r="V1031" s="4" t="s">
        <v>2308</v>
      </c>
      <c r="W1031" s="4" t="s">
        <v>2308</v>
      </c>
      <c r="X1031" s="4" t="s">
        <v>2308</v>
      </c>
      <c r="Y1031" s="4" t="s">
        <v>2308</v>
      </c>
      <c r="Z1031" s="4" t="s">
        <v>2308</v>
      </c>
      <c r="AA1031" s="4" t="s">
        <v>2308</v>
      </c>
      <c r="AB1031" s="4" t="s">
        <v>2308</v>
      </c>
      <c r="AC1031" s="4"/>
      <c r="AD1031" s="4"/>
    </row>
    <row r="1032" spans="1:30" ht="40" customHeight="1">
      <c r="A1032" s="24" t="s">
        <v>3166</v>
      </c>
      <c r="B1032" s="24" t="s">
        <v>3229</v>
      </c>
      <c r="C1032" s="4" t="s">
        <v>24</v>
      </c>
      <c r="D1032" s="4" t="s">
        <v>2373</v>
      </c>
      <c r="E1032" s="4" t="s">
        <v>116</v>
      </c>
      <c r="F1032" s="5" t="s">
        <v>2308</v>
      </c>
      <c r="G1032" s="4" t="s">
        <v>2308</v>
      </c>
      <c r="H1032" s="4" t="s">
        <v>531</v>
      </c>
      <c r="I1032" s="4"/>
      <c r="J1032" s="4" t="s">
        <v>2308</v>
      </c>
      <c r="K1032" s="4" t="s">
        <v>2308</v>
      </c>
      <c r="L1032" s="4" t="s">
        <v>2308</v>
      </c>
      <c r="M1032" s="4" t="s">
        <v>2308</v>
      </c>
      <c r="N1032" s="4" t="s">
        <v>2308</v>
      </c>
      <c r="O1032" s="4" t="s">
        <v>2308</v>
      </c>
      <c r="P1032" s="4" t="s">
        <v>2308</v>
      </c>
      <c r="Q1032" s="4" t="s">
        <v>2308</v>
      </c>
      <c r="R1032" s="4" t="s">
        <v>2308</v>
      </c>
      <c r="S1032" s="4" t="s">
        <v>2308</v>
      </c>
      <c r="T1032" s="4" t="s">
        <v>2308</v>
      </c>
      <c r="U1032" s="4" t="s">
        <v>2308</v>
      </c>
      <c r="V1032" s="4" t="s">
        <v>2308</v>
      </c>
      <c r="W1032" s="4" t="s">
        <v>2308</v>
      </c>
      <c r="X1032" s="4" t="s">
        <v>2308</v>
      </c>
      <c r="Y1032" s="4" t="s">
        <v>2308</v>
      </c>
      <c r="Z1032" s="4" t="s">
        <v>2308</v>
      </c>
      <c r="AA1032" s="4" t="s">
        <v>2308</v>
      </c>
      <c r="AB1032" s="4" t="s">
        <v>2308</v>
      </c>
      <c r="AC1032" s="4"/>
      <c r="AD1032" s="4"/>
    </row>
    <row r="1033" spans="1:30" ht="40" customHeight="1">
      <c r="A1033" s="24" t="s">
        <v>3166</v>
      </c>
      <c r="B1033" s="24" t="s">
        <v>3230</v>
      </c>
      <c r="C1033" s="4" t="s">
        <v>24</v>
      </c>
      <c r="D1033" s="4" t="s">
        <v>413</v>
      </c>
      <c r="E1033" s="4" t="s">
        <v>116</v>
      </c>
      <c r="F1033" s="5" t="s">
        <v>2308</v>
      </c>
      <c r="G1033" s="4" t="s">
        <v>2308</v>
      </c>
      <c r="H1033" s="4" t="s">
        <v>531</v>
      </c>
      <c r="I1033" s="4"/>
      <c r="J1033" s="4" t="s">
        <v>2308</v>
      </c>
      <c r="K1033" s="4" t="s">
        <v>2308</v>
      </c>
      <c r="L1033" s="4" t="s">
        <v>2308</v>
      </c>
      <c r="M1033" s="4" t="s">
        <v>2308</v>
      </c>
      <c r="N1033" s="4" t="s">
        <v>2308</v>
      </c>
      <c r="O1033" s="4" t="s">
        <v>2308</v>
      </c>
      <c r="P1033" s="4" t="s">
        <v>2308</v>
      </c>
      <c r="Q1033" s="4" t="s">
        <v>2308</v>
      </c>
      <c r="R1033" s="4" t="s">
        <v>2308</v>
      </c>
      <c r="S1033" s="4" t="s">
        <v>2308</v>
      </c>
      <c r="T1033" s="4" t="s">
        <v>2308</v>
      </c>
      <c r="U1033" s="4" t="s">
        <v>2308</v>
      </c>
      <c r="V1033" s="4" t="s">
        <v>2308</v>
      </c>
      <c r="W1033" s="4" t="s">
        <v>2308</v>
      </c>
      <c r="X1033" s="4" t="s">
        <v>2308</v>
      </c>
      <c r="Y1033" s="4" t="s">
        <v>2308</v>
      </c>
      <c r="Z1033" s="4" t="s">
        <v>2308</v>
      </c>
      <c r="AA1033" s="4" t="s">
        <v>2308</v>
      </c>
      <c r="AB1033" s="4" t="s">
        <v>2308</v>
      </c>
      <c r="AC1033" s="4"/>
      <c r="AD1033" s="4"/>
    </row>
    <row r="1034" spans="1:30" ht="40" customHeight="1">
      <c r="A1034" s="24" t="s">
        <v>3166</v>
      </c>
      <c r="B1034" s="24" t="s">
        <v>3231</v>
      </c>
      <c r="C1034" s="4" t="s">
        <v>24</v>
      </c>
      <c r="D1034" s="4" t="s">
        <v>3027</v>
      </c>
      <c r="E1034" s="4" t="s">
        <v>116</v>
      </c>
      <c r="F1034" s="5" t="s">
        <v>2308</v>
      </c>
      <c r="G1034" s="4" t="s">
        <v>2308</v>
      </c>
      <c r="H1034" s="4" t="s">
        <v>531</v>
      </c>
      <c r="I1034" s="4"/>
      <c r="J1034" s="4" t="s">
        <v>2308</v>
      </c>
      <c r="K1034" s="4" t="s">
        <v>2308</v>
      </c>
      <c r="L1034" s="4" t="s">
        <v>2308</v>
      </c>
      <c r="M1034" s="4" t="s">
        <v>2308</v>
      </c>
      <c r="N1034" s="4" t="s">
        <v>2308</v>
      </c>
      <c r="O1034" s="4" t="s">
        <v>2308</v>
      </c>
      <c r="P1034" s="4" t="s">
        <v>2308</v>
      </c>
      <c r="Q1034" s="4" t="s">
        <v>2308</v>
      </c>
      <c r="R1034" s="4" t="s">
        <v>2308</v>
      </c>
      <c r="S1034" s="4" t="s">
        <v>2308</v>
      </c>
      <c r="T1034" s="4" t="s">
        <v>2308</v>
      </c>
      <c r="U1034" s="4" t="s">
        <v>2308</v>
      </c>
      <c r="V1034" s="4" t="s">
        <v>2308</v>
      </c>
      <c r="W1034" s="4" t="s">
        <v>2308</v>
      </c>
      <c r="X1034" s="4" t="s">
        <v>2308</v>
      </c>
      <c r="Y1034" s="4" t="s">
        <v>2308</v>
      </c>
      <c r="Z1034" s="4" t="s">
        <v>2308</v>
      </c>
      <c r="AA1034" s="4" t="s">
        <v>2308</v>
      </c>
      <c r="AB1034" s="4" t="s">
        <v>2308</v>
      </c>
      <c r="AC1034" s="4"/>
      <c r="AD1034" s="4"/>
    </row>
    <row r="1035" spans="1:30" ht="40" customHeight="1">
      <c r="A1035" s="24" t="s">
        <v>3166</v>
      </c>
      <c r="B1035" s="24" t="s">
        <v>3232</v>
      </c>
      <c r="C1035" s="4" t="s">
        <v>24</v>
      </c>
      <c r="D1035" s="4" t="s">
        <v>26</v>
      </c>
      <c r="E1035" s="4" t="s">
        <v>136</v>
      </c>
      <c r="F1035" s="5" t="s">
        <v>2308</v>
      </c>
      <c r="G1035" s="4" t="s">
        <v>2308</v>
      </c>
      <c r="H1035" s="4" t="s">
        <v>531</v>
      </c>
      <c r="I1035" s="4"/>
      <c r="J1035" s="4" t="s">
        <v>2308</v>
      </c>
      <c r="K1035" s="4" t="s">
        <v>2308</v>
      </c>
      <c r="L1035" s="4" t="s">
        <v>2308</v>
      </c>
      <c r="M1035" s="4" t="s">
        <v>2308</v>
      </c>
      <c r="N1035" s="4" t="s">
        <v>2308</v>
      </c>
      <c r="O1035" s="4" t="s">
        <v>2308</v>
      </c>
      <c r="P1035" s="4" t="s">
        <v>2308</v>
      </c>
      <c r="Q1035" s="4" t="s">
        <v>2308</v>
      </c>
      <c r="R1035" s="4" t="s">
        <v>2308</v>
      </c>
      <c r="S1035" s="4" t="s">
        <v>2308</v>
      </c>
      <c r="T1035" s="4" t="s">
        <v>2308</v>
      </c>
      <c r="U1035" s="4" t="s">
        <v>2308</v>
      </c>
      <c r="V1035" s="4" t="s">
        <v>2308</v>
      </c>
      <c r="W1035" s="4" t="s">
        <v>2308</v>
      </c>
      <c r="X1035" s="4" t="s">
        <v>2308</v>
      </c>
      <c r="Y1035" s="4" t="s">
        <v>2308</v>
      </c>
      <c r="Z1035" s="4" t="s">
        <v>2308</v>
      </c>
      <c r="AA1035" s="4" t="s">
        <v>2308</v>
      </c>
      <c r="AB1035" s="4" t="s">
        <v>2308</v>
      </c>
      <c r="AC1035" s="4"/>
      <c r="AD1035" s="4"/>
    </row>
    <row r="1036" spans="1:30" ht="40" customHeight="1">
      <c r="A1036" s="24" t="s">
        <v>3166</v>
      </c>
      <c r="B1036" s="24" t="s">
        <v>3233</v>
      </c>
      <c r="C1036" s="4" t="s">
        <v>24</v>
      </c>
      <c r="D1036" s="4" t="s">
        <v>2373</v>
      </c>
      <c r="E1036" s="4" t="s">
        <v>136</v>
      </c>
      <c r="F1036" s="5" t="s">
        <v>2308</v>
      </c>
      <c r="G1036" s="4" t="s">
        <v>2308</v>
      </c>
      <c r="H1036" s="4" t="s">
        <v>531</v>
      </c>
      <c r="I1036" s="4"/>
      <c r="J1036" s="4" t="s">
        <v>2308</v>
      </c>
      <c r="K1036" s="4" t="s">
        <v>2308</v>
      </c>
      <c r="L1036" s="4" t="s">
        <v>2308</v>
      </c>
      <c r="M1036" s="4" t="s">
        <v>2308</v>
      </c>
      <c r="N1036" s="4" t="s">
        <v>2308</v>
      </c>
      <c r="O1036" s="4" t="s">
        <v>2308</v>
      </c>
      <c r="P1036" s="4" t="s">
        <v>2308</v>
      </c>
      <c r="Q1036" s="4" t="s">
        <v>2308</v>
      </c>
      <c r="R1036" s="4" t="s">
        <v>2308</v>
      </c>
      <c r="S1036" s="4" t="s">
        <v>2308</v>
      </c>
      <c r="T1036" s="4" t="s">
        <v>2308</v>
      </c>
      <c r="U1036" s="4" t="s">
        <v>2308</v>
      </c>
      <c r="V1036" s="4" t="s">
        <v>2308</v>
      </c>
      <c r="W1036" s="4" t="s">
        <v>2308</v>
      </c>
      <c r="X1036" s="4" t="s">
        <v>2308</v>
      </c>
      <c r="Y1036" s="4" t="s">
        <v>2308</v>
      </c>
      <c r="Z1036" s="4" t="s">
        <v>2308</v>
      </c>
      <c r="AA1036" s="4" t="s">
        <v>2308</v>
      </c>
      <c r="AB1036" s="4" t="s">
        <v>2308</v>
      </c>
      <c r="AC1036" s="4"/>
      <c r="AD1036" s="4"/>
    </row>
    <row r="1037" spans="1:30" ht="40" customHeight="1">
      <c r="A1037" s="24" t="s">
        <v>3166</v>
      </c>
      <c r="B1037" s="24" t="s">
        <v>3234</v>
      </c>
      <c r="C1037" s="4" t="s">
        <v>24</v>
      </c>
      <c r="D1037" s="4" t="s">
        <v>413</v>
      </c>
      <c r="E1037" s="4" t="s">
        <v>136</v>
      </c>
      <c r="F1037" s="5" t="s">
        <v>2308</v>
      </c>
      <c r="G1037" s="4" t="s">
        <v>2308</v>
      </c>
      <c r="H1037" s="4" t="s">
        <v>531</v>
      </c>
      <c r="I1037" s="4"/>
      <c r="J1037" s="4" t="s">
        <v>2308</v>
      </c>
      <c r="K1037" s="4" t="s">
        <v>2308</v>
      </c>
      <c r="L1037" s="4" t="s">
        <v>2308</v>
      </c>
      <c r="M1037" s="4" t="s">
        <v>2308</v>
      </c>
      <c r="N1037" s="4" t="s">
        <v>2308</v>
      </c>
      <c r="O1037" s="4" t="s">
        <v>2308</v>
      </c>
      <c r="P1037" s="4" t="s">
        <v>2308</v>
      </c>
      <c r="Q1037" s="4" t="s">
        <v>2308</v>
      </c>
      <c r="R1037" s="4" t="s">
        <v>2308</v>
      </c>
      <c r="S1037" s="4" t="s">
        <v>2308</v>
      </c>
      <c r="T1037" s="4" t="s">
        <v>2308</v>
      </c>
      <c r="U1037" s="4" t="s">
        <v>2308</v>
      </c>
      <c r="V1037" s="4" t="s">
        <v>2308</v>
      </c>
      <c r="W1037" s="4" t="s">
        <v>2308</v>
      </c>
      <c r="X1037" s="4" t="s">
        <v>2308</v>
      </c>
      <c r="Y1037" s="4" t="s">
        <v>2308</v>
      </c>
      <c r="Z1037" s="4" t="s">
        <v>2308</v>
      </c>
      <c r="AA1037" s="4" t="s">
        <v>2308</v>
      </c>
      <c r="AB1037" s="4" t="s">
        <v>2308</v>
      </c>
      <c r="AC1037" s="4"/>
      <c r="AD1037" s="4"/>
    </row>
    <row r="1038" spans="1:30" ht="40" customHeight="1">
      <c r="A1038" s="24" t="s">
        <v>3166</v>
      </c>
      <c r="B1038" s="24" t="s">
        <v>3235</v>
      </c>
      <c r="C1038" s="39" t="s">
        <v>24</v>
      </c>
      <c r="D1038" s="39" t="s">
        <v>3027</v>
      </c>
      <c r="E1038" s="39" t="s">
        <v>136</v>
      </c>
      <c r="F1038" s="177" t="s">
        <v>2308</v>
      </c>
      <c r="G1038" s="4" t="s">
        <v>2308</v>
      </c>
      <c r="H1038" s="39" t="s">
        <v>531</v>
      </c>
      <c r="I1038" s="4"/>
      <c r="J1038" s="4" t="s">
        <v>2308</v>
      </c>
      <c r="K1038" s="4" t="s">
        <v>2308</v>
      </c>
      <c r="L1038" s="4" t="s">
        <v>2308</v>
      </c>
      <c r="M1038" s="4" t="s">
        <v>2308</v>
      </c>
      <c r="N1038" s="4" t="s">
        <v>2308</v>
      </c>
      <c r="O1038" s="4" t="s">
        <v>2308</v>
      </c>
      <c r="P1038" s="4" t="s">
        <v>2308</v>
      </c>
      <c r="Q1038" s="4" t="s">
        <v>2308</v>
      </c>
      <c r="R1038" s="4" t="s">
        <v>2308</v>
      </c>
      <c r="S1038" s="4" t="s">
        <v>2308</v>
      </c>
      <c r="T1038" s="4" t="s">
        <v>2308</v>
      </c>
      <c r="U1038" s="4" t="s">
        <v>2308</v>
      </c>
      <c r="V1038" s="4" t="s">
        <v>2308</v>
      </c>
      <c r="W1038" s="4" t="s">
        <v>2308</v>
      </c>
      <c r="X1038" s="4" t="s">
        <v>2308</v>
      </c>
      <c r="Y1038" s="4" t="s">
        <v>2308</v>
      </c>
      <c r="Z1038" s="4" t="s">
        <v>2308</v>
      </c>
      <c r="AA1038" s="4" t="s">
        <v>2308</v>
      </c>
      <c r="AB1038" s="4" t="s">
        <v>2308</v>
      </c>
      <c r="AC1038" s="4"/>
      <c r="AD1038" s="4"/>
    </row>
    <row r="1039" spans="1:30" ht="40" customHeight="1">
      <c r="A1039" s="24" t="s">
        <v>3166</v>
      </c>
      <c r="B1039" s="24" t="s">
        <v>3236</v>
      </c>
      <c r="C1039" s="4" t="s">
        <v>24</v>
      </c>
      <c r="D1039" s="4" t="s">
        <v>1264</v>
      </c>
      <c r="E1039" s="4" t="s">
        <v>116</v>
      </c>
      <c r="F1039" s="5" t="s">
        <v>2695</v>
      </c>
      <c r="G1039" s="4" t="s">
        <v>2308</v>
      </c>
      <c r="H1039" s="4" t="s">
        <v>531</v>
      </c>
      <c r="I1039" s="4"/>
      <c r="J1039" s="4" t="s">
        <v>2308</v>
      </c>
      <c r="K1039" s="4" t="s">
        <v>2308</v>
      </c>
      <c r="L1039" s="4" t="s">
        <v>2308</v>
      </c>
      <c r="M1039" s="4" t="s">
        <v>2308</v>
      </c>
      <c r="N1039" s="4" t="s">
        <v>2308</v>
      </c>
      <c r="O1039" s="4" t="s">
        <v>2308</v>
      </c>
      <c r="P1039" s="4" t="s">
        <v>2308</v>
      </c>
      <c r="Q1039" s="4" t="s">
        <v>2308</v>
      </c>
      <c r="R1039" s="4" t="s">
        <v>2308</v>
      </c>
      <c r="S1039" s="4" t="s">
        <v>2308</v>
      </c>
      <c r="T1039" s="4" t="s">
        <v>2308</v>
      </c>
      <c r="U1039" s="4" t="s">
        <v>2308</v>
      </c>
      <c r="V1039" s="4" t="s">
        <v>2308</v>
      </c>
      <c r="W1039" s="4" t="s">
        <v>2308</v>
      </c>
      <c r="X1039" s="4" t="s">
        <v>2308</v>
      </c>
      <c r="Y1039" s="4" t="s">
        <v>2308</v>
      </c>
      <c r="Z1039" s="4" t="s">
        <v>2308</v>
      </c>
      <c r="AA1039" s="4" t="s">
        <v>2308</v>
      </c>
      <c r="AB1039" s="4" t="s">
        <v>2308</v>
      </c>
      <c r="AC1039" s="4"/>
      <c r="AD1039" s="4"/>
    </row>
    <row r="1040" spans="1:30" ht="40" customHeight="1">
      <c r="A1040" s="24" t="s">
        <v>3166</v>
      </c>
      <c r="B1040" s="24" t="s">
        <v>3237</v>
      </c>
      <c r="C1040" s="4" t="s">
        <v>24</v>
      </c>
      <c r="D1040" s="4" t="s">
        <v>1264</v>
      </c>
      <c r="E1040" s="4" t="s">
        <v>136</v>
      </c>
      <c r="F1040" s="5" t="s">
        <v>2695</v>
      </c>
      <c r="G1040" s="4" t="s">
        <v>2308</v>
      </c>
      <c r="H1040" s="4" t="s">
        <v>531</v>
      </c>
      <c r="I1040" s="4"/>
      <c r="J1040" s="4" t="s">
        <v>2308</v>
      </c>
      <c r="K1040" s="4" t="s">
        <v>2308</v>
      </c>
      <c r="L1040" s="4" t="s">
        <v>2308</v>
      </c>
      <c r="M1040" s="4" t="s">
        <v>2308</v>
      </c>
      <c r="N1040" s="4" t="s">
        <v>2308</v>
      </c>
      <c r="O1040" s="4" t="s">
        <v>2308</v>
      </c>
      <c r="P1040" s="4" t="s">
        <v>2308</v>
      </c>
      <c r="Q1040" s="4" t="s">
        <v>2308</v>
      </c>
      <c r="R1040" s="4" t="s">
        <v>2308</v>
      </c>
      <c r="S1040" s="4" t="s">
        <v>2308</v>
      </c>
      <c r="T1040" s="4" t="s">
        <v>2308</v>
      </c>
      <c r="U1040" s="4" t="s">
        <v>2308</v>
      </c>
      <c r="V1040" s="4" t="s">
        <v>2308</v>
      </c>
      <c r="W1040" s="4" t="s">
        <v>2308</v>
      </c>
      <c r="X1040" s="4" t="s">
        <v>2308</v>
      </c>
      <c r="Y1040" s="4" t="s">
        <v>2308</v>
      </c>
      <c r="Z1040" s="4" t="s">
        <v>2308</v>
      </c>
      <c r="AA1040" s="4" t="s">
        <v>2308</v>
      </c>
      <c r="AB1040" s="4" t="s">
        <v>2308</v>
      </c>
      <c r="AC1040" s="4"/>
      <c r="AD1040" s="4"/>
    </row>
    <row r="1041" spans="1:30" ht="40" customHeight="1">
      <c r="A1041" s="4" t="s">
        <v>3258</v>
      </c>
      <c r="B1041" s="24" t="s">
        <v>3260</v>
      </c>
      <c r="C1041" s="4" t="s">
        <v>24</v>
      </c>
      <c r="D1041" s="4" t="s">
        <v>27</v>
      </c>
      <c r="E1041" s="4" t="s">
        <v>136</v>
      </c>
      <c r="F1041" s="5" t="s">
        <v>74</v>
      </c>
      <c r="G1041" s="4" t="s">
        <v>2308</v>
      </c>
      <c r="H1041" s="4" t="s">
        <v>531</v>
      </c>
      <c r="I1041" s="4"/>
      <c r="J1041" s="4" t="s">
        <v>2308</v>
      </c>
      <c r="K1041" s="4" t="s">
        <v>2308</v>
      </c>
      <c r="L1041" s="4" t="s">
        <v>2308</v>
      </c>
      <c r="M1041" s="4" t="s">
        <v>2308</v>
      </c>
      <c r="N1041" s="4" t="s">
        <v>2308</v>
      </c>
      <c r="O1041" s="4" t="s">
        <v>2308</v>
      </c>
      <c r="P1041" s="4" t="s">
        <v>2308</v>
      </c>
      <c r="Q1041" s="4" t="s">
        <v>2308</v>
      </c>
      <c r="R1041" s="4" t="s">
        <v>2308</v>
      </c>
      <c r="S1041" s="4" t="s">
        <v>2308</v>
      </c>
      <c r="T1041" s="4" t="s">
        <v>2308</v>
      </c>
      <c r="U1041" s="4" t="s">
        <v>2308</v>
      </c>
      <c r="V1041" s="4" t="s">
        <v>2308</v>
      </c>
      <c r="W1041" s="4" t="s">
        <v>2308</v>
      </c>
      <c r="X1041" s="4" t="s">
        <v>2308</v>
      </c>
      <c r="Y1041" s="4" t="s">
        <v>2308</v>
      </c>
      <c r="Z1041" s="4" t="s">
        <v>411</v>
      </c>
      <c r="AA1041" s="4" t="s">
        <v>412</v>
      </c>
      <c r="AB1041" s="23" t="s">
        <v>64</v>
      </c>
      <c r="AC1041" s="5" t="s">
        <v>3271</v>
      </c>
      <c r="AD1041" s="4"/>
    </row>
    <row r="1042" spans="1:30" ht="40" customHeight="1">
      <c r="A1042" s="4" t="s">
        <v>3258</v>
      </c>
      <c r="B1042" s="24" t="s">
        <v>3261</v>
      </c>
      <c r="C1042" s="4" t="s">
        <v>24</v>
      </c>
      <c r="D1042" s="4" t="s">
        <v>27</v>
      </c>
      <c r="E1042" s="4" t="s">
        <v>136</v>
      </c>
      <c r="F1042" s="5" t="s">
        <v>28</v>
      </c>
      <c r="G1042" s="4" t="s">
        <v>2308</v>
      </c>
      <c r="H1042" s="4" t="s">
        <v>531</v>
      </c>
      <c r="I1042" s="4"/>
      <c r="J1042" s="4" t="s">
        <v>2308</v>
      </c>
      <c r="K1042" s="4" t="s">
        <v>2308</v>
      </c>
      <c r="L1042" s="4" t="s">
        <v>2308</v>
      </c>
      <c r="M1042" s="4" t="s">
        <v>2308</v>
      </c>
      <c r="N1042" s="4" t="s">
        <v>2308</v>
      </c>
      <c r="O1042" s="4" t="s">
        <v>2308</v>
      </c>
      <c r="P1042" s="4" t="s">
        <v>2308</v>
      </c>
      <c r="Q1042" s="4" t="s">
        <v>2308</v>
      </c>
      <c r="R1042" s="4" t="s">
        <v>2308</v>
      </c>
      <c r="S1042" s="4" t="s">
        <v>2308</v>
      </c>
      <c r="T1042" s="4" t="s">
        <v>2308</v>
      </c>
      <c r="U1042" s="4" t="s">
        <v>2308</v>
      </c>
      <c r="V1042" s="4" t="s">
        <v>2308</v>
      </c>
      <c r="W1042" s="4" t="s">
        <v>2308</v>
      </c>
      <c r="X1042" s="4" t="s">
        <v>2308</v>
      </c>
      <c r="Y1042" s="22">
        <v>1</v>
      </c>
      <c r="Z1042" s="4" t="s">
        <v>34</v>
      </c>
      <c r="AA1042" s="4" t="s">
        <v>412</v>
      </c>
      <c r="AB1042" s="23" t="s">
        <v>64</v>
      </c>
      <c r="AC1042" s="5" t="s">
        <v>3262</v>
      </c>
      <c r="AD1042" s="4"/>
    </row>
    <row r="1043" spans="1:30" ht="40" customHeight="1">
      <c r="A1043" s="4" t="s">
        <v>3264</v>
      </c>
      <c r="B1043" s="24" t="s">
        <v>3268</v>
      </c>
      <c r="C1043" s="4" t="s">
        <v>24</v>
      </c>
      <c r="D1043" s="4" t="s">
        <v>27</v>
      </c>
      <c r="E1043" s="4" t="s">
        <v>136</v>
      </c>
      <c r="F1043" s="5" t="s">
        <v>74</v>
      </c>
      <c r="G1043" s="4" t="s">
        <v>2308</v>
      </c>
      <c r="H1043" s="4" t="s">
        <v>531</v>
      </c>
      <c r="I1043" s="4"/>
      <c r="J1043" s="4" t="s">
        <v>2308</v>
      </c>
      <c r="K1043" s="4" t="s">
        <v>2308</v>
      </c>
      <c r="L1043" s="4" t="s">
        <v>2308</v>
      </c>
      <c r="M1043" s="4" t="s">
        <v>2308</v>
      </c>
      <c r="N1043" s="4" t="s">
        <v>2308</v>
      </c>
      <c r="O1043" s="4" t="s">
        <v>2308</v>
      </c>
      <c r="P1043" s="4" t="s">
        <v>2308</v>
      </c>
      <c r="Q1043" s="4" t="s">
        <v>2308</v>
      </c>
      <c r="R1043" s="4" t="s">
        <v>2308</v>
      </c>
      <c r="S1043" s="4" t="s">
        <v>2308</v>
      </c>
      <c r="T1043" s="4" t="s">
        <v>2308</v>
      </c>
      <c r="U1043" s="4" t="s">
        <v>2308</v>
      </c>
      <c r="V1043" s="4" t="s">
        <v>2308</v>
      </c>
      <c r="W1043" s="4" t="s">
        <v>2308</v>
      </c>
      <c r="X1043" s="4" t="s">
        <v>2308</v>
      </c>
      <c r="Y1043" s="4" t="s">
        <v>2308</v>
      </c>
      <c r="Z1043" s="4" t="s">
        <v>86</v>
      </c>
      <c r="AA1043" s="4" t="s">
        <v>412</v>
      </c>
      <c r="AB1043" s="23" t="s">
        <v>64</v>
      </c>
      <c r="AC1043" s="4"/>
      <c r="AD1043" s="4"/>
    </row>
    <row r="1044" spans="1:30" ht="40" customHeight="1">
      <c r="A1044" s="4" t="s">
        <v>3264</v>
      </c>
      <c r="B1044" s="24" t="s">
        <v>3263</v>
      </c>
      <c r="C1044" s="4" t="s">
        <v>24</v>
      </c>
      <c r="D1044" s="4" t="s">
        <v>27</v>
      </c>
      <c r="E1044" s="4" t="s">
        <v>136</v>
      </c>
      <c r="F1044" s="5" t="s">
        <v>28</v>
      </c>
      <c r="G1044" s="4" t="s">
        <v>2308</v>
      </c>
      <c r="H1044" s="4" t="s">
        <v>531</v>
      </c>
      <c r="I1044" s="4"/>
      <c r="J1044" s="4" t="s">
        <v>2308</v>
      </c>
      <c r="K1044" s="4" t="s">
        <v>2308</v>
      </c>
      <c r="L1044" s="4" t="s">
        <v>2308</v>
      </c>
      <c r="M1044" s="4" t="s">
        <v>2308</v>
      </c>
      <c r="N1044" s="4" t="s">
        <v>2308</v>
      </c>
      <c r="O1044" s="4" t="s">
        <v>2308</v>
      </c>
      <c r="P1044" s="4" t="s">
        <v>2308</v>
      </c>
      <c r="Q1044" s="4" t="s">
        <v>2308</v>
      </c>
      <c r="R1044" s="4" t="s">
        <v>2308</v>
      </c>
      <c r="S1044" s="4" t="s">
        <v>2308</v>
      </c>
      <c r="T1044" s="4" t="s">
        <v>2308</v>
      </c>
      <c r="U1044" s="4" t="s">
        <v>2308</v>
      </c>
      <c r="V1044" s="4" t="s">
        <v>2308</v>
      </c>
      <c r="W1044" s="4" t="s">
        <v>2308</v>
      </c>
      <c r="X1044" s="4" t="s">
        <v>2308</v>
      </c>
      <c r="Y1044" s="22">
        <v>1</v>
      </c>
      <c r="Z1044" s="4" t="s">
        <v>38</v>
      </c>
      <c r="AA1044" s="4" t="s">
        <v>412</v>
      </c>
      <c r="AB1044" s="23" t="s">
        <v>64</v>
      </c>
      <c r="AC1044" s="5" t="s">
        <v>3262</v>
      </c>
      <c r="AD1044" s="4"/>
    </row>
    <row r="1045" spans="1:30" ht="40" customHeight="1">
      <c r="A1045" s="12" t="s">
        <v>3272</v>
      </c>
      <c r="B1045" s="12" t="s">
        <v>3303</v>
      </c>
      <c r="C1045" s="4" t="s">
        <v>24</v>
      </c>
      <c r="D1045" s="4" t="s">
        <v>27</v>
      </c>
      <c r="E1045" s="4" t="s">
        <v>136</v>
      </c>
      <c r="F1045" s="5" t="s">
        <v>167</v>
      </c>
      <c r="G1045" s="4" t="s">
        <v>2308</v>
      </c>
      <c r="H1045" s="4" t="s">
        <v>531</v>
      </c>
      <c r="I1045" s="4"/>
      <c r="J1045" s="4" t="s">
        <v>2308</v>
      </c>
      <c r="K1045" s="4" t="s">
        <v>2308</v>
      </c>
      <c r="L1045" s="4" t="s">
        <v>2308</v>
      </c>
      <c r="M1045" s="4" t="s">
        <v>2308</v>
      </c>
      <c r="N1045" s="4" t="s">
        <v>2308</v>
      </c>
      <c r="O1045" s="4" t="s">
        <v>2308</v>
      </c>
      <c r="P1045" s="4" t="s">
        <v>2308</v>
      </c>
      <c r="Q1045" s="4" t="s">
        <v>2308</v>
      </c>
      <c r="R1045" s="4" t="s">
        <v>2308</v>
      </c>
      <c r="S1045" s="4" t="s">
        <v>2308</v>
      </c>
      <c r="T1045" s="4" t="s">
        <v>2308</v>
      </c>
      <c r="U1045" s="4" t="s">
        <v>2308</v>
      </c>
      <c r="V1045" s="4" t="s">
        <v>2308</v>
      </c>
      <c r="W1045" s="4" t="s">
        <v>2308</v>
      </c>
      <c r="X1045" s="4" t="s">
        <v>2308</v>
      </c>
      <c r="Y1045" s="4" t="s">
        <v>2308</v>
      </c>
      <c r="Z1045" s="4" t="s">
        <v>2308</v>
      </c>
      <c r="AA1045" s="4" t="s">
        <v>2308</v>
      </c>
      <c r="AB1045" s="4" t="s">
        <v>2308</v>
      </c>
      <c r="AC1045" s="4"/>
      <c r="AD1045" s="5" t="s">
        <v>3317</v>
      </c>
    </row>
    <row r="1046" spans="1:30" ht="40" customHeight="1">
      <c r="A1046" s="12" t="s">
        <v>3275</v>
      </c>
      <c r="B1046" s="12" t="s">
        <v>3304</v>
      </c>
      <c r="C1046" s="4" t="s">
        <v>24</v>
      </c>
      <c r="D1046" s="4" t="s">
        <v>27</v>
      </c>
      <c r="E1046" s="4" t="s">
        <v>136</v>
      </c>
      <c r="F1046" s="5" t="s">
        <v>167</v>
      </c>
      <c r="G1046" s="4" t="s">
        <v>2308</v>
      </c>
      <c r="H1046" s="4" t="s">
        <v>531</v>
      </c>
      <c r="I1046" s="4"/>
      <c r="J1046" s="4" t="s">
        <v>2308</v>
      </c>
      <c r="K1046" s="4" t="s">
        <v>2308</v>
      </c>
      <c r="L1046" s="4" t="s">
        <v>2308</v>
      </c>
      <c r="M1046" s="4" t="s">
        <v>2308</v>
      </c>
      <c r="N1046" s="4" t="s">
        <v>2308</v>
      </c>
      <c r="O1046" s="4" t="s">
        <v>2308</v>
      </c>
      <c r="P1046" s="4" t="s">
        <v>2308</v>
      </c>
      <c r="Q1046" s="4" t="s">
        <v>2308</v>
      </c>
      <c r="R1046" s="4" t="s">
        <v>2308</v>
      </c>
      <c r="S1046" s="4" t="s">
        <v>2308</v>
      </c>
      <c r="T1046" s="4" t="s">
        <v>2308</v>
      </c>
      <c r="U1046" s="4" t="s">
        <v>2308</v>
      </c>
      <c r="V1046" s="4" t="s">
        <v>2308</v>
      </c>
      <c r="W1046" s="4" t="s">
        <v>2308</v>
      </c>
      <c r="X1046" s="4" t="s">
        <v>2308</v>
      </c>
      <c r="Y1046" s="4" t="s">
        <v>2308</v>
      </c>
      <c r="Z1046" s="4" t="s">
        <v>2308</v>
      </c>
      <c r="AA1046" s="4" t="s">
        <v>2308</v>
      </c>
      <c r="AB1046" s="4" t="s">
        <v>2308</v>
      </c>
      <c r="AC1046" s="4"/>
      <c r="AD1046" s="5" t="s">
        <v>3317</v>
      </c>
    </row>
    <row r="1047" spans="1:30" ht="40" customHeight="1">
      <c r="A1047" s="12" t="s">
        <v>3276</v>
      </c>
      <c r="B1047" s="12" t="s">
        <v>3305</v>
      </c>
      <c r="C1047" s="4" t="s">
        <v>24</v>
      </c>
      <c r="D1047" s="4" t="s">
        <v>27</v>
      </c>
      <c r="E1047" s="4" t="s">
        <v>136</v>
      </c>
      <c r="F1047" s="5" t="s">
        <v>167</v>
      </c>
      <c r="G1047" s="4" t="s">
        <v>2308</v>
      </c>
      <c r="H1047" s="4" t="s">
        <v>531</v>
      </c>
      <c r="I1047" s="4"/>
      <c r="J1047" s="4" t="s">
        <v>2308</v>
      </c>
      <c r="K1047" s="4" t="s">
        <v>2308</v>
      </c>
      <c r="L1047" s="4" t="s">
        <v>2308</v>
      </c>
      <c r="M1047" s="4" t="s">
        <v>2308</v>
      </c>
      <c r="N1047" s="4" t="s">
        <v>2308</v>
      </c>
      <c r="O1047" s="4" t="s">
        <v>2308</v>
      </c>
      <c r="P1047" s="4" t="s">
        <v>2308</v>
      </c>
      <c r="Q1047" s="4" t="s">
        <v>2308</v>
      </c>
      <c r="R1047" s="4" t="s">
        <v>2308</v>
      </c>
      <c r="S1047" s="4" t="s">
        <v>2308</v>
      </c>
      <c r="T1047" s="4" t="s">
        <v>2308</v>
      </c>
      <c r="U1047" s="4" t="s">
        <v>2308</v>
      </c>
      <c r="V1047" s="4" t="s">
        <v>2308</v>
      </c>
      <c r="W1047" s="4" t="s">
        <v>2308</v>
      </c>
      <c r="X1047" s="4" t="s">
        <v>2308</v>
      </c>
      <c r="Y1047" s="4" t="s">
        <v>2308</v>
      </c>
      <c r="Z1047" s="4" t="s">
        <v>2308</v>
      </c>
      <c r="AA1047" s="4" t="s">
        <v>2308</v>
      </c>
      <c r="AB1047" s="4" t="s">
        <v>2308</v>
      </c>
      <c r="AC1047" s="4"/>
      <c r="AD1047" s="5" t="s">
        <v>3317</v>
      </c>
    </row>
    <row r="1048" spans="1:30" ht="40" customHeight="1">
      <c r="A1048" s="12" t="s">
        <v>3280</v>
      </c>
      <c r="B1048" s="12" t="s">
        <v>3306</v>
      </c>
      <c r="C1048" s="4" t="s">
        <v>24</v>
      </c>
      <c r="D1048" s="4" t="s">
        <v>27</v>
      </c>
      <c r="E1048" s="4" t="s">
        <v>136</v>
      </c>
      <c r="F1048" s="5" t="s">
        <v>167</v>
      </c>
      <c r="G1048" s="4" t="s">
        <v>2308</v>
      </c>
      <c r="H1048" s="4" t="s">
        <v>531</v>
      </c>
      <c r="I1048" s="4"/>
      <c r="J1048" s="4" t="s">
        <v>2308</v>
      </c>
      <c r="K1048" s="4" t="s">
        <v>2308</v>
      </c>
      <c r="L1048" s="4" t="s">
        <v>2308</v>
      </c>
      <c r="M1048" s="4" t="s">
        <v>2308</v>
      </c>
      <c r="N1048" s="4" t="s">
        <v>2308</v>
      </c>
      <c r="O1048" s="4" t="s">
        <v>2308</v>
      </c>
      <c r="P1048" s="4" t="s">
        <v>2308</v>
      </c>
      <c r="Q1048" s="4" t="s">
        <v>2308</v>
      </c>
      <c r="R1048" s="4" t="s">
        <v>2308</v>
      </c>
      <c r="S1048" s="4" t="s">
        <v>2308</v>
      </c>
      <c r="T1048" s="4" t="s">
        <v>2308</v>
      </c>
      <c r="U1048" s="4" t="s">
        <v>2308</v>
      </c>
      <c r="V1048" s="4" t="s">
        <v>2308</v>
      </c>
      <c r="W1048" s="4" t="s">
        <v>2308</v>
      </c>
      <c r="X1048" s="4" t="s">
        <v>2308</v>
      </c>
      <c r="Y1048" s="4" t="s">
        <v>2308</v>
      </c>
      <c r="Z1048" s="4" t="s">
        <v>2308</v>
      </c>
      <c r="AA1048" s="4" t="s">
        <v>2308</v>
      </c>
      <c r="AB1048" s="4" t="s">
        <v>2308</v>
      </c>
      <c r="AC1048" s="4"/>
      <c r="AD1048" s="5" t="s">
        <v>3317</v>
      </c>
    </row>
    <row r="1049" spans="1:30" ht="40" customHeight="1">
      <c r="A1049" s="12" t="s">
        <v>3281</v>
      </c>
      <c r="B1049" s="12" t="s">
        <v>3307</v>
      </c>
      <c r="C1049" s="4" t="s">
        <v>24</v>
      </c>
      <c r="D1049" s="4" t="s">
        <v>27</v>
      </c>
      <c r="E1049" s="4" t="s">
        <v>136</v>
      </c>
      <c r="F1049" s="5" t="s">
        <v>167</v>
      </c>
      <c r="G1049" s="4" t="s">
        <v>2308</v>
      </c>
      <c r="H1049" s="4" t="s">
        <v>531</v>
      </c>
      <c r="I1049" s="4"/>
      <c r="J1049" s="4" t="s">
        <v>2308</v>
      </c>
      <c r="K1049" s="4" t="s">
        <v>2308</v>
      </c>
      <c r="L1049" s="4" t="s">
        <v>2308</v>
      </c>
      <c r="M1049" s="4" t="s">
        <v>2308</v>
      </c>
      <c r="N1049" s="4" t="s">
        <v>2308</v>
      </c>
      <c r="O1049" s="4" t="s">
        <v>2308</v>
      </c>
      <c r="P1049" s="4" t="s">
        <v>2308</v>
      </c>
      <c r="Q1049" s="4" t="s">
        <v>2308</v>
      </c>
      <c r="R1049" s="4" t="s">
        <v>2308</v>
      </c>
      <c r="S1049" s="4" t="s">
        <v>2308</v>
      </c>
      <c r="T1049" s="4" t="s">
        <v>2308</v>
      </c>
      <c r="U1049" s="4" t="s">
        <v>2308</v>
      </c>
      <c r="V1049" s="4" t="s">
        <v>2308</v>
      </c>
      <c r="W1049" s="4" t="s">
        <v>2308</v>
      </c>
      <c r="X1049" s="4" t="s">
        <v>2308</v>
      </c>
      <c r="Y1049" s="4" t="s">
        <v>2308</v>
      </c>
      <c r="Z1049" s="4" t="s">
        <v>2308</v>
      </c>
      <c r="AA1049" s="4" t="s">
        <v>2308</v>
      </c>
      <c r="AB1049" s="4" t="s">
        <v>2308</v>
      </c>
      <c r="AC1049" s="4"/>
      <c r="AD1049" s="5" t="s">
        <v>3317</v>
      </c>
    </row>
    <row r="1050" spans="1:30" ht="40" customHeight="1">
      <c r="A1050" s="12" t="s">
        <v>3282</v>
      </c>
      <c r="B1050" s="12" t="s">
        <v>3308</v>
      </c>
      <c r="C1050" s="4" t="s">
        <v>24</v>
      </c>
      <c r="D1050" s="4" t="s">
        <v>27</v>
      </c>
      <c r="E1050" s="4" t="s">
        <v>136</v>
      </c>
      <c r="F1050" s="5" t="s">
        <v>167</v>
      </c>
      <c r="G1050" s="4" t="s">
        <v>2308</v>
      </c>
      <c r="H1050" s="4" t="s">
        <v>531</v>
      </c>
      <c r="I1050" s="4"/>
      <c r="J1050" s="4" t="s">
        <v>2308</v>
      </c>
      <c r="K1050" s="4" t="s">
        <v>2308</v>
      </c>
      <c r="L1050" s="4" t="s">
        <v>2308</v>
      </c>
      <c r="M1050" s="4" t="s">
        <v>2308</v>
      </c>
      <c r="N1050" s="4" t="s">
        <v>2308</v>
      </c>
      <c r="O1050" s="4" t="s">
        <v>2308</v>
      </c>
      <c r="P1050" s="4" t="s">
        <v>2308</v>
      </c>
      <c r="Q1050" s="4" t="s">
        <v>2308</v>
      </c>
      <c r="R1050" s="4" t="s">
        <v>2308</v>
      </c>
      <c r="S1050" s="4" t="s">
        <v>2308</v>
      </c>
      <c r="T1050" s="4" t="s">
        <v>2308</v>
      </c>
      <c r="U1050" s="4" t="s">
        <v>2308</v>
      </c>
      <c r="V1050" s="4" t="s">
        <v>2308</v>
      </c>
      <c r="W1050" s="4" t="s">
        <v>2308</v>
      </c>
      <c r="X1050" s="4" t="s">
        <v>2308</v>
      </c>
      <c r="Y1050" s="4" t="s">
        <v>2308</v>
      </c>
      <c r="Z1050" s="4" t="s">
        <v>2308</v>
      </c>
      <c r="AA1050" s="4" t="s">
        <v>2308</v>
      </c>
      <c r="AB1050" s="4" t="s">
        <v>2308</v>
      </c>
      <c r="AC1050" s="4"/>
      <c r="AD1050" s="5" t="s">
        <v>3317</v>
      </c>
    </row>
    <row r="1051" spans="1:30" ht="40" customHeight="1">
      <c r="A1051" s="12" t="s">
        <v>3286</v>
      </c>
      <c r="B1051" s="12" t="s">
        <v>3309</v>
      </c>
      <c r="C1051" s="4" t="s">
        <v>24</v>
      </c>
      <c r="D1051" s="4" t="s">
        <v>27</v>
      </c>
      <c r="E1051" s="4" t="s">
        <v>136</v>
      </c>
      <c r="F1051" s="5" t="s">
        <v>167</v>
      </c>
      <c r="G1051" s="4" t="s">
        <v>2308</v>
      </c>
      <c r="H1051" s="4" t="s">
        <v>531</v>
      </c>
      <c r="I1051" s="4"/>
      <c r="J1051" s="4" t="s">
        <v>2308</v>
      </c>
      <c r="K1051" s="4" t="s">
        <v>2308</v>
      </c>
      <c r="L1051" s="4" t="s">
        <v>2308</v>
      </c>
      <c r="M1051" s="4" t="s">
        <v>2308</v>
      </c>
      <c r="N1051" s="4" t="s">
        <v>2308</v>
      </c>
      <c r="O1051" s="4" t="s">
        <v>2308</v>
      </c>
      <c r="P1051" s="4" t="s">
        <v>2308</v>
      </c>
      <c r="Q1051" s="4" t="s">
        <v>2308</v>
      </c>
      <c r="R1051" s="4" t="s">
        <v>2308</v>
      </c>
      <c r="S1051" s="4" t="s">
        <v>2308</v>
      </c>
      <c r="T1051" s="4" t="s">
        <v>2308</v>
      </c>
      <c r="U1051" s="4" t="s">
        <v>2308</v>
      </c>
      <c r="V1051" s="4" t="s">
        <v>2308</v>
      </c>
      <c r="W1051" s="4" t="s">
        <v>2308</v>
      </c>
      <c r="X1051" s="4" t="s">
        <v>2308</v>
      </c>
      <c r="Y1051" s="4" t="s">
        <v>2308</v>
      </c>
      <c r="Z1051" s="4" t="s">
        <v>2308</v>
      </c>
      <c r="AA1051" s="4" t="s">
        <v>2308</v>
      </c>
      <c r="AB1051" s="4" t="s">
        <v>2308</v>
      </c>
      <c r="AC1051" s="4"/>
      <c r="AD1051" s="5" t="s">
        <v>3317</v>
      </c>
    </row>
    <row r="1052" spans="1:30" ht="40" customHeight="1">
      <c r="A1052" s="12" t="s">
        <v>3287</v>
      </c>
      <c r="B1052" s="12" t="s">
        <v>3310</v>
      </c>
      <c r="C1052" s="4" t="s">
        <v>24</v>
      </c>
      <c r="D1052" s="4" t="s">
        <v>27</v>
      </c>
      <c r="E1052" s="4" t="s">
        <v>136</v>
      </c>
      <c r="F1052" s="5" t="s">
        <v>167</v>
      </c>
      <c r="G1052" s="4" t="s">
        <v>2308</v>
      </c>
      <c r="H1052" s="4" t="s">
        <v>531</v>
      </c>
      <c r="I1052" s="4"/>
      <c r="J1052" s="4" t="s">
        <v>2308</v>
      </c>
      <c r="K1052" s="4" t="s">
        <v>2308</v>
      </c>
      <c r="L1052" s="4" t="s">
        <v>2308</v>
      </c>
      <c r="M1052" s="4" t="s">
        <v>2308</v>
      </c>
      <c r="N1052" s="4" t="s">
        <v>2308</v>
      </c>
      <c r="O1052" s="4" t="s">
        <v>2308</v>
      </c>
      <c r="P1052" s="4" t="s">
        <v>2308</v>
      </c>
      <c r="Q1052" s="4" t="s">
        <v>2308</v>
      </c>
      <c r="R1052" s="4" t="s">
        <v>2308</v>
      </c>
      <c r="S1052" s="4" t="s">
        <v>2308</v>
      </c>
      <c r="T1052" s="4" t="s">
        <v>2308</v>
      </c>
      <c r="U1052" s="4" t="s">
        <v>2308</v>
      </c>
      <c r="V1052" s="4" t="s">
        <v>2308</v>
      </c>
      <c r="W1052" s="4" t="s">
        <v>2308</v>
      </c>
      <c r="X1052" s="4" t="s">
        <v>2308</v>
      </c>
      <c r="Y1052" s="4" t="s">
        <v>2308</v>
      </c>
      <c r="Z1052" s="4" t="s">
        <v>2308</v>
      </c>
      <c r="AA1052" s="4" t="s">
        <v>2308</v>
      </c>
      <c r="AB1052" s="4" t="s">
        <v>2308</v>
      </c>
      <c r="AC1052" s="4"/>
      <c r="AD1052" s="5" t="s">
        <v>3317</v>
      </c>
    </row>
    <row r="1053" spans="1:30" ht="40" customHeight="1">
      <c r="A1053" s="12" t="s">
        <v>3288</v>
      </c>
      <c r="B1053" s="12" t="s">
        <v>3311</v>
      </c>
      <c r="C1053" s="4" t="s">
        <v>24</v>
      </c>
      <c r="D1053" s="4" t="s">
        <v>27</v>
      </c>
      <c r="E1053" s="4" t="s">
        <v>136</v>
      </c>
      <c r="F1053" s="5" t="s">
        <v>167</v>
      </c>
      <c r="G1053" s="4" t="s">
        <v>2308</v>
      </c>
      <c r="H1053" s="4" t="s">
        <v>531</v>
      </c>
      <c r="I1053" s="4"/>
      <c r="J1053" s="4" t="s">
        <v>2308</v>
      </c>
      <c r="K1053" s="4" t="s">
        <v>2308</v>
      </c>
      <c r="L1053" s="4" t="s">
        <v>2308</v>
      </c>
      <c r="M1053" s="4" t="s">
        <v>2308</v>
      </c>
      <c r="N1053" s="4" t="s">
        <v>2308</v>
      </c>
      <c r="O1053" s="4" t="s">
        <v>2308</v>
      </c>
      <c r="P1053" s="4" t="s">
        <v>2308</v>
      </c>
      <c r="Q1053" s="4" t="s">
        <v>2308</v>
      </c>
      <c r="R1053" s="4" t="s">
        <v>2308</v>
      </c>
      <c r="S1053" s="4" t="s">
        <v>2308</v>
      </c>
      <c r="T1053" s="4" t="s">
        <v>2308</v>
      </c>
      <c r="U1053" s="4" t="s">
        <v>2308</v>
      </c>
      <c r="V1053" s="4" t="s">
        <v>2308</v>
      </c>
      <c r="W1053" s="4" t="s">
        <v>2308</v>
      </c>
      <c r="X1053" s="4" t="s">
        <v>2308</v>
      </c>
      <c r="Y1053" s="4" t="s">
        <v>2308</v>
      </c>
      <c r="Z1053" s="4" t="s">
        <v>2308</v>
      </c>
      <c r="AA1053" s="4" t="s">
        <v>2308</v>
      </c>
      <c r="AB1053" s="4" t="s">
        <v>2308</v>
      </c>
      <c r="AC1053" s="4"/>
      <c r="AD1053" s="5" t="s">
        <v>3317</v>
      </c>
    </row>
    <row r="1054" spans="1:30" ht="40" customHeight="1">
      <c r="A1054" s="12" t="s">
        <v>3292</v>
      </c>
      <c r="B1054" s="12" t="s">
        <v>3312</v>
      </c>
      <c r="C1054" s="4" t="s">
        <v>24</v>
      </c>
      <c r="D1054" s="4" t="s">
        <v>27</v>
      </c>
      <c r="E1054" s="4" t="s">
        <v>136</v>
      </c>
      <c r="F1054" s="5" t="s">
        <v>167</v>
      </c>
      <c r="G1054" s="4" t="s">
        <v>2308</v>
      </c>
      <c r="H1054" s="4" t="s">
        <v>531</v>
      </c>
      <c r="I1054" s="4"/>
      <c r="J1054" s="4" t="s">
        <v>2308</v>
      </c>
      <c r="K1054" s="4" t="s">
        <v>2308</v>
      </c>
      <c r="L1054" s="4" t="s">
        <v>2308</v>
      </c>
      <c r="M1054" s="4" t="s">
        <v>2308</v>
      </c>
      <c r="N1054" s="4" t="s">
        <v>2308</v>
      </c>
      <c r="O1054" s="4" t="s">
        <v>2308</v>
      </c>
      <c r="P1054" s="4" t="s">
        <v>2308</v>
      </c>
      <c r="Q1054" s="4" t="s">
        <v>2308</v>
      </c>
      <c r="R1054" s="4" t="s">
        <v>2308</v>
      </c>
      <c r="S1054" s="4" t="s">
        <v>2308</v>
      </c>
      <c r="T1054" s="4" t="s">
        <v>2308</v>
      </c>
      <c r="U1054" s="4" t="s">
        <v>2308</v>
      </c>
      <c r="V1054" s="4" t="s">
        <v>2308</v>
      </c>
      <c r="W1054" s="4" t="s">
        <v>2308</v>
      </c>
      <c r="X1054" s="4" t="s">
        <v>2308</v>
      </c>
      <c r="Y1054" s="4" t="s">
        <v>2308</v>
      </c>
      <c r="Z1054" s="4" t="s">
        <v>2308</v>
      </c>
      <c r="AA1054" s="4" t="s">
        <v>2308</v>
      </c>
      <c r="AB1054" s="4" t="s">
        <v>2308</v>
      </c>
      <c r="AC1054" s="4"/>
      <c r="AD1054" s="5" t="s">
        <v>3317</v>
      </c>
    </row>
    <row r="1055" spans="1:30" ht="40" customHeight="1">
      <c r="A1055" s="12" t="s">
        <v>3293</v>
      </c>
      <c r="B1055" s="12" t="s">
        <v>3313</v>
      </c>
      <c r="C1055" s="4" t="s">
        <v>24</v>
      </c>
      <c r="D1055" s="4" t="s">
        <v>27</v>
      </c>
      <c r="E1055" s="4" t="s">
        <v>136</v>
      </c>
      <c r="F1055" s="5" t="s">
        <v>167</v>
      </c>
      <c r="G1055" s="4" t="s">
        <v>2308</v>
      </c>
      <c r="H1055" s="4" t="s">
        <v>531</v>
      </c>
      <c r="I1055" s="4"/>
      <c r="J1055" s="4" t="s">
        <v>2308</v>
      </c>
      <c r="K1055" s="4" t="s">
        <v>2308</v>
      </c>
      <c r="L1055" s="4" t="s">
        <v>2308</v>
      </c>
      <c r="M1055" s="4" t="s">
        <v>2308</v>
      </c>
      <c r="N1055" s="4" t="s">
        <v>2308</v>
      </c>
      <c r="O1055" s="4" t="s">
        <v>2308</v>
      </c>
      <c r="P1055" s="4" t="s">
        <v>2308</v>
      </c>
      <c r="Q1055" s="4" t="s">
        <v>2308</v>
      </c>
      <c r="R1055" s="4" t="s">
        <v>2308</v>
      </c>
      <c r="S1055" s="4" t="s">
        <v>2308</v>
      </c>
      <c r="T1055" s="4" t="s">
        <v>2308</v>
      </c>
      <c r="U1055" s="4" t="s">
        <v>2308</v>
      </c>
      <c r="V1055" s="4" t="s">
        <v>2308</v>
      </c>
      <c r="W1055" s="4" t="s">
        <v>2308</v>
      </c>
      <c r="X1055" s="4" t="s">
        <v>2308</v>
      </c>
      <c r="Y1055" s="4" t="s">
        <v>2308</v>
      </c>
      <c r="Z1055" s="4" t="s">
        <v>2308</v>
      </c>
      <c r="AA1055" s="4" t="s">
        <v>2308</v>
      </c>
      <c r="AB1055" s="4" t="s">
        <v>2308</v>
      </c>
      <c r="AC1055" s="4"/>
      <c r="AD1055" s="5" t="s">
        <v>3317</v>
      </c>
    </row>
    <row r="1056" spans="1:30" ht="40" customHeight="1">
      <c r="A1056" s="12" t="s">
        <v>3294</v>
      </c>
      <c r="B1056" s="12" t="s">
        <v>3314</v>
      </c>
      <c r="C1056" s="4" t="s">
        <v>24</v>
      </c>
      <c r="D1056" s="4" t="s">
        <v>27</v>
      </c>
      <c r="E1056" s="4" t="s">
        <v>136</v>
      </c>
      <c r="F1056" s="5" t="s">
        <v>167</v>
      </c>
      <c r="G1056" s="4" t="s">
        <v>2308</v>
      </c>
      <c r="H1056" s="4" t="s">
        <v>531</v>
      </c>
      <c r="I1056" s="4"/>
      <c r="J1056" s="4" t="s">
        <v>2308</v>
      </c>
      <c r="K1056" s="4" t="s">
        <v>2308</v>
      </c>
      <c r="L1056" s="4" t="s">
        <v>2308</v>
      </c>
      <c r="M1056" s="4" t="s">
        <v>2308</v>
      </c>
      <c r="N1056" s="4" t="s">
        <v>2308</v>
      </c>
      <c r="O1056" s="4" t="s">
        <v>2308</v>
      </c>
      <c r="P1056" s="4" t="s">
        <v>2308</v>
      </c>
      <c r="Q1056" s="4" t="s">
        <v>2308</v>
      </c>
      <c r="R1056" s="4" t="s">
        <v>2308</v>
      </c>
      <c r="S1056" s="4" t="s">
        <v>2308</v>
      </c>
      <c r="T1056" s="4" t="s">
        <v>2308</v>
      </c>
      <c r="U1056" s="4" t="s">
        <v>2308</v>
      </c>
      <c r="V1056" s="4" t="s">
        <v>2308</v>
      </c>
      <c r="W1056" s="4" t="s">
        <v>2308</v>
      </c>
      <c r="X1056" s="4" t="s">
        <v>2308</v>
      </c>
      <c r="Y1056" s="4" t="s">
        <v>2308</v>
      </c>
      <c r="Z1056" s="4" t="s">
        <v>2308</v>
      </c>
      <c r="AA1056" s="4" t="s">
        <v>2308</v>
      </c>
      <c r="AB1056" s="4" t="s">
        <v>2308</v>
      </c>
      <c r="AC1056" s="4"/>
      <c r="AD1056" s="5" t="s">
        <v>3317</v>
      </c>
    </row>
    <row r="1057" spans="1:30" ht="40" customHeight="1">
      <c r="A1057" s="12" t="s">
        <v>3298</v>
      </c>
      <c r="B1057" s="12" t="s">
        <v>3315</v>
      </c>
      <c r="C1057" s="4" t="s">
        <v>24</v>
      </c>
      <c r="D1057" s="4" t="s">
        <v>27</v>
      </c>
      <c r="E1057" s="4" t="s">
        <v>136</v>
      </c>
      <c r="F1057" s="5" t="s">
        <v>167</v>
      </c>
      <c r="G1057" s="4" t="s">
        <v>2308</v>
      </c>
      <c r="H1057" s="4" t="s">
        <v>531</v>
      </c>
      <c r="I1057" s="4"/>
      <c r="J1057" s="4" t="s">
        <v>2308</v>
      </c>
      <c r="K1057" s="4" t="s">
        <v>2308</v>
      </c>
      <c r="L1057" s="4" t="s">
        <v>2308</v>
      </c>
      <c r="M1057" s="4" t="s">
        <v>2308</v>
      </c>
      <c r="N1057" s="4" t="s">
        <v>2308</v>
      </c>
      <c r="O1057" s="4" t="s">
        <v>2308</v>
      </c>
      <c r="P1057" s="4" t="s">
        <v>2308</v>
      </c>
      <c r="Q1057" s="4" t="s">
        <v>2308</v>
      </c>
      <c r="R1057" s="4" t="s">
        <v>2308</v>
      </c>
      <c r="S1057" s="4" t="s">
        <v>2308</v>
      </c>
      <c r="T1057" s="4" t="s">
        <v>2308</v>
      </c>
      <c r="U1057" s="4" t="s">
        <v>2308</v>
      </c>
      <c r="V1057" s="4" t="s">
        <v>2308</v>
      </c>
      <c r="W1057" s="4" t="s">
        <v>2308</v>
      </c>
      <c r="X1057" s="4" t="s">
        <v>2308</v>
      </c>
      <c r="Y1057" s="4" t="s">
        <v>2308</v>
      </c>
      <c r="Z1057" s="4" t="s">
        <v>2308</v>
      </c>
      <c r="AA1057" s="4" t="s">
        <v>2308</v>
      </c>
      <c r="AB1057" s="4" t="s">
        <v>2308</v>
      </c>
      <c r="AC1057" s="4"/>
      <c r="AD1057" s="5" t="s">
        <v>3317</v>
      </c>
    </row>
    <row r="1058" spans="1:30" ht="40" customHeight="1">
      <c r="A1058" s="12" t="s">
        <v>3299</v>
      </c>
      <c r="B1058" s="12" t="s">
        <v>3316</v>
      </c>
      <c r="C1058" s="4" t="s">
        <v>24</v>
      </c>
      <c r="D1058" s="4" t="s">
        <v>27</v>
      </c>
      <c r="E1058" s="4" t="s">
        <v>136</v>
      </c>
      <c r="F1058" s="5" t="s">
        <v>167</v>
      </c>
      <c r="G1058" s="4" t="s">
        <v>2308</v>
      </c>
      <c r="H1058" s="4" t="s">
        <v>531</v>
      </c>
      <c r="I1058" s="4"/>
      <c r="J1058" s="4" t="s">
        <v>2308</v>
      </c>
      <c r="K1058" s="4" t="s">
        <v>2308</v>
      </c>
      <c r="L1058" s="4" t="s">
        <v>2308</v>
      </c>
      <c r="M1058" s="4" t="s">
        <v>2308</v>
      </c>
      <c r="N1058" s="4" t="s">
        <v>2308</v>
      </c>
      <c r="O1058" s="4" t="s">
        <v>2308</v>
      </c>
      <c r="P1058" s="4" t="s">
        <v>2308</v>
      </c>
      <c r="Q1058" s="4" t="s">
        <v>2308</v>
      </c>
      <c r="R1058" s="4" t="s">
        <v>2308</v>
      </c>
      <c r="S1058" s="4" t="s">
        <v>2308</v>
      </c>
      <c r="T1058" s="4" t="s">
        <v>2308</v>
      </c>
      <c r="U1058" s="4" t="s">
        <v>2308</v>
      </c>
      <c r="V1058" s="4" t="s">
        <v>2308</v>
      </c>
      <c r="W1058" s="4" t="s">
        <v>2308</v>
      </c>
      <c r="X1058" s="4" t="s">
        <v>2308</v>
      </c>
      <c r="Y1058" s="4" t="s">
        <v>2308</v>
      </c>
      <c r="Z1058" s="4" t="s">
        <v>2308</v>
      </c>
      <c r="AA1058" s="4" t="s">
        <v>2308</v>
      </c>
      <c r="AB1058" s="4" t="s">
        <v>2308</v>
      </c>
      <c r="AC1058" s="4"/>
      <c r="AD1058" s="5" t="s">
        <v>3317</v>
      </c>
    </row>
    <row r="1059" spans="1:30" ht="79" customHeight="1">
      <c r="A1059" s="24" t="s">
        <v>3320</v>
      </c>
      <c r="B1059" s="24" t="s">
        <v>3325</v>
      </c>
      <c r="C1059" s="4" t="s">
        <v>24</v>
      </c>
      <c r="D1059" s="4" t="s">
        <v>1267</v>
      </c>
      <c r="E1059" s="4" t="s">
        <v>116</v>
      </c>
      <c r="F1059" s="5" t="s">
        <v>55</v>
      </c>
      <c r="G1059" s="4" t="s">
        <v>2308</v>
      </c>
      <c r="H1059" s="4" t="s">
        <v>531</v>
      </c>
      <c r="I1059" s="4"/>
      <c r="J1059" s="4" t="s">
        <v>2308</v>
      </c>
      <c r="K1059" s="4" t="s">
        <v>2308</v>
      </c>
      <c r="L1059" s="4" t="s">
        <v>2308</v>
      </c>
      <c r="M1059" s="4" t="s">
        <v>2308</v>
      </c>
      <c r="N1059" s="4" t="s">
        <v>2308</v>
      </c>
      <c r="O1059" s="4" t="s">
        <v>2308</v>
      </c>
      <c r="P1059" s="4" t="s">
        <v>2308</v>
      </c>
      <c r="Q1059" s="4" t="s">
        <v>2308</v>
      </c>
      <c r="R1059" s="4" t="s">
        <v>2308</v>
      </c>
      <c r="S1059" s="4" t="s">
        <v>2308</v>
      </c>
      <c r="T1059" s="4" t="s">
        <v>2308</v>
      </c>
      <c r="U1059" s="4" t="s">
        <v>2308</v>
      </c>
      <c r="V1059" s="4" t="s">
        <v>2308</v>
      </c>
      <c r="W1059" s="4" t="s">
        <v>2308</v>
      </c>
      <c r="X1059" s="4" t="s">
        <v>2308</v>
      </c>
      <c r="Y1059" s="22">
        <v>1.5</v>
      </c>
      <c r="Z1059" s="4" t="s">
        <v>34</v>
      </c>
      <c r="AA1059" s="4" t="s">
        <v>411</v>
      </c>
      <c r="AB1059" s="4" t="s">
        <v>76</v>
      </c>
      <c r="AC1059" s="5" t="s">
        <v>3328</v>
      </c>
      <c r="AD1059" s="5" t="s">
        <v>3326</v>
      </c>
    </row>
    <row r="1060" spans="1:30" ht="52.5" customHeight="1">
      <c r="A1060" s="24" t="s">
        <v>3320</v>
      </c>
      <c r="B1060" s="24" t="s">
        <v>3327</v>
      </c>
      <c r="C1060" s="4" t="s">
        <v>24</v>
      </c>
      <c r="D1060" s="4" t="s">
        <v>1267</v>
      </c>
      <c r="E1060" s="4" t="s">
        <v>116</v>
      </c>
      <c r="F1060" s="5" t="s">
        <v>2695</v>
      </c>
      <c r="G1060" s="4" t="s">
        <v>2308</v>
      </c>
      <c r="H1060" s="4" t="s">
        <v>531</v>
      </c>
      <c r="I1060" s="4"/>
      <c r="J1060" s="4" t="s">
        <v>2308</v>
      </c>
      <c r="K1060" s="4" t="s">
        <v>2308</v>
      </c>
      <c r="L1060" s="4" t="s">
        <v>2308</v>
      </c>
      <c r="M1060" s="4" t="s">
        <v>2308</v>
      </c>
      <c r="N1060" s="4" t="s">
        <v>2308</v>
      </c>
      <c r="O1060" s="4" t="s">
        <v>2308</v>
      </c>
      <c r="P1060" s="4" t="s">
        <v>2308</v>
      </c>
      <c r="Q1060" s="4" t="s">
        <v>2308</v>
      </c>
      <c r="R1060" s="4" t="s">
        <v>2308</v>
      </c>
      <c r="S1060" s="4" t="s">
        <v>2308</v>
      </c>
      <c r="T1060" s="4" t="s">
        <v>2308</v>
      </c>
      <c r="U1060" s="4" t="s">
        <v>2308</v>
      </c>
      <c r="V1060" s="4" t="s">
        <v>2308</v>
      </c>
      <c r="W1060" s="4" t="s">
        <v>2308</v>
      </c>
      <c r="X1060" s="4" t="s">
        <v>2308</v>
      </c>
      <c r="Y1060" s="22">
        <v>3.5</v>
      </c>
      <c r="Z1060" s="4" t="s">
        <v>412</v>
      </c>
      <c r="AA1060" s="4" t="s">
        <v>432</v>
      </c>
      <c r="AB1060" s="4" t="s">
        <v>76</v>
      </c>
      <c r="AC1060" s="4"/>
      <c r="AD1060" s="4"/>
    </row>
    <row r="1061" spans="1:30" ht="45.5" customHeight="1">
      <c r="A1061" s="24" t="s">
        <v>3331</v>
      </c>
      <c r="B1061" s="24" t="s">
        <v>3342</v>
      </c>
      <c r="C1061" s="4" t="s">
        <v>24</v>
      </c>
      <c r="D1061" s="4" t="s">
        <v>25</v>
      </c>
      <c r="E1061" s="4" t="s">
        <v>5065</v>
      </c>
      <c r="F1061" s="5" t="s">
        <v>55</v>
      </c>
      <c r="G1061" s="4" t="s">
        <v>2308</v>
      </c>
      <c r="H1061" s="4" t="s">
        <v>531</v>
      </c>
      <c r="I1061" s="4"/>
      <c r="J1061" s="4" t="s">
        <v>2308</v>
      </c>
      <c r="K1061" s="4" t="s">
        <v>2308</v>
      </c>
      <c r="L1061" s="4" t="s">
        <v>2308</v>
      </c>
      <c r="M1061" s="4" t="s">
        <v>2308</v>
      </c>
      <c r="N1061" s="4" t="s">
        <v>2308</v>
      </c>
      <c r="O1061" s="4" t="s">
        <v>2308</v>
      </c>
      <c r="P1061" s="4" t="s">
        <v>2308</v>
      </c>
      <c r="Q1061" s="4" t="s">
        <v>2308</v>
      </c>
      <c r="R1061" s="4" t="s">
        <v>2308</v>
      </c>
      <c r="S1061" s="4" t="s">
        <v>2308</v>
      </c>
      <c r="T1061" s="4" t="s">
        <v>2308</v>
      </c>
      <c r="U1061" s="4" t="s">
        <v>2308</v>
      </c>
      <c r="V1061" s="4" t="s">
        <v>2308</v>
      </c>
      <c r="W1061" s="4" t="s">
        <v>2308</v>
      </c>
      <c r="X1061" s="4" t="s">
        <v>2308</v>
      </c>
      <c r="Y1061" s="22">
        <v>1</v>
      </c>
      <c r="Z1061" s="4" t="s">
        <v>194</v>
      </c>
      <c r="AA1061" s="4" t="s">
        <v>195</v>
      </c>
      <c r="AB1061" s="4" t="s">
        <v>2688</v>
      </c>
      <c r="AC1061" s="5" t="s">
        <v>3353</v>
      </c>
      <c r="AD1061" s="5" t="s">
        <v>3344</v>
      </c>
    </row>
    <row r="1062" spans="1:30" ht="44" customHeight="1">
      <c r="A1062" s="24" t="s">
        <v>3331</v>
      </c>
      <c r="B1062" s="24" t="s">
        <v>3343</v>
      </c>
      <c r="C1062" s="4" t="s">
        <v>24</v>
      </c>
      <c r="D1062" s="4" t="s">
        <v>25</v>
      </c>
      <c r="E1062" s="4" t="s">
        <v>5065</v>
      </c>
      <c r="F1062" s="5" t="s">
        <v>2695</v>
      </c>
      <c r="G1062" s="4" t="s">
        <v>2308</v>
      </c>
      <c r="H1062" s="4" t="s">
        <v>531</v>
      </c>
      <c r="I1062" s="4"/>
      <c r="J1062" s="4" t="s">
        <v>2308</v>
      </c>
      <c r="K1062" s="4" t="s">
        <v>2308</v>
      </c>
      <c r="L1062" s="4" t="s">
        <v>2308</v>
      </c>
      <c r="M1062" s="4" t="s">
        <v>2308</v>
      </c>
      <c r="N1062" s="4" t="s">
        <v>2308</v>
      </c>
      <c r="O1062" s="4" t="s">
        <v>2308</v>
      </c>
      <c r="P1062" s="4" t="s">
        <v>2308</v>
      </c>
      <c r="Q1062" s="4" t="s">
        <v>2308</v>
      </c>
      <c r="R1062" s="4" t="s">
        <v>2308</v>
      </c>
      <c r="S1062" s="4" t="s">
        <v>2308</v>
      </c>
      <c r="T1062" s="4" t="s">
        <v>2308</v>
      </c>
      <c r="U1062" s="4" t="s">
        <v>2308</v>
      </c>
      <c r="V1062" s="4" t="s">
        <v>2308</v>
      </c>
      <c r="W1062" s="4" t="s">
        <v>2308</v>
      </c>
      <c r="X1062" s="4" t="s">
        <v>2308</v>
      </c>
      <c r="Y1062" s="22">
        <v>1</v>
      </c>
      <c r="Z1062" s="4" t="s">
        <v>194</v>
      </c>
      <c r="AA1062" s="4" t="s">
        <v>195</v>
      </c>
      <c r="AB1062" s="4" t="s">
        <v>2688</v>
      </c>
      <c r="AC1062" s="5" t="s">
        <v>3353</v>
      </c>
      <c r="AD1062" s="5" t="s">
        <v>3344</v>
      </c>
    </row>
    <row r="1063" spans="1:30" ht="46.5" customHeight="1">
      <c r="A1063" s="24" t="s">
        <v>3336</v>
      </c>
      <c r="B1063" s="24" t="s">
        <v>3345</v>
      </c>
      <c r="C1063" s="4" t="s">
        <v>24</v>
      </c>
      <c r="D1063" s="4" t="s">
        <v>25</v>
      </c>
      <c r="E1063" s="4" t="s">
        <v>5065</v>
      </c>
      <c r="F1063" s="5" t="s">
        <v>55</v>
      </c>
      <c r="G1063" s="4" t="s">
        <v>2308</v>
      </c>
      <c r="H1063" s="4" t="s">
        <v>531</v>
      </c>
      <c r="I1063" s="4"/>
      <c r="J1063" s="4" t="s">
        <v>2308</v>
      </c>
      <c r="K1063" s="4" t="s">
        <v>2308</v>
      </c>
      <c r="L1063" s="4" t="s">
        <v>2308</v>
      </c>
      <c r="M1063" s="4" t="s">
        <v>2308</v>
      </c>
      <c r="N1063" s="4" t="s">
        <v>2308</v>
      </c>
      <c r="O1063" s="4" t="s">
        <v>2308</v>
      </c>
      <c r="P1063" s="4" t="s">
        <v>2308</v>
      </c>
      <c r="Q1063" s="4" t="s">
        <v>2308</v>
      </c>
      <c r="R1063" s="4" t="s">
        <v>2308</v>
      </c>
      <c r="S1063" s="4" t="s">
        <v>2308</v>
      </c>
      <c r="T1063" s="4" t="s">
        <v>2308</v>
      </c>
      <c r="U1063" s="4" t="s">
        <v>2308</v>
      </c>
      <c r="V1063" s="4" t="s">
        <v>2308</v>
      </c>
      <c r="W1063" s="4" t="s">
        <v>2308</v>
      </c>
      <c r="X1063" s="4" t="s">
        <v>2308</v>
      </c>
      <c r="Y1063" s="22">
        <v>1</v>
      </c>
      <c r="Z1063" s="4" t="s">
        <v>194</v>
      </c>
      <c r="AA1063" s="4" t="s">
        <v>195</v>
      </c>
      <c r="AB1063" s="4" t="s">
        <v>2688</v>
      </c>
      <c r="AC1063" s="5" t="s">
        <v>3353</v>
      </c>
      <c r="AD1063" s="5" t="s">
        <v>3344</v>
      </c>
    </row>
    <row r="1064" spans="1:30" ht="46.5" customHeight="1">
      <c r="A1064" s="24" t="s">
        <v>3336</v>
      </c>
      <c r="B1064" s="24" t="s">
        <v>3346</v>
      </c>
      <c r="C1064" s="4" t="s">
        <v>24</v>
      </c>
      <c r="D1064" s="4" t="s">
        <v>25</v>
      </c>
      <c r="E1064" s="4" t="s">
        <v>5065</v>
      </c>
      <c r="F1064" s="5" t="s">
        <v>2695</v>
      </c>
      <c r="G1064" s="4" t="s">
        <v>2308</v>
      </c>
      <c r="H1064" s="4" t="s">
        <v>531</v>
      </c>
      <c r="I1064" s="4"/>
      <c r="J1064" s="4" t="s">
        <v>2308</v>
      </c>
      <c r="K1064" s="4" t="s">
        <v>2308</v>
      </c>
      <c r="L1064" s="4" t="s">
        <v>2308</v>
      </c>
      <c r="M1064" s="4" t="s">
        <v>2308</v>
      </c>
      <c r="N1064" s="4" t="s">
        <v>2308</v>
      </c>
      <c r="O1064" s="4" t="s">
        <v>2308</v>
      </c>
      <c r="P1064" s="4" t="s">
        <v>2308</v>
      </c>
      <c r="Q1064" s="4" t="s">
        <v>2308</v>
      </c>
      <c r="R1064" s="4" t="s">
        <v>2308</v>
      </c>
      <c r="S1064" s="4" t="s">
        <v>2308</v>
      </c>
      <c r="T1064" s="4" t="s">
        <v>2308</v>
      </c>
      <c r="U1064" s="4" t="s">
        <v>2308</v>
      </c>
      <c r="V1064" s="4" t="s">
        <v>2308</v>
      </c>
      <c r="W1064" s="4" t="s">
        <v>2308</v>
      </c>
      <c r="X1064" s="4" t="s">
        <v>2308</v>
      </c>
      <c r="Y1064" s="22">
        <v>1</v>
      </c>
      <c r="Z1064" s="4" t="s">
        <v>194</v>
      </c>
      <c r="AA1064" s="4" t="s">
        <v>195</v>
      </c>
      <c r="AB1064" s="4" t="s">
        <v>2688</v>
      </c>
      <c r="AC1064" s="5" t="s">
        <v>3353</v>
      </c>
      <c r="AD1064" s="5" t="s">
        <v>3344</v>
      </c>
    </row>
    <row r="1065" spans="1:30" ht="49" customHeight="1">
      <c r="A1065" s="24" t="s">
        <v>3337</v>
      </c>
      <c r="B1065" s="24" t="s">
        <v>3347</v>
      </c>
      <c r="C1065" s="4" t="s">
        <v>24</v>
      </c>
      <c r="D1065" s="4" t="s">
        <v>25</v>
      </c>
      <c r="E1065" s="4" t="s">
        <v>5065</v>
      </c>
      <c r="F1065" s="5" t="s">
        <v>55</v>
      </c>
      <c r="G1065" s="4" t="s">
        <v>2308</v>
      </c>
      <c r="H1065" s="4" t="s">
        <v>531</v>
      </c>
      <c r="I1065" s="4"/>
      <c r="J1065" s="4" t="s">
        <v>2308</v>
      </c>
      <c r="K1065" s="4" t="s">
        <v>2308</v>
      </c>
      <c r="L1065" s="4" t="s">
        <v>2308</v>
      </c>
      <c r="M1065" s="4" t="s">
        <v>2308</v>
      </c>
      <c r="N1065" s="4" t="s">
        <v>2308</v>
      </c>
      <c r="O1065" s="4" t="s">
        <v>2308</v>
      </c>
      <c r="P1065" s="4" t="s">
        <v>2308</v>
      </c>
      <c r="Q1065" s="4" t="s">
        <v>2308</v>
      </c>
      <c r="R1065" s="4" t="s">
        <v>2308</v>
      </c>
      <c r="S1065" s="4" t="s">
        <v>2308</v>
      </c>
      <c r="T1065" s="4" t="s">
        <v>2308</v>
      </c>
      <c r="U1065" s="4" t="s">
        <v>2308</v>
      </c>
      <c r="V1065" s="4" t="s">
        <v>2308</v>
      </c>
      <c r="W1065" s="4" t="s">
        <v>2308</v>
      </c>
      <c r="X1065" s="4" t="s">
        <v>2308</v>
      </c>
      <c r="Y1065" s="22">
        <v>1</v>
      </c>
      <c r="Z1065" s="4" t="s">
        <v>194</v>
      </c>
      <c r="AA1065" s="4" t="s">
        <v>195</v>
      </c>
      <c r="AB1065" s="4" t="s">
        <v>2688</v>
      </c>
      <c r="AC1065" s="5" t="s">
        <v>3353</v>
      </c>
      <c r="AD1065" s="5" t="s">
        <v>3344</v>
      </c>
    </row>
    <row r="1066" spans="1:30" ht="47" customHeight="1">
      <c r="A1066" s="24" t="s">
        <v>3337</v>
      </c>
      <c r="B1066" s="24" t="s">
        <v>3348</v>
      </c>
      <c r="C1066" s="4" t="s">
        <v>24</v>
      </c>
      <c r="D1066" s="4" t="s">
        <v>25</v>
      </c>
      <c r="E1066" s="4" t="s">
        <v>5065</v>
      </c>
      <c r="F1066" s="5" t="s">
        <v>2695</v>
      </c>
      <c r="G1066" s="4" t="s">
        <v>2308</v>
      </c>
      <c r="H1066" s="4" t="s">
        <v>531</v>
      </c>
      <c r="I1066" s="4"/>
      <c r="J1066" s="4" t="s">
        <v>2308</v>
      </c>
      <c r="K1066" s="4" t="s">
        <v>2308</v>
      </c>
      <c r="L1066" s="4" t="s">
        <v>2308</v>
      </c>
      <c r="M1066" s="4" t="s">
        <v>2308</v>
      </c>
      <c r="N1066" s="4" t="s">
        <v>2308</v>
      </c>
      <c r="O1066" s="4" t="s">
        <v>2308</v>
      </c>
      <c r="P1066" s="4" t="s">
        <v>2308</v>
      </c>
      <c r="Q1066" s="4" t="s">
        <v>2308</v>
      </c>
      <c r="R1066" s="4" t="s">
        <v>2308</v>
      </c>
      <c r="S1066" s="4" t="s">
        <v>2308</v>
      </c>
      <c r="T1066" s="4" t="s">
        <v>2308</v>
      </c>
      <c r="U1066" s="4" t="s">
        <v>2308</v>
      </c>
      <c r="V1066" s="4" t="s">
        <v>2308</v>
      </c>
      <c r="W1066" s="4" t="s">
        <v>2308</v>
      </c>
      <c r="X1066" s="4" t="s">
        <v>2308</v>
      </c>
      <c r="Y1066" s="22">
        <v>1</v>
      </c>
      <c r="Z1066" s="4" t="s">
        <v>194</v>
      </c>
      <c r="AA1066" s="4" t="s">
        <v>195</v>
      </c>
      <c r="AB1066" s="4" t="s">
        <v>2688</v>
      </c>
      <c r="AC1066" s="5" t="s">
        <v>3353</v>
      </c>
      <c r="AD1066" s="5" t="s">
        <v>3344</v>
      </c>
    </row>
    <row r="1067" spans="1:30" ht="45.5" customHeight="1">
      <c r="A1067" s="24" t="s">
        <v>3339</v>
      </c>
      <c r="B1067" s="24" t="s">
        <v>3351</v>
      </c>
      <c r="C1067" s="4" t="s">
        <v>24</v>
      </c>
      <c r="D1067" s="4" t="s">
        <v>25</v>
      </c>
      <c r="E1067" s="4" t="s">
        <v>5065</v>
      </c>
      <c r="F1067" s="5" t="s">
        <v>55</v>
      </c>
      <c r="G1067" s="4" t="s">
        <v>2308</v>
      </c>
      <c r="H1067" s="4" t="s">
        <v>531</v>
      </c>
      <c r="I1067" s="4"/>
      <c r="J1067" s="4" t="s">
        <v>2308</v>
      </c>
      <c r="K1067" s="4" t="s">
        <v>2308</v>
      </c>
      <c r="L1067" s="4" t="s">
        <v>2308</v>
      </c>
      <c r="M1067" s="4" t="s">
        <v>2308</v>
      </c>
      <c r="N1067" s="4" t="s">
        <v>2308</v>
      </c>
      <c r="O1067" s="4" t="s">
        <v>2308</v>
      </c>
      <c r="P1067" s="4" t="s">
        <v>2308</v>
      </c>
      <c r="Q1067" s="4" t="s">
        <v>2308</v>
      </c>
      <c r="R1067" s="4" t="s">
        <v>2308</v>
      </c>
      <c r="S1067" s="4" t="s">
        <v>2308</v>
      </c>
      <c r="T1067" s="4" t="s">
        <v>2308</v>
      </c>
      <c r="U1067" s="4" t="s">
        <v>2308</v>
      </c>
      <c r="V1067" s="4" t="s">
        <v>2308</v>
      </c>
      <c r="W1067" s="4" t="s">
        <v>2308</v>
      </c>
      <c r="X1067" s="4" t="s">
        <v>2308</v>
      </c>
      <c r="Y1067" s="4" t="s">
        <v>2308</v>
      </c>
      <c r="Z1067" s="4" t="s">
        <v>194</v>
      </c>
      <c r="AA1067" s="4" t="s">
        <v>195</v>
      </c>
      <c r="AB1067" s="4" t="s">
        <v>2688</v>
      </c>
      <c r="AC1067" s="5" t="s">
        <v>3352</v>
      </c>
      <c r="AD1067" s="5" t="s">
        <v>3344</v>
      </c>
    </row>
    <row r="1068" spans="1:30" ht="43.5">
      <c r="A1068" s="24" t="s">
        <v>3340</v>
      </c>
      <c r="B1068" s="24" t="s">
        <v>3354</v>
      </c>
      <c r="C1068" s="4" t="s">
        <v>24</v>
      </c>
      <c r="D1068" s="4" t="s">
        <v>25</v>
      </c>
      <c r="E1068" s="4" t="s">
        <v>5065</v>
      </c>
      <c r="F1068" s="5" t="s">
        <v>55</v>
      </c>
      <c r="G1068" s="4" t="s">
        <v>2308</v>
      </c>
      <c r="H1068" s="4" t="s">
        <v>531</v>
      </c>
      <c r="I1068" s="4"/>
      <c r="J1068" s="4" t="s">
        <v>2308</v>
      </c>
      <c r="K1068" s="4" t="s">
        <v>2308</v>
      </c>
      <c r="L1068" s="4" t="s">
        <v>2308</v>
      </c>
      <c r="M1068" s="4" t="s">
        <v>2308</v>
      </c>
      <c r="N1068" s="4" t="s">
        <v>2308</v>
      </c>
      <c r="O1068" s="4" t="s">
        <v>2308</v>
      </c>
      <c r="P1068" s="4" t="s">
        <v>2308</v>
      </c>
      <c r="Q1068" s="4" t="s">
        <v>2308</v>
      </c>
      <c r="R1068" s="4" t="s">
        <v>2308</v>
      </c>
      <c r="S1068" s="4" t="s">
        <v>2308</v>
      </c>
      <c r="T1068" s="4" t="s">
        <v>2308</v>
      </c>
      <c r="U1068" s="4" t="s">
        <v>2308</v>
      </c>
      <c r="V1068" s="4" t="s">
        <v>2308</v>
      </c>
      <c r="W1068" s="4" t="s">
        <v>2308</v>
      </c>
      <c r="X1068" s="4" t="s">
        <v>2308</v>
      </c>
      <c r="Y1068" s="4" t="s">
        <v>2308</v>
      </c>
      <c r="Z1068" s="4" t="s">
        <v>194</v>
      </c>
      <c r="AA1068" s="4" t="s">
        <v>195</v>
      </c>
      <c r="AB1068" s="4" t="s">
        <v>2688</v>
      </c>
      <c r="AC1068" s="5" t="s">
        <v>3352</v>
      </c>
      <c r="AD1068" s="5" t="s">
        <v>3344</v>
      </c>
    </row>
    <row r="1069" spans="1:30" ht="43.5">
      <c r="A1069" s="24" t="s">
        <v>3341</v>
      </c>
      <c r="B1069" s="24" t="s">
        <v>3355</v>
      </c>
      <c r="C1069" s="4" t="s">
        <v>24</v>
      </c>
      <c r="D1069" s="4" t="s">
        <v>25</v>
      </c>
      <c r="E1069" s="4" t="s">
        <v>5065</v>
      </c>
      <c r="F1069" s="5" t="s">
        <v>55</v>
      </c>
      <c r="G1069" s="4" t="s">
        <v>2308</v>
      </c>
      <c r="H1069" s="4" t="s">
        <v>531</v>
      </c>
      <c r="I1069" s="4"/>
      <c r="J1069" s="4" t="s">
        <v>2308</v>
      </c>
      <c r="K1069" s="4" t="s">
        <v>2308</v>
      </c>
      <c r="L1069" s="4" t="s">
        <v>2308</v>
      </c>
      <c r="M1069" s="4" t="s">
        <v>2308</v>
      </c>
      <c r="N1069" s="4" t="s">
        <v>2308</v>
      </c>
      <c r="O1069" s="4" t="s">
        <v>2308</v>
      </c>
      <c r="P1069" s="4" t="s">
        <v>2308</v>
      </c>
      <c r="Q1069" s="4" t="s">
        <v>2308</v>
      </c>
      <c r="R1069" s="4" t="s">
        <v>2308</v>
      </c>
      <c r="S1069" s="4" t="s">
        <v>2308</v>
      </c>
      <c r="T1069" s="4" t="s">
        <v>2308</v>
      </c>
      <c r="U1069" s="4" t="s">
        <v>2308</v>
      </c>
      <c r="V1069" s="4" t="s">
        <v>2308</v>
      </c>
      <c r="W1069" s="4" t="s">
        <v>2308</v>
      </c>
      <c r="X1069" s="4" t="s">
        <v>2308</v>
      </c>
      <c r="Y1069" s="4" t="s">
        <v>2308</v>
      </c>
      <c r="Z1069" s="4" t="s">
        <v>194</v>
      </c>
      <c r="AA1069" s="4" t="s">
        <v>195</v>
      </c>
      <c r="AB1069" s="4" t="s">
        <v>2688</v>
      </c>
      <c r="AC1069" s="5" t="s">
        <v>3352</v>
      </c>
      <c r="AD1069" s="5" t="s">
        <v>3344</v>
      </c>
    </row>
    <row r="1070" spans="1:30" ht="43.5" customHeight="1">
      <c r="A1070" s="24" t="s">
        <v>3331</v>
      </c>
      <c r="B1070" s="24" t="s">
        <v>3356</v>
      </c>
      <c r="C1070" s="4" t="s">
        <v>24</v>
      </c>
      <c r="D1070" s="4" t="s">
        <v>150</v>
      </c>
      <c r="E1070" s="4" t="s">
        <v>143</v>
      </c>
      <c r="F1070" s="5" t="s">
        <v>55</v>
      </c>
      <c r="G1070" s="4" t="s">
        <v>2308</v>
      </c>
      <c r="H1070" s="4" t="s">
        <v>531</v>
      </c>
      <c r="I1070" s="4"/>
      <c r="J1070" s="4" t="s">
        <v>2308</v>
      </c>
      <c r="K1070" s="4" t="s">
        <v>2308</v>
      </c>
      <c r="L1070" s="4" t="s">
        <v>2308</v>
      </c>
      <c r="M1070" s="4" t="s">
        <v>2308</v>
      </c>
      <c r="N1070" s="4" t="s">
        <v>2308</v>
      </c>
      <c r="O1070" s="4" t="s">
        <v>2308</v>
      </c>
      <c r="P1070" s="4" t="s">
        <v>2308</v>
      </c>
      <c r="Q1070" s="4" t="s">
        <v>2308</v>
      </c>
      <c r="R1070" s="4" t="s">
        <v>2308</v>
      </c>
      <c r="S1070" s="4" t="s">
        <v>2308</v>
      </c>
      <c r="T1070" s="4" t="s">
        <v>2308</v>
      </c>
      <c r="U1070" s="4" t="s">
        <v>2308</v>
      </c>
      <c r="V1070" s="4" t="s">
        <v>2308</v>
      </c>
      <c r="W1070" s="4" t="s">
        <v>2308</v>
      </c>
      <c r="X1070" s="4" t="s">
        <v>2308</v>
      </c>
      <c r="Y1070" s="4" t="s">
        <v>2308</v>
      </c>
      <c r="Z1070" s="4" t="s">
        <v>2308</v>
      </c>
      <c r="AA1070" s="4" t="s">
        <v>2308</v>
      </c>
      <c r="AB1070" s="4" t="s">
        <v>2308</v>
      </c>
      <c r="AC1070" s="5" t="s">
        <v>3362</v>
      </c>
      <c r="AD1070" s="5"/>
    </row>
    <row r="1071" spans="1:30" ht="36" customHeight="1">
      <c r="A1071" s="24" t="s">
        <v>3331</v>
      </c>
      <c r="B1071" s="24" t="s">
        <v>3357</v>
      </c>
      <c r="C1071" s="4" t="s">
        <v>24</v>
      </c>
      <c r="D1071" s="4" t="s">
        <v>150</v>
      </c>
      <c r="E1071" s="4" t="s">
        <v>143</v>
      </c>
      <c r="F1071" s="5" t="s">
        <v>2695</v>
      </c>
      <c r="G1071" s="4" t="s">
        <v>2308</v>
      </c>
      <c r="H1071" s="4" t="s">
        <v>531</v>
      </c>
      <c r="I1071" s="4"/>
      <c r="J1071" s="4" t="s">
        <v>2308</v>
      </c>
      <c r="K1071" s="4" t="s">
        <v>2308</v>
      </c>
      <c r="L1071" s="4" t="s">
        <v>2308</v>
      </c>
      <c r="M1071" s="4" t="s">
        <v>2308</v>
      </c>
      <c r="N1071" s="4" t="s">
        <v>2308</v>
      </c>
      <c r="O1071" s="4" t="s">
        <v>2308</v>
      </c>
      <c r="P1071" s="4" t="s">
        <v>2308</v>
      </c>
      <c r="Q1071" s="4" t="s">
        <v>2308</v>
      </c>
      <c r="R1071" s="4" t="s">
        <v>2308</v>
      </c>
      <c r="S1071" s="4" t="s">
        <v>2308</v>
      </c>
      <c r="T1071" s="4" t="s">
        <v>2308</v>
      </c>
      <c r="U1071" s="4" t="s">
        <v>2308</v>
      </c>
      <c r="V1071" s="4" t="s">
        <v>2308</v>
      </c>
      <c r="W1071" s="4" t="s">
        <v>2308</v>
      </c>
      <c r="X1071" s="4" t="s">
        <v>2308</v>
      </c>
      <c r="Y1071" s="4" t="s">
        <v>2308</v>
      </c>
      <c r="Z1071" s="4" t="s">
        <v>2308</v>
      </c>
      <c r="AA1071" s="4" t="s">
        <v>2308</v>
      </c>
      <c r="AB1071" s="4" t="s">
        <v>2308</v>
      </c>
      <c r="AC1071" s="5" t="s">
        <v>3362</v>
      </c>
      <c r="AD1071" s="5"/>
    </row>
    <row r="1072" spans="1:30" ht="33.5" customHeight="1">
      <c r="A1072" s="24" t="s">
        <v>3336</v>
      </c>
      <c r="B1072" s="24" t="s">
        <v>3358</v>
      </c>
      <c r="C1072" s="4" t="s">
        <v>24</v>
      </c>
      <c r="D1072" s="4" t="s">
        <v>150</v>
      </c>
      <c r="E1072" s="4" t="s">
        <v>143</v>
      </c>
      <c r="F1072" s="5" t="s">
        <v>55</v>
      </c>
      <c r="G1072" s="4" t="s">
        <v>2308</v>
      </c>
      <c r="H1072" s="4" t="s">
        <v>531</v>
      </c>
      <c r="I1072" s="4"/>
      <c r="J1072" s="4" t="s">
        <v>2308</v>
      </c>
      <c r="K1072" s="4" t="s">
        <v>2308</v>
      </c>
      <c r="L1072" s="4" t="s">
        <v>2308</v>
      </c>
      <c r="M1072" s="4" t="s">
        <v>2308</v>
      </c>
      <c r="N1072" s="4" t="s">
        <v>2308</v>
      </c>
      <c r="O1072" s="4" t="s">
        <v>2308</v>
      </c>
      <c r="P1072" s="4" t="s">
        <v>2308</v>
      </c>
      <c r="Q1072" s="4" t="s">
        <v>2308</v>
      </c>
      <c r="R1072" s="4" t="s">
        <v>2308</v>
      </c>
      <c r="S1072" s="4" t="s">
        <v>2308</v>
      </c>
      <c r="T1072" s="4" t="s">
        <v>2308</v>
      </c>
      <c r="U1072" s="4" t="s">
        <v>2308</v>
      </c>
      <c r="V1072" s="4" t="s">
        <v>2308</v>
      </c>
      <c r="W1072" s="4" t="s">
        <v>2308</v>
      </c>
      <c r="X1072" s="4" t="s">
        <v>2308</v>
      </c>
      <c r="Y1072" s="4" t="s">
        <v>2308</v>
      </c>
      <c r="Z1072" s="4" t="s">
        <v>2308</v>
      </c>
      <c r="AA1072" s="4" t="s">
        <v>2308</v>
      </c>
      <c r="AB1072" s="4" t="s">
        <v>2308</v>
      </c>
      <c r="AC1072" s="5" t="s">
        <v>3362</v>
      </c>
      <c r="AD1072" s="5"/>
    </row>
    <row r="1073" spans="1:30" ht="35.5" customHeight="1">
      <c r="A1073" s="24" t="s">
        <v>3336</v>
      </c>
      <c r="B1073" s="24" t="s">
        <v>3359</v>
      </c>
      <c r="C1073" s="4" t="s">
        <v>24</v>
      </c>
      <c r="D1073" s="4" t="s">
        <v>150</v>
      </c>
      <c r="E1073" s="4" t="s">
        <v>143</v>
      </c>
      <c r="F1073" s="5" t="s">
        <v>2695</v>
      </c>
      <c r="G1073" s="4" t="s">
        <v>2308</v>
      </c>
      <c r="H1073" s="4" t="s">
        <v>531</v>
      </c>
      <c r="I1073" s="4"/>
      <c r="J1073" s="4" t="s">
        <v>2308</v>
      </c>
      <c r="K1073" s="4" t="s">
        <v>2308</v>
      </c>
      <c r="L1073" s="4" t="s">
        <v>2308</v>
      </c>
      <c r="M1073" s="4" t="s">
        <v>2308</v>
      </c>
      <c r="N1073" s="4" t="s">
        <v>2308</v>
      </c>
      <c r="O1073" s="4" t="s">
        <v>2308</v>
      </c>
      <c r="P1073" s="4" t="s">
        <v>2308</v>
      </c>
      <c r="Q1073" s="4" t="s">
        <v>2308</v>
      </c>
      <c r="R1073" s="4" t="s">
        <v>2308</v>
      </c>
      <c r="S1073" s="4" t="s">
        <v>2308</v>
      </c>
      <c r="T1073" s="4" t="s">
        <v>2308</v>
      </c>
      <c r="U1073" s="4" t="s">
        <v>2308</v>
      </c>
      <c r="V1073" s="4" t="s">
        <v>2308</v>
      </c>
      <c r="W1073" s="4" t="s">
        <v>2308</v>
      </c>
      <c r="X1073" s="4" t="s">
        <v>2308</v>
      </c>
      <c r="Y1073" s="4" t="s">
        <v>2308</v>
      </c>
      <c r="Z1073" s="4" t="s">
        <v>2308</v>
      </c>
      <c r="AA1073" s="4" t="s">
        <v>2308</v>
      </c>
      <c r="AB1073" s="4" t="s">
        <v>2308</v>
      </c>
      <c r="AC1073" s="5" t="s">
        <v>3362</v>
      </c>
      <c r="AD1073" s="4"/>
    </row>
    <row r="1074" spans="1:30" ht="37" customHeight="1">
      <c r="A1074" s="24" t="s">
        <v>3337</v>
      </c>
      <c r="B1074" s="24" t="s">
        <v>3360</v>
      </c>
      <c r="C1074" s="4" t="s">
        <v>24</v>
      </c>
      <c r="D1074" s="4" t="s">
        <v>150</v>
      </c>
      <c r="E1074" s="4" t="s">
        <v>143</v>
      </c>
      <c r="F1074" s="5" t="s">
        <v>55</v>
      </c>
      <c r="G1074" s="4" t="s">
        <v>2308</v>
      </c>
      <c r="H1074" s="4" t="s">
        <v>531</v>
      </c>
      <c r="I1074" s="4"/>
      <c r="J1074" s="4" t="s">
        <v>2308</v>
      </c>
      <c r="K1074" s="4" t="s">
        <v>2308</v>
      </c>
      <c r="L1074" s="4" t="s">
        <v>2308</v>
      </c>
      <c r="M1074" s="4" t="s">
        <v>2308</v>
      </c>
      <c r="N1074" s="4" t="s">
        <v>2308</v>
      </c>
      <c r="O1074" s="4" t="s">
        <v>2308</v>
      </c>
      <c r="P1074" s="4" t="s">
        <v>2308</v>
      </c>
      <c r="Q1074" s="4" t="s">
        <v>2308</v>
      </c>
      <c r="R1074" s="4" t="s">
        <v>2308</v>
      </c>
      <c r="S1074" s="4" t="s">
        <v>2308</v>
      </c>
      <c r="T1074" s="4" t="s">
        <v>2308</v>
      </c>
      <c r="U1074" s="4" t="s">
        <v>2308</v>
      </c>
      <c r="V1074" s="4" t="s">
        <v>2308</v>
      </c>
      <c r="W1074" s="4" t="s">
        <v>2308</v>
      </c>
      <c r="X1074" s="4" t="s">
        <v>2308</v>
      </c>
      <c r="Y1074" s="4" t="s">
        <v>2308</v>
      </c>
      <c r="Z1074" s="4" t="s">
        <v>2308</v>
      </c>
      <c r="AA1074" s="4" t="s">
        <v>2308</v>
      </c>
      <c r="AB1074" s="4" t="s">
        <v>2308</v>
      </c>
      <c r="AC1074" s="5" t="s">
        <v>3362</v>
      </c>
      <c r="AD1074" s="4"/>
    </row>
    <row r="1075" spans="1:30" ht="33.5" customHeight="1">
      <c r="A1075" s="24" t="s">
        <v>3337</v>
      </c>
      <c r="B1075" s="24" t="s">
        <v>3361</v>
      </c>
      <c r="C1075" s="4" t="s">
        <v>24</v>
      </c>
      <c r="D1075" s="4" t="s">
        <v>150</v>
      </c>
      <c r="E1075" s="4" t="s">
        <v>143</v>
      </c>
      <c r="F1075" s="5" t="s">
        <v>2695</v>
      </c>
      <c r="G1075" s="4" t="s">
        <v>2308</v>
      </c>
      <c r="H1075" s="4" t="s">
        <v>531</v>
      </c>
      <c r="I1075" s="4"/>
      <c r="J1075" s="4" t="s">
        <v>2308</v>
      </c>
      <c r="K1075" s="4" t="s">
        <v>2308</v>
      </c>
      <c r="L1075" s="4" t="s">
        <v>2308</v>
      </c>
      <c r="M1075" s="4" t="s">
        <v>2308</v>
      </c>
      <c r="N1075" s="4" t="s">
        <v>2308</v>
      </c>
      <c r="O1075" s="4" t="s">
        <v>2308</v>
      </c>
      <c r="P1075" s="4" t="s">
        <v>2308</v>
      </c>
      <c r="Q1075" s="4" t="s">
        <v>2308</v>
      </c>
      <c r="R1075" s="4" t="s">
        <v>2308</v>
      </c>
      <c r="S1075" s="4" t="s">
        <v>2308</v>
      </c>
      <c r="T1075" s="4" t="s">
        <v>2308</v>
      </c>
      <c r="U1075" s="4" t="s">
        <v>2308</v>
      </c>
      <c r="V1075" s="4" t="s">
        <v>2308</v>
      </c>
      <c r="W1075" s="4" t="s">
        <v>2308</v>
      </c>
      <c r="X1075" s="4" t="s">
        <v>2308</v>
      </c>
      <c r="Y1075" s="4" t="s">
        <v>2308</v>
      </c>
      <c r="Z1075" s="4" t="s">
        <v>2308</v>
      </c>
      <c r="AA1075" s="4" t="s">
        <v>2308</v>
      </c>
      <c r="AB1075" s="4" t="s">
        <v>2308</v>
      </c>
      <c r="AC1075" s="5" t="s">
        <v>3362</v>
      </c>
      <c r="AD1075" s="4"/>
    </row>
    <row r="1076" spans="1:30" ht="39" customHeight="1">
      <c r="A1076" s="24" t="s">
        <v>3349</v>
      </c>
      <c r="B1076" s="24" t="s">
        <v>3350</v>
      </c>
      <c r="C1076" s="4" t="s">
        <v>24</v>
      </c>
      <c r="D1076" s="4" t="s">
        <v>2337</v>
      </c>
      <c r="E1076" s="4" t="s">
        <v>116</v>
      </c>
      <c r="F1076" s="5" t="s">
        <v>55</v>
      </c>
      <c r="G1076" s="4" t="s">
        <v>2308</v>
      </c>
      <c r="H1076" s="4" t="s">
        <v>531</v>
      </c>
      <c r="I1076" s="4"/>
      <c r="J1076" s="4" t="s">
        <v>2308</v>
      </c>
      <c r="K1076" s="4" t="s">
        <v>2308</v>
      </c>
      <c r="L1076" s="4" t="s">
        <v>2308</v>
      </c>
      <c r="M1076" s="4" t="s">
        <v>2308</v>
      </c>
      <c r="N1076" s="4" t="s">
        <v>2308</v>
      </c>
      <c r="O1076" s="4" t="s">
        <v>2308</v>
      </c>
      <c r="P1076" s="4" t="s">
        <v>2308</v>
      </c>
      <c r="Q1076" s="4" t="s">
        <v>2308</v>
      </c>
      <c r="R1076" s="4" t="s">
        <v>2308</v>
      </c>
      <c r="S1076" s="4" t="s">
        <v>2308</v>
      </c>
      <c r="T1076" s="4" t="s">
        <v>2308</v>
      </c>
      <c r="U1076" s="4" t="s">
        <v>2308</v>
      </c>
      <c r="V1076" s="4" t="s">
        <v>2308</v>
      </c>
      <c r="W1076" s="4" t="s">
        <v>2308</v>
      </c>
      <c r="X1076" s="4" t="s">
        <v>2308</v>
      </c>
      <c r="Y1076" s="4" t="s">
        <v>2308</v>
      </c>
      <c r="Z1076" s="4" t="s">
        <v>2308</v>
      </c>
      <c r="AA1076" s="4" t="s">
        <v>2308</v>
      </c>
      <c r="AB1076" s="4" t="s">
        <v>2308</v>
      </c>
      <c r="AC1076" s="20" t="s">
        <v>3374</v>
      </c>
      <c r="AD1076" s="4"/>
    </row>
    <row r="1077" spans="1:30" ht="35.5" customHeight="1">
      <c r="A1077" s="24" t="s">
        <v>3349</v>
      </c>
      <c r="B1077" s="24" t="s">
        <v>3375</v>
      </c>
      <c r="C1077" s="4" t="s">
        <v>24</v>
      </c>
      <c r="D1077" s="4" t="s">
        <v>2337</v>
      </c>
      <c r="E1077" s="4" t="s">
        <v>116</v>
      </c>
      <c r="F1077" s="5" t="s">
        <v>167</v>
      </c>
      <c r="G1077" s="4" t="s">
        <v>2308</v>
      </c>
      <c r="H1077" s="4" t="s">
        <v>531</v>
      </c>
      <c r="I1077" s="4"/>
      <c r="J1077" s="4" t="s">
        <v>2308</v>
      </c>
      <c r="K1077" s="4" t="s">
        <v>2308</v>
      </c>
      <c r="L1077" s="4" t="s">
        <v>2308</v>
      </c>
      <c r="M1077" s="4" t="s">
        <v>2308</v>
      </c>
      <c r="N1077" s="4" t="s">
        <v>2308</v>
      </c>
      <c r="O1077" s="4" t="s">
        <v>2308</v>
      </c>
      <c r="P1077" s="4" t="s">
        <v>2308</v>
      </c>
      <c r="Q1077" s="4" t="s">
        <v>2308</v>
      </c>
      <c r="R1077" s="4" t="s">
        <v>2308</v>
      </c>
      <c r="S1077" s="4" t="s">
        <v>2308</v>
      </c>
      <c r="T1077" s="4" t="s">
        <v>2308</v>
      </c>
      <c r="U1077" s="4" t="s">
        <v>2308</v>
      </c>
      <c r="V1077" s="4" t="s">
        <v>2308</v>
      </c>
      <c r="W1077" s="4" t="s">
        <v>2308</v>
      </c>
      <c r="X1077" s="4" t="s">
        <v>2308</v>
      </c>
      <c r="Y1077" s="4" t="s">
        <v>2308</v>
      </c>
      <c r="Z1077" s="4" t="s">
        <v>2308</v>
      </c>
      <c r="AA1077" s="4" t="s">
        <v>2308</v>
      </c>
      <c r="AB1077" s="4" t="s">
        <v>2308</v>
      </c>
      <c r="AC1077" s="20" t="s">
        <v>3377</v>
      </c>
      <c r="AD1077" s="4"/>
    </row>
    <row r="1078" spans="1:30" ht="35.5" customHeight="1">
      <c r="A1078" s="24" t="s">
        <v>3349</v>
      </c>
      <c r="B1078" s="24" t="s">
        <v>3376</v>
      </c>
      <c r="C1078" s="4" t="s">
        <v>24</v>
      </c>
      <c r="D1078" s="4" t="s">
        <v>2263</v>
      </c>
      <c r="E1078" s="5" t="s">
        <v>404</v>
      </c>
      <c r="F1078" s="5" t="s">
        <v>55</v>
      </c>
      <c r="G1078" s="4" t="s">
        <v>2308</v>
      </c>
      <c r="H1078" s="4" t="s">
        <v>531</v>
      </c>
      <c r="I1078" s="4"/>
      <c r="J1078" s="4" t="s">
        <v>2308</v>
      </c>
      <c r="K1078" s="4" t="s">
        <v>2308</v>
      </c>
      <c r="L1078" s="4" t="s">
        <v>2308</v>
      </c>
      <c r="M1078" s="4" t="s">
        <v>2308</v>
      </c>
      <c r="N1078" s="4" t="s">
        <v>2308</v>
      </c>
      <c r="O1078" s="4" t="s">
        <v>2308</v>
      </c>
      <c r="P1078" s="4" t="s">
        <v>2308</v>
      </c>
      <c r="Q1078" s="4" t="s">
        <v>2308</v>
      </c>
      <c r="R1078" s="4" t="s">
        <v>2308</v>
      </c>
      <c r="S1078" s="4" t="s">
        <v>2308</v>
      </c>
      <c r="T1078" s="4" t="s">
        <v>2308</v>
      </c>
      <c r="U1078" s="4" t="s">
        <v>2308</v>
      </c>
      <c r="V1078" s="4" t="s">
        <v>2308</v>
      </c>
      <c r="W1078" s="4" t="s">
        <v>2308</v>
      </c>
      <c r="X1078" s="4" t="s">
        <v>2308</v>
      </c>
      <c r="Y1078" s="4" t="s">
        <v>2308</v>
      </c>
      <c r="Z1078" s="4" t="s">
        <v>2308</v>
      </c>
      <c r="AA1078" s="4" t="s">
        <v>2308</v>
      </c>
      <c r="AB1078" s="4" t="s">
        <v>2308</v>
      </c>
      <c r="AC1078" s="20" t="s">
        <v>3380</v>
      </c>
      <c r="AD1078" s="4"/>
    </row>
    <row r="1079" spans="1:30" ht="38" customHeight="1">
      <c r="A1079" s="24" t="s">
        <v>3349</v>
      </c>
      <c r="B1079" s="24" t="s">
        <v>3378</v>
      </c>
      <c r="C1079" s="4" t="s">
        <v>24</v>
      </c>
      <c r="D1079" s="4" t="s">
        <v>2263</v>
      </c>
      <c r="E1079" s="5" t="s">
        <v>404</v>
      </c>
      <c r="F1079" s="5" t="s">
        <v>167</v>
      </c>
      <c r="G1079" s="4" t="s">
        <v>2308</v>
      </c>
      <c r="H1079" s="4" t="s">
        <v>531</v>
      </c>
      <c r="I1079" s="4"/>
      <c r="J1079" s="4" t="s">
        <v>2308</v>
      </c>
      <c r="K1079" s="4" t="s">
        <v>2308</v>
      </c>
      <c r="L1079" s="4" t="s">
        <v>2308</v>
      </c>
      <c r="M1079" s="4" t="s">
        <v>2308</v>
      </c>
      <c r="N1079" s="4" t="s">
        <v>2308</v>
      </c>
      <c r="O1079" s="4" t="s">
        <v>2308</v>
      </c>
      <c r="P1079" s="4" t="s">
        <v>2308</v>
      </c>
      <c r="Q1079" s="4" t="s">
        <v>2308</v>
      </c>
      <c r="R1079" s="4" t="s">
        <v>2308</v>
      </c>
      <c r="S1079" s="4" t="s">
        <v>2308</v>
      </c>
      <c r="T1079" s="4" t="s">
        <v>2308</v>
      </c>
      <c r="U1079" s="4" t="s">
        <v>2308</v>
      </c>
      <c r="V1079" s="4" t="s">
        <v>2308</v>
      </c>
      <c r="W1079" s="4" t="s">
        <v>2308</v>
      </c>
      <c r="X1079" s="4" t="s">
        <v>2308</v>
      </c>
      <c r="Y1079" s="4" t="s">
        <v>2308</v>
      </c>
      <c r="Z1079" s="4" t="s">
        <v>2308</v>
      </c>
      <c r="AA1079" s="4" t="s">
        <v>2308</v>
      </c>
      <c r="AB1079" s="4" t="s">
        <v>2308</v>
      </c>
      <c r="AC1079" s="20" t="s">
        <v>3379</v>
      </c>
      <c r="AD1079" s="4"/>
    </row>
    <row r="1080" spans="1:30" ht="36.5" customHeight="1">
      <c r="A1080" s="24" t="s">
        <v>3349</v>
      </c>
      <c r="B1080" s="24" t="s">
        <v>3381</v>
      </c>
      <c r="C1080" s="4" t="s">
        <v>24</v>
      </c>
      <c r="D1080" s="4" t="s">
        <v>2263</v>
      </c>
      <c r="E1080" s="4" t="s">
        <v>45</v>
      </c>
      <c r="F1080" s="5" t="s">
        <v>2308</v>
      </c>
      <c r="G1080" s="4" t="s">
        <v>2308</v>
      </c>
      <c r="H1080" s="4" t="s">
        <v>532</v>
      </c>
      <c r="I1080" s="4"/>
      <c r="J1080" s="22">
        <v>0</v>
      </c>
      <c r="K1080" s="22">
        <v>0</v>
      </c>
      <c r="L1080" s="22">
        <v>0</v>
      </c>
      <c r="M1080" s="22">
        <v>0</v>
      </c>
      <c r="N1080" s="22">
        <v>0</v>
      </c>
      <c r="O1080" s="22">
        <v>0</v>
      </c>
      <c r="P1080" s="22">
        <v>0</v>
      </c>
      <c r="Q1080" s="22">
        <v>0</v>
      </c>
      <c r="R1080" s="22">
        <v>0</v>
      </c>
      <c r="S1080" s="22">
        <v>0</v>
      </c>
      <c r="T1080" s="22">
        <v>0</v>
      </c>
      <c r="U1080" s="22">
        <v>0</v>
      </c>
      <c r="V1080" s="22">
        <v>0</v>
      </c>
      <c r="W1080" s="22">
        <v>0</v>
      </c>
      <c r="X1080" s="22">
        <v>0</v>
      </c>
      <c r="Y1080" s="4" t="s">
        <v>2308</v>
      </c>
      <c r="Z1080" s="4" t="s">
        <v>2308</v>
      </c>
      <c r="AA1080" s="4" t="s">
        <v>2308</v>
      </c>
      <c r="AB1080" s="4" t="s">
        <v>2308</v>
      </c>
      <c r="AC1080" s="4"/>
      <c r="AD1080" s="4"/>
    </row>
    <row r="1081" spans="1:30" ht="33.5" customHeight="1">
      <c r="A1081" s="24" t="s">
        <v>3349</v>
      </c>
      <c r="B1081" s="24" t="s">
        <v>3382</v>
      </c>
      <c r="C1081" s="4" t="s">
        <v>31</v>
      </c>
      <c r="D1081" s="4" t="s">
        <v>1125</v>
      </c>
      <c r="E1081" s="4" t="s">
        <v>1125</v>
      </c>
      <c r="F1081" s="5" t="s">
        <v>2308</v>
      </c>
      <c r="G1081" s="4" t="s">
        <v>2308</v>
      </c>
      <c r="H1081" s="4" t="s">
        <v>531</v>
      </c>
      <c r="I1081" s="4"/>
      <c r="J1081" s="4" t="s">
        <v>2308</v>
      </c>
      <c r="K1081" s="4" t="s">
        <v>2308</v>
      </c>
      <c r="L1081" s="4" t="s">
        <v>2308</v>
      </c>
      <c r="M1081" s="4" t="s">
        <v>2308</v>
      </c>
      <c r="N1081" s="4" t="s">
        <v>2308</v>
      </c>
      <c r="O1081" s="4" t="s">
        <v>2308</v>
      </c>
      <c r="P1081" s="4" t="s">
        <v>2308</v>
      </c>
      <c r="Q1081" s="4" t="s">
        <v>2308</v>
      </c>
      <c r="R1081" s="4" t="s">
        <v>2308</v>
      </c>
      <c r="S1081" s="4" t="s">
        <v>2308</v>
      </c>
      <c r="T1081" s="4" t="s">
        <v>2308</v>
      </c>
      <c r="U1081" s="4" t="s">
        <v>2308</v>
      </c>
      <c r="V1081" s="4" t="s">
        <v>2308</v>
      </c>
      <c r="W1081" s="4" t="s">
        <v>2308</v>
      </c>
      <c r="X1081" s="4" t="s">
        <v>2308</v>
      </c>
      <c r="Y1081" s="4" t="s">
        <v>2308</v>
      </c>
      <c r="Z1081" s="4" t="s">
        <v>2308</v>
      </c>
      <c r="AA1081" s="4" t="s">
        <v>2308</v>
      </c>
      <c r="AB1081" s="4" t="s">
        <v>2308</v>
      </c>
      <c r="AC1081" s="4"/>
      <c r="AD1081" s="4"/>
    </row>
    <row r="1082" spans="1:30" ht="40.5" customHeight="1">
      <c r="A1082" s="24" t="s">
        <v>3349</v>
      </c>
      <c r="B1082" s="24" t="s">
        <v>3383</v>
      </c>
      <c r="C1082" s="4" t="s">
        <v>24</v>
      </c>
      <c r="D1082" s="4" t="s">
        <v>1267</v>
      </c>
      <c r="E1082" s="4" t="s">
        <v>116</v>
      </c>
      <c r="F1082" s="5" t="s">
        <v>55</v>
      </c>
      <c r="G1082" s="4" t="s">
        <v>2308</v>
      </c>
      <c r="H1082" s="4" t="s">
        <v>531</v>
      </c>
      <c r="I1082" s="4"/>
      <c r="J1082" s="4" t="s">
        <v>2308</v>
      </c>
      <c r="K1082" s="4" t="s">
        <v>2308</v>
      </c>
      <c r="L1082" s="4" t="s">
        <v>2308</v>
      </c>
      <c r="M1082" s="4" t="s">
        <v>2308</v>
      </c>
      <c r="N1082" s="4" t="s">
        <v>2308</v>
      </c>
      <c r="O1082" s="4" t="s">
        <v>2308</v>
      </c>
      <c r="P1082" s="4" t="s">
        <v>2308</v>
      </c>
      <c r="Q1082" s="4" t="s">
        <v>2308</v>
      </c>
      <c r="R1082" s="4" t="s">
        <v>2308</v>
      </c>
      <c r="S1082" s="4" t="s">
        <v>2308</v>
      </c>
      <c r="T1082" s="4" t="s">
        <v>2308</v>
      </c>
      <c r="U1082" s="4" t="s">
        <v>2308</v>
      </c>
      <c r="V1082" s="4" t="s">
        <v>2308</v>
      </c>
      <c r="W1082" s="4" t="s">
        <v>2308</v>
      </c>
      <c r="X1082" s="4" t="s">
        <v>2308</v>
      </c>
      <c r="Y1082" s="4" t="s">
        <v>2308</v>
      </c>
      <c r="Z1082" s="4" t="s">
        <v>2308</v>
      </c>
      <c r="AA1082" s="4" t="s">
        <v>2308</v>
      </c>
      <c r="AB1082" s="4" t="s">
        <v>2308</v>
      </c>
      <c r="AC1082" s="4" t="s">
        <v>3384</v>
      </c>
      <c r="AD1082" s="4"/>
    </row>
    <row r="1083" spans="1:30" ht="35" customHeight="1">
      <c r="A1083" s="4" t="s">
        <v>3386</v>
      </c>
      <c r="B1083" s="24" t="s">
        <v>3389</v>
      </c>
      <c r="C1083" s="4" t="s">
        <v>24</v>
      </c>
      <c r="D1083" s="4" t="s">
        <v>2337</v>
      </c>
      <c r="E1083" s="4" t="s">
        <v>116</v>
      </c>
      <c r="F1083" s="5" t="s">
        <v>55</v>
      </c>
      <c r="G1083" s="4" t="s">
        <v>2308</v>
      </c>
      <c r="H1083" s="4" t="s">
        <v>531</v>
      </c>
      <c r="I1083" s="4">
        <v>2001</v>
      </c>
      <c r="J1083" s="4" t="s">
        <v>2308</v>
      </c>
      <c r="K1083" s="4" t="s">
        <v>2308</v>
      </c>
      <c r="L1083" s="4" t="s">
        <v>2308</v>
      </c>
      <c r="M1083" s="4" t="s">
        <v>2308</v>
      </c>
      <c r="N1083" s="4" t="s">
        <v>2308</v>
      </c>
      <c r="O1083" s="4" t="s">
        <v>2308</v>
      </c>
      <c r="P1083" s="4" t="s">
        <v>2308</v>
      </c>
      <c r="Q1083" s="4" t="s">
        <v>2308</v>
      </c>
      <c r="R1083" s="4" t="s">
        <v>2308</v>
      </c>
      <c r="S1083" s="4" t="s">
        <v>2308</v>
      </c>
      <c r="T1083" s="4" t="s">
        <v>2308</v>
      </c>
      <c r="U1083" s="4" t="s">
        <v>2308</v>
      </c>
      <c r="V1083" s="4" t="s">
        <v>2308</v>
      </c>
      <c r="W1083" s="4" t="s">
        <v>2308</v>
      </c>
      <c r="X1083" s="4" t="s">
        <v>2308</v>
      </c>
      <c r="Y1083" s="4" t="s">
        <v>2308</v>
      </c>
      <c r="Z1083" s="4" t="s">
        <v>432</v>
      </c>
      <c r="AA1083" s="4" t="s">
        <v>133</v>
      </c>
      <c r="AB1083" s="4" t="s">
        <v>64</v>
      </c>
      <c r="AC1083" s="4"/>
      <c r="AD1083" s="5" t="s">
        <v>3393</v>
      </c>
    </row>
    <row r="1084" spans="1:30" ht="36" customHeight="1">
      <c r="A1084" s="4" t="s">
        <v>3386</v>
      </c>
      <c r="B1084" s="24" t="s">
        <v>3390</v>
      </c>
      <c r="C1084" s="4" t="s">
        <v>24</v>
      </c>
      <c r="D1084" s="4" t="s">
        <v>2263</v>
      </c>
      <c r="E1084" s="5" t="s">
        <v>404</v>
      </c>
      <c r="F1084" s="5" t="s">
        <v>55</v>
      </c>
      <c r="G1084" s="4" t="s">
        <v>2308</v>
      </c>
      <c r="H1084" s="4" t="s">
        <v>531</v>
      </c>
      <c r="I1084" s="4">
        <v>2001</v>
      </c>
      <c r="J1084" s="4" t="s">
        <v>2308</v>
      </c>
      <c r="K1084" s="4" t="s">
        <v>2308</v>
      </c>
      <c r="L1084" s="4" t="s">
        <v>2308</v>
      </c>
      <c r="M1084" s="4" t="s">
        <v>2308</v>
      </c>
      <c r="N1084" s="4" t="s">
        <v>2308</v>
      </c>
      <c r="O1084" s="4" t="s">
        <v>2308</v>
      </c>
      <c r="P1084" s="4" t="s">
        <v>2308</v>
      </c>
      <c r="Q1084" s="4" t="s">
        <v>2308</v>
      </c>
      <c r="R1084" s="4" t="s">
        <v>2308</v>
      </c>
      <c r="S1084" s="4" t="s">
        <v>2308</v>
      </c>
      <c r="T1084" s="4" t="s">
        <v>2308</v>
      </c>
      <c r="U1084" s="4" t="s">
        <v>2308</v>
      </c>
      <c r="V1084" s="4" t="s">
        <v>2308</v>
      </c>
      <c r="W1084" s="4" t="s">
        <v>2308</v>
      </c>
      <c r="X1084" s="4" t="s">
        <v>2308</v>
      </c>
      <c r="Y1084" s="4" t="s">
        <v>2308</v>
      </c>
      <c r="Z1084" s="4" t="s">
        <v>432</v>
      </c>
      <c r="AA1084" s="4" t="s">
        <v>133</v>
      </c>
      <c r="AB1084" s="4" t="s">
        <v>64</v>
      </c>
      <c r="AC1084" s="4"/>
      <c r="AD1084" s="5" t="s">
        <v>3393</v>
      </c>
    </row>
    <row r="1085" spans="1:30" ht="32.5" customHeight="1">
      <c r="A1085" s="4" t="s">
        <v>3386</v>
      </c>
      <c r="B1085" s="24" t="s">
        <v>3391</v>
      </c>
      <c r="C1085" s="4" t="s">
        <v>31</v>
      </c>
      <c r="D1085" s="4" t="s">
        <v>1125</v>
      </c>
      <c r="E1085" s="4" t="s">
        <v>1125</v>
      </c>
      <c r="F1085" s="5" t="s">
        <v>2308</v>
      </c>
      <c r="G1085" s="4" t="s">
        <v>2308</v>
      </c>
      <c r="H1085" s="4" t="s">
        <v>531</v>
      </c>
      <c r="I1085" s="4">
        <v>2001</v>
      </c>
      <c r="J1085" s="4" t="s">
        <v>2308</v>
      </c>
      <c r="K1085" s="4" t="s">
        <v>2308</v>
      </c>
      <c r="L1085" s="4" t="s">
        <v>2308</v>
      </c>
      <c r="M1085" s="4" t="s">
        <v>2308</v>
      </c>
      <c r="N1085" s="4" t="s">
        <v>2308</v>
      </c>
      <c r="O1085" s="4" t="s">
        <v>2308</v>
      </c>
      <c r="P1085" s="4" t="s">
        <v>2308</v>
      </c>
      <c r="Q1085" s="4" t="s">
        <v>2308</v>
      </c>
      <c r="R1085" s="4" t="s">
        <v>2308</v>
      </c>
      <c r="S1085" s="4" t="s">
        <v>2308</v>
      </c>
      <c r="T1085" s="4" t="s">
        <v>2308</v>
      </c>
      <c r="U1085" s="4" t="s">
        <v>2308</v>
      </c>
      <c r="V1085" s="4" t="s">
        <v>2308</v>
      </c>
      <c r="W1085" s="4" t="s">
        <v>2308</v>
      </c>
      <c r="X1085" s="4" t="s">
        <v>2308</v>
      </c>
      <c r="Y1085" s="4" t="s">
        <v>2308</v>
      </c>
      <c r="Z1085" s="4" t="s">
        <v>432</v>
      </c>
      <c r="AA1085" s="4" t="s">
        <v>133</v>
      </c>
      <c r="AB1085" s="4" t="s">
        <v>64</v>
      </c>
      <c r="AC1085" s="4"/>
      <c r="AD1085" s="5" t="s">
        <v>3393</v>
      </c>
    </row>
    <row r="1086" spans="1:30" ht="29" customHeight="1">
      <c r="A1086" s="4" t="s">
        <v>3386</v>
      </c>
      <c r="B1086" s="24" t="s">
        <v>3392</v>
      </c>
      <c r="C1086" s="4" t="s">
        <v>24</v>
      </c>
      <c r="D1086" s="4" t="s">
        <v>1267</v>
      </c>
      <c r="E1086" s="4" t="s">
        <v>116</v>
      </c>
      <c r="F1086" s="5" t="s">
        <v>55</v>
      </c>
      <c r="G1086" s="4" t="s">
        <v>2308</v>
      </c>
      <c r="H1086" s="4" t="s">
        <v>531</v>
      </c>
      <c r="I1086" s="4">
        <v>2001</v>
      </c>
      <c r="J1086" s="4" t="s">
        <v>2308</v>
      </c>
      <c r="K1086" s="4" t="s">
        <v>2308</v>
      </c>
      <c r="L1086" s="4" t="s">
        <v>2308</v>
      </c>
      <c r="M1086" s="4" t="s">
        <v>2308</v>
      </c>
      <c r="N1086" s="4" t="s">
        <v>2308</v>
      </c>
      <c r="O1086" s="4" t="s">
        <v>2308</v>
      </c>
      <c r="P1086" s="4" t="s">
        <v>2308</v>
      </c>
      <c r="Q1086" s="4" t="s">
        <v>2308</v>
      </c>
      <c r="R1086" s="4" t="s">
        <v>2308</v>
      </c>
      <c r="S1086" s="4" t="s">
        <v>2308</v>
      </c>
      <c r="T1086" s="4" t="s">
        <v>2308</v>
      </c>
      <c r="U1086" s="4" t="s">
        <v>2308</v>
      </c>
      <c r="V1086" s="4" t="s">
        <v>2308</v>
      </c>
      <c r="W1086" s="4" t="s">
        <v>2308</v>
      </c>
      <c r="X1086" s="4" t="s">
        <v>2308</v>
      </c>
      <c r="Y1086" s="4" t="s">
        <v>2308</v>
      </c>
      <c r="Z1086" s="4" t="s">
        <v>432</v>
      </c>
      <c r="AA1086" s="4" t="s">
        <v>133</v>
      </c>
      <c r="AB1086" s="4" t="s">
        <v>64</v>
      </c>
      <c r="AC1086" s="4"/>
      <c r="AD1086" s="5" t="s">
        <v>3393</v>
      </c>
    </row>
    <row r="1087" spans="1:30" ht="29">
      <c r="A1087" s="4" t="s">
        <v>3394</v>
      </c>
      <c r="B1087" s="24" t="s">
        <v>3397</v>
      </c>
      <c r="C1087" s="4" t="s">
        <v>24</v>
      </c>
      <c r="D1087" s="4" t="s">
        <v>2337</v>
      </c>
      <c r="E1087" s="4" t="s">
        <v>116</v>
      </c>
      <c r="F1087" s="5" t="s">
        <v>55</v>
      </c>
      <c r="G1087" s="4" t="s">
        <v>2308</v>
      </c>
      <c r="H1087" s="4" t="s">
        <v>531</v>
      </c>
      <c r="I1087" s="4">
        <v>2002</v>
      </c>
      <c r="J1087" s="4" t="s">
        <v>2308</v>
      </c>
      <c r="K1087" s="4" t="s">
        <v>2308</v>
      </c>
      <c r="L1087" s="4" t="s">
        <v>2308</v>
      </c>
      <c r="M1087" s="4" t="s">
        <v>2308</v>
      </c>
      <c r="N1087" s="4" t="s">
        <v>2308</v>
      </c>
      <c r="O1087" s="4" t="s">
        <v>2308</v>
      </c>
      <c r="P1087" s="4" t="s">
        <v>2308</v>
      </c>
      <c r="Q1087" s="4" t="s">
        <v>2308</v>
      </c>
      <c r="R1087" s="4" t="s">
        <v>2308</v>
      </c>
      <c r="S1087" s="4" t="s">
        <v>2308</v>
      </c>
      <c r="T1087" s="4" t="s">
        <v>2308</v>
      </c>
      <c r="U1087" s="4" t="s">
        <v>2308</v>
      </c>
      <c r="V1087" s="4" t="s">
        <v>2308</v>
      </c>
      <c r="W1087" s="4" t="s">
        <v>2308</v>
      </c>
      <c r="X1087" s="4" t="s">
        <v>2308</v>
      </c>
      <c r="Y1087" s="4" t="s">
        <v>2308</v>
      </c>
      <c r="Z1087" s="4" t="s">
        <v>432</v>
      </c>
      <c r="AA1087" s="4" t="s">
        <v>133</v>
      </c>
      <c r="AB1087" s="4" t="s">
        <v>64</v>
      </c>
      <c r="AC1087" s="4"/>
      <c r="AD1087" s="5" t="s">
        <v>3393</v>
      </c>
    </row>
    <row r="1088" spans="1:30" ht="29">
      <c r="A1088" s="4" t="s">
        <v>3394</v>
      </c>
      <c r="B1088" s="24" t="s">
        <v>3398</v>
      </c>
      <c r="C1088" s="4" t="s">
        <v>24</v>
      </c>
      <c r="D1088" s="4" t="s">
        <v>2263</v>
      </c>
      <c r="E1088" s="5" t="s">
        <v>404</v>
      </c>
      <c r="F1088" s="5" t="s">
        <v>55</v>
      </c>
      <c r="G1088" s="4" t="s">
        <v>2308</v>
      </c>
      <c r="H1088" s="4" t="s">
        <v>531</v>
      </c>
      <c r="I1088" s="4">
        <v>2002</v>
      </c>
      <c r="J1088" s="4" t="s">
        <v>2308</v>
      </c>
      <c r="K1088" s="4" t="s">
        <v>2308</v>
      </c>
      <c r="L1088" s="4" t="s">
        <v>2308</v>
      </c>
      <c r="M1088" s="4" t="s">
        <v>2308</v>
      </c>
      <c r="N1088" s="4" t="s">
        <v>2308</v>
      </c>
      <c r="O1088" s="4" t="s">
        <v>2308</v>
      </c>
      <c r="P1088" s="4" t="s">
        <v>2308</v>
      </c>
      <c r="Q1088" s="4" t="s">
        <v>2308</v>
      </c>
      <c r="R1088" s="4" t="s">
        <v>2308</v>
      </c>
      <c r="S1088" s="4" t="s">
        <v>2308</v>
      </c>
      <c r="T1088" s="4" t="s">
        <v>2308</v>
      </c>
      <c r="U1088" s="4" t="s">
        <v>2308</v>
      </c>
      <c r="V1088" s="4" t="s">
        <v>2308</v>
      </c>
      <c r="W1088" s="4" t="s">
        <v>2308</v>
      </c>
      <c r="X1088" s="4" t="s">
        <v>2308</v>
      </c>
      <c r="Y1088" s="4" t="s">
        <v>2308</v>
      </c>
      <c r="Z1088" s="4" t="s">
        <v>432</v>
      </c>
      <c r="AA1088" s="4" t="s">
        <v>133</v>
      </c>
      <c r="AB1088" s="4" t="s">
        <v>64</v>
      </c>
      <c r="AC1088" s="4"/>
      <c r="AD1088" s="5" t="s">
        <v>3393</v>
      </c>
    </row>
    <row r="1089" spans="1:30" ht="29">
      <c r="A1089" s="4" t="s">
        <v>3394</v>
      </c>
      <c r="B1089" s="24" t="s">
        <v>3399</v>
      </c>
      <c r="C1089" s="4" t="s">
        <v>31</v>
      </c>
      <c r="D1089" s="4" t="s">
        <v>1125</v>
      </c>
      <c r="E1089" s="4" t="s">
        <v>1125</v>
      </c>
      <c r="F1089" s="5" t="s">
        <v>2308</v>
      </c>
      <c r="G1089" s="4" t="s">
        <v>2308</v>
      </c>
      <c r="H1089" s="4" t="s">
        <v>531</v>
      </c>
      <c r="I1089" s="4">
        <v>2002</v>
      </c>
      <c r="J1089" s="4" t="s">
        <v>2308</v>
      </c>
      <c r="K1089" s="4" t="s">
        <v>2308</v>
      </c>
      <c r="L1089" s="4" t="s">
        <v>2308</v>
      </c>
      <c r="M1089" s="4" t="s">
        <v>2308</v>
      </c>
      <c r="N1089" s="4" t="s">
        <v>2308</v>
      </c>
      <c r="O1089" s="4" t="s">
        <v>2308</v>
      </c>
      <c r="P1089" s="4" t="s">
        <v>2308</v>
      </c>
      <c r="Q1089" s="4" t="s">
        <v>2308</v>
      </c>
      <c r="R1089" s="4" t="s">
        <v>2308</v>
      </c>
      <c r="S1089" s="4" t="s">
        <v>2308</v>
      </c>
      <c r="T1089" s="4" t="s">
        <v>2308</v>
      </c>
      <c r="U1089" s="4" t="s">
        <v>2308</v>
      </c>
      <c r="V1089" s="4" t="s">
        <v>2308</v>
      </c>
      <c r="W1089" s="4" t="s">
        <v>2308</v>
      </c>
      <c r="X1089" s="4" t="s">
        <v>2308</v>
      </c>
      <c r="Y1089" s="4" t="s">
        <v>2308</v>
      </c>
      <c r="Z1089" s="4" t="s">
        <v>432</v>
      </c>
      <c r="AA1089" s="4" t="s">
        <v>133</v>
      </c>
      <c r="AB1089" s="4" t="s">
        <v>64</v>
      </c>
      <c r="AC1089" s="4"/>
      <c r="AD1089" s="5" t="s">
        <v>3393</v>
      </c>
    </row>
    <row r="1090" spans="1:30" ht="29">
      <c r="A1090" s="4" t="s">
        <v>3394</v>
      </c>
      <c r="B1090" s="24" t="s">
        <v>3400</v>
      </c>
      <c r="C1090" s="4" t="s">
        <v>24</v>
      </c>
      <c r="D1090" s="4" t="s">
        <v>1267</v>
      </c>
      <c r="E1090" s="4" t="s">
        <v>116</v>
      </c>
      <c r="F1090" s="5" t="s">
        <v>55</v>
      </c>
      <c r="G1090" s="4" t="s">
        <v>2308</v>
      </c>
      <c r="H1090" s="4" t="s">
        <v>531</v>
      </c>
      <c r="I1090" s="4">
        <v>2002</v>
      </c>
      <c r="J1090" s="4" t="s">
        <v>2308</v>
      </c>
      <c r="K1090" s="4" t="s">
        <v>2308</v>
      </c>
      <c r="L1090" s="4" t="s">
        <v>2308</v>
      </c>
      <c r="M1090" s="4" t="s">
        <v>2308</v>
      </c>
      <c r="N1090" s="4" t="s">
        <v>2308</v>
      </c>
      <c r="O1090" s="4" t="s">
        <v>2308</v>
      </c>
      <c r="P1090" s="4" t="s">
        <v>2308</v>
      </c>
      <c r="Q1090" s="4" t="s">
        <v>2308</v>
      </c>
      <c r="R1090" s="4" t="s">
        <v>2308</v>
      </c>
      <c r="S1090" s="4" t="s">
        <v>2308</v>
      </c>
      <c r="T1090" s="4" t="s">
        <v>2308</v>
      </c>
      <c r="U1090" s="4" t="s">
        <v>2308</v>
      </c>
      <c r="V1090" s="4" t="s">
        <v>2308</v>
      </c>
      <c r="W1090" s="4" t="s">
        <v>2308</v>
      </c>
      <c r="X1090" s="4" t="s">
        <v>2308</v>
      </c>
      <c r="Y1090" s="4" t="s">
        <v>2308</v>
      </c>
      <c r="Z1090" s="4" t="s">
        <v>432</v>
      </c>
      <c r="AA1090" s="4" t="s">
        <v>133</v>
      </c>
      <c r="AB1090" s="4" t="s">
        <v>64</v>
      </c>
      <c r="AC1090" s="4"/>
      <c r="AD1090" s="5" t="s">
        <v>3393</v>
      </c>
    </row>
    <row r="1091" spans="1:30" ht="29">
      <c r="A1091" s="4" t="s">
        <v>3395</v>
      </c>
      <c r="B1091" s="24" t="s">
        <v>3401</v>
      </c>
      <c r="C1091" s="4" t="s">
        <v>24</v>
      </c>
      <c r="D1091" s="4" t="s">
        <v>2337</v>
      </c>
      <c r="E1091" s="4" t="s">
        <v>116</v>
      </c>
      <c r="F1091" s="5" t="s">
        <v>55</v>
      </c>
      <c r="G1091" s="4" t="s">
        <v>2308</v>
      </c>
      <c r="H1091" s="4" t="s">
        <v>531</v>
      </c>
      <c r="I1091" s="4">
        <v>2003</v>
      </c>
      <c r="J1091" s="4" t="s">
        <v>2308</v>
      </c>
      <c r="K1091" s="4" t="s">
        <v>2308</v>
      </c>
      <c r="L1091" s="4" t="s">
        <v>2308</v>
      </c>
      <c r="M1091" s="4" t="s">
        <v>2308</v>
      </c>
      <c r="N1091" s="4" t="s">
        <v>2308</v>
      </c>
      <c r="O1091" s="4" t="s">
        <v>2308</v>
      </c>
      <c r="P1091" s="4" t="s">
        <v>2308</v>
      </c>
      <c r="Q1091" s="4" t="s">
        <v>2308</v>
      </c>
      <c r="R1091" s="4" t="s">
        <v>2308</v>
      </c>
      <c r="S1091" s="4" t="s">
        <v>2308</v>
      </c>
      <c r="T1091" s="4" t="s">
        <v>2308</v>
      </c>
      <c r="U1091" s="4" t="s">
        <v>2308</v>
      </c>
      <c r="V1091" s="4" t="s">
        <v>2308</v>
      </c>
      <c r="W1091" s="4" t="s">
        <v>2308</v>
      </c>
      <c r="X1091" s="4" t="s">
        <v>2308</v>
      </c>
      <c r="Y1091" s="4" t="s">
        <v>2308</v>
      </c>
      <c r="Z1091" s="4" t="s">
        <v>432</v>
      </c>
      <c r="AA1091" s="4" t="s">
        <v>133</v>
      </c>
      <c r="AB1091" s="4" t="s">
        <v>64</v>
      </c>
      <c r="AC1091" s="4"/>
      <c r="AD1091" s="5" t="s">
        <v>3393</v>
      </c>
    </row>
    <row r="1092" spans="1:30" ht="29">
      <c r="A1092" s="4" t="s">
        <v>3395</v>
      </c>
      <c r="B1092" s="24" t="s">
        <v>3402</v>
      </c>
      <c r="C1092" s="4" t="s">
        <v>24</v>
      </c>
      <c r="D1092" s="4" t="s">
        <v>2263</v>
      </c>
      <c r="E1092" s="5" t="s">
        <v>404</v>
      </c>
      <c r="F1092" s="5" t="s">
        <v>55</v>
      </c>
      <c r="G1092" s="4" t="s">
        <v>2308</v>
      </c>
      <c r="H1092" s="4" t="s">
        <v>531</v>
      </c>
      <c r="I1092" s="4">
        <v>2003</v>
      </c>
      <c r="J1092" s="4" t="s">
        <v>2308</v>
      </c>
      <c r="K1092" s="4" t="s">
        <v>2308</v>
      </c>
      <c r="L1092" s="4" t="s">
        <v>2308</v>
      </c>
      <c r="M1092" s="4" t="s">
        <v>2308</v>
      </c>
      <c r="N1092" s="4" t="s">
        <v>2308</v>
      </c>
      <c r="O1092" s="4" t="s">
        <v>2308</v>
      </c>
      <c r="P1092" s="4" t="s">
        <v>2308</v>
      </c>
      <c r="Q1092" s="4" t="s">
        <v>2308</v>
      </c>
      <c r="R1092" s="4" t="s">
        <v>2308</v>
      </c>
      <c r="S1092" s="4" t="s">
        <v>2308</v>
      </c>
      <c r="T1092" s="4" t="s">
        <v>2308</v>
      </c>
      <c r="U1092" s="4" t="s">
        <v>2308</v>
      </c>
      <c r="V1092" s="4" t="s">
        <v>2308</v>
      </c>
      <c r="W1092" s="4" t="s">
        <v>2308</v>
      </c>
      <c r="X1092" s="4" t="s">
        <v>2308</v>
      </c>
      <c r="Y1092" s="4" t="s">
        <v>2308</v>
      </c>
      <c r="Z1092" s="4" t="s">
        <v>432</v>
      </c>
      <c r="AA1092" s="4" t="s">
        <v>133</v>
      </c>
      <c r="AB1092" s="4" t="s">
        <v>64</v>
      </c>
      <c r="AC1092" s="4"/>
      <c r="AD1092" s="5" t="s">
        <v>3393</v>
      </c>
    </row>
    <row r="1093" spans="1:30" ht="29">
      <c r="A1093" s="4" t="s">
        <v>3395</v>
      </c>
      <c r="B1093" s="24" t="s">
        <v>3403</v>
      </c>
      <c r="C1093" s="4" t="s">
        <v>31</v>
      </c>
      <c r="D1093" s="4" t="s">
        <v>1125</v>
      </c>
      <c r="E1093" s="4" t="s">
        <v>1125</v>
      </c>
      <c r="F1093" s="5" t="s">
        <v>2308</v>
      </c>
      <c r="G1093" s="4" t="s">
        <v>2308</v>
      </c>
      <c r="H1093" s="4" t="s">
        <v>531</v>
      </c>
      <c r="I1093" s="4">
        <v>2003</v>
      </c>
      <c r="J1093" s="4" t="s">
        <v>2308</v>
      </c>
      <c r="K1093" s="4" t="s">
        <v>2308</v>
      </c>
      <c r="L1093" s="4" t="s">
        <v>2308</v>
      </c>
      <c r="M1093" s="4" t="s">
        <v>2308</v>
      </c>
      <c r="N1093" s="4" t="s">
        <v>2308</v>
      </c>
      <c r="O1093" s="4" t="s">
        <v>2308</v>
      </c>
      <c r="P1093" s="4" t="s">
        <v>2308</v>
      </c>
      <c r="Q1093" s="4" t="s">
        <v>2308</v>
      </c>
      <c r="R1093" s="4" t="s">
        <v>2308</v>
      </c>
      <c r="S1093" s="4" t="s">
        <v>2308</v>
      </c>
      <c r="T1093" s="4" t="s">
        <v>2308</v>
      </c>
      <c r="U1093" s="4" t="s">
        <v>2308</v>
      </c>
      <c r="V1093" s="4" t="s">
        <v>2308</v>
      </c>
      <c r="W1093" s="4" t="s">
        <v>2308</v>
      </c>
      <c r="X1093" s="4" t="s">
        <v>2308</v>
      </c>
      <c r="Y1093" s="4" t="s">
        <v>2308</v>
      </c>
      <c r="Z1093" s="4" t="s">
        <v>432</v>
      </c>
      <c r="AA1093" s="4" t="s">
        <v>133</v>
      </c>
      <c r="AB1093" s="4" t="s">
        <v>64</v>
      </c>
      <c r="AC1093" s="4"/>
      <c r="AD1093" s="5" t="s">
        <v>3393</v>
      </c>
    </row>
    <row r="1094" spans="1:30" ht="29">
      <c r="A1094" s="4" t="s">
        <v>3395</v>
      </c>
      <c r="B1094" s="24" t="s">
        <v>3404</v>
      </c>
      <c r="C1094" s="4" t="s">
        <v>24</v>
      </c>
      <c r="D1094" s="4" t="s">
        <v>1267</v>
      </c>
      <c r="E1094" s="4" t="s">
        <v>116</v>
      </c>
      <c r="F1094" s="5" t="s">
        <v>55</v>
      </c>
      <c r="G1094" s="4" t="s">
        <v>2308</v>
      </c>
      <c r="H1094" s="4" t="s">
        <v>531</v>
      </c>
      <c r="I1094" s="4">
        <v>2003</v>
      </c>
      <c r="J1094" s="4" t="s">
        <v>2308</v>
      </c>
      <c r="K1094" s="4" t="s">
        <v>2308</v>
      </c>
      <c r="L1094" s="4" t="s">
        <v>2308</v>
      </c>
      <c r="M1094" s="4" t="s">
        <v>2308</v>
      </c>
      <c r="N1094" s="4" t="s">
        <v>2308</v>
      </c>
      <c r="O1094" s="4" t="s">
        <v>2308</v>
      </c>
      <c r="P1094" s="4" t="s">
        <v>2308</v>
      </c>
      <c r="Q1094" s="4" t="s">
        <v>2308</v>
      </c>
      <c r="R1094" s="4" t="s">
        <v>2308</v>
      </c>
      <c r="S1094" s="4" t="s">
        <v>2308</v>
      </c>
      <c r="T1094" s="4" t="s">
        <v>2308</v>
      </c>
      <c r="U1094" s="4" t="s">
        <v>2308</v>
      </c>
      <c r="V1094" s="4" t="s">
        <v>2308</v>
      </c>
      <c r="W1094" s="4" t="s">
        <v>2308</v>
      </c>
      <c r="X1094" s="4" t="s">
        <v>2308</v>
      </c>
      <c r="Y1094" s="4" t="s">
        <v>2308</v>
      </c>
      <c r="Z1094" s="4" t="s">
        <v>432</v>
      </c>
      <c r="AA1094" s="4" t="s">
        <v>133</v>
      </c>
      <c r="AB1094" s="4" t="s">
        <v>64</v>
      </c>
      <c r="AC1094" s="4"/>
      <c r="AD1094" s="5" t="s">
        <v>3393</v>
      </c>
    </row>
    <row r="1095" spans="1:30" ht="29">
      <c r="A1095" s="4" t="s">
        <v>3396</v>
      </c>
      <c r="B1095" s="24" t="s">
        <v>3405</v>
      </c>
      <c r="C1095" s="4" t="s">
        <v>24</v>
      </c>
      <c r="D1095" s="4" t="s">
        <v>2337</v>
      </c>
      <c r="E1095" s="4" t="s">
        <v>116</v>
      </c>
      <c r="F1095" s="5" t="s">
        <v>55</v>
      </c>
      <c r="G1095" s="4" t="s">
        <v>2308</v>
      </c>
      <c r="H1095" s="4" t="s">
        <v>531</v>
      </c>
      <c r="I1095" s="4">
        <v>2004</v>
      </c>
      <c r="J1095" s="4" t="s">
        <v>2308</v>
      </c>
      <c r="K1095" s="4" t="s">
        <v>2308</v>
      </c>
      <c r="L1095" s="4" t="s">
        <v>2308</v>
      </c>
      <c r="M1095" s="4" t="s">
        <v>2308</v>
      </c>
      <c r="N1095" s="4" t="s">
        <v>2308</v>
      </c>
      <c r="O1095" s="4" t="s">
        <v>2308</v>
      </c>
      <c r="P1095" s="4" t="s">
        <v>2308</v>
      </c>
      <c r="Q1095" s="4" t="s">
        <v>2308</v>
      </c>
      <c r="R1095" s="4" t="s">
        <v>2308</v>
      </c>
      <c r="S1095" s="4" t="s">
        <v>2308</v>
      </c>
      <c r="T1095" s="4" t="s">
        <v>2308</v>
      </c>
      <c r="U1095" s="4" t="s">
        <v>2308</v>
      </c>
      <c r="V1095" s="4" t="s">
        <v>2308</v>
      </c>
      <c r="W1095" s="4" t="s">
        <v>2308</v>
      </c>
      <c r="X1095" s="4" t="s">
        <v>2308</v>
      </c>
      <c r="Y1095" s="4" t="s">
        <v>2308</v>
      </c>
      <c r="Z1095" s="4" t="s">
        <v>432</v>
      </c>
      <c r="AA1095" s="4" t="s">
        <v>133</v>
      </c>
      <c r="AB1095" s="4" t="s">
        <v>64</v>
      </c>
      <c r="AC1095" s="4"/>
      <c r="AD1095" s="5" t="s">
        <v>3393</v>
      </c>
    </row>
    <row r="1096" spans="1:30" ht="29">
      <c r="A1096" s="4" t="s">
        <v>3396</v>
      </c>
      <c r="B1096" s="24" t="s">
        <v>3406</v>
      </c>
      <c r="C1096" s="4" t="s">
        <v>24</v>
      </c>
      <c r="D1096" s="4" t="s">
        <v>2263</v>
      </c>
      <c r="E1096" s="5" t="s">
        <v>404</v>
      </c>
      <c r="F1096" s="5" t="s">
        <v>55</v>
      </c>
      <c r="G1096" s="4" t="s">
        <v>2308</v>
      </c>
      <c r="H1096" s="4" t="s">
        <v>531</v>
      </c>
      <c r="I1096" s="4">
        <v>2004</v>
      </c>
      <c r="J1096" s="4" t="s">
        <v>2308</v>
      </c>
      <c r="K1096" s="4" t="s">
        <v>2308</v>
      </c>
      <c r="L1096" s="4" t="s">
        <v>2308</v>
      </c>
      <c r="M1096" s="4" t="s">
        <v>2308</v>
      </c>
      <c r="N1096" s="4" t="s">
        <v>2308</v>
      </c>
      <c r="O1096" s="4" t="s">
        <v>2308</v>
      </c>
      <c r="P1096" s="4" t="s">
        <v>2308</v>
      </c>
      <c r="Q1096" s="4" t="s">
        <v>2308</v>
      </c>
      <c r="R1096" s="4" t="s">
        <v>2308</v>
      </c>
      <c r="S1096" s="4" t="s">
        <v>2308</v>
      </c>
      <c r="T1096" s="4" t="s">
        <v>2308</v>
      </c>
      <c r="U1096" s="4" t="s">
        <v>2308</v>
      </c>
      <c r="V1096" s="4" t="s">
        <v>2308</v>
      </c>
      <c r="W1096" s="4" t="s">
        <v>2308</v>
      </c>
      <c r="X1096" s="4" t="s">
        <v>2308</v>
      </c>
      <c r="Y1096" s="4" t="s">
        <v>2308</v>
      </c>
      <c r="Z1096" s="4" t="s">
        <v>432</v>
      </c>
      <c r="AA1096" s="4" t="s">
        <v>133</v>
      </c>
      <c r="AB1096" s="4" t="s">
        <v>64</v>
      </c>
      <c r="AC1096" s="4"/>
      <c r="AD1096" s="5" t="s">
        <v>3393</v>
      </c>
    </row>
    <row r="1097" spans="1:30" ht="29">
      <c r="A1097" s="4" t="s">
        <v>3396</v>
      </c>
      <c r="B1097" s="24" t="s">
        <v>3407</v>
      </c>
      <c r="C1097" s="4" t="s">
        <v>31</v>
      </c>
      <c r="D1097" s="4" t="s">
        <v>1125</v>
      </c>
      <c r="E1097" s="4" t="s">
        <v>1125</v>
      </c>
      <c r="F1097" s="5" t="s">
        <v>2308</v>
      </c>
      <c r="G1097" s="4" t="s">
        <v>2308</v>
      </c>
      <c r="H1097" s="4" t="s">
        <v>531</v>
      </c>
      <c r="I1097" s="4">
        <v>2004</v>
      </c>
      <c r="J1097" s="4" t="s">
        <v>2308</v>
      </c>
      <c r="K1097" s="4" t="s">
        <v>2308</v>
      </c>
      <c r="L1097" s="4" t="s">
        <v>2308</v>
      </c>
      <c r="M1097" s="4" t="s">
        <v>2308</v>
      </c>
      <c r="N1097" s="4" t="s">
        <v>2308</v>
      </c>
      <c r="O1097" s="4" t="s">
        <v>2308</v>
      </c>
      <c r="P1097" s="4" t="s">
        <v>2308</v>
      </c>
      <c r="Q1097" s="4" t="s">
        <v>2308</v>
      </c>
      <c r="R1097" s="4" t="s">
        <v>2308</v>
      </c>
      <c r="S1097" s="4" t="s">
        <v>2308</v>
      </c>
      <c r="T1097" s="4" t="s">
        <v>2308</v>
      </c>
      <c r="U1097" s="4" t="s">
        <v>2308</v>
      </c>
      <c r="V1097" s="4" t="s">
        <v>2308</v>
      </c>
      <c r="W1097" s="4" t="s">
        <v>2308</v>
      </c>
      <c r="X1097" s="4" t="s">
        <v>2308</v>
      </c>
      <c r="Y1097" s="4" t="s">
        <v>2308</v>
      </c>
      <c r="Z1097" s="4" t="s">
        <v>432</v>
      </c>
      <c r="AA1097" s="4" t="s">
        <v>133</v>
      </c>
      <c r="AB1097" s="4" t="s">
        <v>64</v>
      </c>
      <c r="AC1097" s="4"/>
      <c r="AD1097" s="5" t="s">
        <v>3393</v>
      </c>
    </row>
    <row r="1098" spans="1:30" ht="29">
      <c r="A1098" s="4" t="s">
        <v>3396</v>
      </c>
      <c r="B1098" s="24" t="s">
        <v>3408</v>
      </c>
      <c r="C1098" s="4" t="s">
        <v>24</v>
      </c>
      <c r="D1098" s="4" t="s">
        <v>1267</v>
      </c>
      <c r="E1098" s="4" t="s">
        <v>116</v>
      </c>
      <c r="F1098" s="5" t="s">
        <v>55</v>
      </c>
      <c r="G1098" s="4" t="s">
        <v>2308</v>
      </c>
      <c r="H1098" s="4" t="s">
        <v>531</v>
      </c>
      <c r="I1098" s="4">
        <v>2004</v>
      </c>
      <c r="J1098" s="4" t="s">
        <v>2308</v>
      </c>
      <c r="K1098" s="4" t="s">
        <v>2308</v>
      </c>
      <c r="L1098" s="4" t="s">
        <v>2308</v>
      </c>
      <c r="M1098" s="4" t="s">
        <v>2308</v>
      </c>
      <c r="N1098" s="4" t="s">
        <v>2308</v>
      </c>
      <c r="O1098" s="4" t="s">
        <v>2308</v>
      </c>
      <c r="P1098" s="4" t="s">
        <v>2308</v>
      </c>
      <c r="Q1098" s="4" t="s">
        <v>2308</v>
      </c>
      <c r="R1098" s="4" t="s">
        <v>2308</v>
      </c>
      <c r="S1098" s="4" t="s">
        <v>2308</v>
      </c>
      <c r="T1098" s="4" t="s">
        <v>2308</v>
      </c>
      <c r="U1098" s="4" t="s">
        <v>2308</v>
      </c>
      <c r="V1098" s="4" t="s">
        <v>2308</v>
      </c>
      <c r="W1098" s="4" t="s">
        <v>2308</v>
      </c>
      <c r="X1098" s="4" t="s">
        <v>2308</v>
      </c>
      <c r="Y1098" s="4" t="s">
        <v>2308</v>
      </c>
      <c r="Z1098" s="4" t="s">
        <v>432</v>
      </c>
      <c r="AA1098" s="4" t="s">
        <v>133</v>
      </c>
      <c r="AB1098" s="4" t="s">
        <v>64</v>
      </c>
      <c r="AC1098" s="4"/>
      <c r="AD1098" s="5" t="s">
        <v>3393</v>
      </c>
    </row>
    <row r="1099" spans="1:30" ht="82.5" customHeight="1">
      <c r="A1099" s="12" t="s">
        <v>3413</v>
      </c>
      <c r="B1099" s="24" t="s">
        <v>3415</v>
      </c>
      <c r="C1099" s="4" t="s">
        <v>24</v>
      </c>
      <c r="D1099" s="4" t="s">
        <v>150</v>
      </c>
      <c r="E1099" s="4" t="s">
        <v>143</v>
      </c>
      <c r="F1099" s="5" t="s">
        <v>2695</v>
      </c>
      <c r="G1099" s="4" t="s">
        <v>2308</v>
      </c>
      <c r="H1099" s="4" t="s">
        <v>531</v>
      </c>
      <c r="I1099" s="4"/>
      <c r="J1099" s="4" t="s">
        <v>2308</v>
      </c>
      <c r="K1099" s="4" t="s">
        <v>2308</v>
      </c>
      <c r="L1099" s="4" t="s">
        <v>2308</v>
      </c>
      <c r="M1099" s="4" t="s">
        <v>2308</v>
      </c>
      <c r="N1099" s="4" t="s">
        <v>2308</v>
      </c>
      <c r="O1099" s="4" t="s">
        <v>2308</v>
      </c>
      <c r="P1099" s="4" t="s">
        <v>2308</v>
      </c>
      <c r="Q1099" s="4" t="s">
        <v>2308</v>
      </c>
      <c r="R1099" s="4" t="s">
        <v>2308</v>
      </c>
      <c r="S1099" s="4" t="s">
        <v>2308</v>
      </c>
      <c r="T1099" s="4" t="s">
        <v>2308</v>
      </c>
      <c r="U1099" s="4" t="s">
        <v>2308</v>
      </c>
      <c r="V1099" s="4" t="s">
        <v>2308</v>
      </c>
      <c r="W1099" s="4" t="s">
        <v>2308</v>
      </c>
      <c r="X1099" s="22">
        <v>85</v>
      </c>
      <c r="Y1099" s="4" t="s">
        <v>2308</v>
      </c>
      <c r="Z1099" s="4" t="s">
        <v>35</v>
      </c>
      <c r="AA1099" s="4" t="s">
        <v>194</v>
      </c>
      <c r="AB1099" s="4" t="s">
        <v>64</v>
      </c>
      <c r="AC1099" s="5"/>
      <c r="AD1099" s="5" t="s">
        <v>3416</v>
      </c>
    </row>
    <row r="1100" spans="1:30" ht="96.5" customHeight="1">
      <c r="A1100" s="12" t="s">
        <v>3419</v>
      </c>
      <c r="B1100" s="4" t="s">
        <v>3423</v>
      </c>
      <c r="C1100" s="4" t="s">
        <v>24</v>
      </c>
      <c r="D1100" s="4" t="s">
        <v>25</v>
      </c>
      <c r="E1100" s="4" t="s">
        <v>5065</v>
      </c>
      <c r="F1100" s="5" t="s">
        <v>2695</v>
      </c>
      <c r="G1100" s="4" t="s">
        <v>2308</v>
      </c>
      <c r="H1100" s="4" t="s">
        <v>532</v>
      </c>
      <c r="I1100" s="4"/>
      <c r="J1100" s="22">
        <v>0</v>
      </c>
      <c r="K1100" s="22">
        <v>0</v>
      </c>
      <c r="L1100" s="22">
        <v>0</v>
      </c>
      <c r="M1100" s="22">
        <v>0</v>
      </c>
      <c r="N1100" s="22">
        <v>0</v>
      </c>
      <c r="O1100" s="22">
        <v>0</v>
      </c>
      <c r="P1100" s="22">
        <v>0</v>
      </c>
      <c r="Q1100" s="22">
        <v>0</v>
      </c>
      <c r="R1100" s="22">
        <v>0</v>
      </c>
      <c r="S1100" s="22">
        <v>0</v>
      </c>
      <c r="T1100" s="22">
        <v>0</v>
      </c>
      <c r="U1100" s="22">
        <v>0</v>
      </c>
      <c r="V1100" s="22">
        <v>0</v>
      </c>
      <c r="W1100" s="22">
        <v>0</v>
      </c>
      <c r="X1100" s="22">
        <v>0</v>
      </c>
      <c r="Y1100" s="4" t="s">
        <v>2308</v>
      </c>
      <c r="Z1100" s="4" t="s">
        <v>2308</v>
      </c>
      <c r="AA1100" s="4" t="s">
        <v>2308</v>
      </c>
      <c r="AB1100" s="4" t="s">
        <v>2308</v>
      </c>
      <c r="AC1100" s="5" t="s">
        <v>3425</v>
      </c>
      <c r="AD1100" s="4"/>
    </row>
    <row r="1101" spans="1:30" ht="92.5" customHeight="1">
      <c r="A1101" s="12" t="s">
        <v>3420</v>
      </c>
      <c r="B1101" s="4" t="s">
        <v>3424</v>
      </c>
      <c r="C1101" s="4" t="s">
        <v>24</v>
      </c>
      <c r="D1101" s="4" t="s">
        <v>25</v>
      </c>
      <c r="E1101" s="4" t="s">
        <v>5065</v>
      </c>
      <c r="F1101" s="5" t="s">
        <v>2695</v>
      </c>
      <c r="G1101" s="4" t="s">
        <v>2308</v>
      </c>
      <c r="H1101" s="4" t="s">
        <v>532</v>
      </c>
      <c r="I1101" s="4"/>
      <c r="J1101" s="22">
        <v>0</v>
      </c>
      <c r="K1101" s="22">
        <v>0</v>
      </c>
      <c r="L1101" s="22">
        <v>0</v>
      </c>
      <c r="M1101" s="22">
        <v>0</v>
      </c>
      <c r="N1101" s="22">
        <v>0</v>
      </c>
      <c r="O1101" s="22">
        <v>0</v>
      </c>
      <c r="P1101" s="22">
        <v>0</v>
      </c>
      <c r="Q1101" s="22">
        <v>0</v>
      </c>
      <c r="R1101" s="22">
        <v>0</v>
      </c>
      <c r="S1101" s="22">
        <v>0</v>
      </c>
      <c r="T1101" s="22">
        <v>0</v>
      </c>
      <c r="U1101" s="22">
        <v>0</v>
      </c>
      <c r="V1101" s="22">
        <v>0</v>
      </c>
      <c r="W1101" s="22">
        <v>0</v>
      </c>
      <c r="X1101" s="22">
        <v>0</v>
      </c>
      <c r="Y1101" s="4" t="s">
        <v>2308</v>
      </c>
      <c r="Z1101" s="4" t="s">
        <v>2308</v>
      </c>
      <c r="AA1101" s="4" t="s">
        <v>2308</v>
      </c>
      <c r="AB1101" s="4" t="s">
        <v>2308</v>
      </c>
      <c r="AC1101" s="5" t="s">
        <v>3425</v>
      </c>
      <c r="AD1101" s="4"/>
    </row>
    <row r="1102" spans="1:30" ht="52" customHeight="1">
      <c r="A1102" s="12" t="s">
        <v>3427</v>
      </c>
      <c r="B1102" s="12" t="s">
        <v>3438</v>
      </c>
      <c r="C1102" s="4" t="s">
        <v>24</v>
      </c>
      <c r="D1102" s="4" t="s">
        <v>2837</v>
      </c>
      <c r="E1102" s="4" t="s">
        <v>5065</v>
      </c>
      <c r="F1102" s="5" t="s">
        <v>2695</v>
      </c>
      <c r="G1102" s="4" t="s">
        <v>2308</v>
      </c>
      <c r="H1102" s="4" t="s">
        <v>531</v>
      </c>
      <c r="I1102" s="4">
        <v>1968</v>
      </c>
      <c r="J1102" s="4" t="s">
        <v>2308</v>
      </c>
      <c r="K1102" s="4" t="s">
        <v>2308</v>
      </c>
      <c r="L1102" s="4" t="s">
        <v>2308</v>
      </c>
      <c r="M1102" s="4" t="s">
        <v>2308</v>
      </c>
      <c r="N1102" s="4" t="s">
        <v>2308</v>
      </c>
      <c r="O1102" s="4" t="s">
        <v>2308</v>
      </c>
      <c r="P1102" s="4" t="s">
        <v>2308</v>
      </c>
      <c r="Q1102" s="4" t="s">
        <v>2308</v>
      </c>
      <c r="R1102" s="4" t="s">
        <v>2308</v>
      </c>
      <c r="S1102" s="4" t="s">
        <v>2308</v>
      </c>
      <c r="T1102" s="4" t="s">
        <v>2308</v>
      </c>
      <c r="U1102" s="4" t="s">
        <v>2308</v>
      </c>
      <c r="V1102" s="4" t="s">
        <v>2308</v>
      </c>
      <c r="W1102" s="4" t="s">
        <v>2308</v>
      </c>
      <c r="X1102" s="4" t="s">
        <v>2308</v>
      </c>
      <c r="Y1102" s="4" t="s">
        <v>2308</v>
      </c>
      <c r="Z1102" s="4" t="s">
        <v>133</v>
      </c>
      <c r="AA1102" s="4" t="s">
        <v>194</v>
      </c>
      <c r="AB1102" s="4" t="s">
        <v>64</v>
      </c>
      <c r="AC1102" s="5" t="s">
        <v>3447</v>
      </c>
      <c r="AD1102" s="5" t="s">
        <v>3448</v>
      </c>
    </row>
    <row r="1103" spans="1:30" ht="56" customHeight="1">
      <c r="A1103" s="12" t="s">
        <v>3428</v>
      </c>
      <c r="B1103" s="12" t="s">
        <v>3439</v>
      </c>
      <c r="C1103" s="4" t="s">
        <v>24</v>
      </c>
      <c r="D1103" s="4" t="s">
        <v>2837</v>
      </c>
      <c r="E1103" s="4" t="s">
        <v>5065</v>
      </c>
      <c r="F1103" s="5" t="s">
        <v>2695</v>
      </c>
      <c r="G1103" s="4" t="s">
        <v>2308</v>
      </c>
      <c r="H1103" s="4" t="s">
        <v>531</v>
      </c>
      <c r="I1103" s="4">
        <v>1968</v>
      </c>
      <c r="J1103" s="4" t="s">
        <v>2308</v>
      </c>
      <c r="K1103" s="4" t="s">
        <v>2308</v>
      </c>
      <c r="L1103" s="4" t="s">
        <v>2308</v>
      </c>
      <c r="M1103" s="4" t="s">
        <v>2308</v>
      </c>
      <c r="N1103" s="4" t="s">
        <v>2308</v>
      </c>
      <c r="O1103" s="4" t="s">
        <v>2308</v>
      </c>
      <c r="P1103" s="4" t="s">
        <v>2308</v>
      </c>
      <c r="Q1103" s="4" t="s">
        <v>2308</v>
      </c>
      <c r="R1103" s="4" t="s">
        <v>2308</v>
      </c>
      <c r="S1103" s="4" t="s">
        <v>2308</v>
      </c>
      <c r="T1103" s="4" t="s">
        <v>2308</v>
      </c>
      <c r="U1103" s="4" t="s">
        <v>2308</v>
      </c>
      <c r="V1103" s="4" t="s">
        <v>2308</v>
      </c>
      <c r="W1103" s="4" t="s">
        <v>2308</v>
      </c>
      <c r="X1103" s="4" t="s">
        <v>2308</v>
      </c>
      <c r="Y1103" s="4" t="s">
        <v>2308</v>
      </c>
      <c r="Z1103" s="4" t="s">
        <v>133</v>
      </c>
      <c r="AA1103" s="4" t="s">
        <v>194</v>
      </c>
      <c r="AB1103" s="4" t="s">
        <v>64</v>
      </c>
      <c r="AC1103" s="5" t="s">
        <v>3447</v>
      </c>
      <c r="AD1103" s="5" t="s">
        <v>3448</v>
      </c>
    </row>
    <row r="1104" spans="1:30" ht="63.5" customHeight="1">
      <c r="A1104" s="12" t="s">
        <v>3432</v>
      </c>
      <c r="B1104" s="12" t="s">
        <v>3440</v>
      </c>
      <c r="C1104" s="4" t="s">
        <v>24</v>
      </c>
      <c r="D1104" s="4" t="s">
        <v>2837</v>
      </c>
      <c r="E1104" s="4" t="s">
        <v>5065</v>
      </c>
      <c r="F1104" s="5" t="s">
        <v>2695</v>
      </c>
      <c r="G1104" s="4" t="s">
        <v>2308</v>
      </c>
      <c r="H1104" s="4" t="s">
        <v>531</v>
      </c>
      <c r="I1104" s="4">
        <v>1968</v>
      </c>
      <c r="J1104" s="4" t="s">
        <v>2308</v>
      </c>
      <c r="K1104" s="4" t="s">
        <v>2308</v>
      </c>
      <c r="L1104" s="4" t="s">
        <v>2308</v>
      </c>
      <c r="M1104" s="4" t="s">
        <v>2308</v>
      </c>
      <c r="N1104" s="4" t="s">
        <v>2308</v>
      </c>
      <c r="O1104" s="4" t="s">
        <v>2308</v>
      </c>
      <c r="P1104" s="4" t="s">
        <v>2308</v>
      </c>
      <c r="Q1104" s="4" t="s">
        <v>2308</v>
      </c>
      <c r="R1104" s="4" t="s">
        <v>2308</v>
      </c>
      <c r="S1104" s="4" t="s">
        <v>2308</v>
      </c>
      <c r="T1104" s="4" t="s">
        <v>2308</v>
      </c>
      <c r="U1104" s="4" t="s">
        <v>2308</v>
      </c>
      <c r="V1104" s="4" t="s">
        <v>2308</v>
      </c>
      <c r="W1104" s="4" t="s">
        <v>2308</v>
      </c>
      <c r="X1104" s="4" t="s">
        <v>2308</v>
      </c>
      <c r="Y1104" s="4" t="s">
        <v>2308</v>
      </c>
      <c r="Z1104" s="4" t="s">
        <v>133</v>
      </c>
      <c r="AA1104" s="4" t="s">
        <v>194</v>
      </c>
      <c r="AB1104" s="4" t="s">
        <v>64</v>
      </c>
      <c r="AC1104" s="5" t="s">
        <v>3447</v>
      </c>
      <c r="AD1104" s="5" t="s">
        <v>3448</v>
      </c>
    </row>
    <row r="1105" spans="1:30" ht="56" customHeight="1">
      <c r="A1105" s="12" t="s">
        <v>3427</v>
      </c>
      <c r="B1105" s="12" t="s">
        <v>3441</v>
      </c>
      <c r="C1105" s="4" t="s">
        <v>24</v>
      </c>
      <c r="D1105" s="4" t="s">
        <v>26</v>
      </c>
      <c r="E1105" s="4" t="s">
        <v>5065</v>
      </c>
      <c r="F1105" s="5" t="s">
        <v>2695</v>
      </c>
      <c r="G1105" s="4" t="s">
        <v>2308</v>
      </c>
      <c r="H1105" s="4" t="s">
        <v>531</v>
      </c>
      <c r="I1105" s="4">
        <v>1968</v>
      </c>
      <c r="J1105" s="4" t="s">
        <v>2308</v>
      </c>
      <c r="K1105" s="4" t="s">
        <v>2308</v>
      </c>
      <c r="L1105" s="4" t="s">
        <v>2308</v>
      </c>
      <c r="M1105" s="4" t="s">
        <v>2308</v>
      </c>
      <c r="N1105" s="4" t="s">
        <v>2308</v>
      </c>
      <c r="O1105" s="4" t="s">
        <v>2308</v>
      </c>
      <c r="P1105" s="4" t="s">
        <v>2308</v>
      </c>
      <c r="Q1105" s="4" t="s">
        <v>2308</v>
      </c>
      <c r="R1105" s="4" t="s">
        <v>2308</v>
      </c>
      <c r="S1105" s="4" t="s">
        <v>2308</v>
      </c>
      <c r="T1105" s="4" t="s">
        <v>2308</v>
      </c>
      <c r="U1105" s="4" t="s">
        <v>2308</v>
      </c>
      <c r="V1105" s="4" t="s">
        <v>2308</v>
      </c>
      <c r="W1105" s="4" t="s">
        <v>2308</v>
      </c>
      <c r="X1105" s="4" t="s">
        <v>2308</v>
      </c>
      <c r="Y1105" s="4" t="s">
        <v>2308</v>
      </c>
      <c r="Z1105" s="4" t="s">
        <v>2308</v>
      </c>
      <c r="AA1105" s="4" t="s">
        <v>2308</v>
      </c>
      <c r="AB1105" s="4" t="s">
        <v>2308</v>
      </c>
      <c r="AC1105" s="5" t="s">
        <v>3447</v>
      </c>
      <c r="AD1105" s="4"/>
    </row>
    <row r="1106" spans="1:30" ht="65.5" customHeight="1">
      <c r="A1106" s="12" t="s">
        <v>3428</v>
      </c>
      <c r="B1106" s="12" t="s">
        <v>3442</v>
      </c>
      <c r="C1106" s="4" t="s">
        <v>24</v>
      </c>
      <c r="D1106" s="4" t="s">
        <v>26</v>
      </c>
      <c r="E1106" s="4" t="s">
        <v>5065</v>
      </c>
      <c r="F1106" s="5" t="s">
        <v>2695</v>
      </c>
      <c r="G1106" s="4" t="s">
        <v>2308</v>
      </c>
      <c r="H1106" s="4" t="s">
        <v>531</v>
      </c>
      <c r="I1106" s="4">
        <v>1968</v>
      </c>
      <c r="J1106" s="4" t="s">
        <v>2308</v>
      </c>
      <c r="K1106" s="4" t="s">
        <v>2308</v>
      </c>
      <c r="L1106" s="4" t="s">
        <v>2308</v>
      </c>
      <c r="M1106" s="4" t="s">
        <v>2308</v>
      </c>
      <c r="N1106" s="4" t="s">
        <v>2308</v>
      </c>
      <c r="O1106" s="4" t="s">
        <v>2308</v>
      </c>
      <c r="P1106" s="4" t="s">
        <v>2308</v>
      </c>
      <c r="Q1106" s="4" t="s">
        <v>2308</v>
      </c>
      <c r="R1106" s="4" t="s">
        <v>2308</v>
      </c>
      <c r="S1106" s="4" t="s">
        <v>2308</v>
      </c>
      <c r="T1106" s="4" t="s">
        <v>2308</v>
      </c>
      <c r="U1106" s="4" t="s">
        <v>2308</v>
      </c>
      <c r="V1106" s="4" t="s">
        <v>2308</v>
      </c>
      <c r="W1106" s="4" t="s">
        <v>2308</v>
      </c>
      <c r="X1106" s="4" t="s">
        <v>2308</v>
      </c>
      <c r="Y1106" s="4" t="s">
        <v>2308</v>
      </c>
      <c r="Z1106" s="4" t="s">
        <v>2308</v>
      </c>
      <c r="AA1106" s="4" t="s">
        <v>2308</v>
      </c>
      <c r="AB1106" s="4" t="s">
        <v>2308</v>
      </c>
      <c r="AC1106" s="5" t="s">
        <v>3447</v>
      </c>
      <c r="AD1106" s="4"/>
    </row>
    <row r="1107" spans="1:30" ht="61" customHeight="1">
      <c r="A1107" s="12" t="s">
        <v>3432</v>
      </c>
      <c r="B1107" s="12" t="s">
        <v>3443</v>
      </c>
      <c r="C1107" s="4" t="s">
        <v>24</v>
      </c>
      <c r="D1107" s="4" t="s">
        <v>26</v>
      </c>
      <c r="E1107" s="4" t="s">
        <v>5065</v>
      </c>
      <c r="F1107" s="5" t="s">
        <v>2695</v>
      </c>
      <c r="G1107" s="4" t="s">
        <v>2308</v>
      </c>
      <c r="H1107" s="4" t="s">
        <v>531</v>
      </c>
      <c r="I1107" s="4">
        <v>1968</v>
      </c>
      <c r="J1107" s="4" t="s">
        <v>2308</v>
      </c>
      <c r="K1107" s="4" t="s">
        <v>2308</v>
      </c>
      <c r="L1107" s="4" t="s">
        <v>2308</v>
      </c>
      <c r="M1107" s="4" t="s">
        <v>2308</v>
      </c>
      <c r="N1107" s="4" t="s">
        <v>2308</v>
      </c>
      <c r="O1107" s="4" t="s">
        <v>2308</v>
      </c>
      <c r="P1107" s="4" t="s">
        <v>2308</v>
      </c>
      <c r="Q1107" s="4" t="s">
        <v>2308</v>
      </c>
      <c r="R1107" s="4" t="s">
        <v>2308</v>
      </c>
      <c r="S1107" s="4" t="s">
        <v>2308</v>
      </c>
      <c r="T1107" s="4" t="s">
        <v>2308</v>
      </c>
      <c r="U1107" s="4" t="s">
        <v>2308</v>
      </c>
      <c r="V1107" s="4" t="s">
        <v>2308</v>
      </c>
      <c r="W1107" s="4" t="s">
        <v>2308</v>
      </c>
      <c r="X1107" s="4" t="s">
        <v>2308</v>
      </c>
      <c r="Y1107" s="4" t="s">
        <v>2308</v>
      </c>
      <c r="Z1107" s="4" t="s">
        <v>2308</v>
      </c>
      <c r="AA1107" s="4" t="s">
        <v>2308</v>
      </c>
      <c r="AB1107" s="4" t="s">
        <v>2308</v>
      </c>
      <c r="AC1107" s="5" t="s">
        <v>3447</v>
      </c>
      <c r="AD1107" s="4"/>
    </row>
    <row r="1108" spans="1:30" ht="55.5" customHeight="1">
      <c r="A1108" s="12" t="s">
        <v>3427</v>
      </c>
      <c r="B1108" s="12" t="s">
        <v>3444</v>
      </c>
      <c r="C1108" s="4" t="s">
        <v>24</v>
      </c>
      <c r="D1108" s="4" t="s">
        <v>2373</v>
      </c>
      <c r="E1108" s="4" t="s">
        <v>5065</v>
      </c>
      <c r="F1108" s="5" t="s">
        <v>2695</v>
      </c>
      <c r="G1108" s="4" t="s">
        <v>2308</v>
      </c>
      <c r="H1108" s="4" t="s">
        <v>531</v>
      </c>
      <c r="I1108" s="4">
        <v>1968</v>
      </c>
      <c r="J1108" s="4" t="s">
        <v>2308</v>
      </c>
      <c r="K1108" s="4" t="s">
        <v>2308</v>
      </c>
      <c r="L1108" s="4" t="s">
        <v>2308</v>
      </c>
      <c r="M1108" s="4" t="s">
        <v>2308</v>
      </c>
      <c r="N1108" s="4" t="s">
        <v>2308</v>
      </c>
      <c r="O1108" s="4" t="s">
        <v>2308</v>
      </c>
      <c r="P1108" s="4" t="s">
        <v>2308</v>
      </c>
      <c r="Q1108" s="4" t="s">
        <v>2308</v>
      </c>
      <c r="R1108" s="4" t="s">
        <v>2308</v>
      </c>
      <c r="S1108" s="4" t="s">
        <v>2308</v>
      </c>
      <c r="T1108" s="4" t="s">
        <v>2308</v>
      </c>
      <c r="U1108" s="4" t="s">
        <v>2308</v>
      </c>
      <c r="V1108" s="4" t="s">
        <v>2308</v>
      </c>
      <c r="W1108" s="4" t="s">
        <v>2308</v>
      </c>
      <c r="X1108" s="4" t="s">
        <v>2308</v>
      </c>
      <c r="Y1108" s="4" t="s">
        <v>2308</v>
      </c>
      <c r="Z1108" s="4" t="s">
        <v>2308</v>
      </c>
      <c r="AA1108" s="4" t="s">
        <v>2308</v>
      </c>
      <c r="AB1108" s="4" t="s">
        <v>2308</v>
      </c>
      <c r="AC1108" s="5" t="s">
        <v>3447</v>
      </c>
      <c r="AD1108" s="4"/>
    </row>
    <row r="1109" spans="1:30" ht="56.5" customHeight="1">
      <c r="A1109" s="12" t="s">
        <v>3428</v>
      </c>
      <c r="B1109" s="12" t="s">
        <v>3445</v>
      </c>
      <c r="C1109" s="4" t="s">
        <v>24</v>
      </c>
      <c r="D1109" s="4" t="s">
        <v>2373</v>
      </c>
      <c r="E1109" s="4" t="s">
        <v>5065</v>
      </c>
      <c r="F1109" s="5" t="s">
        <v>2695</v>
      </c>
      <c r="G1109" s="4" t="s">
        <v>2308</v>
      </c>
      <c r="H1109" s="4" t="s">
        <v>531</v>
      </c>
      <c r="I1109" s="4">
        <v>1968</v>
      </c>
      <c r="J1109" s="4" t="s">
        <v>2308</v>
      </c>
      <c r="K1109" s="4" t="s">
        <v>2308</v>
      </c>
      <c r="L1109" s="4" t="s">
        <v>2308</v>
      </c>
      <c r="M1109" s="4" t="s">
        <v>2308</v>
      </c>
      <c r="N1109" s="4" t="s">
        <v>2308</v>
      </c>
      <c r="O1109" s="4" t="s">
        <v>2308</v>
      </c>
      <c r="P1109" s="4" t="s">
        <v>2308</v>
      </c>
      <c r="Q1109" s="4" t="s">
        <v>2308</v>
      </c>
      <c r="R1109" s="4" t="s">
        <v>2308</v>
      </c>
      <c r="S1109" s="4" t="s">
        <v>2308</v>
      </c>
      <c r="T1109" s="4" t="s">
        <v>2308</v>
      </c>
      <c r="U1109" s="4" t="s">
        <v>2308</v>
      </c>
      <c r="V1109" s="4" t="s">
        <v>2308</v>
      </c>
      <c r="W1109" s="4" t="s">
        <v>2308</v>
      </c>
      <c r="X1109" s="4" t="s">
        <v>2308</v>
      </c>
      <c r="Y1109" s="4" t="s">
        <v>2308</v>
      </c>
      <c r="Z1109" s="4" t="s">
        <v>2308</v>
      </c>
      <c r="AA1109" s="4" t="s">
        <v>2308</v>
      </c>
      <c r="AB1109" s="4" t="s">
        <v>2308</v>
      </c>
      <c r="AC1109" s="5" t="s">
        <v>3447</v>
      </c>
      <c r="AD1109" s="4"/>
    </row>
    <row r="1110" spans="1:30" ht="55.5" customHeight="1">
      <c r="A1110" s="12" t="s">
        <v>3432</v>
      </c>
      <c r="B1110" s="12" t="s">
        <v>3446</v>
      </c>
      <c r="C1110" s="4" t="s">
        <v>24</v>
      </c>
      <c r="D1110" s="4" t="s">
        <v>2373</v>
      </c>
      <c r="E1110" s="4" t="s">
        <v>5065</v>
      </c>
      <c r="F1110" s="5" t="s">
        <v>2695</v>
      </c>
      <c r="G1110" s="4" t="s">
        <v>2308</v>
      </c>
      <c r="H1110" s="4" t="s">
        <v>531</v>
      </c>
      <c r="I1110" s="4">
        <v>1968</v>
      </c>
      <c r="J1110" s="4" t="s">
        <v>2308</v>
      </c>
      <c r="K1110" s="4" t="s">
        <v>2308</v>
      </c>
      <c r="L1110" s="4" t="s">
        <v>2308</v>
      </c>
      <c r="M1110" s="4" t="s">
        <v>2308</v>
      </c>
      <c r="N1110" s="4" t="s">
        <v>2308</v>
      </c>
      <c r="O1110" s="4" t="s">
        <v>2308</v>
      </c>
      <c r="P1110" s="4" t="s">
        <v>2308</v>
      </c>
      <c r="Q1110" s="4" t="s">
        <v>2308</v>
      </c>
      <c r="R1110" s="4" t="s">
        <v>2308</v>
      </c>
      <c r="S1110" s="4" t="s">
        <v>2308</v>
      </c>
      <c r="T1110" s="4" t="s">
        <v>2308</v>
      </c>
      <c r="U1110" s="4" t="s">
        <v>2308</v>
      </c>
      <c r="V1110" s="4" t="s">
        <v>2308</v>
      </c>
      <c r="W1110" s="4" t="s">
        <v>2308</v>
      </c>
      <c r="X1110" s="4" t="s">
        <v>2308</v>
      </c>
      <c r="Y1110" s="4" t="s">
        <v>2308</v>
      </c>
      <c r="Z1110" s="4" t="s">
        <v>2308</v>
      </c>
      <c r="AA1110" s="4" t="s">
        <v>2308</v>
      </c>
      <c r="AB1110" s="4" t="s">
        <v>2308</v>
      </c>
      <c r="AC1110" s="5" t="s">
        <v>3447</v>
      </c>
      <c r="AD1110" s="4"/>
    </row>
    <row r="1111" spans="1:30" ht="41.5" customHeight="1">
      <c r="A1111" s="12" t="s">
        <v>3435</v>
      </c>
      <c r="B1111" s="12" t="s">
        <v>3456</v>
      </c>
      <c r="C1111" s="4" t="s">
        <v>24</v>
      </c>
      <c r="D1111" s="4" t="s">
        <v>2837</v>
      </c>
      <c r="E1111" s="4" t="s">
        <v>5065</v>
      </c>
      <c r="F1111" s="5" t="s">
        <v>2695</v>
      </c>
      <c r="G1111" s="4" t="s">
        <v>2308</v>
      </c>
      <c r="H1111" s="4" t="s">
        <v>531</v>
      </c>
      <c r="I1111" s="4"/>
      <c r="J1111" s="4" t="s">
        <v>2308</v>
      </c>
      <c r="K1111" s="4" t="s">
        <v>2308</v>
      </c>
      <c r="L1111" s="4" t="s">
        <v>2308</v>
      </c>
      <c r="M1111" s="4" t="s">
        <v>2308</v>
      </c>
      <c r="N1111" s="4" t="s">
        <v>2308</v>
      </c>
      <c r="O1111" s="4" t="s">
        <v>2308</v>
      </c>
      <c r="P1111" s="4" t="s">
        <v>2308</v>
      </c>
      <c r="Q1111" s="4" t="s">
        <v>2308</v>
      </c>
      <c r="R1111" s="4" t="s">
        <v>2308</v>
      </c>
      <c r="S1111" s="4" t="s">
        <v>2308</v>
      </c>
      <c r="T1111" s="4" t="s">
        <v>2308</v>
      </c>
      <c r="U1111" s="4" t="s">
        <v>2308</v>
      </c>
      <c r="V1111" s="4" t="s">
        <v>2308</v>
      </c>
      <c r="W1111" s="4" t="s">
        <v>2308</v>
      </c>
      <c r="X1111" s="4" t="s">
        <v>2308</v>
      </c>
      <c r="Y1111" s="4" t="s">
        <v>2308</v>
      </c>
      <c r="Z1111" s="4" t="s">
        <v>133</v>
      </c>
      <c r="AA1111" s="4" t="s">
        <v>194</v>
      </c>
      <c r="AB1111" s="4" t="s">
        <v>64</v>
      </c>
      <c r="AC1111" s="4"/>
      <c r="AD1111" s="4"/>
    </row>
    <row r="1112" spans="1:30" ht="127" customHeight="1">
      <c r="A1112" s="12" t="s">
        <v>3436</v>
      </c>
      <c r="B1112" s="12" t="s">
        <v>3457</v>
      </c>
      <c r="C1112" s="4" t="s">
        <v>24</v>
      </c>
      <c r="D1112" s="4" t="s">
        <v>2837</v>
      </c>
      <c r="E1112" s="4" t="s">
        <v>5065</v>
      </c>
      <c r="F1112" s="5" t="s">
        <v>2695</v>
      </c>
      <c r="G1112" s="4" t="s">
        <v>2308</v>
      </c>
      <c r="H1112" s="4" t="s">
        <v>532</v>
      </c>
      <c r="I1112" s="4"/>
      <c r="J1112" s="22">
        <v>0</v>
      </c>
      <c r="K1112" s="22">
        <v>0</v>
      </c>
      <c r="L1112" s="22">
        <v>0</v>
      </c>
      <c r="M1112" s="22">
        <v>0</v>
      </c>
      <c r="N1112" s="22">
        <v>0</v>
      </c>
      <c r="O1112" s="22">
        <v>0</v>
      </c>
      <c r="P1112" s="22">
        <v>0</v>
      </c>
      <c r="Q1112" s="22">
        <v>0</v>
      </c>
      <c r="R1112" s="22">
        <v>0</v>
      </c>
      <c r="S1112" s="22">
        <v>0</v>
      </c>
      <c r="T1112" s="22">
        <v>0</v>
      </c>
      <c r="U1112" s="22">
        <v>0</v>
      </c>
      <c r="V1112" s="22">
        <v>0</v>
      </c>
      <c r="W1112" s="22">
        <v>0</v>
      </c>
      <c r="X1112" s="22">
        <v>0</v>
      </c>
      <c r="Y1112" s="4" t="s">
        <v>2308</v>
      </c>
      <c r="Z1112" s="4" t="s">
        <v>2308</v>
      </c>
      <c r="AA1112" s="4" t="s">
        <v>2308</v>
      </c>
      <c r="AB1112" s="4" t="s">
        <v>2308</v>
      </c>
      <c r="AC1112" s="5" t="s">
        <v>3459</v>
      </c>
      <c r="AD1112" s="4"/>
    </row>
    <row r="1113" spans="1:30" ht="47.5" customHeight="1">
      <c r="A1113" s="12" t="s">
        <v>3437</v>
      </c>
      <c r="B1113" s="12" t="s">
        <v>3458</v>
      </c>
      <c r="C1113" s="4" t="s">
        <v>24</v>
      </c>
      <c r="D1113" s="4" t="s">
        <v>2837</v>
      </c>
      <c r="E1113" s="4" t="s">
        <v>5065</v>
      </c>
      <c r="F1113" s="5" t="s">
        <v>2695</v>
      </c>
      <c r="G1113" s="4" t="s">
        <v>2308</v>
      </c>
      <c r="H1113" s="4" t="s">
        <v>532</v>
      </c>
      <c r="I1113" s="4"/>
      <c r="J1113" s="22">
        <v>0</v>
      </c>
      <c r="K1113" s="22">
        <v>0</v>
      </c>
      <c r="L1113" s="22">
        <v>0</v>
      </c>
      <c r="M1113" s="22">
        <v>0</v>
      </c>
      <c r="N1113" s="22">
        <v>0</v>
      </c>
      <c r="O1113" s="22">
        <v>0</v>
      </c>
      <c r="P1113" s="22">
        <v>0</v>
      </c>
      <c r="Q1113" s="22">
        <v>0</v>
      </c>
      <c r="R1113" s="22">
        <v>0</v>
      </c>
      <c r="S1113" s="22">
        <v>0</v>
      </c>
      <c r="T1113" s="22">
        <v>0</v>
      </c>
      <c r="U1113" s="22">
        <v>0</v>
      </c>
      <c r="V1113" s="22">
        <v>0</v>
      </c>
      <c r="W1113" s="22">
        <v>0</v>
      </c>
      <c r="X1113" s="22">
        <v>0</v>
      </c>
      <c r="Y1113" s="4" t="s">
        <v>2308</v>
      </c>
      <c r="Z1113" s="4" t="s">
        <v>2308</v>
      </c>
      <c r="AA1113" s="4" t="s">
        <v>2308</v>
      </c>
      <c r="AB1113" s="4" t="s">
        <v>2308</v>
      </c>
      <c r="AC1113" s="5" t="s">
        <v>3460</v>
      </c>
      <c r="AD1113" s="4"/>
    </row>
    <row r="1114" spans="1:30" ht="58" customHeight="1">
      <c r="A1114" s="12" t="s">
        <v>3462</v>
      </c>
      <c r="B1114" s="12" t="s">
        <v>3467</v>
      </c>
      <c r="C1114" s="4" t="s">
        <v>24</v>
      </c>
      <c r="D1114" s="4" t="s">
        <v>1267</v>
      </c>
      <c r="E1114" s="4" t="s">
        <v>116</v>
      </c>
      <c r="F1114" s="5" t="s">
        <v>2695</v>
      </c>
      <c r="G1114" s="5" t="s">
        <v>2695</v>
      </c>
      <c r="H1114" s="4" t="s">
        <v>531</v>
      </c>
      <c r="I1114" s="4"/>
      <c r="J1114" s="4" t="s">
        <v>2308</v>
      </c>
      <c r="K1114" s="4" t="s">
        <v>2308</v>
      </c>
      <c r="L1114" s="4" t="s">
        <v>2308</v>
      </c>
      <c r="M1114" s="4" t="s">
        <v>2308</v>
      </c>
      <c r="N1114" s="4" t="s">
        <v>2308</v>
      </c>
      <c r="O1114" s="4" t="s">
        <v>2308</v>
      </c>
      <c r="P1114" s="4" t="s">
        <v>2308</v>
      </c>
      <c r="Q1114" s="4" t="s">
        <v>2308</v>
      </c>
      <c r="R1114" s="4" t="s">
        <v>2308</v>
      </c>
      <c r="S1114" s="4" t="s">
        <v>2308</v>
      </c>
      <c r="T1114" s="4" t="s">
        <v>2308</v>
      </c>
      <c r="U1114" s="4" t="s">
        <v>2308</v>
      </c>
      <c r="V1114" s="4" t="s">
        <v>2308</v>
      </c>
      <c r="W1114" s="4" t="s">
        <v>2308</v>
      </c>
      <c r="X1114" s="4" t="s">
        <v>2308</v>
      </c>
      <c r="Y1114" s="4" t="s">
        <v>2308</v>
      </c>
      <c r="Z1114" s="4" t="s">
        <v>86</v>
      </c>
      <c r="AA1114" s="4" t="s">
        <v>412</v>
      </c>
      <c r="AB1114" s="4" t="s">
        <v>64</v>
      </c>
      <c r="AC1114" s="5" t="s">
        <v>3470</v>
      </c>
      <c r="AD1114" s="4"/>
    </row>
    <row r="1115" spans="1:30" ht="76.5" customHeight="1">
      <c r="A1115" s="12" t="s">
        <v>3462</v>
      </c>
      <c r="B1115" s="12" t="s">
        <v>3468</v>
      </c>
      <c r="C1115" s="4" t="s">
        <v>24</v>
      </c>
      <c r="D1115" s="4" t="s">
        <v>2373</v>
      </c>
      <c r="E1115" s="4" t="s">
        <v>116</v>
      </c>
      <c r="F1115" s="5" t="s">
        <v>2695</v>
      </c>
      <c r="G1115" s="5" t="s">
        <v>2695</v>
      </c>
      <c r="H1115" s="4" t="s">
        <v>531</v>
      </c>
      <c r="I1115" s="4"/>
      <c r="J1115" s="4" t="s">
        <v>2308</v>
      </c>
      <c r="K1115" s="4" t="s">
        <v>2308</v>
      </c>
      <c r="L1115" s="4" t="s">
        <v>2308</v>
      </c>
      <c r="M1115" s="4" t="s">
        <v>2308</v>
      </c>
      <c r="N1115" s="4" t="s">
        <v>2308</v>
      </c>
      <c r="O1115" s="4" t="s">
        <v>2308</v>
      </c>
      <c r="P1115" s="4" t="s">
        <v>2308</v>
      </c>
      <c r="Q1115" s="4" t="s">
        <v>2308</v>
      </c>
      <c r="R1115" s="4" t="s">
        <v>2308</v>
      </c>
      <c r="S1115" s="4" t="s">
        <v>2308</v>
      </c>
      <c r="T1115" s="4" t="s">
        <v>2308</v>
      </c>
      <c r="U1115" s="4" t="s">
        <v>2308</v>
      </c>
      <c r="V1115" s="4" t="s">
        <v>2308</v>
      </c>
      <c r="W1115" s="4" t="s">
        <v>2308</v>
      </c>
      <c r="X1115" s="4" t="s">
        <v>2308</v>
      </c>
      <c r="Y1115" s="4" t="s">
        <v>2308</v>
      </c>
      <c r="Z1115" s="4" t="s">
        <v>86</v>
      </c>
      <c r="AA1115" s="4" t="s">
        <v>412</v>
      </c>
      <c r="AB1115" s="4" t="s">
        <v>64</v>
      </c>
      <c r="AC1115" s="5" t="s">
        <v>3470</v>
      </c>
      <c r="AD1115" s="4"/>
    </row>
    <row r="1116" spans="1:30" ht="113.5" customHeight="1">
      <c r="A1116" s="4" t="s">
        <v>3475</v>
      </c>
      <c r="B1116" s="4" t="s">
        <v>3478</v>
      </c>
      <c r="C1116" s="4" t="s">
        <v>24</v>
      </c>
      <c r="D1116" s="4" t="s">
        <v>1267</v>
      </c>
      <c r="E1116" s="4" t="s">
        <v>116</v>
      </c>
      <c r="F1116" s="5" t="s">
        <v>2695</v>
      </c>
      <c r="G1116" s="5" t="s">
        <v>2695</v>
      </c>
      <c r="H1116" s="4" t="s">
        <v>531</v>
      </c>
      <c r="I1116" s="4">
        <v>1953</v>
      </c>
      <c r="J1116" s="4" t="s">
        <v>2308</v>
      </c>
      <c r="K1116" s="4" t="s">
        <v>2308</v>
      </c>
      <c r="L1116" s="22">
        <v>0.5</v>
      </c>
      <c r="M1116" s="4" t="s">
        <v>2308</v>
      </c>
      <c r="N1116" s="4" t="s">
        <v>2308</v>
      </c>
      <c r="O1116" s="4" t="s">
        <v>2308</v>
      </c>
      <c r="P1116" s="4" t="s">
        <v>2308</v>
      </c>
      <c r="Q1116" s="4" t="s">
        <v>2308</v>
      </c>
      <c r="R1116" s="22">
        <v>5</v>
      </c>
      <c r="S1116" s="4" t="s">
        <v>2308</v>
      </c>
      <c r="T1116" s="4" t="s">
        <v>2308</v>
      </c>
      <c r="U1116" s="4" t="s">
        <v>2308</v>
      </c>
      <c r="V1116" s="4" t="s">
        <v>2308</v>
      </c>
      <c r="W1116" s="4" t="s">
        <v>2308</v>
      </c>
      <c r="X1116" s="4" t="s">
        <v>2308</v>
      </c>
      <c r="Y1116" s="4" t="s">
        <v>2308</v>
      </c>
      <c r="Z1116" s="4" t="s">
        <v>406</v>
      </c>
      <c r="AA1116" s="4" t="s">
        <v>133</v>
      </c>
      <c r="AB1116" s="4" t="s">
        <v>2344</v>
      </c>
      <c r="AC1116" s="5" t="s">
        <v>3491</v>
      </c>
      <c r="AD1116" s="5" t="s">
        <v>3492</v>
      </c>
    </row>
    <row r="1117" spans="1:30" ht="113.5" customHeight="1">
      <c r="A1117" s="4" t="s">
        <v>3475</v>
      </c>
      <c r="B1117" s="4" t="s">
        <v>3479</v>
      </c>
      <c r="C1117" s="4" t="s">
        <v>1125</v>
      </c>
      <c r="D1117" s="4" t="s">
        <v>1125</v>
      </c>
      <c r="E1117" s="4" t="s">
        <v>2308</v>
      </c>
      <c r="F1117" s="5" t="s">
        <v>2308</v>
      </c>
      <c r="G1117" s="5" t="s">
        <v>2695</v>
      </c>
      <c r="H1117" s="4" t="s">
        <v>531</v>
      </c>
      <c r="I1117" s="4">
        <v>1953</v>
      </c>
      <c r="J1117" s="4" t="s">
        <v>2308</v>
      </c>
      <c r="K1117" s="4" t="s">
        <v>2308</v>
      </c>
      <c r="L1117" s="22">
        <v>0.5</v>
      </c>
      <c r="M1117" s="4" t="s">
        <v>2308</v>
      </c>
      <c r="N1117" s="22">
        <v>6005</v>
      </c>
      <c r="O1117" s="4" t="s">
        <v>2308</v>
      </c>
      <c r="P1117" s="22">
        <v>63.9</v>
      </c>
      <c r="Q1117" s="4" t="s">
        <v>2308</v>
      </c>
      <c r="R1117" s="22">
        <v>10.199999999999999</v>
      </c>
      <c r="S1117" s="4" t="s">
        <v>2308</v>
      </c>
      <c r="T1117" s="4" t="s">
        <v>2308</v>
      </c>
      <c r="U1117" s="4" t="s">
        <v>2308</v>
      </c>
      <c r="V1117" s="22">
        <f>22/5</f>
        <v>4.4000000000000004</v>
      </c>
      <c r="W1117" s="4" t="s">
        <v>2308</v>
      </c>
      <c r="X1117" s="4" t="s">
        <v>2308</v>
      </c>
      <c r="Y1117" s="4" t="s">
        <v>2308</v>
      </c>
      <c r="Z1117" s="4" t="s">
        <v>406</v>
      </c>
      <c r="AA1117" s="4" t="s">
        <v>133</v>
      </c>
      <c r="AB1117" s="4" t="s">
        <v>2344</v>
      </c>
      <c r="AC1117" s="5"/>
      <c r="AD1117" s="5"/>
    </row>
    <row r="1118" spans="1:30" ht="56.5" customHeight="1">
      <c r="A1118" s="4" t="s">
        <v>3475</v>
      </c>
      <c r="B1118" s="4" t="s">
        <v>3480</v>
      </c>
      <c r="C1118" s="4" t="s">
        <v>24</v>
      </c>
      <c r="D1118" s="4" t="s">
        <v>1267</v>
      </c>
      <c r="E1118" s="4" t="s">
        <v>116</v>
      </c>
      <c r="F1118" s="5" t="s">
        <v>2695</v>
      </c>
      <c r="G1118" s="5" t="s">
        <v>2695</v>
      </c>
      <c r="H1118" s="4" t="s">
        <v>532</v>
      </c>
      <c r="I1118" s="4">
        <v>1973</v>
      </c>
      <c r="J1118" s="22">
        <v>0</v>
      </c>
      <c r="K1118" s="22">
        <v>0</v>
      </c>
      <c r="L1118" s="22">
        <v>0</v>
      </c>
      <c r="M1118" s="22">
        <v>0</v>
      </c>
      <c r="N1118" s="22">
        <v>0</v>
      </c>
      <c r="O1118" s="22">
        <v>0</v>
      </c>
      <c r="P1118" s="22">
        <v>0</v>
      </c>
      <c r="Q1118" s="22">
        <v>0</v>
      </c>
      <c r="R1118" s="22">
        <v>0</v>
      </c>
      <c r="S1118" s="22">
        <v>0</v>
      </c>
      <c r="T1118" s="22">
        <v>0</v>
      </c>
      <c r="U1118" s="22">
        <v>0</v>
      </c>
      <c r="V1118" s="22">
        <v>0</v>
      </c>
      <c r="W1118" s="22">
        <v>0</v>
      </c>
      <c r="X1118" s="22">
        <v>0</v>
      </c>
      <c r="Y1118" s="22">
        <v>0</v>
      </c>
      <c r="Z1118" s="4" t="s">
        <v>2308</v>
      </c>
      <c r="AA1118" s="4" t="s">
        <v>2308</v>
      </c>
      <c r="AB1118" s="4" t="s">
        <v>2308</v>
      </c>
      <c r="AC1118" s="5" t="s">
        <v>3472</v>
      </c>
      <c r="AD1118" s="4"/>
    </row>
    <row r="1119" spans="1:30" ht="42" customHeight="1">
      <c r="A1119" s="4" t="s">
        <v>3475</v>
      </c>
      <c r="B1119" s="4" t="s">
        <v>3481</v>
      </c>
      <c r="C1119" s="4" t="s">
        <v>1125</v>
      </c>
      <c r="D1119" s="4" t="s">
        <v>1125</v>
      </c>
      <c r="E1119" s="4" t="s">
        <v>1125</v>
      </c>
      <c r="F1119" s="5" t="s">
        <v>1125</v>
      </c>
      <c r="G1119" s="4" t="s">
        <v>2308</v>
      </c>
      <c r="H1119" s="4" t="s">
        <v>531</v>
      </c>
      <c r="I1119" s="4">
        <v>1973</v>
      </c>
      <c r="J1119" s="22">
        <f>24/'Record info'!$K$619/5</f>
        <v>1.9899672484557027E-3</v>
      </c>
      <c r="K1119" s="4" t="s">
        <v>2308</v>
      </c>
      <c r="L1119" s="22">
        <v>15</v>
      </c>
      <c r="M1119" s="4" t="s">
        <v>2308</v>
      </c>
      <c r="N1119" s="22">
        <v>24708</v>
      </c>
      <c r="O1119" s="4" t="s">
        <v>2308</v>
      </c>
      <c r="P1119" s="22">
        <v>1583.9</v>
      </c>
      <c r="Q1119" s="4" t="s">
        <v>2308</v>
      </c>
      <c r="R1119" s="22">
        <v>60.9</v>
      </c>
      <c r="S1119" s="4" t="s">
        <v>2308</v>
      </c>
      <c r="T1119" s="4" t="s">
        <v>2308</v>
      </c>
      <c r="U1119" s="4" t="s">
        <v>2308</v>
      </c>
      <c r="V1119" s="15">
        <f>16/5</f>
        <v>3.2</v>
      </c>
      <c r="W1119" s="4" t="s">
        <v>2308</v>
      </c>
      <c r="X1119" s="4" t="s">
        <v>2308</v>
      </c>
      <c r="Y1119" s="4" t="s">
        <v>2308</v>
      </c>
      <c r="Z1119" s="4" t="s">
        <v>2308</v>
      </c>
      <c r="AA1119" s="4" t="s">
        <v>2308</v>
      </c>
      <c r="AB1119" s="4" t="s">
        <v>2308</v>
      </c>
      <c r="AC1119" s="5" t="s">
        <v>3473</v>
      </c>
      <c r="AD1119" s="4"/>
    </row>
    <row r="1120" spans="1:30" ht="42" customHeight="1">
      <c r="A1120" s="4" t="s">
        <v>3475</v>
      </c>
      <c r="B1120" s="4" t="s">
        <v>3482</v>
      </c>
      <c r="C1120" s="4" t="s">
        <v>24</v>
      </c>
      <c r="D1120" s="4" t="s">
        <v>1267</v>
      </c>
      <c r="E1120" s="4" t="s">
        <v>116</v>
      </c>
      <c r="F1120" s="5" t="s">
        <v>2695</v>
      </c>
      <c r="G1120" s="5" t="s">
        <v>2695</v>
      </c>
      <c r="H1120" s="4" t="s">
        <v>532</v>
      </c>
      <c r="I1120" s="4">
        <v>1981</v>
      </c>
      <c r="J1120" s="22">
        <v>0</v>
      </c>
      <c r="K1120" s="22">
        <v>0</v>
      </c>
      <c r="L1120" s="22">
        <v>0</v>
      </c>
      <c r="M1120" s="22">
        <v>0</v>
      </c>
      <c r="N1120" s="22">
        <v>0</v>
      </c>
      <c r="O1120" s="22">
        <v>0</v>
      </c>
      <c r="P1120" s="22">
        <v>0</v>
      </c>
      <c r="Q1120" s="22">
        <v>0</v>
      </c>
      <c r="R1120" s="22">
        <v>0</v>
      </c>
      <c r="S1120" s="22">
        <v>0</v>
      </c>
      <c r="T1120" s="22">
        <v>0</v>
      </c>
      <c r="U1120" s="22">
        <v>0</v>
      </c>
      <c r="V1120" s="22">
        <v>0</v>
      </c>
      <c r="W1120" s="22">
        <v>0</v>
      </c>
      <c r="X1120" s="22">
        <v>0</v>
      </c>
      <c r="Y1120" s="22">
        <v>0</v>
      </c>
      <c r="Z1120" s="4" t="s">
        <v>2308</v>
      </c>
      <c r="AA1120" s="4" t="s">
        <v>2308</v>
      </c>
      <c r="AB1120" s="4" t="s">
        <v>2308</v>
      </c>
      <c r="AC1120" s="5" t="s">
        <v>3472</v>
      </c>
      <c r="AD1120" s="4"/>
    </row>
    <row r="1121" spans="1:30" ht="42" customHeight="1">
      <c r="A1121" s="4" t="s">
        <v>3475</v>
      </c>
      <c r="B1121" s="4" t="s">
        <v>3483</v>
      </c>
      <c r="C1121" s="4" t="s">
        <v>1125</v>
      </c>
      <c r="D1121" s="4" t="s">
        <v>1125</v>
      </c>
      <c r="E1121" s="4" t="s">
        <v>1125</v>
      </c>
      <c r="F1121" s="5" t="s">
        <v>1125</v>
      </c>
      <c r="G1121" s="4" t="s">
        <v>2308</v>
      </c>
      <c r="H1121" s="4" t="s">
        <v>531</v>
      </c>
      <c r="I1121" s="4">
        <v>1981</v>
      </c>
      <c r="J1121" s="170">
        <f>4/'Record info'!$K$619/5</f>
        <v>3.3166120807595043E-4</v>
      </c>
      <c r="K1121" s="4" t="s">
        <v>2308</v>
      </c>
      <c r="L1121" s="22">
        <v>17113</v>
      </c>
      <c r="M1121" s="4" t="s">
        <v>2308</v>
      </c>
      <c r="N1121" s="22">
        <v>129646</v>
      </c>
      <c r="O1121" s="4" t="s">
        <v>2308</v>
      </c>
      <c r="P1121" s="22">
        <v>52644</v>
      </c>
      <c r="Q1121" s="4" t="s">
        <v>2308</v>
      </c>
      <c r="R1121" s="4" t="s">
        <v>2308</v>
      </c>
      <c r="S1121" s="4" t="s">
        <v>2308</v>
      </c>
      <c r="T1121" s="4" t="s">
        <v>2308</v>
      </c>
      <c r="U1121" s="4" t="s">
        <v>2308</v>
      </c>
      <c r="V1121" s="15">
        <f>87/5</f>
        <v>17.399999999999999</v>
      </c>
      <c r="W1121" s="4" t="s">
        <v>2308</v>
      </c>
      <c r="X1121" s="4" t="s">
        <v>2308</v>
      </c>
      <c r="Y1121" s="4" t="s">
        <v>2308</v>
      </c>
      <c r="Z1121" s="4" t="s">
        <v>2308</v>
      </c>
      <c r="AA1121" s="4" t="s">
        <v>2308</v>
      </c>
      <c r="AB1121" s="4" t="s">
        <v>2308</v>
      </c>
      <c r="AC1121" s="5" t="s">
        <v>3473</v>
      </c>
      <c r="AD1121" s="4"/>
    </row>
    <row r="1122" spans="1:30" ht="42" customHeight="1">
      <c r="A1122" s="4" t="s">
        <v>3475</v>
      </c>
      <c r="B1122" s="4" t="s">
        <v>3484</v>
      </c>
      <c r="C1122" s="4" t="s">
        <v>24</v>
      </c>
      <c r="D1122" s="4" t="s">
        <v>1267</v>
      </c>
      <c r="E1122" s="4" t="s">
        <v>116</v>
      </c>
      <c r="F1122" s="5" t="s">
        <v>2695</v>
      </c>
      <c r="G1122" s="5" t="s">
        <v>2695</v>
      </c>
      <c r="H1122" s="4" t="s">
        <v>532</v>
      </c>
      <c r="I1122" s="4">
        <v>1988</v>
      </c>
      <c r="J1122" s="22">
        <v>0</v>
      </c>
      <c r="K1122" s="22">
        <v>0</v>
      </c>
      <c r="L1122" s="22">
        <v>0</v>
      </c>
      <c r="M1122" s="22">
        <v>0</v>
      </c>
      <c r="N1122" s="22">
        <v>0</v>
      </c>
      <c r="O1122" s="22">
        <v>0</v>
      </c>
      <c r="P1122" s="22">
        <v>0</v>
      </c>
      <c r="Q1122" s="22">
        <v>0</v>
      </c>
      <c r="R1122" s="22">
        <v>0</v>
      </c>
      <c r="S1122" s="22">
        <v>0</v>
      </c>
      <c r="T1122" s="22">
        <v>0</v>
      </c>
      <c r="U1122" s="22">
        <v>0</v>
      </c>
      <c r="V1122" s="22">
        <v>0</v>
      </c>
      <c r="W1122" s="22">
        <v>0</v>
      </c>
      <c r="X1122" s="22">
        <v>0</v>
      </c>
      <c r="Y1122" s="22">
        <v>0</v>
      </c>
      <c r="Z1122" s="4" t="s">
        <v>2308</v>
      </c>
      <c r="AA1122" s="4" t="s">
        <v>2308</v>
      </c>
      <c r="AB1122" s="4" t="s">
        <v>2308</v>
      </c>
      <c r="AC1122" s="5" t="s">
        <v>3472</v>
      </c>
      <c r="AD1122" s="4"/>
    </row>
    <row r="1123" spans="1:30" ht="41" customHeight="1">
      <c r="A1123" s="4" t="s">
        <v>3475</v>
      </c>
      <c r="B1123" s="4" t="s">
        <v>3485</v>
      </c>
      <c r="C1123" s="4" t="s">
        <v>1125</v>
      </c>
      <c r="D1123" s="4" t="s">
        <v>1125</v>
      </c>
      <c r="E1123" s="4" t="s">
        <v>1125</v>
      </c>
      <c r="F1123" s="5" t="s">
        <v>1125</v>
      </c>
      <c r="G1123" s="4" t="s">
        <v>2308</v>
      </c>
      <c r="H1123" s="4" t="s">
        <v>531</v>
      </c>
      <c r="I1123" s="4">
        <v>1988</v>
      </c>
      <c r="J1123" s="22">
        <f>19/'Record info'!$K$619/5</f>
        <v>1.5753907383607648E-3</v>
      </c>
      <c r="K1123" s="4" t="s">
        <v>2308</v>
      </c>
      <c r="L1123" s="22">
        <v>1</v>
      </c>
      <c r="M1123" s="4" t="s">
        <v>2308</v>
      </c>
      <c r="N1123" s="22">
        <v>71346</v>
      </c>
      <c r="O1123" s="4" t="s">
        <v>2308</v>
      </c>
      <c r="P1123" s="22">
        <v>4970.8999999999996</v>
      </c>
      <c r="Q1123" s="4" t="s">
        <v>2308</v>
      </c>
      <c r="R1123" s="22">
        <v>309.89999999999998</v>
      </c>
      <c r="S1123" s="4" t="s">
        <v>2308</v>
      </c>
      <c r="T1123" s="4" t="s">
        <v>2308</v>
      </c>
      <c r="U1123" s="4" t="s">
        <v>2308</v>
      </c>
      <c r="V1123" s="15">
        <f>39/5</f>
        <v>7.8</v>
      </c>
      <c r="W1123" s="4" t="s">
        <v>2308</v>
      </c>
      <c r="X1123" s="4" t="s">
        <v>2308</v>
      </c>
      <c r="Y1123" s="4" t="s">
        <v>2308</v>
      </c>
      <c r="Z1123" s="4" t="s">
        <v>2308</v>
      </c>
      <c r="AA1123" s="4" t="s">
        <v>2308</v>
      </c>
      <c r="AB1123" s="4" t="s">
        <v>2308</v>
      </c>
      <c r="AC1123" s="5" t="s">
        <v>3473</v>
      </c>
      <c r="AD1123" s="4"/>
    </row>
    <row r="1124" spans="1:30" ht="45.5" customHeight="1">
      <c r="A1124" s="4" t="s">
        <v>3475</v>
      </c>
      <c r="B1124" s="4" t="s">
        <v>3486</v>
      </c>
      <c r="C1124" s="4" t="s">
        <v>24</v>
      </c>
      <c r="D1124" s="4" t="s">
        <v>1267</v>
      </c>
      <c r="E1124" s="4" t="s">
        <v>116</v>
      </c>
      <c r="F1124" s="5" t="s">
        <v>2695</v>
      </c>
      <c r="G1124" s="5" t="s">
        <v>2695</v>
      </c>
      <c r="H1124" s="4" t="s">
        <v>532</v>
      </c>
      <c r="I1124" s="4">
        <v>1994</v>
      </c>
      <c r="J1124" s="22">
        <v>0</v>
      </c>
      <c r="K1124" s="22">
        <v>0</v>
      </c>
      <c r="L1124" s="22">
        <v>0</v>
      </c>
      <c r="M1124" s="22">
        <v>0</v>
      </c>
      <c r="N1124" s="22">
        <v>0</v>
      </c>
      <c r="O1124" s="22">
        <v>0</v>
      </c>
      <c r="P1124" s="22">
        <v>0</v>
      </c>
      <c r="Q1124" s="22">
        <v>0</v>
      </c>
      <c r="R1124" s="22">
        <v>0</v>
      </c>
      <c r="S1124" s="22">
        <v>0</v>
      </c>
      <c r="T1124" s="22">
        <v>0</v>
      </c>
      <c r="U1124" s="22">
        <v>0</v>
      </c>
      <c r="V1124" s="22">
        <v>0</v>
      </c>
      <c r="W1124" s="22">
        <v>0</v>
      </c>
      <c r="X1124" s="22">
        <v>0</v>
      </c>
      <c r="Y1124" s="22">
        <v>0</v>
      </c>
      <c r="Z1124" s="4" t="s">
        <v>2308</v>
      </c>
      <c r="AA1124" s="4" t="s">
        <v>2308</v>
      </c>
      <c r="AB1124" s="4" t="s">
        <v>2308</v>
      </c>
      <c r="AC1124" s="5" t="s">
        <v>3472</v>
      </c>
      <c r="AD1124" s="4"/>
    </row>
    <row r="1125" spans="1:30" ht="42.5" customHeight="1">
      <c r="A1125" s="4" t="s">
        <v>3475</v>
      </c>
      <c r="B1125" s="4" t="s">
        <v>3487</v>
      </c>
      <c r="C1125" s="4" t="s">
        <v>1125</v>
      </c>
      <c r="D1125" s="4" t="s">
        <v>1125</v>
      </c>
      <c r="E1125" s="4" t="s">
        <v>1125</v>
      </c>
      <c r="F1125" s="5" t="s">
        <v>1125</v>
      </c>
      <c r="G1125" s="4" t="s">
        <v>2308</v>
      </c>
      <c r="H1125" s="4" t="s">
        <v>531</v>
      </c>
      <c r="I1125" s="4">
        <v>1994</v>
      </c>
      <c r="J1125" s="22">
        <f>83/'Record info'!$K$619/5</f>
        <v>6.8819700675759711E-3</v>
      </c>
      <c r="K1125" s="4" t="s">
        <v>2308</v>
      </c>
      <c r="L1125" s="22">
        <v>8</v>
      </c>
      <c r="M1125" s="4" t="s">
        <v>2308</v>
      </c>
      <c r="N1125" s="22">
        <v>11992</v>
      </c>
      <c r="O1125" s="4" t="s">
        <v>2308</v>
      </c>
      <c r="P1125" s="22">
        <v>561.29999999999995</v>
      </c>
      <c r="Q1125" s="4" t="s">
        <v>2308</v>
      </c>
      <c r="R1125" s="22">
        <v>91.2</v>
      </c>
      <c r="S1125" s="4" t="s">
        <v>2308</v>
      </c>
      <c r="T1125" s="4" t="s">
        <v>2308</v>
      </c>
      <c r="U1125" s="4" t="s">
        <v>2308</v>
      </c>
      <c r="V1125" s="15">
        <f>19/5</f>
        <v>3.8</v>
      </c>
      <c r="W1125" s="4" t="s">
        <v>2308</v>
      </c>
      <c r="X1125" s="4" t="s">
        <v>2308</v>
      </c>
      <c r="Y1125" s="4" t="s">
        <v>2308</v>
      </c>
      <c r="Z1125" s="4" t="s">
        <v>2308</v>
      </c>
      <c r="AA1125" s="4" t="s">
        <v>2308</v>
      </c>
      <c r="AB1125" s="4" t="s">
        <v>2308</v>
      </c>
      <c r="AC1125" s="5" t="s">
        <v>3473</v>
      </c>
      <c r="AD1125" s="4"/>
    </row>
    <row r="1126" spans="1:30" ht="55.5" customHeight="1">
      <c r="A1126" s="4" t="s">
        <v>3475</v>
      </c>
      <c r="B1126" s="4" t="s">
        <v>3488</v>
      </c>
      <c r="C1126" s="4" t="s">
        <v>24</v>
      </c>
      <c r="D1126" s="4" t="s">
        <v>1267</v>
      </c>
      <c r="E1126" s="4" t="s">
        <v>116</v>
      </c>
      <c r="F1126" s="5" t="s">
        <v>2695</v>
      </c>
      <c r="G1126" s="5" t="s">
        <v>2695</v>
      </c>
      <c r="H1126" s="4" t="s">
        <v>532</v>
      </c>
      <c r="I1126" s="4">
        <v>2000</v>
      </c>
      <c r="J1126" s="22">
        <v>0</v>
      </c>
      <c r="K1126" s="22">
        <v>0</v>
      </c>
      <c r="L1126" s="22">
        <v>0</v>
      </c>
      <c r="M1126" s="22">
        <v>0</v>
      </c>
      <c r="N1126" s="22">
        <v>0</v>
      </c>
      <c r="O1126" s="22">
        <v>0</v>
      </c>
      <c r="P1126" s="22">
        <v>0</v>
      </c>
      <c r="Q1126" s="22">
        <v>0</v>
      </c>
      <c r="R1126" s="22">
        <v>0</v>
      </c>
      <c r="S1126" s="22">
        <v>0</v>
      </c>
      <c r="T1126" s="22">
        <v>0</v>
      </c>
      <c r="U1126" s="22">
        <v>0</v>
      </c>
      <c r="V1126" s="22">
        <v>0</v>
      </c>
      <c r="W1126" s="22">
        <v>0</v>
      </c>
      <c r="X1126" s="22">
        <v>0</v>
      </c>
      <c r="Y1126" s="22">
        <v>0</v>
      </c>
      <c r="Z1126" s="4" t="s">
        <v>2308</v>
      </c>
      <c r="AA1126" s="4" t="s">
        <v>2308</v>
      </c>
      <c r="AB1126" s="4" t="s">
        <v>2308</v>
      </c>
      <c r="AC1126" s="5" t="s">
        <v>3472</v>
      </c>
      <c r="AD1126" s="4"/>
    </row>
    <row r="1127" spans="1:30" ht="55.5" customHeight="1">
      <c r="A1127" s="4" t="s">
        <v>3475</v>
      </c>
      <c r="B1127" s="4" t="s">
        <v>5081</v>
      </c>
      <c r="C1127" s="4" t="s">
        <v>1125</v>
      </c>
      <c r="D1127" s="4" t="s">
        <v>1125</v>
      </c>
      <c r="E1127" s="4" t="s">
        <v>1125</v>
      </c>
      <c r="F1127" s="5" t="s">
        <v>1125</v>
      </c>
      <c r="G1127" s="4" t="s">
        <v>2308</v>
      </c>
      <c r="H1127" s="4" t="s">
        <v>531</v>
      </c>
      <c r="I1127" s="4">
        <v>2000</v>
      </c>
      <c r="J1127" s="22">
        <f>25/'Record info'!$K$619/5</f>
        <v>2.0728825504746904E-3</v>
      </c>
      <c r="K1127" s="4" t="s">
        <v>2308</v>
      </c>
      <c r="L1127" s="22">
        <v>19</v>
      </c>
      <c r="M1127" s="4" t="s">
        <v>2308</v>
      </c>
      <c r="N1127" s="22">
        <v>3683</v>
      </c>
      <c r="O1127" s="4" t="s">
        <v>2308</v>
      </c>
      <c r="P1127" s="22">
        <v>444.2</v>
      </c>
      <c r="Q1127" s="4" t="s">
        <v>2308</v>
      </c>
      <c r="R1127" s="22">
        <v>78.2</v>
      </c>
      <c r="S1127" s="4" t="s">
        <v>2308</v>
      </c>
      <c r="T1127" s="4" t="s">
        <v>2308</v>
      </c>
      <c r="U1127" s="4" t="s">
        <v>2308</v>
      </c>
      <c r="V1127" s="22">
        <f>4.6/5</f>
        <v>0.91999999999999993</v>
      </c>
      <c r="W1127" s="4" t="s">
        <v>2308</v>
      </c>
      <c r="X1127" s="4" t="s">
        <v>2308</v>
      </c>
      <c r="Y1127" s="4" t="s">
        <v>2308</v>
      </c>
      <c r="Z1127" s="4" t="s">
        <v>2308</v>
      </c>
      <c r="AA1127" s="4" t="s">
        <v>2308</v>
      </c>
      <c r="AB1127" s="4" t="s">
        <v>2308</v>
      </c>
      <c r="AC1127" s="5" t="s">
        <v>3473</v>
      </c>
      <c r="AD1127" s="4"/>
    </row>
    <row r="1128" spans="1:30" ht="39" customHeight="1">
      <c r="A1128" s="12" t="s">
        <v>3494</v>
      </c>
      <c r="B1128" s="12" t="s">
        <v>3496</v>
      </c>
      <c r="C1128" s="4" t="s">
        <v>24</v>
      </c>
      <c r="D1128" s="4" t="s">
        <v>1267</v>
      </c>
      <c r="E1128" s="4" t="s">
        <v>116</v>
      </c>
      <c r="F1128" s="5" t="s">
        <v>2695</v>
      </c>
      <c r="G1128" s="5" t="s">
        <v>2695</v>
      </c>
      <c r="H1128" s="4" t="s">
        <v>531</v>
      </c>
      <c r="I1128" s="4"/>
      <c r="J1128" s="4" t="s">
        <v>2308</v>
      </c>
      <c r="K1128" s="4" t="s">
        <v>2308</v>
      </c>
      <c r="L1128" s="4" t="s">
        <v>2308</v>
      </c>
      <c r="M1128" s="4" t="s">
        <v>2308</v>
      </c>
      <c r="N1128" s="4" t="s">
        <v>2308</v>
      </c>
      <c r="O1128" s="4" t="s">
        <v>2308</v>
      </c>
      <c r="P1128" s="4" t="s">
        <v>2308</v>
      </c>
      <c r="Q1128" s="4" t="s">
        <v>2308</v>
      </c>
      <c r="R1128" s="4" t="s">
        <v>2308</v>
      </c>
      <c r="S1128" s="4" t="s">
        <v>2308</v>
      </c>
      <c r="T1128" s="4" t="s">
        <v>2308</v>
      </c>
      <c r="U1128" s="4" t="s">
        <v>2308</v>
      </c>
      <c r="V1128" s="4" t="s">
        <v>2308</v>
      </c>
      <c r="W1128" s="4" t="s">
        <v>2308</v>
      </c>
      <c r="X1128" s="4" t="s">
        <v>2308</v>
      </c>
      <c r="Y1128" s="4" t="s">
        <v>2308</v>
      </c>
      <c r="Z1128" s="4" t="s">
        <v>86</v>
      </c>
      <c r="AA1128" s="4" t="s">
        <v>68</v>
      </c>
      <c r="AB1128" s="4" t="s">
        <v>2688</v>
      </c>
      <c r="AC1128" s="5" t="s">
        <v>3498</v>
      </c>
      <c r="AD1128" s="4"/>
    </row>
    <row r="1129" spans="1:30" ht="44.5" customHeight="1">
      <c r="A1129" s="12" t="s">
        <v>3494</v>
      </c>
      <c r="B1129" s="12" t="s">
        <v>3497</v>
      </c>
      <c r="C1129" s="4" t="s">
        <v>24</v>
      </c>
      <c r="D1129" s="4" t="s">
        <v>1264</v>
      </c>
      <c r="E1129" s="4" t="s">
        <v>116</v>
      </c>
      <c r="F1129" s="5" t="s">
        <v>2695</v>
      </c>
      <c r="G1129" s="5" t="s">
        <v>2695</v>
      </c>
      <c r="H1129" s="4" t="s">
        <v>531</v>
      </c>
      <c r="I1129" s="4"/>
      <c r="J1129" s="4" t="s">
        <v>2308</v>
      </c>
      <c r="K1129" s="4" t="s">
        <v>2308</v>
      </c>
      <c r="L1129" s="4" t="s">
        <v>2308</v>
      </c>
      <c r="M1129" s="4" t="s">
        <v>2308</v>
      </c>
      <c r="N1129" s="4" t="s">
        <v>2308</v>
      </c>
      <c r="O1129" s="4" t="s">
        <v>2308</v>
      </c>
      <c r="P1129" s="4" t="s">
        <v>2308</v>
      </c>
      <c r="Q1129" s="4" t="s">
        <v>2308</v>
      </c>
      <c r="R1129" s="4" t="s">
        <v>2308</v>
      </c>
      <c r="S1129" s="4" t="s">
        <v>2308</v>
      </c>
      <c r="T1129" s="4" t="s">
        <v>2308</v>
      </c>
      <c r="U1129" s="4" t="s">
        <v>2308</v>
      </c>
      <c r="V1129" s="4" t="s">
        <v>2308</v>
      </c>
      <c r="W1129" s="4" t="s">
        <v>2308</v>
      </c>
      <c r="X1129" s="4" t="s">
        <v>2308</v>
      </c>
      <c r="Y1129" s="4" t="s">
        <v>2308</v>
      </c>
      <c r="Z1129" s="4" t="s">
        <v>86</v>
      </c>
      <c r="AA1129" s="4" t="s">
        <v>412</v>
      </c>
      <c r="AB1129" s="4" t="s">
        <v>2688</v>
      </c>
      <c r="AC1129" s="5" t="s">
        <v>3499</v>
      </c>
      <c r="AD1129" s="4"/>
    </row>
    <row r="1130" spans="1:30" ht="45" customHeight="1">
      <c r="A1130" s="12" t="s">
        <v>3494</v>
      </c>
      <c r="B1130" s="12" t="s">
        <v>3500</v>
      </c>
      <c r="C1130" s="4" t="s">
        <v>24</v>
      </c>
      <c r="D1130" s="4" t="s">
        <v>2337</v>
      </c>
      <c r="E1130" s="4" t="s">
        <v>116</v>
      </c>
      <c r="F1130" s="5" t="s">
        <v>55</v>
      </c>
      <c r="G1130" s="4" t="s">
        <v>55</v>
      </c>
      <c r="H1130" s="4" t="s">
        <v>531</v>
      </c>
      <c r="I1130" s="4"/>
      <c r="J1130" s="4" t="s">
        <v>2308</v>
      </c>
      <c r="K1130" s="4" t="s">
        <v>2308</v>
      </c>
      <c r="L1130" s="4" t="s">
        <v>2308</v>
      </c>
      <c r="M1130" s="4" t="s">
        <v>2308</v>
      </c>
      <c r="N1130" s="4" t="s">
        <v>2308</v>
      </c>
      <c r="O1130" s="4" t="s">
        <v>2308</v>
      </c>
      <c r="P1130" s="4" t="s">
        <v>2308</v>
      </c>
      <c r="Q1130" s="4" t="s">
        <v>2308</v>
      </c>
      <c r="R1130" s="4" t="s">
        <v>2308</v>
      </c>
      <c r="S1130" s="4" t="s">
        <v>2308</v>
      </c>
      <c r="T1130" s="4" t="s">
        <v>2308</v>
      </c>
      <c r="U1130" s="4" t="s">
        <v>2308</v>
      </c>
      <c r="V1130" s="4" t="s">
        <v>2308</v>
      </c>
      <c r="W1130" s="4" t="s">
        <v>2308</v>
      </c>
      <c r="X1130" s="4" t="s">
        <v>2308</v>
      </c>
      <c r="Y1130" s="4" t="s">
        <v>2308</v>
      </c>
      <c r="Z1130" s="4" t="s">
        <v>86</v>
      </c>
      <c r="AA1130" s="4" t="s">
        <v>68</v>
      </c>
      <c r="AB1130" s="4" t="s">
        <v>64</v>
      </c>
      <c r="AC1130" s="5" t="s">
        <v>3502</v>
      </c>
      <c r="AD1130" s="4"/>
    </row>
    <row r="1131" spans="1:30" ht="46" customHeight="1">
      <c r="A1131" s="12" t="s">
        <v>3494</v>
      </c>
      <c r="B1131" s="12" t="s">
        <v>3501</v>
      </c>
      <c r="C1131" s="4" t="s">
        <v>2689</v>
      </c>
      <c r="D1131" s="4" t="s">
        <v>2308</v>
      </c>
      <c r="E1131" s="4" t="s">
        <v>2308</v>
      </c>
      <c r="F1131" s="5" t="s">
        <v>2308</v>
      </c>
      <c r="G1131" s="4" t="s">
        <v>2308</v>
      </c>
      <c r="H1131" s="4" t="s">
        <v>531</v>
      </c>
      <c r="I1131" s="4"/>
      <c r="J1131" s="4" t="s">
        <v>2308</v>
      </c>
      <c r="K1131" s="4" t="s">
        <v>2308</v>
      </c>
      <c r="L1131" s="4" t="s">
        <v>2308</v>
      </c>
      <c r="M1131" s="4" t="s">
        <v>2308</v>
      </c>
      <c r="N1131" s="4" t="s">
        <v>2308</v>
      </c>
      <c r="O1131" s="4" t="s">
        <v>2308</v>
      </c>
      <c r="P1131" s="4" t="s">
        <v>2308</v>
      </c>
      <c r="Q1131" s="4" t="s">
        <v>2308</v>
      </c>
      <c r="R1131" s="4" t="s">
        <v>2308</v>
      </c>
      <c r="S1131" s="4" t="s">
        <v>2308</v>
      </c>
      <c r="T1131" s="4" t="s">
        <v>2308</v>
      </c>
      <c r="U1131" s="4" t="s">
        <v>2308</v>
      </c>
      <c r="V1131" s="4" t="s">
        <v>2308</v>
      </c>
      <c r="W1131" s="4" t="s">
        <v>2308</v>
      </c>
      <c r="X1131" s="4" t="s">
        <v>2308</v>
      </c>
      <c r="Y1131" s="4" t="s">
        <v>2308</v>
      </c>
      <c r="Z1131" s="12" t="s">
        <v>68</v>
      </c>
      <c r="AA1131" s="12" t="s">
        <v>133</v>
      </c>
      <c r="AB1131" s="12" t="s">
        <v>64</v>
      </c>
      <c r="AC1131" s="5" t="s">
        <v>3505</v>
      </c>
      <c r="AD1131" s="4"/>
    </row>
    <row r="1132" spans="1:30" ht="55.5" customHeight="1">
      <c r="A1132" s="12" t="s">
        <v>3494</v>
      </c>
      <c r="B1132" s="12" t="s">
        <v>3503</v>
      </c>
      <c r="C1132" s="4" t="s">
        <v>2491</v>
      </c>
      <c r="D1132" s="4" t="s">
        <v>1267</v>
      </c>
      <c r="E1132" s="4" t="s">
        <v>116</v>
      </c>
      <c r="F1132" s="5" t="s">
        <v>2695</v>
      </c>
      <c r="G1132" s="4" t="s">
        <v>2308</v>
      </c>
      <c r="H1132" s="4" t="s">
        <v>531</v>
      </c>
      <c r="I1132" s="4"/>
      <c r="J1132" s="4" t="s">
        <v>2308</v>
      </c>
      <c r="K1132" s="4" t="s">
        <v>2308</v>
      </c>
      <c r="L1132" s="4" t="s">
        <v>2308</v>
      </c>
      <c r="M1132" s="4" t="s">
        <v>2308</v>
      </c>
      <c r="N1132" s="4" t="s">
        <v>2308</v>
      </c>
      <c r="O1132" s="4" t="s">
        <v>2308</v>
      </c>
      <c r="P1132" s="4" t="s">
        <v>2308</v>
      </c>
      <c r="Q1132" s="4" t="s">
        <v>2308</v>
      </c>
      <c r="R1132" s="4" t="s">
        <v>2308</v>
      </c>
      <c r="S1132" s="4" t="s">
        <v>2308</v>
      </c>
      <c r="T1132" s="4" t="s">
        <v>2308</v>
      </c>
      <c r="U1132" s="4" t="s">
        <v>2308</v>
      </c>
      <c r="V1132" s="4" t="s">
        <v>2308</v>
      </c>
      <c r="W1132" s="4" t="s">
        <v>2308</v>
      </c>
      <c r="X1132" s="4" t="s">
        <v>2308</v>
      </c>
      <c r="Y1132" s="4" t="s">
        <v>2308</v>
      </c>
      <c r="Z1132" s="4" t="s">
        <v>432</v>
      </c>
      <c r="AA1132" s="4" t="s">
        <v>68</v>
      </c>
      <c r="AB1132" s="4" t="s">
        <v>64</v>
      </c>
      <c r="AC1132" s="5" t="s">
        <v>3504</v>
      </c>
      <c r="AD1132" s="4"/>
    </row>
    <row r="1133" spans="1:30" ht="45" customHeight="1">
      <c r="A1133" s="12" t="s">
        <v>3509</v>
      </c>
      <c r="B1133" s="12" t="s">
        <v>3514</v>
      </c>
      <c r="C1133" s="4" t="s">
        <v>24</v>
      </c>
      <c r="D1133" s="4" t="s">
        <v>2837</v>
      </c>
      <c r="E1133" s="4" t="s">
        <v>5065</v>
      </c>
      <c r="F1133" s="5" t="s">
        <v>2695</v>
      </c>
      <c r="G1133" s="4" t="s">
        <v>2308</v>
      </c>
      <c r="H1133" s="4" t="s">
        <v>531</v>
      </c>
      <c r="I1133" s="4"/>
      <c r="J1133" s="4" t="s">
        <v>2308</v>
      </c>
      <c r="K1133" s="4" t="s">
        <v>2308</v>
      </c>
      <c r="L1133" s="4" t="s">
        <v>2308</v>
      </c>
      <c r="M1133" s="4" t="s">
        <v>2308</v>
      </c>
      <c r="N1133" s="4" t="s">
        <v>2308</v>
      </c>
      <c r="O1133" s="4" t="s">
        <v>2308</v>
      </c>
      <c r="P1133" s="4" t="s">
        <v>2308</v>
      </c>
      <c r="Q1133" s="4" t="s">
        <v>2308</v>
      </c>
      <c r="R1133" s="4" t="s">
        <v>2308</v>
      </c>
      <c r="S1133" s="4" t="s">
        <v>2308</v>
      </c>
      <c r="T1133" s="4" t="s">
        <v>2308</v>
      </c>
      <c r="U1133" s="4" t="s">
        <v>2308</v>
      </c>
      <c r="V1133" s="4" t="s">
        <v>2308</v>
      </c>
      <c r="W1133" s="4" t="s">
        <v>2308</v>
      </c>
      <c r="X1133" s="4" t="s">
        <v>2308</v>
      </c>
      <c r="Y1133" s="4" t="s">
        <v>2308</v>
      </c>
      <c r="Z1133" s="4" t="s">
        <v>195</v>
      </c>
      <c r="AA1133" s="4" t="s">
        <v>38</v>
      </c>
      <c r="AB1133" s="4" t="s">
        <v>64</v>
      </c>
      <c r="AC1133" s="5" t="s">
        <v>3515</v>
      </c>
      <c r="AD1133" s="4"/>
    </row>
    <row r="1134" spans="1:30" ht="81.5" customHeight="1">
      <c r="A1134" s="12" t="s">
        <v>3509</v>
      </c>
      <c r="B1134" s="12" t="s">
        <v>3516</v>
      </c>
      <c r="C1134" s="4" t="s">
        <v>24</v>
      </c>
      <c r="D1134" s="4" t="s">
        <v>25</v>
      </c>
      <c r="E1134" s="4" t="s">
        <v>5065</v>
      </c>
      <c r="F1134" s="5" t="s">
        <v>2695</v>
      </c>
      <c r="G1134" s="4" t="s">
        <v>2308</v>
      </c>
      <c r="H1134" s="4" t="s">
        <v>532</v>
      </c>
      <c r="I1134" s="4"/>
      <c r="J1134" s="22">
        <v>0</v>
      </c>
      <c r="K1134" s="22">
        <v>0</v>
      </c>
      <c r="L1134" s="22">
        <v>0</v>
      </c>
      <c r="M1134" s="22">
        <v>0</v>
      </c>
      <c r="N1134" s="22">
        <v>0</v>
      </c>
      <c r="O1134" s="22">
        <v>0</v>
      </c>
      <c r="P1134" s="22">
        <v>0</v>
      </c>
      <c r="Q1134" s="22">
        <v>0</v>
      </c>
      <c r="R1134" s="22">
        <v>0</v>
      </c>
      <c r="S1134" s="22">
        <v>0</v>
      </c>
      <c r="T1134" s="22">
        <v>0</v>
      </c>
      <c r="U1134" s="22">
        <v>0</v>
      </c>
      <c r="V1134" s="22">
        <v>0</v>
      </c>
      <c r="W1134" s="22">
        <v>0</v>
      </c>
      <c r="X1134" s="22">
        <v>0</v>
      </c>
      <c r="Y1134" s="22">
        <v>0</v>
      </c>
      <c r="Z1134" s="4" t="s">
        <v>68</v>
      </c>
      <c r="AA1134" s="4" t="s">
        <v>35</v>
      </c>
      <c r="AB1134" s="4" t="s">
        <v>2308</v>
      </c>
      <c r="AC1134" s="5" t="s">
        <v>3517</v>
      </c>
      <c r="AD1134" s="4"/>
    </row>
    <row r="1135" spans="1:30" ht="54.5" customHeight="1">
      <c r="A1135" s="12" t="s">
        <v>3509</v>
      </c>
      <c r="B1135" s="12" t="s">
        <v>3518</v>
      </c>
      <c r="C1135" s="4" t="s">
        <v>24</v>
      </c>
      <c r="D1135" s="4" t="s">
        <v>149</v>
      </c>
      <c r="E1135" s="4" t="s">
        <v>136</v>
      </c>
      <c r="F1135" s="5" t="s">
        <v>74</v>
      </c>
      <c r="G1135" s="4" t="s">
        <v>2308</v>
      </c>
      <c r="H1135" s="4" t="s">
        <v>531</v>
      </c>
      <c r="I1135" s="4"/>
      <c r="J1135" s="4" t="s">
        <v>2308</v>
      </c>
      <c r="K1135" s="4" t="s">
        <v>2308</v>
      </c>
      <c r="L1135" s="4" t="s">
        <v>2308</v>
      </c>
      <c r="M1135" s="4" t="s">
        <v>2308</v>
      </c>
      <c r="N1135" s="4" t="s">
        <v>2308</v>
      </c>
      <c r="O1135" s="4" t="s">
        <v>2308</v>
      </c>
      <c r="P1135" s="4" t="s">
        <v>2308</v>
      </c>
      <c r="Q1135" s="4" t="s">
        <v>2308</v>
      </c>
      <c r="R1135" s="4" t="s">
        <v>2308</v>
      </c>
      <c r="S1135" s="4" t="s">
        <v>2308</v>
      </c>
      <c r="T1135" s="4" t="s">
        <v>2308</v>
      </c>
      <c r="U1135" s="4" t="s">
        <v>2308</v>
      </c>
      <c r="V1135" s="4" t="s">
        <v>2308</v>
      </c>
      <c r="W1135" s="4" t="s">
        <v>2308</v>
      </c>
      <c r="X1135" s="4" t="s">
        <v>2308</v>
      </c>
      <c r="Y1135" s="4" t="s">
        <v>2308</v>
      </c>
      <c r="Z1135" s="4" t="s">
        <v>2308</v>
      </c>
      <c r="AA1135" s="4" t="s">
        <v>2308</v>
      </c>
      <c r="AB1135" s="4" t="s">
        <v>2308</v>
      </c>
      <c r="AC1135" s="4"/>
      <c r="AD1135" s="4"/>
    </row>
    <row r="1136" spans="1:30" ht="47" customHeight="1">
      <c r="A1136" s="12" t="s">
        <v>3509</v>
      </c>
      <c r="B1136" s="12" t="s">
        <v>3519</v>
      </c>
      <c r="C1136" s="4" t="s">
        <v>24</v>
      </c>
      <c r="D1136" s="4" t="s">
        <v>2692</v>
      </c>
      <c r="E1136" s="4" t="s">
        <v>136</v>
      </c>
      <c r="F1136" s="5" t="s">
        <v>28</v>
      </c>
      <c r="G1136" s="4" t="s">
        <v>2308</v>
      </c>
      <c r="H1136" s="4" t="s">
        <v>531</v>
      </c>
      <c r="I1136" s="4"/>
      <c r="J1136" s="4" t="s">
        <v>2308</v>
      </c>
      <c r="K1136" s="4" t="s">
        <v>2308</v>
      </c>
      <c r="L1136" s="4" t="s">
        <v>2308</v>
      </c>
      <c r="M1136" s="4" t="s">
        <v>2308</v>
      </c>
      <c r="N1136" s="4" t="s">
        <v>2308</v>
      </c>
      <c r="O1136" s="4" t="s">
        <v>2308</v>
      </c>
      <c r="P1136" s="4" t="s">
        <v>2308</v>
      </c>
      <c r="Q1136" s="4" t="s">
        <v>2308</v>
      </c>
      <c r="R1136" s="4" t="s">
        <v>2308</v>
      </c>
      <c r="S1136" s="4" t="s">
        <v>2308</v>
      </c>
      <c r="T1136" s="4" t="s">
        <v>2308</v>
      </c>
      <c r="U1136" s="4" t="s">
        <v>2308</v>
      </c>
      <c r="V1136" s="4" t="s">
        <v>2308</v>
      </c>
      <c r="W1136" s="4" t="s">
        <v>2308</v>
      </c>
      <c r="X1136" s="4" t="s">
        <v>2308</v>
      </c>
      <c r="Y1136" s="4" t="s">
        <v>2308</v>
      </c>
      <c r="Z1136" s="4" t="s">
        <v>195</v>
      </c>
      <c r="AA1136" s="4" t="s">
        <v>38</v>
      </c>
      <c r="AB1136" s="4" t="s">
        <v>64</v>
      </c>
      <c r="AC1136" s="4" t="s">
        <v>3521</v>
      </c>
      <c r="AD1136" s="4"/>
    </row>
    <row r="1137" spans="1:30" ht="45.5" customHeight="1">
      <c r="A1137" s="12" t="s">
        <v>3509</v>
      </c>
      <c r="B1137" s="12" t="s">
        <v>3520</v>
      </c>
      <c r="C1137" s="4" t="s">
        <v>24</v>
      </c>
      <c r="D1137" s="4" t="s">
        <v>27</v>
      </c>
      <c r="E1137" s="4" t="s">
        <v>136</v>
      </c>
      <c r="F1137" s="5" t="s">
        <v>167</v>
      </c>
      <c r="G1137" s="4" t="s">
        <v>2308</v>
      </c>
      <c r="H1137" s="4" t="s">
        <v>531</v>
      </c>
      <c r="I1137" s="4"/>
      <c r="J1137" s="4" t="s">
        <v>2308</v>
      </c>
      <c r="K1137" s="4" t="s">
        <v>2308</v>
      </c>
      <c r="L1137" s="4" t="s">
        <v>2308</v>
      </c>
      <c r="M1137" s="4" t="s">
        <v>2308</v>
      </c>
      <c r="N1137" s="4" t="s">
        <v>2308</v>
      </c>
      <c r="O1137" s="4" t="s">
        <v>2308</v>
      </c>
      <c r="P1137" s="4" t="s">
        <v>2308</v>
      </c>
      <c r="Q1137" s="4" t="s">
        <v>2308</v>
      </c>
      <c r="R1137" s="4" t="s">
        <v>2308</v>
      </c>
      <c r="S1137" s="4" t="s">
        <v>2308</v>
      </c>
      <c r="T1137" s="4" t="s">
        <v>2308</v>
      </c>
      <c r="U1137" s="4" t="s">
        <v>2308</v>
      </c>
      <c r="V1137" s="4" t="s">
        <v>2308</v>
      </c>
      <c r="W1137" s="4" t="s">
        <v>2308</v>
      </c>
      <c r="X1137" s="4" t="s">
        <v>2308</v>
      </c>
      <c r="Y1137" s="4" t="s">
        <v>2308</v>
      </c>
      <c r="Z1137" s="4" t="s">
        <v>195</v>
      </c>
      <c r="AA1137" s="4" t="s">
        <v>38</v>
      </c>
      <c r="AB1137" s="4" t="s">
        <v>64</v>
      </c>
      <c r="AC1137" s="4" t="s">
        <v>3521</v>
      </c>
      <c r="AD1137" s="4"/>
    </row>
    <row r="1138" spans="1:30" ht="45" customHeight="1">
      <c r="A1138" s="12" t="s">
        <v>3509</v>
      </c>
      <c r="B1138" s="12" t="s">
        <v>3524</v>
      </c>
      <c r="C1138" s="4" t="s">
        <v>24</v>
      </c>
      <c r="D1138" s="4" t="s">
        <v>3525</v>
      </c>
      <c r="E1138" s="4" t="s">
        <v>877</v>
      </c>
      <c r="F1138" s="5" t="s">
        <v>167</v>
      </c>
      <c r="G1138" s="4" t="s">
        <v>2308</v>
      </c>
      <c r="H1138" s="4" t="s">
        <v>531</v>
      </c>
      <c r="I1138" s="4"/>
      <c r="J1138" s="4" t="s">
        <v>2308</v>
      </c>
      <c r="K1138" s="4" t="s">
        <v>2308</v>
      </c>
      <c r="L1138" s="4" t="s">
        <v>2308</v>
      </c>
      <c r="M1138" s="4" t="s">
        <v>2308</v>
      </c>
      <c r="N1138" s="4" t="s">
        <v>2308</v>
      </c>
      <c r="O1138" s="4" t="s">
        <v>2308</v>
      </c>
      <c r="P1138" s="4" t="s">
        <v>2308</v>
      </c>
      <c r="Q1138" s="4" t="s">
        <v>2308</v>
      </c>
      <c r="R1138" s="4" t="s">
        <v>2308</v>
      </c>
      <c r="S1138" s="4" t="s">
        <v>2308</v>
      </c>
      <c r="T1138" s="4" t="s">
        <v>2308</v>
      </c>
      <c r="U1138" s="4" t="s">
        <v>2308</v>
      </c>
      <c r="V1138" s="4" t="s">
        <v>2308</v>
      </c>
      <c r="W1138" s="4" t="s">
        <v>2308</v>
      </c>
      <c r="X1138" s="4" t="s">
        <v>2308</v>
      </c>
      <c r="Y1138" s="4" t="s">
        <v>2308</v>
      </c>
      <c r="Z1138" s="4" t="s">
        <v>2308</v>
      </c>
      <c r="AA1138" s="4" t="s">
        <v>2308</v>
      </c>
      <c r="AB1138" s="4" t="s">
        <v>2308</v>
      </c>
      <c r="AC1138" s="4"/>
      <c r="AD1138" s="4"/>
    </row>
    <row r="1139" spans="1:30" ht="44.5" customHeight="1">
      <c r="A1139" s="12" t="s">
        <v>3509</v>
      </c>
      <c r="B1139" s="12" t="s">
        <v>3527</v>
      </c>
      <c r="C1139" s="4" t="s">
        <v>2491</v>
      </c>
      <c r="D1139" s="4" t="s">
        <v>3525</v>
      </c>
      <c r="E1139" s="4" t="s">
        <v>877</v>
      </c>
      <c r="F1139" s="5" t="s">
        <v>167</v>
      </c>
      <c r="G1139" s="4" t="s">
        <v>74</v>
      </c>
      <c r="H1139" s="4" t="s">
        <v>531</v>
      </c>
      <c r="I1139" s="4"/>
      <c r="J1139" s="4" t="s">
        <v>2308</v>
      </c>
      <c r="K1139" s="4" t="s">
        <v>2308</v>
      </c>
      <c r="L1139" s="4" t="s">
        <v>2308</v>
      </c>
      <c r="M1139" s="4" t="s">
        <v>2308</v>
      </c>
      <c r="N1139" s="4" t="s">
        <v>2308</v>
      </c>
      <c r="O1139" s="4" t="s">
        <v>2308</v>
      </c>
      <c r="P1139" s="4" t="s">
        <v>2308</v>
      </c>
      <c r="Q1139" s="4" t="s">
        <v>2308</v>
      </c>
      <c r="R1139" s="4" t="s">
        <v>2308</v>
      </c>
      <c r="S1139" s="4" t="s">
        <v>2308</v>
      </c>
      <c r="T1139" s="4" t="s">
        <v>2308</v>
      </c>
      <c r="U1139" s="4" t="s">
        <v>2308</v>
      </c>
      <c r="V1139" s="4" t="s">
        <v>2308</v>
      </c>
      <c r="W1139" s="4" t="s">
        <v>2308</v>
      </c>
      <c r="X1139" s="4" t="s">
        <v>2308</v>
      </c>
      <c r="Y1139" s="4" t="s">
        <v>2308</v>
      </c>
      <c r="Z1139" s="4" t="s">
        <v>2308</v>
      </c>
      <c r="AA1139" s="4" t="s">
        <v>2308</v>
      </c>
      <c r="AB1139" s="4" t="s">
        <v>2308</v>
      </c>
      <c r="AC1139" s="12" t="s">
        <v>3526</v>
      </c>
      <c r="AD1139" s="4"/>
    </row>
    <row r="1140" spans="1:30" ht="44.5" customHeight="1">
      <c r="A1140" s="12" t="s">
        <v>3509</v>
      </c>
      <c r="B1140" s="12" t="s">
        <v>3528</v>
      </c>
      <c r="C1140" s="4" t="s">
        <v>24</v>
      </c>
      <c r="D1140" s="4" t="s">
        <v>3529</v>
      </c>
      <c r="E1140" s="4" t="s">
        <v>116</v>
      </c>
      <c r="F1140" s="5" t="s">
        <v>74</v>
      </c>
      <c r="G1140" s="4" t="s">
        <v>74</v>
      </c>
      <c r="H1140" s="4" t="s">
        <v>531</v>
      </c>
      <c r="I1140" s="4"/>
      <c r="J1140" s="4" t="s">
        <v>2308</v>
      </c>
      <c r="K1140" s="4" t="s">
        <v>2308</v>
      </c>
      <c r="L1140" s="4" t="s">
        <v>2308</v>
      </c>
      <c r="M1140" s="4" t="s">
        <v>2308</v>
      </c>
      <c r="N1140" s="4" t="s">
        <v>2308</v>
      </c>
      <c r="O1140" s="4" t="s">
        <v>2308</v>
      </c>
      <c r="P1140" s="4" t="s">
        <v>2308</v>
      </c>
      <c r="Q1140" s="4" t="s">
        <v>2308</v>
      </c>
      <c r="R1140" s="4" t="s">
        <v>2308</v>
      </c>
      <c r="S1140" s="4" t="s">
        <v>2308</v>
      </c>
      <c r="T1140" s="4" t="s">
        <v>2308</v>
      </c>
      <c r="U1140" s="4" t="s">
        <v>2308</v>
      </c>
      <c r="V1140" s="4" t="s">
        <v>2308</v>
      </c>
      <c r="W1140" s="4" t="s">
        <v>2308</v>
      </c>
      <c r="X1140" s="4" t="s">
        <v>2308</v>
      </c>
      <c r="Y1140" s="4" t="s">
        <v>2308</v>
      </c>
      <c r="Z1140" s="4" t="s">
        <v>2308</v>
      </c>
      <c r="AA1140" s="4" t="s">
        <v>2308</v>
      </c>
      <c r="AB1140" s="4" t="s">
        <v>2308</v>
      </c>
      <c r="AC1140" s="20" t="s">
        <v>3530</v>
      </c>
      <c r="AD1140" s="4"/>
    </row>
    <row r="1141" spans="1:30" ht="44.5" customHeight="1">
      <c r="A1141" s="36" t="s">
        <v>3509</v>
      </c>
      <c r="B1141" s="36" t="s">
        <v>3531</v>
      </c>
      <c r="C1141" s="39" t="s">
        <v>2491</v>
      </c>
      <c r="D1141" s="39" t="s">
        <v>3529</v>
      </c>
      <c r="E1141" s="39" t="s">
        <v>116</v>
      </c>
      <c r="F1141" s="177" t="s">
        <v>74</v>
      </c>
      <c r="G1141" s="39" t="s">
        <v>74</v>
      </c>
      <c r="H1141" s="39" t="s">
        <v>531</v>
      </c>
      <c r="I1141" s="39"/>
      <c r="J1141" s="39" t="s">
        <v>2308</v>
      </c>
      <c r="K1141" s="39" t="s">
        <v>2308</v>
      </c>
      <c r="L1141" s="39" t="s">
        <v>2308</v>
      </c>
      <c r="M1141" s="39" t="s">
        <v>2308</v>
      </c>
      <c r="N1141" s="39" t="s">
        <v>2308</v>
      </c>
      <c r="O1141" s="39" t="s">
        <v>2308</v>
      </c>
      <c r="P1141" s="39" t="s">
        <v>2308</v>
      </c>
      <c r="Q1141" s="39" t="s">
        <v>2308</v>
      </c>
      <c r="R1141" s="39" t="s">
        <v>2308</v>
      </c>
      <c r="S1141" s="39" t="s">
        <v>2308</v>
      </c>
      <c r="T1141" s="39" t="s">
        <v>2308</v>
      </c>
      <c r="U1141" s="39" t="s">
        <v>2308</v>
      </c>
      <c r="V1141" s="39" t="s">
        <v>2308</v>
      </c>
      <c r="W1141" s="39" t="s">
        <v>2308</v>
      </c>
      <c r="X1141" s="39" t="s">
        <v>2308</v>
      </c>
      <c r="Y1141" s="39" t="s">
        <v>2308</v>
      </c>
      <c r="Z1141" s="39" t="s">
        <v>2308</v>
      </c>
      <c r="AA1141" s="39" t="s">
        <v>2308</v>
      </c>
      <c r="AB1141" s="39" t="s">
        <v>2308</v>
      </c>
      <c r="AC1141" s="56" t="s">
        <v>3530</v>
      </c>
      <c r="AD1141" s="4"/>
    </row>
    <row r="1142" spans="1:30" ht="98.5" customHeight="1">
      <c r="A1142" s="12" t="s">
        <v>3509</v>
      </c>
      <c r="B1142" s="12" t="s">
        <v>3532</v>
      </c>
      <c r="C1142" s="4" t="s">
        <v>24</v>
      </c>
      <c r="D1142" s="4" t="s">
        <v>2378</v>
      </c>
      <c r="E1142" s="4" t="s">
        <v>5065</v>
      </c>
      <c r="F1142" s="5" t="s">
        <v>28</v>
      </c>
      <c r="G1142" s="4" t="s">
        <v>2308</v>
      </c>
      <c r="H1142" s="4" t="s">
        <v>531</v>
      </c>
      <c r="I1142" s="4"/>
      <c r="J1142" s="4" t="s">
        <v>2308</v>
      </c>
      <c r="K1142" s="4" t="s">
        <v>2308</v>
      </c>
      <c r="L1142" s="4" t="s">
        <v>2308</v>
      </c>
      <c r="M1142" s="4" t="s">
        <v>2308</v>
      </c>
      <c r="N1142" s="4" t="s">
        <v>2308</v>
      </c>
      <c r="O1142" s="4" t="s">
        <v>2308</v>
      </c>
      <c r="P1142" s="4" t="s">
        <v>2308</v>
      </c>
      <c r="Q1142" s="4" t="s">
        <v>2308</v>
      </c>
      <c r="R1142" s="4" t="s">
        <v>2308</v>
      </c>
      <c r="S1142" s="4" t="s">
        <v>2308</v>
      </c>
      <c r="T1142" s="4" t="s">
        <v>2308</v>
      </c>
      <c r="U1142" s="4" t="s">
        <v>2308</v>
      </c>
      <c r="V1142" s="4" t="s">
        <v>2308</v>
      </c>
      <c r="W1142" s="4" t="s">
        <v>2308</v>
      </c>
      <c r="X1142" s="4" t="s">
        <v>2308</v>
      </c>
      <c r="Y1142" s="4" t="s">
        <v>2308</v>
      </c>
      <c r="Z1142" s="4" t="s">
        <v>2308</v>
      </c>
      <c r="AA1142" s="4" t="s">
        <v>2308</v>
      </c>
      <c r="AB1142" s="4" t="s">
        <v>2308</v>
      </c>
      <c r="AC1142" s="5" t="s">
        <v>3533</v>
      </c>
      <c r="AD1142" s="4"/>
    </row>
    <row r="1143" spans="1:30" ht="37.5" customHeight="1">
      <c r="A1143" s="12" t="s">
        <v>3540</v>
      </c>
      <c r="B1143" s="12" t="s">
        <v>3546</v>
      </c>
      <c r="C1143" s="4" t="s">
        <v>1125</v>
      </c>
      <c r="D1143" s="4" t="s">
        <v>1125</v>
      </c>
      <c r="E1143" s="4" t="s">
        <v>1125</v>
      </c>
      <c r="F1143" s="5" t="s">
        <v>1125</v>
      </c>
      <c r="G1143" s="4" t="s">
        <v>1125</v>
      </c>
      <c r="H1143" s="4" t="s">
        <v>531</v>
      </c>
      <c r="I1143" s="4">
        <v>2009</v>
      </c>
      <c r="J1143" s="4" t="s">
        <v>2308</v>
      </c>
      <c r="K1143" s="4" t="s">
        <v>2308</v>
      </c>
      <c r="L1143" s="4" t="s">
        <v>2308</v>
      </c>
      <c r="M1143" s="4" t="s">
        <v>2308</v>
      </c>
      <c r="N1143" s="4" t="s">
        <v>2308</v>
      </c>
      <c r="O1143" s="4" t="s">
        <v>2308</v>
      </c>
      <c r="P1143" s="4" t="s">
        <v>2308</v>
      </c>
      <c r="Q1143" s="4" t="s">
        <v>2308</v>
      </c>
      <c r="R1143" s="4" t="s">
        <v>2308</v>
      </c>
      <c r="S1143" s="4" t="s">
        <v>2308</v>
      </c>
      <c r="T1143" s="22">
        <v>5377.8</v>
      </c>
      <c r="U1143" s="4" t="s">
        <v>2308</v>
      </c>
      <c r="V1143" s="4" t="s">
        <v>2308</v>
      </c>
      <c r="W1143" s="4" t="s">
        <v>2308</v>
      </c>
      <c r="X1143" s="4" t="s">
        <v>2308</v>
      </c>
      <c r="Y1143" s="4" t="s">
        <v>2308</v>
      </c>
      <c r="Z1143" s="4" t="s">
        <v>2308</v>
      </c>
      <c r="AA1143" s="4" t="s">
        <v>2308</v>
      </c>
      <c r="AB1143" s="4" t="s">
        <v>2308</v>
      </c>
      <c r="AC1143" s="4"/>
      <c r="AD1143" s="4"/>
    </row>
    <row r="1144" spans="1:30" ht="37.5" customHeight="1">
      <c r="A1144" s="12" t="s">
        <v>3540</v>
      </c>
      <c r="B1144" s="12" t="s">
        <v>3547</v>
      </c>
      <c r="C1144" s="4" t="s">
        <v>1125</v>
      </c>
      <c r="D1144" s="4" t="s">
        <v>1125</v>
      </c>
      <c r="E1144" s="4" t="s">
        <v>1125</v>
      </c>
      <c r="F1144" s="5" t="s">
        <v>1125</v>
      </c>
      <c r="G1144" s="4" t="s">
        <v>1125</v>
      </c>
      <c r="H1144" s="4" t="s">
        <v>531</v>
      </c>
      <c r="I1144" s="4">
        <v>2010</v>
      </c>
      <c r="J1144" s="4" t="s">
        <v>2308</v>
      </c>
      <c r="K1144" s="4" t="s">
        <v>2308</v>
      </c>
      <c r="L1144" s="4" t="s">
        <v>2308</v>
      </c>
      <c r="M1144" s="4" t="s">
        <v>2308</v>
      </c>
      <c r="N1144" s="4" t="s">
        <v>2308</v>
      </c>
      <c r="O1144" s="4" t="s">
        <v>2308</v>
      </c>
      <c r="P1144" s="4" t="s">
        <v>2308</v>
      </c>
      <c r="Q1144" s="4" t="s">
        <v>2308</v>
      </c>
      <c r="R1144" s="4" t="s">
        <v>2308</v>
      </c>
      <c r="S1144" s="4" t="s">
        <v>2308</v>
      </c>
      <c r="T1144" s="22">
        <v>10079.33</v>
      </c>
      <c r="U1144" s="4" t="s">
        <v>2308</v>
      </c>
      <c r="V1144" s="4" t="s">
        <v>2308</v>
      </c>
      <c r="W1144" s="4" t="s">
        <v>2308</v>
      </c>
      <c r="X1144" s="4" t="s">
        <v>2308</v>
      </c>
      <c r="Y1144" s="4" t="s">
        <v>2308</v>
      </c>
      <c r="Z1144" s="4" t="s">
        <v>2308</v>
      </c>
      <c r="AA1144" s="4" t="s">
        <v>2308</v>
      </c>
      <c r="AB1144" s="4" t="s">
        <v>2308</v>
      </c>
      <c r="AC1144" s="4"/>
      <c r="AD1144" s="4"/>
    </row>
    <row r="1145" spans="1:30" ht="37.5" customHeight="1">
      <c r="A1145" s="12" t="s">
        <v>3540</v>
      </c>
      <c r="B1145" s="12" t="s">
        <v>3548</v>
      </c>
      <c r="C1145" s="4" t="s">
        <v>1125</v>
      </c>
      <c r="D1145" s="4" t="s">
        <v>1125</v>
      </c>
      <c r="E1145" s="4" t="s">
        <v>1125</v>
      </c>
      <c r="F1145" s="5" t="s">
        <v>1125</v>
      </c>
      <c r="G1145" s="4" t="s">
        <v>1125</v>
      </c>
      <c r="H1145" s="4" t="s">
        <v>531</v>
      </c>
      <c r="I1145" s="4">
        <v>2011</v>
      </c>
      <c r="J1145" s="4" t="s">
        <v>2308</v>
      </c>
      <c r="K1145" s="4" t="s">
        <v>2308</v>
      </c>
      <c r="L1145" s="4" t="s">
        <v>2308</v>
      </c>
      <c r="M1145" s="4" t="s">
        <v>2308</v>
      </c>
      <c r="N1145" s="4" t="s">
        <v>2308</v>
      </c>
      <c r="O1145" s="4" t="s">
        <v>2308</v>
      </c>
      <c r="P1145" s="4" t="s">
        <v>2308</v>
      </c>
      <c r="Q1145" s="4" t="s">
        <v>2308</v>
      </c>
      <c r="R1145" s="4" t="s">
        <v>2308</v>
      </c>
      <c r="S1145" s="4" t="s">
        <v>2308</v>
      </c>
      <c r="T1145" s="22">
        <v>6966.96</v>
      </c>
      <c r="U1145" s="4" t="s">
        <v>2308</v>
      </c>
      <c r="V1145" s="4" t="s">
        <v>2308</v>
      </c>
      <c r="W1145" s="4" t="s">
        <v>2308</v>
      </c>
      <c r="X1145" s="4" t="s">
        <v>2308</v>
      </c>
      <c r="Y1145" s="4" t="s">
        <v>2308</v>
      </c>
      <c r="Z1145" s="4" t="s">
        <v>2308</v>
      </c>
      <c r="AA1145" s="4" t="s">
        <v>2308</v>
      </c>
      <c r="AB1145" s="4" t="s">
        <v>2308</v>
      </c>
      <c r="AC1145" s="4"/>
      <c r="AD1145" s="4"/>
    </row>
    <row r="1146" spans="1:30" ht="37.5" customHeight="1">
      <c r="A1146" s="12" t="s">
        <v>3540</v>
      </c>
      <c r="B1146" s="12" t="s">
        <v>3551</v>
      </c>
      <c r="C1146" s="4" t="s">
        <v>1125</v>
      </c>
      <c r="D1146" s="4" t="s">
        <v>1125</v>
      </c>
      <c r="E1146" s="4" t="s">
        <v>1125</v>
      </c>
      <c r="F1146" s="5" t="s">
        <v>1125</v>
      </c>
      <c r="G1146" s="4" t="s">
        <v>1125</v>
      </c>
      <c r="H1146" s="4" t="s">
        <v>531</v>
      </c>
      <c r="I1146" s="4">
        <v>2012</v>
      </c>
      <c r="J1146" s="4" t="s">
        <v>2308</v>
      </c>
      <c r="K1146" s="4" t="s">
        <v>2308</v>
      </c>
      <c r="L1146" s="4" t="s">
        <v>2308</v>
      </c>
      <c r="M1146" s="4" t="s">
        <v>2308</v>
      </c>
      <c r="N1146" s="4" t="s">
        <v>2308</v>
      </c>
      <c r="O1146" s="4" t="s">
        <v>2308</v>
      </c>
      <c r="P1146" s="4" t="s">
        <v>2308</v>
      </c>
      <c r="Q1146" s="4" t="s">
        <v>2308</v>
      </c>
      <c r="R1146" s="4" t="s">
        <v>2308</v>
      </c>
      <c r="S1146" s="4" t="s">
        <v>2308</v>
      </c>
      <c r="T1146" s="22">
        <v>4866.6099999999997</v>
      </c>
      <c r="U1146" s="4" t="s">
        <v>2308</v>
      </c>
      <c r="V1146" s="4" t="s">
        <v>2308</v>
      </c>
      <c r="W1146" s="4" t="s">
        <v>2308</v>
      </c>
      <c r="X1146" s="4" t="s">
        <v>2308</v>
      </c>
      <c r="Y1146" s="4" t="s">
        <v>2308</v>
      </c>
      <c r="Z1146" s="4" t="s">
        <v>2308</v>
      </c>
      <c r="AA1146" s="4" t="s">
        <v>2308</v>
      </c>
      <c r="AB1146" s="4" t="s">
        <v>2308</v>
      </c>
      <c r="AC1146" s="4"/>
      <c r="AD1146" s="4"/>
    </row>
    <row r="1147" spans="1:30" ht="37.5" customHeight="1">
      <c r="A1147" s="12" t="s">
        <v>3540</v>
      </c>
      <c r="B1147" s="12" t="s">
        <v>3552</v>
      </c>
      <c r="C1147" s="4" t="s">
        <v>1125</v>
      </c>
      <c r="D1147" s="4" t="s">
        <v>1125</v>
      </c>
      <c r="E1147" s="4" t="s">
        <v>1125</v>
      </c>
      <c r="F1147" s="5" t="s">
        <v>1125</v>
      </c>
      <c r="G1147" s="4" t="s">
        <v>1125</v>
      </c>
      <c r="H1147" s="4" t="s">
        <v>531</v>
      </c>
      <c r="I1147" s="4">
        <v>2013</v>
      </c>
      <c r="J1147" s="4" t="s">
        <v>2308</v>
      </c>
      <c r="K1147" s="4" t="s">
        <v>2308</v>
      </c>
      <c r="L1147" s="4" t="s">
        <v>2308</v>
      </c>
      <c r="M1147" s="4" t="s">
        <v>2308</v>
      </c>
      <c r="N1147" s="4" t="s">
        <v>2308</v>
      </c>
      <c r="O1147" s="4" t="s">
        <v>2308</v>
      </c>
      <c r="P1147" s="4" t="s">
        <v>2308</v>
      </c>
      <c r="Q1147" s="4" t="s">
        <v>2308</v>
      </c>
      <c r="R1147" s="4" t="s">
        <v>2308</v>
      </c>
      <c r="S1147" s="4" t="s">
        <v>2308</v>
      </c>
      <c r="T1147" s="22">
        <v>4766.0200000000004</v>
      </c>
      <c r="U1147" s="4" t="s">
        <v>2308</v>
      </c>
      <c r="V1147" s="4" t="s">
        <v>2308</v>
      </c>
      <c r="W1147" s="4" t="s">
        <v>2308</v>
      </c>
      <c r="X1147" s="4" t="s">
        <v>2308</v>
      </c>
      <c r="Y1147" s="4" t="s">
        <v>2308</v>
      </c>
      <c r="Z1147" s="4" t="s">
        <v>2308</v>
      </c>
      <c r="AA1147" s="4" t="s">
        <v>2308</v>
      </c>
      <c r="AB1147" s="4" t="s">
        <v>2308</v>
      </c>
      <c r="AC1147" s="4"/>
      <c r="AD1147" s="4"/>
    </row>
    <row r="1148" spans="1:30" ht="37.5" customHeight="1">
      <c r="A1148" s="12" t="s">
        <v>3540</v>
      </c>
      <c r="B1148" s="12" t="s">
        <v>3553</v>
      </c>
      <c r="C1148" s="4" t="s">
        <v>1125</v>
      </c>
      <c r="D1148" s="4" t="s">
        <v>1125</v>
      </c>
      <c r="E1148" s="4" t="s">
        <v>1125</v>
      </c>
      <c r="F1148" s="5" t="s">
        <v>1125</v>
      </c>
      <c r="G1148" s="4" t="s">
        <v>1125</v>
      </c>
      <c r="H1148" s="4" t="s">
        <v>531</v>
      </c>
      <c r="I1148" s="4">
        <v>2014</v>
      </c>
      <c r="J1148" s="4" t="s">
        <v>2308</v>
      </c>
      <c r="K1148" s="4" t="s">
        <v>2308</v>
      </c>
      <c r="L1148" s="4" t="s">
        <v>2308</v>
      </c>
      <c r="M1148" s="4" t="s">
        <v>2308</v>
      </c>
      <c r="N1148" s="4" t="s">
        <v>2308</v>
      </c>
      <c r="O1148" s="4" t="s">
        <v>2308</v>
      </c>
      <c r="P1148" s="4" t="s">
        <v>2308</v>
      </c>
      <c r="Q1148" s="4" t="s">
        <v>2308</v>
      </c>
      <c r="R1148" s="4" t="s">
        <v>2308</v>
      </c>
      <c r="S1148" s="4" t="s">
        <v>2308</v>
      </c>
      <c r="T1148" s="22">
        <v>3186.23</v>
      </c>
      <c r="U1148" s="4" t="s">
        <v>2308</v>
      </c>
      <c r="V1148" s="4" t="s">
        <v>2308</v>
      </c>
      <c r="W1148" s="4" t="s">
        <v>2308</v>
      </c>
      <c r="X1148" s="4" t="s">
        <v>2308</v>
      </c>
      <c r="Y1148" s="4" t="s">
        <v>2308</v>
      </c>
      <c r="Z1148" s="4" t="s">
        <v>2308</v>
      </c>
      <c r="AA1148" s="4" t="s">
        <v>2308</v>
      </c>
      <c r="AB1148" s="4" t="s">
        <v>2308</v>
      </c>
      <c r="AC1148" s="4"/>
      <c r="AD1148" s="4"/>
    </row>
    <row r="1149" spans="1:30" ht="45" customHeight="1">
      <c r="A1149" s="12" t="s">
        <v>3579</v>
      </c>
      <c r="B1149" s="4" t="s">
        <v>3582</v>
      </c>
      <c r="C1149" s="4" t="s">
        <v>24</v>
      </c>
      <c r="D1149" s="4" t="s">
        <v>1264</v>
      </c>
      <c r="E1149" s="4" t="s">
        <v>5065</v>
      </c>
      <c r="F1149" s="5" t="s">
        <v>2695</v>
      </c>
      <c r="G1149" s="4" t="s">
        <v>2308</v>
      </c>
      <c r="H1149" s="4" t="s">
        <v>531</v>
      </c>
      <c r="I1149" s="4"/>
      <c r="J1149" s="4" t="s">
        <v>2308</v>
      </c>
      <c r="K1149" s="4" t="s">
        <v>2308</v>
      </c>
      <c r="L1149" s="4" t="s">
        <v>2308</v>
      </c>
      <c r="M1149" s="4" t="s">
        <v>2308</v>
      </c>
      <c r="N1149" s="4" t="s">
        <v>2308</v>
      </c>
      <c r="O1149" s="4" t="s">
        <v>2308</v>
      </c>
      <c r="P1149" s="4" t="s">
        <v>2308</v>
      </c>
      <c r="Q1149" s="4" t="s">
        <v>2308</v>
      </c>
      <c r="R1149" s="4" t="s">
        <v>2308</v>
      </c>
      <c r="S1149" s="4" t="s">
        <v>2308</v>
      </c>
      <c r="T1149" s="4" t="s">
        <v>2308</v>
      </c>
      <c r="U1149" s="4" t="s">
        <v>2308</v>
      </c>
      <c r="V1149" s="4" t="s">
        <v>2308</v>
      </c>
      <c r="W1149" s="4" t="s">
        <v>2308</v>
      </c>
      <c r="X1149" s="4" t="s">
        <v>2308</v>
      </c>
      <c r="Y1149" s="22">
        <v>4.5</v>
      </c>
      <c r="Z1149" s="4" t="s">
        <v>432</v>
      </c>
      <c r="AA1149" s="4" t="s">
        <v>68</v>
      </c>
      <c r="AB1149" s="4" t="s">
        <v>64</v>
      </c>
      <c r="AC1149" s="4"/>
      <c r="AD1149" s="4"/>
    </row>
    <row r="1150" spans="1:30" ht="45" customHeight="1">
      <c r="A1150" s="12" t="s">
        <v>3579</v>
      </c>
      <c r="B1150" s="4" t="s">
        <v>3583</v>
      </c>
      <c r="C1150" s="4" t="s">
        <v>24</v>
      </c>
      <c r="D1150" s="4" t="s">
        <v>1264</v>
      </c>
      <c r="E1150" s="4" t="s">
        <v>5065</v>
      </c>
      <c r="F1150" s="5" t="s">
        <v>74</v>
      </c>
      <c r="G1150" s="4" t="s">
        <v>2308</v>
      </c>
      <c r="H1150" s="4" t="s">
        <v>532</v>
      </c>
      <c r="I1150" s="4"/>
      <c r="J1150" s="22">
        <v>0</v>
      </c>
      <c r="K1150" s="22">
        <v>0</v>
      </c>
      <c r="L1150" s="22">
        <v>0</v>
      </c>
      <c r="M1150" s="22">
        <v>0</v>
      </c>
      <c r="N1150" s="22">
        <v>0</v>
      </c>
      <c r="O1150" s="22">
        <v>0</v>
      </c>
      <c r="P1150" s="22">
        <v>0</v>
      </c>
      <c r="Q1150" s="22">
        <v>0</v>
      </c>
      <c r="R1150" s="22">
        <v>0</v>
      </c>
      <c r="S1150" s="22">
        <v>0</v>
      </c>
      <c r="T1150" s="22">
        <v>0</v>
      </c>
      <c r="U1150" s="22">
        <v>0</v>
      </c>
      <c r="V1150" s="22">
        <v>0</v>
      </c>
      <c r="W1150" s="22">
        <v>0</v>
      </c>
      <c r="X1150" s="22">
        <v>0</v>
      </c>
      <c r="Y1150" s="4" t="s">
        <v>2308</v>
      </c>
      <c r="Z1150" s="4" t="s">
        <v>2308</v>
      </c>
      <c r="AA1150" s="4" t="s">
        <v>2308</v>
      </c>
      <c r="AB1150" s="4" t="s">
        <v>2308</v>
      </c>
      <c r="AC1150" s="5" t="s">
        <v>3585</v>
      </c>
      <c r="AD1150" s="4"/>
    </row>
    <row r="1151" spans="1:30" ht="45" customHeight="1">
      <c r="A1151" s="12" t="s">
        <v>3579</v>
      </c>
      <c r="B1151" s="4" t="s">
        <v>3584</v>
      </c>
      <c r="C1151" s="4" t="s">
        <v>24</v>
      </c>
      <c r="D1151" s="4" t="s">
        <v>2837</v>
      </c>
      <c r="E1151" s="4" t="s">
        <v>5065</v>
      </c>
      <c r="F1151" s="5" t="s">
        <v>2695</v>
      </c>
      <c r="G1151" s="4" t="s">
        <v>2308</v>
      </c>
      <c r="H1151" s="4" t="s">
        <v>531</v>
      </c>
      <c r="I1151" s="4"/>
      <c r="J1151" s="4" t="s">
        <v>2308</v>
      </c>
      <c r="K1151" s="4" t="s">
        <v>2308</v>
      </c>
      <c r="L1151" s="4" t="s">
        <v>2308</v>
      </c>
      <c r="M1151" s="4" t="s">
        <v>2308</v>
      </c>
      <c r="N1151" s="4" t="s">
        <v>2308</v>
      </c>
      <c r="O1151" s="4" t="s">
        <v>2308</v>
      </c>
      <c r="P1151" s="4" t="s">
        <v>2308</v>
      </c>
      <c r="Q1151" s="4" t="s">
        <v>2308</v>
      </c>
      <c r="R1151" s="4" t="s">
        <v>2308</v>
      </c>
      <c r="S1151" s="4" t="s">
        <v>2308</v>
      </c>
      <c r="T1151" s="4" t="s">
        <v>2308</v>
      </c>
      <c r="U1151" s="4" t="s">
        <v>2308</v>
      </c>
      <c r="V1151" s="4" t="s">
        <v>2308</v>
      </c>
      <c r="W1151" s="4" t="s">
        <v>2308</v>
      </c>
      <c r="X1151" s="4" t="s">
        <v>2308</v>
      </c>
      <c r="Y1151" s="22">
        <v>4.5</v>
      </c>
      <c r="Z1151" s="4" t="s">
        <v>411</v>
      </c>
      <c r="AA1151" s="4" t="s">
        <v>68</v>
      </c>
      <c r="AB1151" s="4" t="s">
        <v>64</v>
      </c>
      <c r="AC1151" s="4"/>
      <c r="AD1151" s="4"/>
    </row>
    <row r="1152" spans="1:30" ht="45" customHeight="1">
      <c r="A1152" s="12" t="s">
        <v>3579</v>
      </c>
      <c r="B1152" s="4" t="s">
        <v>3586</v>
      </c>
      <c r="C1152" s="4" t="s">
        <v>24</v>
      </c>
      <c r="D1152" s="4" t="s">
        <v>2837</v>
      </c>
      <c r="E1152" s="4" t="s">
        <v>5065</v>
      </c>
      <c r="F1152" s="5" t="s">
        <v>2695</v>
      </c>
      <c r="G1152" s="4" t="s">
        <v>2308</v>
      </c>
      <c r="H1152" s="4" t="s">
        <v>531</v>
      </c>
      <c r="I1152" s="4"/>
      <c r="J1152" s="4" t="s">
        <v>2308</v>
      </c>
      <c r="K1152" s="4" t="s">
        <v>2308</v>
      </c>
      <c r="L1152" s="4" t="s">
        <v>2308</v>
      </c>
      <c r="M1152" s="4" t="s">
        <v>2308</v>
      </c>
      <c r="N1152" s="4" t="s">
        <v>2308</v>
      </c>
      <c r="O1152" s="4" t="s">
        <v>2308</v>
      </c>
      <c r="P1152" s="4" t="s">
        <v>2308</v>
      </c>
      <c r="Q1152" s="4" t="s">
        <v>2308</v>
      </c>
      <c r="R1152" s="4" t="s">
        <v>2308</v>
      </c>
      <c r="S1152" s="4" t="s">
        <v>2308</v>
      </c>
      <c r="T1152" s="4" t="s">
        <v>2308</v>
      </c>
      <c r="U1152" s="4" t="s">
        <v>2308</v>
      </c>
      <c r="V1152" s="4" t="s">
        <v>2308</v>
      </c>
      <c r="W1152" s="4" t="s">
        <v>2308</v>
      </c>
      <c r="X1152" s="4" t="s">
        <v>2308</v>
      </c>
      <c r="Y1152" s="22">
        <v>4.5</v>
      </c>
      <c r="Z1152" s="4" t="s">
        <v>406</v>
      </c>
      <c r="AA1152" s="4" t="s">
        <v>38</v>
      </c>
      <c r="AB1152" s="4" t="s">
        <v>64</v>
      </c>
      <c r="AC1152" s="4"/>
      <c r="AD1152" s="4"/>
    </row>
    <row r="1153" spans="1:30" ht="45" customHeight="1">
      <c r="A1153" s="12" t="s">
        <v>3579</v>
      </c>
      <c r="B1153" s="4" t="s">
        <v>3587</v>
      </c>
      <c r="C1153" s="4" t="s">
        <v>24</v>
      </c>
      <c r="D1153" s="4" t="s">
        <v>25</v>
      </c>
      <c r="E1153" s="4" t="s">
        <v>5065</v>
      </c>
      <c r="F1153" s="5" t="s">
        <v>2695</v>
      </c>
      <c r="G1153" s="4" t="s">
        <v>2308</v>
      </c>
      <c r="H1153" s="4" t="s">
        <v>531</v>
      </c>
      <c r="I1153" s="4"/>
      <c r="J1153" s="4" t="s">
        <v>2308</v>
      </c>
      <c r="K1153" s="4" t="s">
        <v>2308</v>
      </c>
      <c r="L1153" s="4" t="s">
        <v>2308</v>
      </c>
      <c r="M1153" s="4" t="s">
        <v>2308</v>
      </c>
      <c r="N1153" s="4" t="s">
        <v>2308</v>
      </c>
      <c r="O1153" s="4" t="s">
        <v>2308</v>
      </c>
      <c r="P1153" s="4" t="s">
        <v>2308</v>
      </c>
      <c r="Q1153" s="4" t="s">
        <v>2308</v>
      </c>
      <c r="R1153" s="4" t="s">
        <v>2308</v>
      </c>
      <c r="S1153" s="4" t="s">
        <v>2308</v>
      </c>
      <c r="T1153" s="4" t="s">
        <v>2308</v>
      </c>
      <c r="U1153" s="4" t="s">
        <v>2308</v>
      </c>
      <c r="V1153" s="4" t="s">
        <v>2308</v>
      </c>
      <c r="W1153" s="4" t="s">
        <v>2308</v>
      </c>
      <c r="X1153" s="4" t="s">
        <v>2308</v>
      </c>
      <c r="Y1153" s="22">
        <v>4.5</v>
      </c>
      <c r="Z1153" s="4" t="s">
        <v>411</v>
      </c>
      <c r="AA1153" s="4" t="s">
        <v>68</v>
      </c>
      <c r="AB1153" s="4" t="s">
        <v>64</v>
      </c>
      <c r="AC1153" s="4"/>
      <c r="AD1153" s="4"/>
    </row>
    <row r="1154" spans="1:30" ht="45" customHeight="1">
      <c r="A1154" s="12" t="s">
        <v>3579</v>
      </c>
      <c r="B1154" s="4" t="s">
        <v>3588</v>
      </c>
      <c r="C1154" s="4" t="s">
        <v>24</v>
      </c>
      <c r="D1154" s="4" t="s">
        <v>25</v>
      </c>
      <c r="E1154" s="4" t="s">
        <v>5065</v>
      </c>
      <c r="F1154" s="5" t="s">
        <v>2695</v>
      </c>
      <c r="G1154" s="4" t="s">
        <v>2308</v>
      </c>
      <c r="H1154" s="4" t="s">
        <v>531</v>
      </c>
      <c r="I1154" s="4"/>
      <c r="J1154" s="4" t="s">
        <v>2308</v>
      </c>
      <c r="K1154" s="4" t="s">
        <v>2308</v>
      </c>
      <c r="L1154" s="4" t="s">
        <v>2308</v>
      </c>
      <c r="M1154" s="4" t="s">
        <v>2308</v>
      </c>
      <c r="N1154" s="4" t="s">
        <v>2308</v>
      </c>
      <c r="O1154" s="4" t="s">
        <v>2308</v>
      </c>
      <c r="P1154" s="4" t="s">
        <v>2308</v>
      </c>
      <c r="Q1154" s="4" t="s">
        <v>2308</v>
      </c>
      <c r="R1154" s="4" t="s">
        <v>2308</v>
      </c>
      <c r="S1154" s="4" t="s">
        <v>2308</v>
      </c>
      <c r="T1154" s="4" t="s">
        <v>2308</v>
      </c>
      <c r="U1154" s="4" t="s">
        <v>2308</v>
      </c>
      <c r="V1154" s="4" t="s">
        <v>2308</v>
      </c>
      <c r="W1154" s="4" t="s">
        <v>2308</v>
      </c>
      <c r="X1154" s="4" t="s">
        <v>2308</v>
      </c>
      <c r="Y1154" s="22">
        <v>4.5</v>
      </c>
      <c r="Z1154" s="4" t="s">
        <v>406</v>
      </c>
      <c r="AA1154" s="4" t="s">
        <v>38</v>
      </c>
      <c r="AB1154" s="4" t="s">
        <v>64</v>
      </c>
      <c r="AC1154" s="4"/>
      <c r="AD1154" s="4"/>
    </row>
    <row r="1155" spans="1:30" ht="45" customHeight="1">
      <c r="A1155" s="12" t="s">
        <v>3579</v>
      </c>
      <c r="B1155" s="4" t="s">
        <v>3589</v>
      </c>
      <c r="C1155" s="4" t="s">
        <v>24</v>
      </c>
      <c r="D1155" s="4" t="s">
        <v>26</v>
      </c>
      <c r="E1155" s="4" t="s">
        <v>5065</v>
      </c>
      <c r="F1155" s="5" t="s">
        <v>2695</v>
      </c>
      <c r="G1155" s="4" t="s">
        <v>2308</v>
      </c>
      <c r="H1155" s="4" t="s">
        <v>531</v>
      </c>
      <c r="I1155" s="4"/>
      <c r="J1155" s="4" t="s">
        <v>2308</v>
      </c>
      <c r="K1155" s="4" t="s">
        <v>2308</v>
      </c>
      <c r="L1155" s="4" t="s">
        <v>2308</v>
      </c>
      <c r="M1155" s="4" t="s">
        <v>2308</v>
      </c>
      <c r="N1155" s="4" t="s">
        <v>2308</v>
      </c>
      <c r="O1155" s="4" t="s">
        <v>2308</v>
      </c>
      <c r="P1155" s="4" t="s">
        <v>2308</v>
      </c>
      <c r="Q1155" s="4" t="s">
        <v>2308</v>
      </c>
      <c r="R1155" s="4" t="s">
        <v>2308</v>
      </c>
      <c r="S1155" s="4" t="s">
        <v>2308</v>
      </c>
      <c r="T1155" s="4" t="s">
        <v>2308</v>
      </c>
      <c r="U1155" s="4" t="s">
        <v>2308</v>
      </c>
      <c r="V1155" s="4" t="s">
        <v>2308</v>
      </c>
      <c r="W1155" s="4" t="s">
        <v>2308</v>
      </c>
      <c r="X1155" s="4" t="s">
        <v>2308</v>
      </c>
      <c r="Y1155" s="22">
        <v>4.5</v>
      </c>
      <c r="Z1155" s="4" t="s">
        <v>411</v>
      </c>
      <c r="AA1155" s="4" t="s">
        <v>68</v>
      </c>
      <c r="AB1155" s="4" t="s">
        <v>64</v>
      </c>
      <c r="AC1155" s="4"/>
      <c r="AD1155" s="4"/>
    </row>
    <row r="1156" spans="1:30" ht="45" customHeight="1">
      <c r="A1156" s="12" t="s">
        <v>3579</v>
      </c>
      <c r="B1156" s="4" t="s">
        <v>3590</v>
      </c>
      <c r="C1156" s="4" t="s">
        <v>24</v>
      </c>
      <c r="D1156" s="4" t="s">
        <v>26</v>
      </c>
      <c r="E1156" s="4" t="s">
        <v>5065</v>
      </c>
      <c r="F1156" s="5" t="s">
        <v>2695</v>
      </c>
      <c r="G1156" s="4" t="s">
        <v>2308</v>
      </c>
      <c r="H1156" s="4" t="s">
        <v>531</v>
      </c>
      <c r="I1156" s="4"/>
      <c r="J1156" s="4" t="s">
        <v>2308</v>
      </c>
      <c r="K1156" s="4" t="s">
        <v>2308</v>
      </c>
      <c r="L1156" s="4" t="s">
        <v>2308</v>
      </c>
      <c r="M1156" s="4" t="s">
        <v>2308</v>
      </c>
      <c r="N1156" s="4" t="s">
        <v>2308</v>
      </c>
      <c r="O1156" s="4" t="s">
        <v>2308</v>
      </c>
      <c r="P1156" s="4" t="s">
        <v>2308</v>
      </c>
      <c r="Q1156" s="4" t="s">
        <v>2308</v>
      </c>
      <c r="R1156" s="4" t="s">
        <v>2308</v>
      </c>
      <c r="S1156" s="4" t="s">
        <v>2308</v>
      </c>
      <c r="T1156" s="4" t="s">
        <v>2308</v>
      </c>
      <c r="U1156" s="4" t="s">
        <v>2308</v>
      </c>
      <c r="V1156" s="4" t="s">
        <v>2308</v>
      </c>
      <c r="W1156" s="4" t="s">
        <v>2308</v>
      </c>
      <c r="X1156" s="4" t="s">
        <v>2308</v>
      </c>
      <c r="Y1156" s="22">
        <v>4.5</v>
      </c>
      <c r="Z1156" s="4" t="s">
        <v>406</v>
      </c>
      <c r="AA1156" s="4" t="s">
        <v>38</v>
      </c>
      <c r="AB1156" s="4" t="s">
        <v>64</v>
      </c>
      <c r="AC1156" s="4"/>
      <c r="AD1156" s="4"/>
    </row>
    <row r="1157" spans="1:30" ht="45" customHeight="1">
      <c r="A1157" s="12" t="s">
        <v>3579</v>
      </c>
      <c r="B1157" s="4" t="s">
        <v>3591</v>
      </c>
      <c r="C1157" s="4" t="s">
        <v>24</v>
      </c>
      <c r="D1157" s="4" t="s">
        <v>2373</v>
      </c>
      <c r="E1157" s="4" t="s">
        <v>5065</v>
      </c>
      <c r="F1157" s="5" t="s">
        <v>2695</v>
      </c>
      <c r="G1157" s="4" t="s">
        <v>2308</v>
      </c>
      <c r="H1157" s="4" t="s">
        <v>531</v>
      </c>
      <c r="I1157" s="4"/>
      <c r="J1157" s="4" t="s">
        <v>2308</v>
      </c>
      <c r="K1157" s="4" t="s">
        <v>2308</v>
      </c>
      <c r="L1157" s="4" t="s">
        <v>2308</v>
      </c>
      <c r="M1157" s="4" t="s">
        <v>2308</v>
      </c>
      <c r="N1157" s="4" t="s">
        <v>2308</v>
      </c>
      <c r="O1157" s="4" t="s">
        <v>2308</v>
      </c>
      <c r="P1157" s="4" t="s">
        <v>2308</v>
      </c>
      <c r="Q1157" s="4" t="s">
        <v>2308</v>
      </c>
      <c r="R1157" s="4" t="s">
        <v>2308</v>
      </c>
      <c r="S1157" s="4" t="s">
        <v>2308</v>
      </c>
      <c r="T1157" s="4" t="s">
        <v>2308</v>
      </c>
      <c r="U1157" s="4" t="s">
        <v>2308</v>
      </c>
      <c r="V1157" s="4" t="s">
        <v>2308</v>
      </c>
      <c r="W1157" s="4" t="s">
        <v>2308</v>
      </c>
      <c r="X1157" s="4" t="s">
        <v>2308</v>
      </c>
      <c r="Y1157" s="22">
        <v>4.5</v>
      </c>
      <c r="Z1157" s="4" t="s">
        <v>411</v>
      </c>
      <c r="AA1157" s="4" t="s">
        <v>68</v>
      </c>
      <c r="AB1157" s="4" t="s">
        <v>64</v>
      </c>
      <c r="AC1157" s="4"/>
      <c r="AD1157" s="4"/>
    </row>
    <row r="1158" spans="1:30" ht="45" customHeight="1">
      <c r="A1158" s="12" t="s">
        <v>3579</v>
      </c>
      <c r="B1158" s="4" t="s">
        <v>3592</v>
      </c>
      <c r="C1158" s="4" t="s">
        <v>24</v>
      </c>
      <c r="D1158" s="4" t="s">
        <v>2373</v>
      </c>
      <c r="E1158" s="4" t="s">
        <v>5065</v>
      </c>
      <c r="F1158" s="5" t="s">
        <v>2695</v>
      </c>
      <c r="G1158" s="4" t="s">
        <v>2308</v>
      </c>
      <c r="H1158" s="4" t="s">
        <v>531</v>
      </c>
      <c r="I1158" s="4"/>
      <c r="J1158" s="4" t="s">
        <v>2308</v>
      </c>
      <c r="K1158" s="4" t="s">
        <v>2308</v>
      </c>
      <c r="L1158" s="4" t="s">
        <v>2308</v>
      </c>
      <c r="M1158" s="4" t="s">
        <v>2308</v>
      </c>
      <c r="N1158" s="4" t="s">
        <v>2308</v>
      </c>
      <c r="O1158" s="4" t="s">
        <v>2308</v>
      </c>
      <c r="P1158" s="4" t="s">
        <v>2308</v>
      </c>
      <c r="Q1158" s="4" t="s">
        <v>2308</v>
      </c>
      <c r="R1158" s="4" t="s">
        <v>2308</v>
      </c>
      <c r="S1158" s="4" t="s">
        <v>2308</v>
      </c>
      <c r="T1158" s="4" t="s">
        <v>2308</v>
      </c>
      <c r="U1158" s="4" t="s">
        <v>2308</v>
      </c>
      <c r="V1158" s="4" t="s">
        <v>2308</v>
      </c>
      <c r="W1158" s="4" t="s">
        <v>2308</v>
      </c>
      <c r="X1158" s="4" t="s">
        <v>2308</v>
      </c>
      <c r="Y1158" s="22">
        <v>4.5</v>
      </c>
      <c r="Z1158" s="4" t="s">
        <v>406</v>
      </c>
      <c r="AA1158" s="4" t="s">
        <v>38</v>
      </c>
      <c r="AB1158" s="4" t="s">
        <v>64</v>
      </c>
      <c r="AC1158" s="4"/>
      <c r="AD1158" s="4"/>
    </row>
    <row r="1159" spans="1:30" ht="45" customHeight="1">
      <c r="A1159" s="12" t="s">
        <v>3579</v>
      </c>
      <c r="B1159" s="4" t="s">
        <v>3593</v>
      </c>
      <c r="C1159" s="4" t="s">
        <v>24</v>
      </c>
      <c r="D1159" s="4" t="s">
        <v>1151</v>
      </c>
      <c r="E1159" s="4" t="s">
        <v>5065</v>
      </c>
      <c r="F1159" s="5" t="s">
        <v>2695</v>
      </c>
      <c r="G1159" s="4" t="s">
        <v>2308</v>
      </c>
      <c r="H1159" s="4" t="s">
        <v>531</v>
      </c>
      <c r="I1159" s="4"/>
      <c r="J1159" s="4" t="s">
        <v>2308</v>
      </c>
      <c r="K1159" s="4" t="s">
        <v>2308</v>
      </c>
      <c r="L1159" s="4" t="s">
        <v>2308</v>
      </c>
      <c r="M1159" s="4" t="s">
        <v>2308</v>
      </c>
      <c r="N1159" s="4" t="s">
        <v>2308</v>
      </c>
      <c r="O1159" s="4" t="s">
        <v>2308</v>
      </c>
      <c r="P1159" s="4" t="s">
        <v>2308</v>
      </c>
      <c r="Q1159" s="4" t="s">
        <v>2308</v>
      </c>
      <c r="R1159" s="4" t="s">
        <v>2308</v>
      </c>
      <c r="S1159" s="4" t="s">
        <v>2308</v>
      </c>
      <c r="T1159" s="4" t="s">
        <v>2308</v>
      </c>
      <c r="U1159" s="4" t="s">
        <v>2308</v>
      </c>
      <c r="V1159" s="4" t="s">
        <v>2308</v>
      </c>
      <c r="W1159" s="4" t="s">
        <v>2308</v>
      </c>
      <c r="X1159" s="4" t="s">
        <v>2308</v>
      </c>
      <c r="Y1159" s="22">
        <v>4.5</v>
      </c>
      <c r="Z1159" s="4" t="s">
        <v>411</v>
      </c>
      <c r="AA1159" s="4" t="s">
        <v>68</v>
      </c>
      <c r="AB1159" s="4" t="s">
        <v>64</v>
      </c>
      <c r="AC1159" s="4"/>
      <c r="AD1159" s="4"/>
    </row>
    <row r="1160" spans="1:30" ht="45" customHeight="1">
      <c r="A1160" s="12" t="s">
        <v>3579</v>
      </c>
      <c r="B1160" s="4" t="s">
        <v>3594</v>
      </c>
      <c r="C1160" s="4" t="s">
        <v>24</v>
      </c>
      <c r="D1160" s="4" t="s">
        <v>1151</v>
      </c>
      <c r="E1160" s="4" t="s">
        <v>5065</v>
      </c>
      <c r="F1160" s="5" t="s">
        <v>2695</v>
      </c>
      <c r="G1160" s="4" t="s">
        <v>2308</v>
      </c>
      <c r="H1160" s="4" t="s">
        <v>531</v>
      </c>
      <c r="I1160" s="4"/>
      <c r="J1160" s="4" t="s">
        <v>2308</v>
      </c>
      <c r="K1160" s="4" t="s">
        <v>2308</v>
      </c>
      <c r="L1160" s="4" t="s">
        <v>2308</v>
      </c>
      <c r="M1160" s="4" t="s">
        <v>2308</v>
      </c>
      <c r="N1160" s="4" t="s">
        <v>2308</v>
      </c>
      <c r="O1160" s="4" t="s">
        <v>2308</v>
      </c>
      <c r="P1160" s="4" t="s">
        <v>2308</v>
      </c>
      <c r="Q1160" s="4" t="s">
        <v>2308</v>
      </c>
      <c r="R1160" s="4" t="s">
        <v>2308</v>
      </c>
      <c r="S1160" s="4" t="s">
        <v>2308</v>
      </c>
      <c r="T1160" s="4" t="s">
        <v>2308</v>
      </c>
      <c r="U1160" s="4" t="s">
        <v>2308</v>
      </c>
      <c r="V1160" s="4" t="s">
        <v>2308</v>
      </c>
      <c r="W1160" s="4" t="s">
        <v>2308</v>
      </c>
      <c r="X1160" s="4" t="s">
        <v>2308</v>
      </c>
      <c r="Y1160" s="22">
        <v>4.5</v>
      </c>
      <c r="Z1160" s="4" t="s">
        <v>406</v>
      </c>
      <c r="AA1160" s="4" t="s">
        <v>38</v>
      </c>
      <c r="AB1160" s="4" t="s">
        <v>64</v>
      </c>
      <c r="AC1160" s="4"/>
      <c r="AD1160" s="4"/>
    </row>
    <row r="1161" spans="1:30" ht="40" customHeight="1">
      <c r="A1161" s="12" t="s">
        <v>3579</v>
      </c>
      <c r="B1161" s="4" t="s">
        <v>3595</v>
      </c>
      <c r="C1161" s="4" t="s">
        <v>24</v>
      </c>
      <c r="D1161" s="4" t="s">
        <v>1125</v>
      </c>
      <c r="E1161" s="4" t="s">
        <v>116</v>
      </c>
      <c r="F1161" s="5" t="s">
        <v>74</v>
      </c>
      <c r="G1161" s="4" t="s">
        <v>2308</v>
      </c>
      <c r="H1161" s="4" t="s">
        <v>532</v>
      </c>
      <c r="I1161" s="4"/>
      <c r="J1161" s="22">
        <v>0</v>
      </c>
      <c r="K1161" s="22">
        <v>0</v>
      </c>
      <c r="L1161" s="22">
        <v>0</v>
      </c>
      <c r="M1161" s="22">
        <v>0</v>
      </c>
      <c r="N1161" s="22">
        <v>0</v>
      </c>
      <c r="O1161" s="22">
        <v>0</v>
      </c>
      <c r="P1161" s="22">
        <v>0</v>
      </c>
      <c r="Q1161" s="22">
        <v>0</v>
      </c>
      <c r="R1161" s="22">
        <v>0</v>
      </c>
      <c r="S1161" s="22">
        <v>0</v>
      </c>
      <c r="T1161" s="22">
        <v>0</v>
      </c>
      <c r="U1161" s="22">
        <v>0</v>
      </c>
      <c r="V1161" s="22">
        <v>0</v>
      </c>
      <c r="W1161" s="22">
        <v>0</v>
      </c>
      <c r="X1161" s="22">
        <v>0</v>
      </c>
      <c r="Y1161" s="4" t="s">
        <v>2308</v>
      </c>
      <c r="Z1161" s="4" t="s">
        <v>2308</v>
      </c>
      <c r="AA1161" s="4" t="s">
        <v>2308</v>
      </c>
      <c r="AB1161" s="4" t="s">
        <v>2308</v>
      </c>
      <c r="AC1161" s="5" t="s">
        <v>3585</v>
      </c>
      <c r="AD1161" s="4"/>
    </row>
    <row r="1162" spans="1:30" ht="92.5" customHeight="1">
      <c r="A1162" s="12" t="s">
        <v>3581</v>
      </c>
      <c r="B1162" s="12" t="s">
        <v>3602</v>
      </c>
      <c r="C1162" s="4" t="s">
        <v>24</v>
      </c>
      <c r="D1162" s="4" t="s">
        <v>1264</v>
      </c>
      <c r="E1162" s="4" t="s">
        <v>5065</v>
      </c>
      <c r="F1162" s="5" t="s">
        <v>2695</v>
      </c>
      <c r="G1162" s="4" t="s">
        <v>2308</v>
      </c>
      <c r="H1162" s="4" t="s">
        <v>532</v>
      </c>
      <c r="I1162" s="4"/>
      <c r="J1162" s="22">
        <v>0</v>
      </c>
      <c r="K1162" s="22">
        <v>0</v>
      </c>
      <c r="L1162" s="22">
        <v>0</v>
      </c>
      <c r="M1162" s="22">
        <v>0</v>
      </c>
      <c r="N1162" s="22">
        <v>0</v>
      </c>
      <c r="O1162" s="22">
        <v>0</v>
      </c>
      <c r="P1162" s="22">
        <v>0</v>
      </c>
      <c r="Q1162" s="22">
        <v>0</v>
      </c>
      <c r="R1162" s="22">
        <v>0</v>
      </c>
      <c r="S1162" s="22">
        <v>0</v>
      </c>
      <c r="T1162" s="22">
        <v>0</v>
      </c>
      <c r="U1162" s="22">
        <v>0</v>
      </c>
      <c r="V1162" s="22">
        <v>0</v>
      </c>
      <c r="W1162" s="22">
        <v>0</v>
      </c>
      <c r="X1162" s="22">
        <v>0</v>
      </c>
      <c r="Y1162" s="4" t="s">
        <v>2308</v>
      </c>
      <c r="Z1162" s="4" t="s">
        <v>2308</v>
      </c>
      <c r="AA1162" s="4" t="s">
        <v>2308</v>
      </c>
      <c r="AB1162" s="4" t="s">
        <v>2308</v>
      </c>
      <c r="AC1162" s="5" t="s">
        <v>3603</v>
      </c>
      <c r="AD1162" s="4"/>
    </row>
    <row r="1163" spans="1:30" ht="72.5">
      <c r="A1163" s="12" t="s">
        <v>3581</v>
      </c>
      <c r="B1163" s="12" t="s">
        <v>3604</v>
      </c>
      <c r="C1163" s="4" t="s">
        <v>24</v>
      </c>
      <c r="D1163" s="4" t="s">
        <v>2837</v>
      </c>
      <c r="E1163" s="4" t="s">
        <v>5065</v>
      </c>
      <c r="F1163" s="5" t="s">
        <v>2695</v>
      </c>
      <c r="G1163" s="4" t="s">
        <v>2308</v>
      </c>
      <c r="H1163" s="4" t="s">
        <v>532</v>
      </c>
      <c r="I1163" s="4"/>
      <c r="J1163" s="22">
        <v>0</v>
      </c>
      <c r="K1163" s="22">
        <v>0</v>
      </c>
      <c r="L1163" s="22">
        <v>0</v>
      </c>
      <c r="M1163" s="22">
        <v>0</v>
      </c>
      <c r="N1163" s="22">
        <v>0</v>
      </c>
      <c r="O1163" s="22">
        <v>0</v>
      </c>
      <c r="P1163" s="22">
        <v>0</v>
      </c>
      <c r="Q1163" s="22">
        <v>0</v>
      </c>
      <c r="R1163" s="22">
        <v>0</v>
      </c>
      <c r="S1163" s="22">
        <v>0</v>
      </c>
      <c r="T1163" s="22">
        <v>0</v>
      </c>
      <c r="U1163" s="22">
        <v>0</v>
      </c>
      <c r="V1163" s="22">
        <v>0</v>
      </c>
      <c r="W1163" s="22">
        <v>0</v>
      </c>
      <c r="X1163" s="22">
        <v>0</v>
      </c>
      <c r="Y1163" s="4" t="s">
        <v>2308</v>
      </c>
      <c r="Z1163" s="4" t="s">
        <v>2308</v>
      </c>
      <c r="AA1163" s="4" t="s">
        <v>2308</v>
      </c>
      <c r="AB1163" s="4" t="s">
        <v>2308</v>
      </c>
      <c r="AC1163" s="5" t="s">
        <v>3603</v>
      </c>
      <c r="AD1163" s="4"/>
    </row>
    <row r="1164" spans="1:30" ht="72.5">
      <c r="A1164" s="12" t="s">
        <v>3581</v>
      </c>
      <c r="B1164" s="12" t="s">
        <v>3605</v>
      </c>
      <c r="C1164" s="4" t="s">
        <v>24</v>
      </c>
      <c r="D1164" s="4" t="s">
        <v>26</v>
      </c>
      <c r="E1164" s="4" t="s">
        <v>5065</v>
      </c>
      <c r="F1164" s="5" t="s">
        <v>2695</v>
      </c>
      <c r="G1164" s="4" t="s">
        <v>2308</v>
      </c>
      <c r="H1164" s="4" t="s">
        <v>532</v>
      </c>
      <c r="I1164" s="4"/>
      <c r="J1164" s="22">
        <v>0</v>
      </c>
      <c r="K1164" s="22">
        <v>0</v>
      </c>
      <c r="L1164" s="22">
        <v>0</v>
      </c>
      <c r="M1164" s="22">
        <v>0</v>
      </c>
      <c r="N1164" s="22">
        <v>0</v>
      </c>
      <c r="O1164" s="22">
        <v>0</v>
      </c>
      <c r="P1164" s="22">
        <v>0</v>
      </c>
      <c r="Q1164" s="22">
        <v>0</v>
      </c>
      <c r="R1164" s="22">
        <v>0</v>
      </c>
      <c r="S1164" s="22">
        <v>0</v>
      </c>
      <c r="T1164" s="22">
        <v>0</v>
      </c>
      <c r="U1164" s="22">
        <v>0</v>
      </c>
      <c r="V1164" s="22">
        <v>0</v>
      </c>
      <c r="W1164" s="22">
        <v>0</v>
      </c>
      <c r="X1164" s="22">
        <v>0</v>
      </c>
      <c r="Y1164" s="4" t="s">
        <v>2308</v>
      </c>
      <c r="Z1164" s="4" t="s">
        <v>2308</v>
      </c>
      <c r="AA1164" s="4" t="s">
        <v>2308</v>
      </c>
      <c r="AB1164" s="4" t="s">
        <v>2308</v>
      </c>
      <c r="AC1164" s="5" t="s">
        <v>3603</v>
      </c>
      <c r="AD1164" s="4"/>
    </row>
    <row r="1165" spans="1:30" ht="72.5">
      <c r="A1165" s="12" t="s">
        <v>3581</v>
      </c>
      <c r="B1165" s="12" t="s">
        <v>3606</v>
      </c>
      <c r="C1165" s="4" t="s">
        <v>24</v>
      </c>
      <c r="D1165" s="4" t="s">
        <v>25</v>
      </c>
      <c r="E1165" s="4" t="s">
        <v>5065</v>
      </c>
      <c r="F1165" s="5" t="s">
        <v>2695</v>
      </c>
      <c r="G1165" s="4" t="s">
        <v>2308</v>
      </c>
      <c r="H1165" s="4" t="s">
        <v>532</v>
      </c>
      <c r="I1165" s="4"/>
      <c r="J1165" s="22">
        <v>0</v>
      </c>
      <c r="K1165" s="22">
        <v>0</v>
      </c>
      <c r="L1165" s="22">
        <v>0</v>
      </c>
      <c r="M1165" s="22">
        <v>0</v>
      </c>
      <c r="N1165" s="22">
        <v>0</v>
      </c>
      <c r="O1165" s="22">
        <v>0</v>
      </c>
      <c r="P1165" s="22">
        <v>0</v>
      </c>
      <c r="Q1165" s="22">
        <v>0</v>
      </c>
      <c r="R1165" s="22">
        <v>0</v>
      </c>
      <c r="S1165" s="22">
        <v>0</v>
      </c>
      <c r="T1165" s="22">
        <v>0</v>
      </c>
      <c r="U1165" s="22">
        <v>0</v>
      </c>
      <c r="V1165" s="22">
        <v>0</v>
      </c>
      <c r="W1165" s="22">
        <v>0</v>
      </c>
      <c r="X1165" s="22">
        <v>0</v>
      </c>
      <c r="Y1165" s="4" t="s">
        <v>2308</v>
      </c>
      <c r="Z1165" s="4" t="s">
        <v>2308</v>
      </c>
      <c r="AA1165" s="4" t="s">
        <v>2308</v>
      </c>
      <c r="AB1165" s="4" t="s">
        <v>2308</v>
      </c>
      <c r="AC1165" s="5" t="s">
        <v>3603</v>
      </c>
      <c r="AD1165" s="4"/>
    </row>
    <row r="1166" spans="1:30" ht="72.5">
      <c r="A1166" s="12" t="s">
        <v>3581</v>
      </c>
      <c r="B1166" s="12" t="s">
        <v>3607</v>
      </c>
      <c r="C1166" s="4" t="s">
        <v>24</v>
      </c>
      <c r="D1166" s="4" t="s">
        <v>2373</v>
      </c>
      <c r="E1166" s="4" t="s">
        <v>5065</v>
      </c>
      <c r="F1166" s="5" t="s">
        <v>2695</v>
      </c>
      <c r="G1166" s="4" t="s">
        <v>2308</v>
      </c>
      <c r="H1166" s="4" t="s">
        <v>532</v>
      </c>
      <c r="I1166" s="4"/>
      <c r="J1166" s="22">
        <v>0</v>
      </c>
      <c r="K1166" s="22">
        <v>0</v>
      </c>
      <c r="L1166" s="22">
        <v>0</v>
      </c>
      <c r="M1166" s="22">
        <v>0</v>
      </c>
      <c r="N1166" s="22">
        <v>0</v>
      </c>
      <c r="O1166" s="22">
        <v>0</v>
      </c>
      <c r="P1166" s="22">
        <v>0</v>
      </c>
      <c r="Q1166" s="22">
        <v>0</v>
      </c>
      <c r="R1166" s="22">
        <v>0</v>
      </c>
      <c r="S1166" s="22">
        <v>0</v>
      </c>
      <c r="T1166" s="22">
        <v>0</v>
      </c>
      <c r="U1166" s="22">
        <v>0</v>
      </c>
      <c r="V1166" s="22">
        <v>0</v>
      </c>
      <c r="W1166" s="22">
        <v>0</v>
      </c>
      <c r="X1166" s="22">
        <v>0</v>
      </c>
      <c r="Y1166" s="4" t="s">
        <v>2308</v>
      </c>
      <c r="Z1166" s="4" t="s">
        <v>2308</v>
      </c>
      <c r="AA1166" s="4" t="s">
        <v>2308</v>
      </c>
      <c r="AB1166" s="4" t="s">
        <v>2308</v>
      </c>
      <c r="AC1166" s="5" t="s">
        <v>3603</v>
      </c>
      <c r="AD1166" s="4"/>
    </row>
    <row r="1167" spans="1:30" ht="72.5">
      <c r="A1167" s="12" t="s">
        <v>3581</v>
      </c>
      <c r="B1167" s="12" t="s">
        <v>3608</v>
      </c>
      <c r="C1167" s="4" t="s">
        <v>24</v>
      </c>
      <c r="D1167" s="4" t="s">
        <v>1151</v>
      </c>
      <c r="E1167" s="4" t="s">
        <v>5065</v>
      </c>
      <c r="F1167" s="5" t="s">
        <v>2695</v>
      </c>
      <c r="G1167" s="4" t="s">
        <v>2308</v>
      </c>
      <c r="H1167" s="4" t="s">
        <v>532</v>
      </c>
      <c r="I1167" s="4"/>
      <c r="J1167" s="22">
        <v>0</v>
      </c>
      <c r="K1167" s="22">
        <v>0</v>
      </c>
      <c r="L1167" s="22">
        <v>0</v>
      </c>
      <c r="M1167" s="22">
        <v>0</v>
      </c>
      <c r="N1167" s="22">
        <v>0</v>
      </c>
      <c r="O1167" s="22">
        <v>0</v>
      </c>
      <c r="P1167" s="22">
        <v>0</v>
      </c>
      <c r="Q1167" s="22">
        <v>0</v>
      </c>
      <c r="R1167" s="22">
        <v>0</v>
      </c>
      <c r="S1167" s="22">
        <v>0</v>
      </c>
      <c r="T1167" s="22">
        <v>0</v>
      </c>
      <c r="U1167" s="22">
        <v>0</v>
      </c>
      <c r="V1167" s="22">
        <v>0</v>
      </c>
      <c r="W1167" s="22">
        <v>0</v>
      </c>
      <c r="X1167" s="22">
        <v>0</v>
      </c>
      <c r="Y1167" s="4" t="s">
        <v>2308</v>
      </c>
      <c r="Z1167" s="4" t="s">
        <v>2308</v>
      </c>
      <c r="AA1167" s="4" t="s">
        <v>2308</v>
      </c>
      <c r="AB1167" s="4" t="s">
        <v>2308</v>
      </c>
      <c r="AC1167" s="5" t="s">
        <v>3603</v>
      </c>
      <c r="AD1167" s="4"/>
    </row>
    <row r="1168" spans="1:30" ht="29">
      <c r="A1168" s="12" t="s">
        <v>3581</v>
      </c>
      <c r="B1168" s="12" t="s">
        <v>3609</v>
      </c>
      <c r="C1168" s="4" t="s">
        <v>24</v>
      </c>
      <c r="D1168" s="4" t="s">
        <v>25</v>
      </c>
      <c r="E1168" s="4" t="s">
        <v>5065</v>
      </c>
      <c r="F1168" s="5" t="s">
        <v>2695</v>
      </c>
      <c r="G1168" s="4" t="s">
        <v>2308</v>
      </c>
      <c r="H1168" s="4" t="s">
        <v>531</v>
      </c>
      <c r="I1168" s="4">
        <v>1998</v>
      </c>
      <c r="J1168" s="4" t="s">
        <v>2308</v>
      </c>
      <c r="K1168" s="4" t="s">
        <v>2308</v>
      </c>
      <c r="L1168" s="4" t="s">
        <v>2308</v>
      </c>
      <c r="M1168" s="4" t="s">
        <v>2308</v>
      </c>
      <c r="N1168" s="4" t="s">
        <v>2308</v>
      </c>
      <c r="O1168" s="4" t="s">
        <v>2308</v>
      </c>
      <c r="P1168" s="4" t="s">
        <v>2308</v>
      </c>
      <c r="Q1168" s="4" t="s">
        <v>2308</v>
      </c>
      <c r="R1168" s="4" t="s">
        <v>2308</v>
      </c>
      <c r="S1168" s="4" t="s">
        <v>2308</v>
      </c>
      <c r="T1168" s="4" t="s">
        <v>2308</v>
      </c>
      <c r="U1168" s="4" t="s">
        <v>2308</v>
      </c>
      <c r="V1168" s="4" t="s">
        <v>2308</v>
      </c>
      <c r="W1168" s="4" t="s">
        <v>2308</v>
      </c>
      <c r="X1168" s="4" t="s">
        <v>2308</v>
      </c>
      <c r="Y1168" s="4" t="s">
        <v>2308</v>
      </c>
      <c r="Z1168" s="4" t="s">
        <v>68</v>
      </c>
      <c r="AA1168" s="4" t="s">
        <v>68</v>
      </c>
      <c r="AB1168" s="4" t="s">
        <v>2308</v>
      </c>
      <c r="AC1168" s="4" t="s">
        <v>3617</v>
      </c>
      <c r="AD1168" s="4"/>
    </row>
    <row r="1169" spans="1:30" ht="38" customHeight="1">
      <c r="A1169" s="12" t="s">
        <v>3581</v>
      </c>
      <c r="B1169" s="12" t="s">
        <v>3610</v>
      </c>
      <c r="C1169" s="4" t="s">
        <v>31</v>
      </c>
      <c r="D1169" s="4" t="s">
        <v>2308</v>
      </c>
      <c r="E1169" s="4" t="s">
        <v>2685</v>
      </c>
      <c r="F1169" s="5" t="s">
        <v>2308</v>
      </c>
      <c r="G1169" s="4" t="s">
        <v>2308</v>
      </c>
      <c r="H1169" s="4" t="s">
        <v>531</v>
      </c>
      <c r="I1169" s="4">
        <v>1999</v>
      </c>
      <c r="J1169" s="4" t="s">
        <v>2308</v>
      </c>
      <c r="K1169" s="4" t="s">
        <v>2308</v>
      </c>
      <c r="L1169" s="4" t="s">
        <v>2308</v>
      </c>
      <c r="M1169" s="4" t="s">
        <v>2308</v>
      </c>
      <c r="N1169" s="4" t="s">
        <v>2308</v>
      </c>
      <c r="O1169" s="4" t="s">
        <v>2308</v>
      </c>
      <c r="P1169" s="4" t="s">
        <v>2308</v>
      </c>
      <c r="Q1169" s="4" t="s">
        <v>2308</v>
      </c>
      <c r="R1169" s="4" t="s">
        <v>2308</v>
      </c>
      <c r="S1169" s="4" t="s">
        <v>2308</v>
      </c>
      <c r="T1169" s="4" t="s">
        <v>2308</v>
      </c>
      <c r="U1169" s="4" t="s">
        <v>2308</v>
      </c>
      <c r="V1169" s="4" t="s">
        <v>2308</v>
      </c>
      <c r="W1169" s="4" t="s">
        <v>2308</v>
      </c>
      <c r="X1169" s="4" t="s">
        <v>2308</v>
      </c>
      <c r="Y1169" s="4" t="s">
        <v>2308</v>
      </c>
      <c r="Z1169" s="4" t="s">
        <v>432</v>
      </c>
      <c r="AA1169" s="4" t="s">
        <v>432</v>
      </c>
      <c r="AB1169" s="4" t="s">
        <v>2308</v>
      </c>
      <c r="AC1169" s="5" t="s">
        <v>3618</v>
      </c>
      <c r="AD1169" s="4"/>
    </row>
    <row r="1170" spans="1:30" ht="37" customHeight="1">
      <c r="A1170" s="12" t="s">
        <v>3581</v>
      </c>
      <c r="B1170" s="12" t="s">
        <v>3611</v>
      </c>
      <c r="C1170" s="4" t="s">
        <v>2491</v>
      </c>
      <c r="D1170" s="4" t="s">
        <v>3027</v>
      </c>
      <c r="E1170" s="4" t="s">
        <v>5065</v>
      </c>
      <c r="F1170" s="5" t="s">
        <v>2695</v>
      </c>
      <c r="G1170" s="4" t="s">
        <v>2308</v>
      </c>
      <c r="H1170" s="4" t="s">
        <v>531</v>
      </c>
      <c r="I1170" s="4">
        <v>2000</v>
      </c>
      <c r="J1170" s="4" t="s">
        <v>2308</v>
      </c>
      <c r="K1170" s="4" t="s">
        <v>2308</v>
      </c>
      <c r="L1170" s="4" t="s">
        <v>2308</v>
      </c>
      <c r="M1170" s="4" t="s">
        <v>2308</v>
      </c>
      <c r="N1170" s="4" t="s">
        <v>2308</v>
      </c>
      <c r="O1170" s="4" t="s">
        <v>2308</v>
      </c>
      <c r="P1170" s="4" t="s">
        <v>2308</v>
      </c>
      <c r="Q1170" s="4" t="s">
        <v>2308</v>
      </c>
      <c r="R1170" s="4" t="s">
        <v>2308</v>
      </c>
      <c r="S1170" s="4" t="s">
        <v>2308</v>
      </c>
      <c r="T1170" s="4" t="s">
        <v>2308</v>
      </c>
      <c r="U1170" s="4" t="s">
        <v>2308</v>
      </c>
      <c r="V1170" s="4" t="s">
        <v>2308</v>
      </c>
      <c r="W1170" s="4" t="s">
        <v>2308</v>
      </c>
      <c r="X1170" s="4" t="s">
        <v>2308</v>
      </c>
      <c r="Y1170" s="4" t="s">
        <v>2308</v>
      </c>
      <c r="Z1170" s="4" t="s">
        <v>412</v>
      </c>
      <c r="AA1170" s="4" t="s">
        <v>412</v>
      </c>
      <c r="AB1170" s="4" t="s">
        <v>2308</v>
      </c>
      <c r="AC1170" s="4" t="s">
        <v>3619</v>
      </c>
      <c r="AD1170" s="4"/>
    </row>
    <row r="1171" spans="1:30" ht="37" customHeight="1">
      <c r="A1171" s="12" t="s">
        <v>3581</v>
      </c>
      <c r="B1171" s="12" t="s">
        <v>3612</v>
      </c>
      <c r="C1171" s="4" t="s">
        <v>24</v>
      </c>
      <c r="D1171" s="4" t="s">
        <v>2308</v>
      </c>
      <c r="E1171" s="4" t="s">
        <v>5065</v>
      </c>
      <c r="F1171" s="5" t="s">
        <v>2695</v>
      </c>
      <c r="G1171" s="4" t="s">
        <v>2308</v>
      </c>
      <c r="H1171" s="4" t="s">
        <v>531</v>
      </c>
      <c r="I1171" s="4">
        <v>2000</v>
      </c>
      <c r="J1171" s="4" t="s">
        <v>2308</v>
      </c>
      <c r="K1171" s="4" t="s">
        <v>2308</v>
      </c>
      <c r="L1171" s="4" t="s">
        <v>2308</v>
      </c>
      <c r="M1171" s="4" t="s">
        <v>2308</v>
      </c>
      <c r="N1171" s="4" t="s">
        <v>2308</v>
      </c>
      <c r="O1171" s="4" t="s">
        <v>2308</v>
      </c>
      <c r="P1171" s="4" t="s">
        <v>2308</v>
      </c>
      <c r="Q1171" s="4" t="s">
        <v>2308</v>
      </c>
      <c r="R1171" s="4" t="s">
        <v>2308</v>
      </c>
      <c r="S1171" s="4" t="s">
        <v>2308</v>
      </c>
      <c r="T1171" s="4" t="s">
        <v>2308</v>
      </c>
      <c r="U1171" s="4" t="s">
        <v>2308</v>
      </c>
      <c r="V1171" s="4" t="s">
        <v>2308</v>
      </c>
      <c r="W1171" s="4" t="s">
        <v>2308</v>
      </c>
      <c r="X1171" s="4" t="s">
        <v>2308</v>
      </c>
      <c r="Y1171" s="4" t="s">
        <v>2308</v>
      </c>
      <c r="Z1171" s="4" t="s">
        <v>412</v>
      </c>
      <c r="AA1171" s="4" t="s">
        <v>412</v>
      </c>
      <c r="AB1171" s="4" t="s">
        <v>2308</v>
      </c>
      <c r="AC1171" s="4" t="s">
        <v>3620</v>
      </c>
      <c r="AD1171" s="4"/>
    </row>
    <row r="1172" spans="1:30" ht="37" customHeight="1">
      <c r="A1172" s="12" t="s">
        <v>3581</v>
      </c>
      <c r="B1172" s="12" t="s">
        <v>3613</v>
      </c>
      <c r="C1172" s="4" t="s">
        <v>2491</v>
      </c>
      <c r="D1172" s="4" t="s">
        <v>3027</v>
      </c>
      <c r="E1172" s="4" t="s">
        <v>5065</v>
      </c>
      <c r="F1172" s="5" t="s">
        <v>2695</v>
      </c>
      <c r="G1172" s="4" t="s">
        <v>2308</v>
      </c>
      <c r="H1172" s="4" t="s">
        <v>531</v>
      </c>
      <c r="I1172" s="4">
        <v>2003</v>
      </c>
      <c r="J1172" s="4" t="s">
        <v>2308</v>
      </c>
      <c r="K1172" s="4" t="s">
        <v>2308</v>
      </c>
      <c r="L1172" s="4" t="s">
        <v>2308</v>
      </c>
      <c r="M1172" s="4" t="s">
        <v>2308</v>
      </c>
      <c r="N1172" s="4" t="s">
        <v>2308</v>
      </c>
      <c r="O1172" s="4" t="s">
        <v>2308</v>
      </c>
      <c r="P1172" s="4" t="s">
        <v>2308</v>
      </c>
      <c r="Q1172" s="4" t="s">
        <v>2308</v>
      </c>
      <c r="R1172" s="4" t="s">
        <v>2308</v>
      </c>
      <c r="S1172" s="4" t="s">
        <v>2308</v>
      </c>
      <c r="T1172" s="4" t="s">
        <v>2308</v>
      </c>
      <c r="U1172" s="4" t="s">
        <v>2308</v>
      </c>
      <c r="V1172" s="4" t="s">
        <v>2308</v>
      </c>
      <c r="W1172" s="4" t="s">
        <v>2308</v>
      </c>
      <c r="X1172" s="4" t="s">
        <v>2308</v>
      </c>
      <c r="Y1172" s="4" t="s">
        <v>2308</v>
      </c>
      <c r="Z1172" s="4" t="s">
        <v>34</v>
      </c>
      <c r="AA1172" s="4" t="s">
        <v>34</v>
      </c>
      <c r="AB1172" s="4" t="s">
        <v>2308</v>
      </c>
      <c r="AC1172" s="4" t="s">
        <v>3619</v>
      </c>
      <c r="AD1172" s="4"/>
    </row>
    <row r="1173" spans="1:30" ht="37" customHeight="1">
      <c r="A1173" s="12" t="s">
        <v>3581</v>
      </c>
      <c r="B1173" s="12" t="s">
        <v>3614</v>
      </c>
      <c r="C1173" s="4" t="s">
        <v>31</v>
      </c>
      <c r="D1173" s="4" t="s">
        <v>2308</v>
      </c>
      <c r="E1173" s="4" t="s">
        <v>2685</v>
      </c>
      <c r="F1173" s="5" t="s">
        <v>2695</v>
      </c>
      <c r="G1173" s="4" t="s">
        <v>2308</v>
      </c>
      <c r="H1173" s="4" t="s">
        <v>531</v>
      </c>
      <c r="I1173" s="4">
        <v>2003</v>
      </c>
      <c r="J1173" s="4" t="s">
        <v>2308</v>
      </c>
      <c r="K1173" s="4" t="s">
        <v>2308</v>
      </c>
      <c r="L1173" s="4" t="s">
        <v>2308</v>
      </c>
      <c r="M1173" s="4" t="s">
        <v>2308</v>
      </c>
      <c r="N1173" s="4" t="s">
        <v>2308</v>
      </c>
      <c r="O1173" s="4" t="s">
        <v>2308</v>
      </c>
      <c r="P1173" s="4" t="s">
        <v>2308</v>
      </c>
      <c r="Q1173" s="4" t="s">
        <v>2308</v>
      </c>
      <c r="R1173" s="4" t="s">
        <v>2308</v>
      </c>
      <c r="S1173" s="4" t="s">
        <v>2308</v>
      </c>
      <c r="T1173" s="4" t="s">
        <v>2308</v>
      </c>
      <c r="U1173" s="4" t="s">
        <v>2308</v>
      </c>
      <c r="V1173" s="4" t="s">
        <v>2308</v>
      </c>
      <c r="W1173" s="4" t="s">
        <v>2308</v>
      </c>
      <c r="X1173" s="4" t="s">
        <v>2308</v>
      </c>
      <c r="Y1173" s="4" t="s">
        <v>2308</v>
      </c>
      <c r="Z1173" s="4" t="s">
        <v>432</v>
      </c>
      <c r="AA1173" s="4" t="s">
        <v>432</v>
      </c>
      <c r="AB1173" s="4" t="s">
        <v>2308</v>
      </c>
      <c r="AC1173" s="4" t="s">
        <v>3621</v>
      </c>
      <c r="AD1173" s="4"/>
    </row>
    <row r="1174" spans="1:30" ht="37" customHeight="1">
      <c r="A1174" s="12" t="s">
        <v>3581</v>
      </c>
      <c r="B1174" s="12" t="s">
        <v>3615</v>
      </c>
      <c r="C1174" s="4" t="s">
        <v>2491</v>
      </c>
      <c r="D1174" s="4" t="s">
        <v>3525</v>
      </c>
      <c r="E1174" s="4" t="s">
        <v>116</v>
      </c>
      <c r="F1174" s="5" t="s">
        <v>2695</v>
      </c>
      <c r="G1174" s="4" t="s">
        <v>2308</v>
      </c>
      <c r="H1174" s="4" t="s">
        <v>531</v>
      </c>
      <c r="I1174" s="4">
        <v>2004</v>
      </c>
      <c r="J1174" s="4" t="s">
        <v>2308</v>
      </c>
      <c r="K1174" s="4" t="s">
        <v>2308</v>
      </c>
      <c r="L1174" s="4" t="s">
        <v>2308</v>
      </c>
      <c r="M1174" s="4" t="s">
        <v>2308</v>
      </c>
      <c r="N1174" s="4" t="s">
        <v>2308</v>
      </c>
      <c r="O1174" s="4" t="s">
        <v>2308</v>
      </c>
      <c r="P1174" s="4" t="s">
        <v>2308</v>
      </c>
      <c r="Q1174" s="4" t="s">
        <v>2308</v>
      </c>
      <c r="R1174" s="4" t="s">
        <v>2308</v>
      </c>
      <c r="S1174" s="4" t="s">
        <v>2308</v>
      </c>
      <c r="T1174" s="4" t="s">
        <v>2308</v>
      </c>
      <c r="U1174" s="4" t="s">
        <v>2308</v>
      </c>
      <c r="V1174" s="4" t="s">
        <v>2308</v>
      </c>
      <c r="W1174" s="4" t="s">
        <v>2308</v>
      </c>
      <c r="X1174" s="4" t="s">
        <v>2308</v>
      </c>
      <c r="Y1174" s="4" t="s">
        <v>2308</v>
      </c>
      <c r="Z1174" s="4" t="s">
        <v>411</v>
      </c>
      <c r="AA1174" s="4" t="s">
        <v>411</v>
      </c>
      <c r="AB1174" s="4" t="s">
        <v>2308</v>
      </c>
      <c r="AC1174" s="4" t="s">
        <v>3525</v>
      </c>
      <c r="AD1174" s="4"/>
    </row>
    <row r="1175" spans="1:30" ht="37" customHeight="1">
      <c r="A1175" s="12" t="s">
        <v>3581</v>
      </c>
      <c r="B1175" s="12" t="s">
        <v>3616</v>
      </c>
      <c r="C1175" s="4" t="s">
        <v>2491</v>
      </c>
      <c r="D1175" s="4" t="s">
        <v>3525</v>
      </c>
      <c r="E1175" s="4" t="s">
        <v>116</v>
      </c>
      <c r="F1175" s="5" t="s">
        <v>2695</v>
      </c>
      <c r="G1175" s="4" t="s">
        <v>2308</v>
      </c>
      <c r="H1175" s="4" t="s">
        <v>531</v>
      </c>
      <c r="I1175" s="4">
        <v>2005</v>
      </c>
      <c r="J1175" s="4" t="s">
        <v>2308</v>
      </c>
      <c r="K1175" s="4" t="s">
        <v>2308</v>
      </c>
      <c r="L1175" s="4" t="s">
        <v>2308</v>
      </c>
      <c r="M1175" s="4" t="s">
        <v>2308</v>
      </c>
      <c r="N1175" s="4" t="s">
        <v>2308</v>
      </c>
      <c r="O1175" s="4" t="s">
        <v>2308</v>
      </c>
      <c r="P1175" s="4" t="s">
        <v>2308</v>
      </c>
      <c r="Q1175" s="4" t="s">
        <v>2308</v>
      </c>
      <c r="R1175" s="4" t="s">
        <v>2308</v>
      </c>
      <c r="S1175" s="4" t="s">
        <v>2308</v>
      </c>
      <c r="T1175" s="4" t="s">
        <v>2308</v>
      </c>
      <c r="U1175" s="4" t="s">
        <v>2308</v>
      </c>
      <c r="V1175" s="4" t="s">
        <v>2308</v>
      </c>
      <c r="W1175" s="4" t="s">
        <v>2308</v>
      </c>
      <c r="X1175" s="4" t="s">
        <v>2308</v>
      </c>
      <c r="Y1175" s="4" t="s">
        <v>2308</v>
      </c>
      <c r="Z1175" s="4" t="s">
        <v>406</v>
      </c>
      <c r="AA1175" s="4" t="s">
        <v>406</v>
      </c>
      <c r="AB1175" s="4" t="s">
        <v>2308</v>
      </c>
      <c r="AC1175" s="4" t="s">
        <v>3525</v>
      </c>
      <c r="AD1175" s="4"/>
    </row>
    <row r="1176" spans="1:30" ht="30" customHeight="1">
      <c r="A1176" s="12" t="s">
        <v>3635</v>
      </c>
      <c r="B1176" s="4" t="s">
        <v>3648</v>
      </c>
      <c r="C1176" s="4" t="s">
        <v>24</v>
      </c>
      <c r="D1176" s="4" t="s">
        <v>27</v>
      </c>
      <c r="E1176" s="4" t="s">
        <v>136</v>
      </c>
      <c r="F1176" s="5" t="s">
        <v>167</v>
      </c>
      <c r="G1176" s="4" t="s">
        <v>2308</v>
      </c>
      <c r="H1176" s="4" t="s">
        <v>531</v>
      </c>
      <c r="I1176" s="4"/>
      <c r="J1176" s="4" t="s">
        <v>2308</v>
      </c>
      <c r="K1176" s="4" t="s">
        <v>2308</v>
      </c>
      <c r="L1176" s="4" t="s">
        <v>2308</v>
      </c>
      <c r="M1176" s="4" t="s">
        <v>2308</v>
      </c>
      <c r="N1176" s="4" t="s">
        <v>2308</v>
      </c>
      <c r="O1176" s="4" t="s">
        <v>2308</v>
      </c>
      <c r="P1176" s="4" t="s">
        <v>2308</v>
      </c>
      <c r="Q1176" s="4" t="s">
        <v>2308</v>
      </c>
      <c r="R1176" s="4" t="s">
        <v>2308</v>
      </c>
      <c r="S1176" s="4" t="s">
        <v>2308</v>
      </c>
      <c r="T1176" s="4" t="s">
        <v>2308</v>
      </c>
      <c r="U1176" s="4" t="s">
        <v>2308</v>
      </c>
      <c r="V1176" s="4" t="s">
        <v>2308</v>
      </c>
      <c r="W1176" s="4" t="s">
        <v>2308</v>
      </c>
      <c r="X1176" s="4" t="s">
        <v>2308</v>
      </c>
      <c r="Y1176" s="4" t="s">
        <v>2308</v>
      </c>
      <c r="Z1176" s="4" t="s">
        <v>2308</v>
      </c>
      <c r="AA1176" s="4" t="s">
        <v>2308</v>
      </c>
      <c r="AB1176" s="4" t="s">
        <v>2308</v>
      </c>
      <c r="AC1176" s="5" t="s">
        <v>3658</v>
      </c>
      <c r="AD1176" s="4"/>
    </row>
    <row r="1177" spans="1:30" ht="30" customHeight="1">
      <c r="A1177" s="12" t="s">
        <v>3638</v>
      </c>
      <c r="B1177" s="4" t="s">
        <v>3649</v>
      </c>
      <c r="C1177" s="4" t="s">
        <v>24</v>
      </c>
      <c r="D1177" s="4" t="s">
        <v>27</v>
      </c>
      <c r="E1177" s="4" t="s">
        <v>136</v>
      </c>
      <c r="F1177" s="5" t="s">
        <v>167</v>
      </c>
      <c r="G1177" s="4" t="s">
        <v>2308</v>
      </c>
      <c r="H1177" s="4" t="s">
        <v>531</v>
      </c>
      <c r="I1177" s="4"/>
      <c r="J1177" s="4" t="s">
        <v>2308</v>
      </c>
      <c r="K1177" s="4" t="s">
        <v>2308</v>
      </c>
      <c r="L1177" s="4" t="s">
        <v>2308</v>
      </c>
      <c r="M1177" s="4" t="s">
        <v>2308</v>
      </c>
      <c r="N1177" s="4" t="s">
        <v>2308</v>
      </c>
      <c r="O1177" s="4" t="s">
        <v>2308</v>
      </c>
      <c r="P1177" s="4" t="s">
        <v>2308</v>
      </c>
      <c r="Q1177" s="4" t="s">
        <v>2308</v>
      </c>
      <c r="R1177" s="4" t="s">
        <v>2308</v>
      </c>
      <c r="S1177" s="4" t="s">
        <v>2308</v>
      </c>
      <c r="T1177" s="4" t="s">
        <v>2308</v>
      </c>
      <c r="U1177" s="4" t="s">
        <v>2308</v>
      </c>
      <c r="V1177" s="4" t="s">
        <v>2308</v>
      </c>
      <c r="W1177" s="4" t="s">
        <v>2308</v>
      </c>
      <c r="X1177" s="4" t="s">
        <v>2308</v>
      </c>
      <c r="Y1177" s="4" t="s">
        <v>2308</v>
      </c>
      <c r="Z1177" s="4" t="s">
        <v>2308</v>
      </c>
      <c r="AA1177" s="4" t="s">
        <v>2308</v>
      </c>
      <c r="AB1177" s="4" t="s">
        <v>2308</v>
      </c>
      <c r="AC1177" s="5" t="s">
        <v>3659</v>
      </c>
      <c r="AD1177" s="4"/>
    </row>
    <row r="1178" spans="1:30" ht="30" customHeight="1">
      <c r="A1178" s="12" t="s">
        <v>3639</v>
      </c>
      <c r="B1178" s="4" t="s">
        <v>3650</v>
      </c>
      <c r="C1178" s="4" t="s">
        <v>24</v>
      </c>
      <c r="D1178" s="4" t="s">
        <v>27</v>
      </c>
      <c r="E1178" s="4" t="s">
        <v>136</v>
      </c>
      <c r="F1178" s="5" t="s">
        <v>167</v>
      </c>
      <c r="G1178" s="4" t="s">
        <v>2308</v>
      </c>
      <c r="H1178" s="4" t="s">
        <v>531</v>
      </c>
      <c r="I1178" s="4"/>
      <c r="J1178" s="4" t="s">
        <v>2308</v>
      </c>
      <c r="K1178" s="4" t="s">
        <v>2308</v>
      </c>
      <c r="L1178" s="4" t="s">
        <v>2308</v>
      </c>
      <c r="M1178" s="4" t="s">
        <v>2308</v>
      </c>
      <c r="N1178" s="4" t="s">
        <v>2308</v>
      </c>
      <c r="O1178" s="4" t="s">
        <v>2308</v>
      </c>
      <c r="P1178" s="4" t="s">
        <v>2308</v>
      </c>
      <c r="Q1178" s="4" t="s">
        <v>2308</v>
      </c>
      <c r="R1178" s="4" t="s">
        <v>2308</v>
      </c>
      <c r="S1178" s="4" t="s">
        <v>2308</v>
      </c>
      <c r="T1178" s="4" t="s">
        <v>2308</v>
      </c>
      <c r="U1178" s="4" t="s">
        <v>2308</v>
      </c>
      <c r="V1178" s="4" t="s">
        <v>2308</v>
      </c>
      <c r="W1178" s="4" t="s">
        <v>2308</v>
      </c>
      <c r="X1178" s="4" t="s">
        <v>2308</v>
      </c>
      <c r="Y1178" s="4" t="s">
        <v>2308</v>
      </c>
      <c r="Z1178" s="4" t="s">
        <v>2308</v>
      </c>
      <c r="AA1178" s="4" t="s">
        <v>2308</v>
      </c>
      <c r="AB1178" s="4" t="s">
        <v>2308</v>
      </c>
      <c r="AC1178" s="5" t="s">
        <v>3660</v>
      </c>
      <c r="AD1178" s="4"/>
    </row>
    <row r="1179" spans="1:30" ht="30" customHeight="1">
      <c r="A1179" s="12" t="s">
        <v>3640</v>
      </c>
      <c r="B1179" s="4" t="s">
        <v>3651</v>
      </c>
      <c r="C1179" s="4" t="s">
        <v>24</v>
      </c>
      <c r="D1179" s="4" t="s">
        <v>27</v>
      </c>
      <c r="E1179" s="4" t="s">
        <v>136</v>
      </c>
      <c r="F1179" s="5" t="s">
        <v>167</v>
      </c>
      <c r="G1179" s="4" t="s">
        <v>2308</v>
      </c>
      <c r="H1179" s="4" t="s">
        <v>531</v>
      </c>
      <c r="I1179" s="4"/>
      <c r="J1179" s="4" t="s">
        <v>2308</v>
      </c>
      <c r="K1179" s="4" t="s">
        <v>2308</v>
      </c>
      <c r="L1179" s="4" t="s">
        <v>2308</v>
      </c>
      <c r="M1179" s="4" t="s">
        <v>2308</v>
      </c>
      <c r="N1179" s="4" t="s">
        <v>2308</v>
      </c>
      <c r="O1179" s="4" t="s">
        <v>2308</v>
      </c>
      <c r="P1179" s="4" t="s">
        <v>2308</v>
      </c>
      <c r="Q1179" s="4" t="s">
        <v>2308</v>
      </c>
      <c r="R1179" s="4" t="s">
        <v>2308</v>
      </c>
      <c r="S1179" s="4" t="s">
        <v>2308</v>
      </c>
      <c r="T1179" s="4" t="s">
        <v>2308</v>
      </c>
      <c r="U1179" s="4" t="s">
        <v>2308</v>
      </c>
      <c r="V1179" s="4" t="s">
        <v>2308</v>
      </c>
      <c r="W1179" s="4" t="s">
        <v>2308</v>
      </c>
      <c r="X1179" s="4" t="s">
        <v>2308</v>
      </c>
      <c r="Y1179" s="4" t="s">
        <v>2308</v>
      </c>
      <c r="Z1179" s="4" t="s">
        <v>2308</v>
      </c>
      <c r="AA1179" s="4" t="s">
        <v>2308</v>
      </c>
      <c r="AB1179" s="4" t="s">
        <v>2308</v>
      </c>
      <c r="AC1179" s="5" t="s">
        <v>3660</v>
      </c>
      <c r="AD1179" s="4"/>
    </row>
    <row r="1180" spans="1:30" ht="30" customHeight="1">
      <c r="A1180" s="12" t="s">
        <v>3641</v>
      </c>
      <c r="B1180" s="4" t="s">
        <v>3652</v>
      </c>
      <c r="C1180" s="4" t="s">
        <v>24</v>
      </c>
      <c r="D1180" s="4" t="s">
        <v>27</v>
      </c>
      <c r="E1180" s="4" t="s">
        <v>136</v>
      </c>
      <c r="F1180" s="5" t="s">
        <v>167</v>
      </c>
      <c r="G1180" s="4" t="s">
        <v>2308</v>
      </c>
      <c r="H1180" s="4" t="s">
        <v>532</v>
      </c>
      <c r="I1180" s="4"/>
      <c r="J1180" s="22">
        <v>0</v>
      </c>
      <c r="K1180" s="22">
        <v>0</v>
      </c>
      <c r="L1180" s="22">
        <v>0</v>
      </c>
      <c r="M1180" s="22">
        <v>0</v>
      </c>
      <c r="N1180" s="22">
        <v>0</v>
      </c>
      <c r="O1180" s="22">
        <v>0</v>
      </c>
      <c r="P1180" s="22">
        <v>0</v>
      </c>
      <c r="Q1180" s="22">
        <v>0</v>
      </c>
      <c r="R1180" s="22">
        <v>0</v>
      </c>
      <c r="S1180" s="22">
        <v>0</v>
      </c>
      <c r="T1180" s="22">
        <v>0</v>
      </c>
      <c r="U1180" s="22">
        <v>0</v>
      </c>
      <c r="V1180" s="22">
        <v>0</v>
      </c>
      <c r="W1180" s="22">
        <v>0</v>
      </c>
      <c r="X1180" s="22">
        <v>0</v>
      </c>
      <c r="Y1180" s="4" t="s">
        <v>2308</v>
      </c>
      <c r="Z1180" s="4" t="s">
        <v>2308</v>
      </c>
      <c r="AA1180" s="4" t="s">
        <v>2308</v>
      </c>
      <c r="AB1180" s="4" t="s">
        <v>2308</v>
      </c>
      <c r="AC1180" s="4"/>
      <c r="AD1180" s="4"/>
    </row>
    <row r="1181" spans="1:30" ht="36" customHeight="1">
      <c r="A1181" s="12" t="s">
        <v>3635</v>
      </c>
      <c r="B1181" s="4" t="s">
        <v>3653</v>
      </c>
      <c r="C1181" s="4" t="s">
        <v>24</v>
      </c>
      <c r="D1181" s="4" t="s">
        <v>2692</v>
      </c>
      <c r="E1181" s="4" t="s">
        <v>136</v>
      </c>
      <c r="F1181" s="5" t="s">
        <v>28</v>
      </c>
      <c r="G1181" s="4" t="s">
        <v>2308</v>
      </c>
      <c r="H1181" s="4" t="s">
        <v>531</v>
      </c>
      <c r="I1181" s="4"/>
      <c r="J1181" s="4" t="s">
        <v>2308</v>
      </c>
      <c r="K1181" s="4" t="s">
        <v>2308</v>
      </c>
      <c r="L1181" s="4" t="s">
        <v>2308</v>
      </c>
      <c r="M1181" s="4" t="s">
        <v>2308</v>
      </c>
      <c r="N1181" s="4" t="s">
        <v>2308</v>
      </c>
      <c r="O1181" s="4" t="s">
        <v>2308</v>
      </c>
      <c r="P1181" s="4" t="s">
        <v>2308</v>
      </c>
      <c r="Q1181" s="4" t="s">
        <v>2308</v>
      </c>
      <c r="R1181" s="4" t="s">
        <v>2308</v>
      </c>
      <c r="S1181" s="4" t="s">
        <v>2308</v>
      </c>
      <c r="T1181" s="4" t="s">
        <v>2308</v>
      </c>
      <c r="U1181" s="4" t="s">
        <v>2308</v>
      </c>
      <c r="V1181" s="4" t="s">
        <v>2308</v>
      </c>
      <c r="W1181" s="4" t="s">
        <v>2308</v>
      </c>
      <c r="X1181" s="4" t="s">
        <v>2308</v>
      </c>
      <c r="Y1181" s="4" t="s">
        <v>2308</v>
      </c>
      <c r="Z1181" s="4" t="s">
        <v>2308</v>
      </c>
      <c r="AA1181" s="4" t="s">
        <v>2308</v>
      </c>
      <c r="AB1181" s="4" t="s">
        <v>2308</v>
      </c>
      <c r="AC1181" s="5" t="s">
        <v>3661</v>
      </c>
      <c r="AD1181" s="4"/>
    </row>
    <row r="1182" spans="1:30" ht="36" customHeight="1">
      <c r="A1182" s="12" t="s">
        <v>3638</v>
      </c>
      <c r="B1182" s="4" t="s">
        <v>3654</v>
      </c>
      <c r="C1182" s="4" t="s">
        <v>24</v>
      </c>
      <c r="D1182" s="4" t="s">
        <v>2692</v>
      </c>
      <c r="E1182" s="4" t="s">
        <v>136</v>
      </c>
      <c r="F1182" s="5" t="s">
        <v>28</v>
      </c>
      <c r="G1182" s="4" t="s">
        <v>2308</v>
      </c>
      <c r="H1182" s="4" t="s">
        <v>531</v>
      </c>
      <c r="I1182" s="4"/>
      <c r="J1182" s="4" t="s">
        <v>2308</v>
      </c>
      <c r="K1182" s="4" t="s">
        <v>2308</v>
      </c>
      <c r="L1182" s="4" t="s">
        <v>2308</v>
      </c>
      <c r="M1182" s="4" t="s">
        <v>2308</v>
      </c>
      <c r="N1182" s="4" t="s">
        <v>2308</v>
      </c>
      <c r="O1182" s="4" t="s">
        <v>2308</v>
      </c>
      <c r="P1182" s="4" t="s">
        <v>2308</v>
      </c>
      <c r="Q1182" s="4" t="s">
        <v>2308</v>
      </c>
      <c r="R1182" s="4" t="s">
        <v>2308</v>
      </c>
      <c r="S1182" s="4" t="s">
        <v>2308</v>
      </c>
      <c r="T1182" s="4" t="s">
        <v>2308</v>
      </c>
      <c r="U1182" s="4" t="s">
        <v>2308</v>
      </c>
      <c r="V1182" s="4" t="s">
        <v>2308</v>
      </c>
      <c r="W1182" s="4" t="s">
        <v>2308</v>
      </c>
      <c r="X1182" s="4" t="s">
        <v>2308</v>
      </c>
      <c r="Y1182" s="4" t="s">
        <v>2308</v>
      </c>
      <c r="Z1182" s="4" t="s">
        <v>2308</v>
      </c>
      <c r="AA1182" s="4" t="s">
        <v>2308</v>
      </c>
      <c r="AB1182" s="4" t="s">
        <v>2308</v>
      </c>
      <c r="AC1182" s="5" t="s">
        <v>3661</v>
      </c>
      <c r="AD1182" s="4"/>
    </row>
    <row r="1183" spans="1:30" ht="36" customHeight="1">
      <c r="A1183" s="12" t="s">
        <v>3639</v>
      </c>
      <c r="B1183" s="4" t="s">
        <v>3655</v>
      </c>
      <c r="C1183" s="4" t="s">
        <v>24</v>
      </c>
      <c r="D1183" s="4" t="s">
        <v>2692</v>
      </c>
      <c r="E1183" s="4" t="s">
        <v>136</v>
      </c>
      <c r="F1183" s="5" t="s">
        <v>28</v>
      </c>
      <c r="G1183" s="4" t="s">
        <v>2308</v>
      </c>
      <c r="H1183" s="4" t="s">
        <v>531</v>
      </c>
      <c r="I1183" s="4"/>
      <c r="J1183" s="4" t="s">
        <v>2308</v>
      </c>
      <c r="K1183" s="4" t="s">
        <v>2308</v>
      </c>
      <c r="L1183" s="4" t="s">
        <v>2308</v>
      </c>
      <c r="M1183" s="4" t="s">
        <v>2308</v>
      </c>
      <c r="N1183" s="4" t="s">
        <v>2308</v>
      </c>
      <c r="O1183" s="4" t="s">
        <v>2308</v>
      </c>
      <c r="P1183" s="4" t="s">
        <v>2308</v>
      </c>
      <c r="Q1183" s="4" t="s">
        <v>2308</v>
      </c>
      <c r="R1183" s="4" t="s">
        <v>2308</v>
      </c>
      <c r="S1183" s="4" t="s">
        <v>2308</v>
      </c>
      <c r="T1183" s="4" t="s">
        <v>2308</v>
      </c>
      <c r="U1183" s="4" t="s">
        <v>2308</v>
      </c>
      <c r="V1183" s="4" t="s">
        <v>2308</v>
      </c>
      <c r="W1183" s="4" t="s">
        <v>2308</v>
      </c>
      <c r="X1183" s="4" t="s">
        <v>2308</v>
      </c>
      <c r="Y1183" s="4" t="s">
        <v>2308</v>
      </c>
      <c r="Z1183" s="4" t="s">
        <v>2308</v>
      </c>
      <c r="AA1183" s="4" t="s">
        <v>2308</v>
      </c>
      <c r="AB1183" s="4" t="s">
        <v>2308</v>
      </c>
      <c r="AC1183" s="5" t="s">
        <v>3661</v>
      </c>
      <c r="AD1183" s="4"/>
    </row>
    <row r="1184" spans="1:30" ht="36" customHeight="1">
      <c r="A1184" s="12" t="s">
        <v>3640</v>
      </c>
      <c r="B1184" s="4" t="s">
        <v>3656</v>
      </c>
      <c r="C1184" s="4" t="s">
        <v>24</v>
      </c>
      <c r="D1184" s="4" t="s">
        <v>2692</v>
      </c>
      <c r="E1184" s="4" t="s">
        <v>136</v>
      </c>
      <c r="F1184" s="5" t="s">
        <v>28</v>
      </c>
      <c r="G1184" s="4" t="s">
        <v>2308</v>
      </c>
      <c r="H1184" s="4" t="s">
        <v>531</v>
      </c>
      <c r="I1184" s="4"/>
      <c r="J1184" s="4" t="s">
        <v>2308</v>
      </c>
      <c r="K1184" s="4" t="s">
        <v>2308</v>
      </c>
      <c r="L1184" s="4" t="s">
        <v>2308</v>
      </c>
      <c r="M1184" s="4" t="s">
        <v>2308</v>
      </c>
      <c r="N1184" s="4" t="s">
        <v>2308</v>
      </c>
      <c r="O1184" s="4" t="s">
        <v>2308</v>
      </c>
      <c r="P1184" s="4" t="s">
        <v>2308</v>
      </c>
      <c r="Q1184" s="4" t="s">
        <v>2308</v>
      </c>
      <c r="R1184" s="4" t="s">
        <v>2308</v>
      </c>
      <c r="S1184" s="4" t="s">
        <v>2308</v>
      </c>
      <c r="T1184" s="4" t="s">
        <v>2308</v>
      </c>
      <c r="U1184" s="4" t="s">
        <v>2308</v>
      </c>
      <c r="V1184" s="4" t="s">
        <v>2308</v>
      </c>
      <c r="W1184" s="4" t="s">
        <v>2308</v>
      </c>
      <c r="X1184" s="4" t="s">
        <v>2308</v>
      </c>
      <c r="Y1184" s="4" t="s">
        <v>2308</v>
      </c>
      <c r="Z1184" s="4" t="s">
        <v>2308</v>
      </c>
      <c r="AA1184" s="4" t="s">
        <v>2308</v>
      </c>
      <c r="AB1184" s="4" t="s">
        <v>2308</v>
      </c>
      <c r="AC1184" s="5" t="s">
        <v>3661</v>
      </c>
      <c r="AD1184" s="4"/>
    </row>
    <row r="1185" spans="1:30" ht="36" customHeight="1">
      <c r="A1185" s="12" t="s">
        <v>3641</v>
      </c>
      <c r="B1185" s="4" t="s">
        <v>3657</v>
      </c>
      <c r="C1185" s="4" t="s">
        <v>24</v>
      </c>
      <c r="D1185" s="4" t="s">
        <v>2692</v>
      </c>
      <c r="E1185" s="4" t="s">
        <v>136</v>
      </c>
      <c r="F1185" s="5" t="s">
        <v>28</v>
      </c>
      <c r="G1185" s="4" t="s">
        <v>2308</v>
      </c>
      <c r="H1185" s="4" t="s">
        <v>531</v>
      </c>
      <c r="I1185" s="4"/>
      <c r="J1185" s="4" t="s">
        <v>2308</v>
      </c>
      <c r="K1185" s="4" t="s">
        <v>2308</v>
      </c>
      <c r="L1185" s="4" t="s">
        <v>2308</v>
      </c>
      <c r="M1185" s="4" t="s">
        <v>2308</v>
      </c>
      <c r="N1185" s="4" t="s">
        <v>2308</v>
      </c>
      <c r="O1185" s="4" t="s">
        <v>2308</v>
      </c>
      <c r="P1185" s="4" t="s">
        <v>2308</v>
      </c>
      <c r="Q1185" s="4" t="s">
        <v>2308</v>
      </c>
      <c r="R1185" s="4" t="s">
        <v>2308</v>
      </c>
      <c r="S1185" s="4" t="s">
        <v>2308</v>
      </c>
      <c r="T1185" s="4" t="s">
        <v>2308</v>
      </c>
      <c r="U1185" s="4" t="s">
        <v>2308</v>
      </c>
      <c r="V1185" s="4" t="s">
        <v>2308</v>
      </c>
      <c r="W1185" s="4" t="s">
        <v>2308</v>
      </c>
      <c r="X1185" s="4" t="s">
        <v>2308</v>
      </c>
      <c r="Y1185" s="4" t="s">
        <v>2308</v>
      </c>
      <c r="Z1185" s="4" t="s">
        <v>2308</v>
      </c>
      <c r="AA1185" s="4" t="s">
        <v>2308</v>
      </c>
      <c r="AB1185" s="4" t="s">
        <v>2308</v>
      </c>
      <c r="AC1185" s="5" t="s">
        <v>3661</v>
      </c>
      <c r="AD1185" s="4"/>
    </row>
    <row r="1186" spans="1:30" ht="41" customHeight="1">
      <c r="A1186" s="12" t="s">
        <v>3663</v>
      </c>
      <c r="B1186" s="12" t="s">
        <v>3667</v>
      </c>
      <c r="C1186" s="4" t="s">
        <v>24</v>
      </c>
      <c r="D1186" s="4" t="s">
        <v>2837</v>
      </c>
      <c r="E1186" s="4" t="s">
        <v>5065</v>
      </c>
      <c r="F1186" s="5" t="s">
        <v>2308</v>
      </c>
      <c r="G1186" s="4" t="s">
        <v>2308</v>
      </c>
      <c r="H1186" s="4" t="s">
        <v>532</v>
      </c>
      <c r="I1186" s="4"/>
      <c r="J1186" s="22">
        <v>0</v>
      </c>
      <c r="K1186" s="22">
        <v>0</v>
      </c>
      <c r="L1186" s="22">
        <v>0</v>
      </c>
      <c r="M1186" s="22">
        <v>0</v>
      </c>
      <c r="N1186" s="22">
        <v>0</v>
      </c>
      <c r="O1186" s="22">
        <v>0</v>
      </c>
      <c r="P1186" s="22">
        <v>0</v>
      </c>
      <c r="Q1186" s="22">
        <v>0</v>
      </c>
      <c r="R1186" s="22">
        <v>0</v>
      </c>
      <c r="S1186" s="22">
        <v>0</v>
      </c>
      <c r="T1186" s="22">
        <v>0</v>
      </c>
      <c r="U1186" s="22">
        <v>0</v>
      </c>
      <c r="V1186" s="22">
        <v>0</v>
      </c>
      <c r="W1186" s="22">
        <v>0</v>
      </c>
      <c r="X1186" s="22">
        <v>0</v>
      </c>
      <c r="Y1186" s="4" t="s">
        <v>2308</v>
      </c>
      <c r="Z1186" s="4" t="s">
        <v>2308</v>
      </c>
      <c r="AA1186" s="4" t="s">
        <v>2308</v>
      </c>
      <c r="AB1186" s="4" t="s">
        <v>2308</v>
      </c>
      <c r="AC1186" s="4"/>
      <c r="AD1186" s="5" t="s">
        <v>3669</v>
      </c>
    </row>
    <row r="1187" spans="1:30" ht="43" customHeight="1">
      <c r="A1187" s="12" t="s">
        <v>3663</v>
      </c>
      <c r="B1187" s="12" t="s">
        <v>3668</v>
      </c>
      <c r="C1187" s="4" t="s">
        <v>24</v>
      </c>
      <c r="D1187" s="4" t="s">
        <v>25</v>
      </c>
      <c r="E1187" s="4" t="s">
        <v>5065</v>
      </c>
      <c r="F1187" s="5" t="s">
        <v>2308</v>
      </c>
      <c r="G1187" s="4" t="s">
        <v>2308</v>
      </c>
      <c r="H1187" s="4" t="s">
        <v>532</v>
      </c>
      <c r="I1187" s="4"/>
      <c r="J1187" s="22">
        <v>0</v>
      </c>
      <c r="K1187" s="22">
        <v>0</v>
      </c>
      <c r="L1187" s="22">
        <v>0</v>
      </c>
      <c r="M1187" s="22">
        <v>0</v>
      </c>
      <c r="N1187" s="22">
        <v>0</v>
      </c>
      <c r="O1187" s="22">
        <v>0</v>
      </c>
      <c r="P1187" s="22">
        <v>0</v>
      </c>
      <c r="Q1187" s="22">
        <v>0</v>
      </c>
      <c r="R1187" s="22">
        <v>0</v>
      </c>
      <c r="S1187" s="22">
        <v>0</v>
      </c>
      <c r="T1187" s="22">
        <v>0</v>
      </c>
      <c r="U1187" s="22">
        <v>0</v>
      </c>
      <c r="V1187" s="22">
        <v>0</v>
      </c>
      <c r="W1187" s="22">
        <v>0</v>
      </c>
      <c r="X1187" s="22">
        <v>0</v>
      </c>
      <c r="Y1187" s="4" t="s">
        <v>2308</v>
      </c>
      <c r="Z1187" s="4" t="s">
        <v>2308</v>
      </c>
      <c r="AA1187" s="4" t="s">
        <v>2308</v>
      </c>
      <c r="AB1187" s="4" t="s">
        <v>2308</v>
      </c>
      <c r="AC1187" s="4"/>
      <c r="AD1187" s="5" t="s">
        <v>3669</v>
      </c>
    </row>
    <row r="1188" spans="1:30" ht="40" customHeight="1">
      <c r="A1188" s="12" t="s">
        <v>3663</v>
      </c>
      <c r="B1188" s="12" t="s">
        <v>3671</v>
      </c>
      <c r="C1188" s="4" t="s">
        <v>24</v>
      </c>
      <c r="D1188" s="4" t="s">
        <v>2837</v>
      </c>
      <c r="E1188" s="4" t="s">
        <v>45</v>
      </c>
      <c r="F1188" s="5" t="s">
        <v>2308</v>
      </c>
      <c r="G1188" s="4" t="s">
        <v>2308</v>
      </c>
      <c r="H1188" s="4" t="s">
        <v>532</v>
      </c>
      <c r="I1188" s="4"/>
      <c r="J1188" s="22">
        <v>0</v>
      </c>
      <c r="K1188" s="22">
        <v>0</v>
      </c>
      <c r="L1188" s="22">
        <v>0</v>
      </c>
      <c r="M1188" s="22">
        <v>0</v>
      </c>
      <c r="N1188" s="22">
        <v>0</v>
      </c>
      <c r="O1188" s="22">
        <v>0</v>
      </c>
      <c r="P1188" s="22">
        <v>0</v>
      </c>
      <c r="Q1188" s="22">
        <v>0</v>
      </c>
      <c r="R1188" s="22">
        <v>0</v>
      </c>
      <c r="S1188" s="22">
        <v>0</v>
      </c>
      <c r="T1188" s="22">
        <v>0</v>
      </c>
      <c r="U1188" s="22">
        <v>0</v>
      </c>
      <c r="V1188" s="22">
        <v>0</v>
      </c>
      <c r="W1188" s="22">
        <v>0</v>
      </c>
      <c r="X1188" s="22">
        <v>0</v>
      </c>
      <c r="Y1188" s="4" t="s">
        <v>2308</v>
      </c>
      <c r="Z1188" s="4" t="s">
        <v>2308</v>
      </c>
      <c r="AA1188" s="4" t="s">
        <v>2308</v>
      </c>
      <c r="AB1188" s="4" t="s">
        <v>2308</v>
      </c>
      <c r="AC1188" s="4"/>
      <c r="AD1188" s="5" t="s">
        <v>3669</v>
      </c>
    </row>
    <row r="1189" spans="1:30" ht="41" customHeight="1">
      <c r="A1189" s="12" t="s">
        <v>3663</v>
      </c>
      <c r="B1189" s="12" t="s">
        <v>3672</v>
      </c>
      <c r="C1189" s="4" t="s">
        <v>24</v>
      </c>
      <c r="D1189" s="4" t="s">
        <v>25</v>
      </c>
      <c r="E1189" s="4" t="s">
        <v>45</v>
      </c>
      <c r="F1189" s="5" t="s">
        <v>2308</v>
      </c>
      <c r="G1189" s="4" t="s">
        <v>2308</v>
      </c>
      <c r="H1189" s="4" t="s">
        <v>532</v>
      </c>
      <c r="I1189" s="4"/>
      <c r="J1189" s="22">
        <v>0</v>
      </c>
      <c r="K1189" s="22">
        <v>0</v>
      </c>
      <c r="L1189" s="22">
        <v>0</v>
      </c>
      <c r="M1189" s="22">
        <v>0</v>
      </c>
      <c r="N1189" s="22">
        <v>0</v>
      </c>
      <c r="O1189" s="22">
        <v>0</v>
      </c>
      <c r="P1189" s="22">
        <v>0</v>
      </c>
      <c r="Q1189" s="22">
        <v>0</v>
      </c>
      <c r="R1189" s="22">
        <v>0</v>
      </c>
      <c r="S1189" s="22">
        <v>0</v>
      </c>
      <c r="T1189" s="22">
        <v>0</v>
      </c>
      <c r="U1189" s="22">
        <v>0</v>
      </c>
      <c r="V1189" s="22">
        <v>0</v>
      </c>
      <c r="W1189" s="22">
        <v>0</v>
      </c>
      <c r="X1189" s="22">
        <v>0</v>
      </c>
      <c r="Y1189" s="4" t="s">
        <v>2308</v>
      </c>
      <c r="Z1189" s="4" t="s">
        <v>2308</v>
      </c>
      <c r="AA1189" s="4" t="s">
        <v>2308</v>
      </c>
      <c r="AB1189" s="4" t="s">
        <v>2308</v>
      </c>
      <c r="AC1189" s="4"/>
      <c r="AD1189" s="5" t="s">
        <v>3669</v>
      </c>
    </row>
    <row r="1190" spans="1:30" ht="28" customHeight="1">
      <c r="A1190" s="4" t="s">
        <v>3674</v>
      </c>
      <c r="B1190" s="4" t="s">
        <v>3684</v>
      </c>
      <c r="C1190" s="4" t="s">
        <v>24</v>
      </c>
      <c r="D1190" s="4" t="s">
        <v>27</v>
      </c>
      <c r="E1190" s="4" t="s">
        <v>136</v>
      </c>
      <c r="F1190" s="5" t="s">
        <v>2308</v>
      </c>
      <c r="G1190" s="4" t="s">
        <v>2308</v>
      </c>
      <c r="H1190" s="4" t="s">
        <v>531</v>
      </c>
      <c r="I1190" s="4"/>
      <c r="J1190" s="4" t="s">
        <v>2308</v>
      </c>
      <c r="K1190" s="4" t="s">
        <v>2308</v>
      </c>
      <c r="L1190" s="4" t="s">
        <v>2308</v>
      </c>
      <c r="M1190" s="4" t="s">
        <v>2308</v>
      </c>
      <c r="N1190" s="4" t="s">
        <v>2308</v>
      </c>
      <c r="O1190" s="4" t="s">
        <v>2308</v>
      </c>
      <c r="P1190" s="4" t="s">
        <v>2308</v>
      </c>
      <c r="Q1190" s="4" t="s">
        <v>2308</v>
      </c>
      <c r="R1190" s="4" t="s">
        <v>2308</v>
      </c>
      <c r="S1190" s="4" t="s">
        <v>2308</v>
      </c>
      <c r="T1190" s="4" t="s">
        <v>2308</v>
      </c>
      <c r="U1190" s="4" t="s">
        <v>2308</v>
      </c>
      <c r="V1190" s="4" t="s">
        <v>2308</v>
      </c>
      <c r="W1190" s="4" t="s">
        <v>2308</v>
      </c>
      <c r="X1190" s="4" t="s">
        <v>2308</v>
      </c>
      <c r="Y1190" s="4" t="s">
        <v>2308</v>
      </c>
      <c r="Z1190" s="4" t="s">
        <v>2308</v>
      </c>
      <c r="AA1190" s="4" t="s">
        <v>2308</v>
      </c>
      <c r="AB1190" s="4" t="s">
        <v>2308</v>
      </c>
      <c r="AC1190" s="4"/>
      <c r="AD1190" s="4"/>
    </row>
    <row r="1191" spans="1:30" ht="28" customHeight="1">
      <c r="A1191" s="4" t="s">
        <v>3675</v>
      </c>
      <c r="B1191" s="4" t="s">
        <v>3685</v>
      </c>
      <c r="C1191" s="4" t="s">
        <v>24</v>
      </c>
      <c r="D1191" s="4" t="s">
        <v>27</v>
      </c>
      <c r="E1191" s="4" t="s">
        <v>136</v>
      </c>
      <c r="F1191" s="5" t="s">
        <v>2308</v>
      </c>
      <c r="G1191" s="4" t="s">
        <v>2308</v>
      </c>
      <c r="H1191" s="4" t="s">
        <v>531</v>
      </c>
      <c r="I1191" s="4"/>
      <c r="J1191" s="4" t="s">
        <v>2308</v>
      </c>
      <c r="K1191" s="4" t="s">
        <v>2308</v>
      </c>
      <c r="L1191" s="4" t="s">
        <v>2308</v>
      </c>
      <c r="M1191" s="4" t="s">
        <v>2308</v>
      </c>
      <c r="N1191" s="4" t="s">
        <v>2308</v>
      </c>
      <c r="O1191" s="4" t="s">
        <v>2308</v>
      </c>
      <c r="P1191" s="4" t="s">
        <v>2308</v>
      </c>
      <c r="Q1191" s="4" t="s">
        <v>2308</v>
      </c>
      <c r="R1191" s="4" t="s">
        <v>2308</v>
      </c>
      <c r="S1191" s="4" t="s">
        <v>2308</v>
      </c>
      <c r="T1191" s="4" t="s">
        <v>2308</v>
      </c>
      <c r="U1191" s="4" t="s">
        <v>2308</v>
      </c>
      <c r="V1191" s="4" t="s">
        <v>2308</v>
      </c>
      <c r="W1191" s="4" t="s">
        <v>2308</v>
      </c>
      <c r="X1191" s="4" t="s">
        <v>2308</v>
      </c>
      <c r="Y1191" s="4" t="s">
        <v>2308</v>
      </c>
      <c r="Z1191" s="4" t="s">
        <v>2308</v>
      </c>
      <c r="AA1191" s="4" t="s">
        <v>2308</v>
      </c>
      <c r="AB1191" s="4" t="s">
        <v>2308</v>
      </c>
      <c r="AC1191" s="4"/>
      <c r="AD1191" s="4"/>
    </row>
    <row r="1192" spans="1:30" ht="28" customHeight="1">
      <c r="A1192" s="4" t="s">
        <v>3678</v>
      </c>
      <c r="B1192" s="4" t="s">
        <v>3686</v>
      </c>
      <c r="C1192" s="4" t="s">
        <v>24</v>
      </c>
      <c r="D1192" s="4" t="s">
        <v>27</v>
      </c>
      <c r="E1192" s="4" t="s">
        <v>136</v>
      </c>
      <c r="F1192" s="5" t="s">
        <v>2308</v>
      </c>
      <c r="G1192" s="4" t="s">
        <v>2308</v>
      </c>
      <c r="H1192" s="4" t="s">
        <v>531</v>
      </c>
      <c r="I1192" s="4"/>
      <c r="J1192" s="4" t="s">
        <v>2308</v>
      </c>
      <c r="K1192" s="4" t="s">
        <v>2308</v>
      </c>
      <c r="L1192" s="4" t="s">
        <v>2308</v>
      </c>
      <c r="M1192" s="4" t="s">
        <v>2308</v>
      </c>
      <c r="N1192" s="4" t="s">
        <v>2308</v>
      </c>
      <c r="O1192" s="4" t="s">
        <v>2308</v>
      </c>
      <c r="P1192" s="4" t="s">
        <v>2308</v>
      </c>
      <c r="Q1192" s="4" t="s">
        <v>2308</v>
      </c>
      <c r="R1192" s="4" t="s">
        <v>2308</v>
      </c>
      <c r="S1192" s="4" t="s">
        <v>2308</v>
      </c>
      <c r="T1192" s="4" t="s">
        <v>2308</v>
      </c>
      <c r="U1192" s="4" t="s">
        <v>2308</v>
      </c>
      <c r="V1192" s="4" t="s">
        <v>2308</v>
      </c>
      <c r="W1192" s="4" t="s">
        <v>2308</v>
      </c>
      <c r="X1192" s="4" t="s">
        <v>2308</v>
      </c>
      <c r="Y1192" s="4" t="s">
        <v>2308</v>
      </c>
      <c r="Z1192" s="4" t="s">
        <v>2308</v>
      </c>
      <c r="AA1192" s="4" t="s">
        <v>2308</v>
      </c>
      <c r="AB1192" s="4" t="s">
        <v>2308</v>
      </c>
      <c r="AC1192" s="4"/>
      <c r="AD1192" s="4"/>
    </row>
    <row r="1193" spans="1:30" ht="27" customHeight="1">
      <c r="A1193" s="4" t="s">
        <v>3679</v>
      </c>
      <c r="B1193" s="4" t="s">
        <v>3687</v>
      </c>
      <c r="C1193" s="4" t="s">
        <v>24</v>
      </c>
      <c r="D1193" s="4" t="s">
        <v>27</v>
      </c>
      <c r="E1193" s="4" t="s">
        <v>136</v>
      </c>
      <c r="F1193" s="5" t="s">
        <v>2308</v>
      </c>
      <c r="G1193" s="4" t="s">
        <v>2308</v>
      </c>
      <c r="H1193" s="4" t="s">
        <v>531</v>
      </c>
      <c r="I1193" s="4">
        <v>2017</v>
      </c>
      <c r="J1193" s="4" t="s">
        <v>2308</v>
      </c>
      <c r="K1193" s="4" t="s">
        <v>2308</v>
      </c>
      <c r="L1193" s="4" t="s">
        <v>2308</v>
      </c>
      <c r="M1193" s="4" t="s">
        <v>2308</v>
      </c>
      <c r="N1193" s="4" t="s">
        <v>2308</v>
      </c>
      <c r="O1193" s="4" t="s">
        <v>2308</v>
      </c>
      <c r="P1193" s="4" t="s">
        <v>2308</v>
      </c>
      <c r="Q1193" s="4" t="s">
        <v>2308</v>
      </c>
      <c r="R1193" s="4" t="s">
        <v>2308</v>
      </c>
      <c r="S1193" s="4" t="s">
        <v>2308</v>
      </c>
      <c r="T1193" s="4" t="s">
        <v>2308</v>
      </c>
      <c r="U1193" s="4" t="s">
        <v>2308</v>
      </c>
      <c r="V1193" s="4" t="s">
        <v>2308</v>
      </c>
      <c r="W1193" s="4" t="s">
        <v>2308</v>
      </c>
      <c r="X1193" s="4" t="s">
        <v>2308</v>
      </c>
      <c r="Y1193" s="4" t="s">
        <v>2308</v>
      </c>
      <c r="Z1193" s="4" t="s">
        <v>2308</v>
      </c>
      <c r="AA1193" s="4" t="s">
        <v>2308</v>
      </c>
      <c r="AB1193" s="4" t="s">
        <v>2308</v>
      </c>
      <c r="AC1193" s="4"/>
      <c r="AD1193" s="4"/>
    </row>
    <row r="1194" spans="1:30" ht="24.5" customHeight="1">
      <c r="A1194" s="4" t="s">
        <v>3674</v>
      </c>
      <c r="B1194" s="4" t="s">
        <v>3688</v>
      </c>
      <c r="C1194" s="4" t="s">
        <v>24</v>
      </c>
      <c r="D1194" s="4" t="s">
        <v>150</v>
      </c>
      <c r="E1194" s="4" t="s">
        <v>143</v>
      </c>
      <c r="F1194" s="5" t="s">
        <v>2308</v>
      </c>
      <c r="G1194" s="4" t="s">
        <v>2308</v>
      </c>
      <c r="H1194" s="4" t="s">
        <v>531</v>
      </c>
      <c r="I1194" s="4"/>
      <c r="J1194" s="4" t="s">
        <v>2308</v>
      </c>
      <c r="K1194" s="4" t="s">
        <v>2308</v>
      </c>
      <c r="L1194" s="4" t="s">
        <v>2308</v>
      </c>
      <c r="M1194" s="4" t="s">
        <v>2308</v>
      </c>
      <c r="N1194" s="4" t="s">
        <v>2308</v>
      </c>
      <c r="O1194" s="4" t="s">
        <v>2308</v>
      </c>
      <c r="P1194" s="4" t="s">
        <v>2308</v>
      </c>
      <c r="Q1194" s="4" t="s">
        <v>2308</v>
      </c>
      <c r="R1194" s="4" t="s">
        <v>2308</v>
      </c>
      <c r="S1194" s="4" t="s">
        <v>2308</v>
      </c>
      <c r="T1194" s="4" t="s">
        <v>2308</v>
      </c>
      <c r="U1194" s="4" t="s">
        <v>2308</v>
      </c>
      <c r="V1194" s="4" t="s">
        <v>2308</v>
      </c>
      <c r="W1194" s="4" t="s">
        <v>2308</v>
      </c>
      <c r="X1194" s="4" t="s">
        <v>2308</v>
      </c>
      <c r="Y1194" s="4" t="s">
        <v>2308</v>
      </c>
      <c r="Z1194" s="4" t="s">
        <v>2308</v>
      </c>
      <c r="AA1194" s="4" t="s">
        <v>2308</v>
      </c>
      <c r="AB1194" s="4" t="s">
        <v>2308</v>
      </c>
      <c r="AC1194" s="4"/>
      <c r="AD1194" s="4"/>
    </row>
    <row r="1195" spans="1:30" ht="24.5" customHeight="1">
      <c r="A1195" s="4" t="s">
        <v>3675</v>
      </c>
      <c r="B1195" s="4" t="s">
        <v>3689</v>
      </c>
      <c r="C1195" s="4" t="s">
        <v>24</v>
      </c>
      <c r="D1195" s="4" t="s">
        <v>150</v>
      </c>
      <c r="E1195" s="4" t="s">
        <v>143</v>
      </c>
      <c r="F1195" s="5" t="s">
        <v>2308</v>
      </c>
      <c r="G1195" s="4" t="s">
        <v>2308</v>
      </c>
      <c r="H1195" s="4" t="s">
        <v>531</v>
      </c>
      <c r="I1195" s="4"/>
      <c r="J1195" s="4" t="s">
        <v>2308</v>
      </c>
      <c r="K1195" s="4" t="s">
        <v>2308</v>
      </c>
      <c r="L1195" s="4" t="s">
        <v>2308</v>
      </c>
      <c r="M1195" s="4" t="s">
        <v>2308</v>
      </c>
      <c r="N1195" s="4" t="s">
        <v>2308</v>
      </c>
      <c r="O1195" s="4" t="s">
        <v>2308</v>
      </c>
      <c r="P1195" s="4" t="s">
        <v>2308</v>
      </c>
      <c r="Q1195" s="4" t="s">
        <v>2308</v>
      </c>
      <c r="R1195" s="4" t="s">
        <v>2308</v>
      </c>
      <c r="S1195" s="4" t="s">
        <v>2308</v>
      </c>
      <c r="T1195" s="4" t="s">
        <v>2308</v>
      </c>
      <c r="U1195" s="4" t="s">
        <v>2308</v>
      </c>
      <c r="V1195" s="4" t="s">
        <v>2308</v>
      </c>
      <c r="W1195" s="4" t="s">
        <v>2308</v>
      </c>
      <c r="X1195" s="4" t="s">
        <v>2308</v>
      </c>
      <c r="Y1195" s="4" t="s">
        <v>2308</v>
      </c>
      <c r="Z1195" s="4" t="s">
        <v>2308</v>
      </c>
      <c r="AA1195" s="4" t="s">
        <v>2308</v>
      </c>
      <c r="AB1195" s="4" t="s">
        <v>2308</v>
      </c>
      <c r="AC1195" s="4"/>
      <c r="AD1195" s="4"/>
    </row>
    <row r="1196" spans="1:30" ht="24.5" customHeight="1">
      <c r="A1196" s="4" t="s">
        <v>3678</v>
      </c>
      <c r="B1196" s="4" t="s">
        <v>3690</v>
      </c>
      <c r="C1196" s="4" t="s">
        <v>24</v>
      </c>
      <c r="D1196" s="4" t="s">
        <v>150</v>
      </c>
      <c r="E1196" s="4" t="s">
        <v>143</v>
      </c>
      <c r="F1196" s="5" t="s">
        <v>2308</v>
      </c>
      <c r="G1196" s="4" t="s">
        <v>2308</v>
      </c>
      <c r="H1196" s="4" t="s">
        <v>531</v>
      </c>
      <c r="I1196" s="4"/>
      <c r="J1196" s="4" t="s">
        <v>2308</v>
      </c>
      <c r="K1196" s="4" t="s">
        <v>2308</v>
      </c>
      <c r="L1196" s="4" t="s">
        <v>2308</v>
      </c>
      <c r="M1196" s="4" t="s">
        <v>2308</v>
      </c>
      <c r="N1196" s="4" t="s">
        <v>2308</v>
      </c>
      <c r="O1196" s="4" t="s">
        <v>2308</v>
      </c>
      <c r="P1196" s="4" t="s">
        <v>2308</v>
      </c>
      <c r="Q1196" s="4" t="s">
        <v>2308</v>
      </c>
      <c r="R1196" s="4" t="s">
        <v>2308</v>
      </c>
      <c r="S1196" s="4" t="s">
        <v>2308</v>
      </c>
      <c r="T1196" s="4" t="s">
        <v>2308</v>
      </c>
      <c r="U1196" s="4" t="s">
        <v>2308</v>
      </c>
      <c r="V1196" s="4" t="s">
        <v>2308</v>
      </c>
      <c r="W1196" s="4" t="s">
        <v>2308</v>
      </c>
      <c r="X1196" s="4" t="s">
        <v>2308</v>
      </c>
      <c r="Y1196" s="4" t="s">
        <v>2308</v>
      </c>
      <c r="Z1196" s="4" t="s">
        <v>2308</v>
      </c>
      <c r="AA1196" s="4" t="s">
        <v>2308</v>
      </c>
      <c r="AB1196" s="4" t="s">
        <v>2308</v>
      </c>
      <c r="AC1196" s="4"/>
      <c r="AD1196" s="4"/>
    </row>
    <row r="1197" spans="1:30" ht="66" customHeight="1">
      <c r="A1197" s="4" t="s">
        <v>3713</v>
      </c>
      <c r="B1197" s="4" t="s">
        <v>3718</v>
      </c>
      <c r="C1197" s="4" t="s">
        <v>24</v>
      </c>
      <c r="D1197" s="4" t="s">
        <v>27</v>
      </c>
      <c r="E1197" s="5" t="s">
        <v>404</v>
      </c>
      <c r="F1197" s="5" t="s">
        <v>28</v>
      </c>
      <c r="G1197" s="4" t="s">
        <v>28</v>
      </c>
      <c r="H1197" s="4" t="s">
        <v>531</v>
      </c>
      <c r="I1197" s="4"/>
      <c r="J1197" s="4" t="s">
        <v>2308</v>
      </c>
      <c r="K1197" s="4" t="s">
        <v>2308</v>
      </c>
      <c r="L1197" s="4" t="s">
        <v>2308</v>
      </c>
      <c r="M1197" s="4" t="s">
        <v>2308</v>
      </c>
      <c r="N1197" s="4" t="s">
        <v>2308</v>
      </c>
      <c r="O1197" s="4" t="s">
        <v>2308</v>
      </c>
      <c r="P1197" s="4" t="s">
        <v>2308</v>
      </c>
      <c r="Q1197" s="4" t="s">
        <v>2308</v>
      </c>
      <c r="R1197" s="4" t="s">
        <v>2308</v>
      </c>
      <c r="S1197" s="4" t="s">
        <v>2308</v>
      </c>
      <c r="T1197" s="4" t="s">
        <v>2308</v>
      </c>
      <c r="U1197" s="4" t="s">
        <v>2308</v>
      </c>
      <c r="V1197" s="4" t="s">
        <v>2308</v>
      </c>
      <c r="W1197" s="4" t="s">
        <v>2308</v>
      </c>
      <c r="X1197" s="4" t="s">
        <v>2308</v>
      </c>
      <c r="Y1197" s="4" t="s">
        <v>2308</v>
      </c>
      <c r="Z1197" s="4" t="s">
        <v>412</v>
      </c>
      <c r="AA1197" s="4" t="s">
        <v>68</v>
      </c>
      <c r="AB1197" s="4" t="s">
        <v>64</v>
      </c>
      <c r="AC1197" s="4"/>
      <c r="AD1197" s="4"/>
    </row>
    <row r="1198" spans="1:30" ht="66" customHeight="1">
      <c r="A1198" s="4" t="s">
        <v>3713</v>
      </c>
      <c r="B1198" s="4" t="s">
        <v>3719</v>
      </c>
      <c r="C1198" s="4" t="s">
        <v>2491</v>
      </c>
      <c r="D1198" s="4" t="s">
        <v>2263</v>
      </c>
      <c r="E1198" s="5" t="s">
        <v>404</v>
      </c>
      <c r="F1198" s="5" t="s">
        <v>2308</v>
      </c>
      <c r="G1198" s="4" t="s">
        <v>2308</v>
      </c>
      <c r="H1198" s="4" t="s">
        <v>531</v>
      </c>
      <c r="I1198" s="4"/>
      <c r="J1198" s="4" t="s">
        <v>2308</v>
      </c>
      <c r="K1198" s="4" t="s">
        <v>2308</v>
      </c>
      <c r="L1198" s="4" t="s">
        <v>2308</v>
      </c>
      <c r="M1198" s="4" t="s">
        <v>2308</v>
      </c>
      <c r="N1198" s="4" t="s">
        <v>2308</v>
      </c>
      <c r="O1198" s="4" t="s">
        <v>2308</v>
      </c>
      <c r="P1198" s="4" t="s">
        <v>2308</v>
      </c>
      <c r="Q1198" s="4" t="s">
        <v>2308</v>
      </c>
      <c r="R1198" s="4" t="s">
        <v>2308</v>
      </c>
      <c r="S1198" s="4" t="s">
        <v>2308</v>
      </c>
      <c r="T1198" s="4" t="s">
        <v>2308</v>
      </c>
      <c r="U1198" s="4" t="s">
        <v>2308</v>
      </c>
      <c r="V1198" s="4" t="s">
        <v>2308</v>
      </c>
      <c r="W1198" s="4" t="s">
        <v>2308</v>
      </c>
      <c r="X1198" s="4" t="s">
        <v>2308</v>
      </c>
      <c r="Y1198" s="4" t="s">
        <v>2308</v>
      </c>
      <c r="Z1198" s="4" t="s">
        <v>412</v>
      </c>
      <c r="AA1198" s="4" t="s">
        <v>68</v>
      </c>
      <c r="AB1198" s="4" t="s">
        <v>64</v>
      </c>
      <c r="AC1198" s="4"/>
      <c r="AD1198" s="4"/>
    </row>
    <row r="1199" spans="1:30" ht="66" customHeight="1">
      <c r="A1199" s="4" t="s">
        <v>3713</v>
      </c>
      <c r="B1199" s="4" t="s">
        <v>3720</v>
      </c>
      <c r="C1199" s="4" t="s">
        <v>2491</v>
      </c>
      <c r="D1199" s="4" t="s">
        <v>2263</v>
      </c>
      <c r="E1199" s="5" t="s">
        <v>403</v>
      </c>
      <c r="F1199" s="5" t="s">
        <v>2308</v>
      </c>
      <c r="G1199" s="4" t="s">
        <v>2308</v>
      </c>
      <c r="H1199" s="4" t="s">
        <v>531</v>
      </c>
      <c r="I1199" s="4"/>
      <c r="J1199" s="4" t="s">
        <v>2308</v>
      </c>
      <c r="K1199" s="4" t="s">
        <v>2308</v>
      </c>
      <c r="L1199" s="4" t="s">
        <v>2308</v>
      </c>
      <c r="M1199" s="4" t="s">
        <v>2308</v>
      </c>
      <c r="N1199" s="4" t="s">
        <v>2308</v>
      </c>
      <c r="O1199" s="4" t="s">
        <v>2308</v>
      </c>
      <c r="P1199" s="4" t="s">
        <v>2308</v>
      </c>
      <c r="Q1199" s="4" t="s">
        <v>2308</v>
      </c>
      <c r="R1199" s="4" t="s">
        <v>2308</v>
      </c>
      <c r="S1199" s="4" t="s">
        <v>2308</v>
      </c>
      <c r="T1199" s="4" t="s">
        <v>2308</v>
      </c>
      <c r="U1199" s="4" t="s">
        <v>2308</v>
      </c>
      <c r="V1199" s="4" t="s">
        <v>2308</v>
      </c>
      <c r="W1199" s="4" t="s">
        <v>2308</v>
      </c>
      <c r="X1199" s="4" t="s">
        <v>2308</v>
      </c>
      <c r="Y1199" s="4" t="s">
        <v>2308</v>
      </c>
      <c r="Z1199" s="4" t="s">
        <v>412</v>
      </c>
      <c r="AA1199" s="4" t="s">
        <v>68</v>
      </c>
      <c r="AB1199" s="4" t="s">
        <v>64</v>
      </c>
      <c r="AC1199" s="4"/>
      <c r="AD1199" s="4"/>
    </row>
    <row r="1200" spans="1:30" ht="97" customHeight="1">
      <c r="A1200" s="4" t="s">
        <v>3713</v>
      </c>
      <c r="B1200" s="4" t="s">
        <v>3721</v>
      </c>
      <c r="C1200" s="4" t="s">
        <v>2691</v>
      </c>
      <c r="D1200" s="4" t="s">
        <v>1125</v>
      </c>
      <c r="E1200" s="5" t="s">
        <v>404</v>
      </c>
      <c r="F1200" s="5" t="s">
        <v>2308</v>
      </c>
      <c r="G1200" s="4" t="s">
        <v>2308</v>
      </c>
      <c r="H1200" s="4" t="s">
        <v>531</v>
      </c>
      <c r="I1200" s="4">
        <v>2009</v>
      </c>
      <c r="J1200" s="4" t="s">
        <v>2308</v>
      </c>
      <c r="K1200" s="4" t="s">
        <v>2308</v>
      </c>
      <c r="L1200" s="4" t="s">
        <v>2308</v>
      </c>
      <c r="M1200" s="4" t="s">
        <v>2308</v>
      </c>
      <c r="N1200" s="4" t="s">
        <v>2308</v>
      </c>
      <c r="O1200" s="4" t="s">
        <v>2308</v>
      </c>
      <c r="P1200" s="4" t="s">
        <v>2308</v>
      </c>
      <c r="Q1200" s="4" t="s">
        <v>2308</v>
      </c>
      <c r="R1200" s="4" t="s">
        <v>2308</v>
      </c>
      <c r="S1200" s="4" t="s">
        <v>2308</v>
      </c>
      <c r="T1200" s="4" t="s">
        <v>2308</v>
      </c>
      <c r="U1200" s="4" t="s">
        <v>2308</v>
      </c>
      <c r="V1200" s="4" t="s">
        <v>2308</v>
      </c>
      <c r="W1200" s="4" t="s">
        <v>2308</v>
      </c>
      <c r="X1200" s="4" t="s">
        <v>2308</v>
      </c>
      <c r="Y1200" s="4" t="s">
        <v>2308</v>
      </c>
      <c r="Z1200" s="4" t="s">
        <v>412</v>
      </c>
      <c r="AA1200" s="4" t="s">
        <v>68</v>
      </c>
      <c r="AB1200" s="4" t="s">
        <v>64</v>
      </c>
      <c r="AC1200" s="5" t="s">
        <v>3741</v>
      </c>
      <c r="AD1200" s="5" t="s">
        <v>3739</v>
      </c>
    </row>
    <row r="1201" spans="1:30" ht="97" customHeight="1">
      <c r="A1201" s="4" t="s">
        <v>3713</v>
      </c>
      <c r="B1201" s="4" t="s">
        <v>3723</v>
      </c>
      <c r="C1201" s="4" t="s">
        <v>2691</v>
      </c>
      <c r="D1201" s="4" t="s">
        <v>2263</v>
      </c>
      <c r="E1201" s="5" t="s">
        <v>403</v>
      </c>
      <c r="F1201" s="5" t="s">
        <v>2308</v>
      </c>
      <c r="G1201" s="4" t="s">
        <v>2308</v>
      </c>
      <c r="H1201" s="4" t="s">
        <v>531</v>
      </c>
      <c r="I1201" s="4">
        <v>2009</v>
      </c>
      <c r="J1201" s="4" t="s">
        <v>2308</v>
      </c>
      <c r="K1201" s="4" t="s">
        <v>2308</v>
      </c>
      <c r="L1201" s="4" t="s">
        <v>2308</v>
      </c>
      <c r="M1201" s="4" t="s">
        <v>2308</v>
      </c>
      <c r="N1201" s="4" t="s">
        <v>2308</v>
      </c>
      <c r="O1201" s="4" t="s">
        <v>2308</v>
      </c>
      <c r="P1201" s="4" t="s">
        <v>2308</v>
      </c>
      <c r="Q1201" s="4" t="s">
        <v>2308</v>
      </c>
      <c r="R1201" s="4" t="s">
        <v>2308</v>
      </c>
      <c r="S1201" s="4" t="s">
        <v>2308</v>
      </c>
      <c r="T1201" s="4" t="s">
        <v>2308</v>
      </c>
      <c r="U1201" s="4" t="s">
        <v>2308</v>
      </c>
      <c r="V1201" s="4" t="s">
        <v>2308</v>
      </c>
      <c r="W1201" s="4" t="s">
        <v>2308</v>
      </c>
      <c r="X1201" s="4" t="s">
        <v>2308</v>
      </c>
      <c r="Y1201" s="4" t="s">
        <v>2308</v>
      </c>
      <c r="Z1201" s="4" t="s">
        <v>412</v>
      </c>
      <c r="AA1201" s="4" t="s">
        <v>68</v>
      </c>
      <c r="AB1201" s="4" t="s">
        <v>64</v>
      </c>
      <c r="AC1201" s="5" t="s">
        <v>3738</v>
      </c>
      <c r="AD1201" s="5" t="s">
        <v>3740</v>
      </c>
    </row>
    <row r="1202" spans="1:30" ht="97" customHeight="1">
      <c r="A1202" s="4" t="s">
        <v>3713</v>
      </c>
      <c r="B1202" s="4" t="s">
        <v>3725</v>
      </c>
      <c r="C1202" s="4" t="s">
        <v>2691</v>
      </c>
      <c r="D1202" s="4" t="s">
        <v>1125</v>
      </c>
      <c r="E1202" s="5" t="s">
        <v>404</v>
      </c>
      <c r="F1202" s="5" t="s">
        <v>2308</v>
      </c>
      <c r="G1202" s="4" t="s">
        <v>2308</v>
      </c>
      <c r="H1202" s="4" t="s">
        <v>531</v>
      </c>
      <c r="I1202" s="4">
        <v>2010</v>
      </c>
      <c r="J1202" s="4" t="s">
        <v>2308</v>
      </c>
      <c r="K1202" s="4" t="s">
        <v>2308</v>
      </c>
      <c r="L1202" s="4" t="s">
        <v>2308</v>
      </c>
      <c r="M1202" s="4" t="s">
        <v>2308</v>
      </c>
      <c r="N1202" s="4" t="s">
        <v>2308</v>
      </c>
      <c r="O1202" s="4" t="s">
        <v>2308</v>
      </c>
      <c r="P1202" s="4" t="s">
        <v>2308</v>
      </c>
      <c r="Q1202" s="4" t="s">
        <v>2308</v>
      </c>
      <c r="R1202" s="4" t="s">
        <v>2308</v>
      </c>
      <c r="S1202" s="4" t="s">
        <v>2308</v>
      </c>
      <c r="T1202" s="4" t="s">
        <v>2308</v>
      </c>
      <c r="U1202" s="4" t="s">
        <v>2308</v>
      </c>
      <c r="V1202" s="4" t="s">
        <v>2308</v>
      </c>
      <c r="W1202" s="4" t="s">
        <v>2308</v>
      </c>
      <c r="X1202" s="4" t="s">
        <v>2308</v>
      </c>
      <c r="Y1202" s="4" t="s">
        <v>2308</v>
      </c>
      <c r="Z1202" s="4" t="s">
        <v>412</v>
      </c>
      <c r="AA1202" s="4" t="s">
        <v>68</v>
      </c>
      <c r="AB1202" s="4" t="s">
        <v>64</v>
      </c>
      <c r="AC1202" s="5" t="s">
        <v>3741</v>
      </c>
      <c r="AD1202" s="5" t="s">
        <v>3739</v>
      </c>
    </row>
    <row r="1203" spans="1:30" ht="97" customHeight="1">
      <c r="A1203" s="4" t="s">
        <v>3713</v>
      </c>
      <c r="B1203" s="4" t="s">
        <v>3726</v>
      </c>
      <c r="C1203" s="4" t="s">
        <v>2691</v>
      </c>
      <c r="D1203" s="4" t="s">
        <v>2263</v>
      </c>
      <c r="E1203" s="5" t="s">
        <v>403</v>
      </c>
      <c r="F1203" s="5" t="s">
        <v>2308</v>
      </c>
      <c r="G1203" s="4" t="s">
        <v>2308</v>
      </c>
      <c r="H1203" s="4" t="s">
        <v>531</v>
      </c>
      <c r="I1203" s="4">
        <v>2010</v>
      </c>
      <c r="J1203" s="4" t="s">
        <v>2308</v>
      </c>
      <c r="K1203" s="4" t="s">
        <v>2308</v>
      </c>
      <c r="L1203" s="4" t="s">
        <v>2308</v>
      </c>
      <c r="M1203" s="4" t="s">
        <v>2308</v>
      </c>
      <c r="N1203" s="4" t="s">
        <v>2308</v>
      </c>
      <c r="O1203" s="4" t="s">
        <v>2308</v>
      </c>
      <c r="P1203" s="4" t="s">
        <v>2308</v>
      </c>
      <c r="Q1203" s="4" t="s">
        <v>2308</v>
      </c>
      <c r="R1203" s="4" t="s">
        <v>2308</v>
      </c>
      <c r="S1203" s="4" t="s">
        <v>2308</v>
      </c>
      <c r="T1203" s="4" t="s">
        <v>2308</v>
      </c>
      <c r="U1203" s="4" t="s">
        <v>2308</v>
      </c>
      <c r="V1203" s="4" t="s">
        <v>2308</v>
      </c>
      <c r="W1203" s="4" t="s">
        <v>2308</v>
      </c>
      <c r="X1203" s="4" t="s">
        <v>2308</v>
      </c>
      <c r="Y1203" s="4" t="s">
        <v>2308</v>
      </c>
      <c r="Z1203" s="4" t="s">
        <v>412</v>
      </c>
      <c r="AA1203" s="4" t="s">
        <v>68</v>
      </c>
      <c r="AB1203" s="4" t="s">
        <v>64</v>
      </c>
      <c r="AC1203" s="5" t="s">
        <v>3738</v>
      </c>
      <c r="AD1203" s="5" t="s">
        <v>3740</v>
      </c>
    </row>
    <row r="1204" spans="1:30" ht="97" customHeight="1">
      <c r="A1204" s="4" t="s">
        <v>3713</v>
      </c>
      <c r="B1204" s="4" t="s">
        <v>3727</v>
      </c>
      <c r="C1204" s="4" t="s">
        <v>2691</v>
      </c>
      <c r="D1204" s="4" t="s">
        <v>1125</v>
      </c>
      <c r="E1204" s="5" t="s">
        <v>404</v>
      </c>
      <c r="F1204" s="5" t="s">
        <v>2308</v>
      </c>
      <c r="G1204" s="4" t="s">
        <v>2308</v>
      </c>
      <c r="H1204" s="4" t="s">
        <v>531</v>
      </c>
      <c r="I1204" s="4">
        <v>2011</v>
      </c>
      <c r="J1204" s="4" t="s">
        <v>2308</v>
      </c>
      <c r="K1204" s="4" t="s">
        <v>2308</v>
      </c>
      <c r="L1204" s="4" t="s">
        <v>2308</v>
      </c>
      <c r="M1204" s="4" t="s">
        <v>2308</v>
      </c>
      <c r="N1204" s="4" t="s">
        <v>2308</v>
      </c>
      <c r="O1204" s="4" t="s">
        <v>2308</v>
      </c>
      <c r="P1204" s="4" t="s">
        <v>2308</v>
      </c>
      <c r="Q1204" s="4" t="s">
        <v>2308</v>
      </c>
      <c r="R1204" s="4" t="s">
        <v>2308</v>
      </c>
      <c r="S1204" s="4" t="s">
        <v>2308</v>
      </c>
      <c r="T1204" s="4" t="s">
        <v>2308</v>
      </c>
      <c r="U1204" s="4" t="s">
        <v>2308</v>
      </c>
      <c r="V1204" s="4" t="s">
        <v>2308</v>
      </c>
      <c r="W1204" s="4" t="s">
        <v>2308</v>
      </c>
      <c r="X1204" s="4" t="s">
        <v>2308</v>
      </c>
      <c r="Y1204" s="4" t="s">
        <v>2308</v>
      </c>
      <c r="Z1204" s="4" t="s">
        <v>412</v>
      </c>
      <c r="AA1204" s="4" t="s">
        <v>68</v>
      </c>
      <c r="AB1204" s="4" t="s">
        <v>64</v>
      </c>
      <c r="AC1204" s="5" t="s">
        <v>3741</v>
      </c>
      <c r="AD1204" s="5" t="s">
        <v>3739</v>
      </c>
    </row>
    <row r="1205" spans="1:30" ht="97" customHeight="1">
      <c r="A1205" s="4" t="s">
        <v>3713</v>
      </c>
      <c r="B1205" s="4" t="s">
        <v>3728</v>
      </c>
      <c r="C1205" s="4" t="s">
        <v>2691</v>
      </c>
      <c r="D1205" s="4" t="s">
        <v>2263</v>
      </c>
      <c r="E1205" s="5" t="s">
        <v>403</v>
      </c>
      <c r="F1205" s="5" t="s">
        <v>2308</v>
      </c>
      <c r="G1205" s="4" t="s">
        <v>2308</v>
      </c>
      <c r="H1205" s="4" t="s">
        <v>531</v>
      </c>
      <c r="I1205" s="4">
        <v>2011</v>
      </c>
      <c r="J1205" s="4" t="s">
        <v>2308</v>
      </c>
      <c r="K1205" s="4" t="s">
        <v>2308</v>
      </c>
      <c r="L1205" s="4" t="s">
        <v>2308</v>
      </c>
      <c r="M1205" s="4" t="s">
        <v>2308</v>
      </c>
      <c r="N1205" s="4" t="s">
        <v>2308</v>
      </c>
      <c r="O1205" s="4" t="s">
        <v>2308</v>
      </c>
      <c r="P1205" s="4" t="s">
        <v>2308</v>
      </c>
      <c r="Q1205" s="4" t="s">
        <v>2308</v>
      </c>
      <c r="R1205" s="4" t="s">
        <v>2308</v>
      </c>
      <c r="S1205" s="4" t="s">
        <v>2308</v>
      </c>
      <c r="T1205" s="4" t="s">
        <v>2308</v>
      </c>
      <c r="U1205" s="4" t="s">
        <v>2308</v>
      </c>
      <c r="V1205" s="4" t="s">
        <v>2308</v>
      </c>
      <c r="W1205" s="4" t="s">
        <v>2308</v>
      </c>
      <c r="X1205" s="4" t="s">
        <v>2308</v>
      </c>
      <c r="Y1205" s="4" t="s">
        <v>2308</v>
      </c>
      <c r="Z1205" s="4" t="s">
        <v>412</v>
      </c>
      <c r="AA1205" s="4" t="s">
        <v>68</v>
      </c>
      <c r="AB1205" s="4" t="s">
        <v>64</v>
      </c>
      <c r="AC1205" s="5" t="s">
        <v>3738</v>
      </c>
      <c r="AD1205" s="5" t="s">
        <v>3740</v>
      </c>
    </row>
    <row r="1206" spans="1:30" ht="97" customHeight="1">
      <c r="A1206" s="4" t="s">
        <v>3713</v>
      </c>
      <c r="B1206" s="4" t="s">
        <v>3731</v>
      </c>
      <c r="C1206" s="4" t="s">
        <v>2691</v>
      </c>
      <c r="D1206" s="4" t="s">
        <v>1125</v>
      </c>
      <c r="E1206" s="5" t="s">
        <v>404</v>
      </c>
      <c r="F1206" s="5" t="s">
        <v>2308</v>
      </c>
      <c r="G1206" s="4" t="s">
        <v>2308</v>
      </c>
      <c r="H1206" s="4" t="s">
        <v>531</v>
      </c>
      <c r="I1206" s="4">
        <v>2012</v>
      </c>
      <c r="J1206" s="4" t="s">
        <v>2308</v>
      </c>
      <c r="K1206" s="4" t="s">
        <v>2308</v>
      </c>
      <c r="L1206" s="4" t="s">
        <v>2308</v>
      </c>
      <c r="M1206" s="4" t="s">
        <v>2308</v>
      </c>
      <c r="N1206" s="4" t="s">
        <v>2308</v>
      </c>
      <c r="O1206" s="4" t="s">
        <v>2308</v>
      </c>
      <c r="P1206" s="4" t="s">
        <v>2308</v>
      </c>
      <c r="Q1206" s="4" t="s">
        <v>2308</v>
      </c>
      <c r="R1206" s="4" t="s">
        <v>2308</v>
      </c>
      <c r="S1206" s="4" t="s">
        <v>2308</v>
      </c>
      <c r="T1206" s="4" t="s">
        <v>2308</v>
      </c>
      <c r="U1206" s="4" t="s">
        <v>2308</v>
      </c>
      <c r="V1206" s="4" t="s">
        <v>2308</v>
      </c>
      <c r="W1206" s="4" t="s">
        <v>2308</v>
      </c>
      <c r="X1206" s="4" t="s">
        <v>2308</v>
      </c>
      <c r="Y1206" s="4" t="s">
        <v>2308</v>
      </c>
      <c r="Z1206" s="4" t="s">
        <v>412</v>
      </c>
      <c r="AA1206" s="4" t="s">
        <v>68</v>
      </c>
      <c r="AB1206" s="4" t="s">
        <v>64</v>
      </c>
      <c r="AC1206" s="5" t="s">
        <v>3741</v>
      </c>
      <c r="AD1206" s="5" t="s">
        <v>3739</v>
      </c>
    </row>
    <row r="1207" spans="1:30" ht="97" customHeight="1">
      <c r="A1207" s="4" t="s">
        <v>3713</v>
      </c>
      <c r="B1207" s="4" t="s">
        <v>3732</v>
      </c>
      <c r="C1207" s="4" t="s">
        <v>2691</v>
      </c>
      <c r="D1207" s="4" t="s">
        <v>2263</v>
      </c>
      <c r="E1207" s="5" t="s">
        <v>403</v>
      </c>
      <c r="F1207" s="5" t="s">
        <v>2308</v>
      </c>
      <c r="G1207" s="4" t="s">
        <v>2308</v>
      </c>
      <c r="H1207" s="4" t="s">
        <v>531</v>
      </c>
      <c r="I1207" s="4">
        <v>2012</v>
      </c>
      <c r="J1207" s="4" t="s">
        <v>2308</v>
      </c>
      <c r="K1207" s="4" t="s">
        <v>2308</v>
      </c>
      <c r="L1207" s="4" t="s">
        <v>2308</v>
      </c>
      <c r="M1207" s="4" t="s">
        <v>2308</v>
      </c>
      <c r="N1207" s="4" t="s">
        <v>2308</v>
      </c>
      <c r="O1207" s="4" t="s">
        <v>2308</v>
      </c>
      <c r="P1207" s="4" t="s">
        <v>2308</v>
      </c>
      <c r="Q1207" s="4" t="s">
        <v>2308</v>
      </c>
      <c r="R1207" s="4" t="s">
        <v>2308</v>
      </c>
      <c r="S1207" s="4" t="s">
        <v>2308</v>
      </c>
      <c r="T1207" s="4" t="s">
        <v>2308</v>
      </c>
      <c r="U1207" s="4" t="s">
        <v>2308</v>
      </c>
      <c r="V1207" s="4" t="s">
        <v>2308</v>
      </c>
      <c r="W1207" s="4" t="s">
        <v>2308</v>
      </c>
      <c r="X1207" s="4" t="s">
        <v>2308</v>
      </c>
      <c r="Y1207" s="4" t="s">
        <v>2308</v>
      </c>
      <c r="Z1207" s="4" t="s">
        <v>412</v>
      </c>
      <c r="AA1207" s="4" t="s">
        <v>68</v>
      </c>
      <c r="AB1207" s="4" t="s">
        <v>64</v>
      </c>
      <c r="AC1207" s="5" t="s">
        <v>3738</v>
      </c>
      <c r="AD1207" s="5" t="s">
        <v>3740</v>
      </c>
    </row>
    <row r="1208" spans="1:30" ht="89.5" customHeight="1">
      <c r="A1208" s="4" t="s">
        <v>3713</v>
      </c>
      <c r="B1208" s="4" t="s">
        <v>3733</v>
      </c>
      <c r="C1208" s="4" t="s">
        <v>24</v>
      </c>
      <c r="D1208" s="4" t="s">
        <v>2378</v>
      </c>
      <c r="E1208" s="4" t="s">
        <v>2308</v>
      </c>
      <c r="F1208" s="5" t="s">
        <v>2696</v>
      </c>
      <c r="G1208" s="4" t="s">
        <v>2308</v>
      </c>
      <c r="H1208" s="4" t="s">
        <v>531</v>
      </c>
      <c r="I1208" s="4"/>
      <c r="J1208" s="4" t="s">
        <v>2308</v>
      </c>
      <c r="K1208" s="4" t="s">
        <v>2308</v>
      </c>
      <c r="L1208" s="4" t="s">
        <v>2308</v>
      </c>
      <c r="M1208" s="4" t="s">
        <v>2308</v>
      </c>
      <c r="N1208" s="4" t="s">
        <v>2308</v>
      </c>
      <c r="O1208" s="4" t="s">
        <v>2308</v>
      </c>
      <c r="P1208" s="4" t="s">
        <v>2308</v>
      </c>
      <c r="Q1208" s="4" t="s">
        <v>2308</v>
      </c>
      <c r="R1208" s="4" t="s">
        <v>2308</v>
      </c>
      <c r="S1208" s="4" t="s">
        <v>2308</v>
      </c>
      <c r="T1208" s="4" t="s">
        <v>2308</v>
      </c>
      <c r="U1208" s="4" t="s">
        <v>2308</v>
      </c>
      <c r="V1208" s="4" t="s">
        <v>2308</v>
      </c>
      <c r="W1208" s="4" t="s">
        <v>2308</v>
      </c>
      <c r="X1208" s="4" t="s">
        <v>2308</v>
      </c>
      <c r="Y1208" s="4" t="s">
        <v>2308</v>
      </c>
      <c r="Z1208" s="4" t="s">
        <v>34</v>
      </c>
      <c r="AA1208" s="4" t="s">
        <v>35</v>
      </c>
      <c r="AB1208" s="4" t="s">
        <v>64</v>
      </c>
      <c r="AC1208" s="5" t="s">
        <v>3724</v>
      </c>
      <c r="AD1208" s="4"/>
    </row>
    <row r="1209" spans="1:30" ht="89.5" customHeight="1">
      <c r="A1209" s="4" t="s">
        <v>3713</v>
      </c>
      <c r="B1209" s="4" t="s">
        <v>3734</v>
      </c>
      <c r="C1209" s="4" t="s">
        <v>24</v>
      </c>
      <c r="D1209" s="4" t="s">
        <v>25</v>
      </c>
      <c r="E1209" s="4" t="s">
        <v>45</v>
      </c>
      <c r="F1209" s="5" t="s">
        <v>29</v>
      </c>
      <c r="G1209" s="4" t="s">
        <v>2308</v>
      </c>
      <c r="H1209" s="4" t="s">
        <v>531</v>
      </c>
      <c r="I1209" s="4"/>
      <c r="J1209" s="4" t="s">
        <v>2308</v>
      </c>
      <c r="K1209" s="4" t="s">
        <v>2308</v>
      </c>
      <c r="L1209" s="4" t="s">
        <v>2308</v>
      </c>
      <c r="M1209" s="4" t="s">
        <v>2308</v>
      </c>
      <c r="N1209" s="4" t="s">
        <v>2308</v>
      </c>
      <c r="O1209" s="4" t="s">
        <v>2308</v>
      </c>
      <c r="P1209" s="4" t="s">
        <v>2308</v>
      </c>
      <c r="Q1209" s="4" t="s">
        <v>2308</v>
      </c>
      <c r="R1209" s="4" t="s">
        <v>2308</v>
      </c>
      <c r="S1209" s="4" t="s">
        <v>2308</v>
      </c>
      <c r="T1209" s="4" t="s">
        <v>2308</v>
      </c>
      <c r="U1209" s="4" t="s">
        <v>2308</v>
      </c>
      <c r="V1209" s="4" t="s">
        <v>2308</v>
      </c>
      <c r="W1209" s="4" t="s">
        <v>2308</v>
      </c>
      <c r="X1209" s="4" t="s">
        <v>2308</v>
      </c>
      <c r="Y1209" s="4" t="s">
        <v>2308</v>
      </c>
      <c r="Z1209" s="4" t="s">
        <v>34</v>
      </c>
      <c r="AA1209" s="4" t="s">
        <v>35</v>
      </c>
      <c r="AB1209" s="4" t="s">
        <v>64</v>
      </c>
      <c r="AC1209" s="4"/>
      <c r="AD1209" s="4"/>
    </row>
    <row r="1210" spans="1:30" ht="89.5" customHeight="1">
      <c r="A1210" s="4" t="s">
        <v>3713</v>
      </c>
      <c r="B1210" s="4" t="s">
        <v>3735</v>
      </c>
      <c r="C1210" s="4" t="s">
        <v>24</v>
      </c>
      <c r="D1210" s="4" t="s">
        <v>1264</v>
      </c>
      <c r="E1210" s="4" t="s">
        <v>2308</v>
      </c>
      <c r="F1210" s="5" t="s">
        <v>2308</v>
      </c>
      <c r="G1210" s="4" t="s">
        <v>2308</v>
      </c>
      <c r="H1210" s="4" t="s">
        <v>531</v>
      </c>
      <c r="I1210" s="4"/>
      <c r="J1210" s="4" t="s">
        <v>2308</v>
      </c>
      <c r="K1210" s="4" t="s">
        <v>2308</v>
      </c>
      <c r="L1210" s="4" t="s">
        <v>2308</v>
      </c>
      <c r="M1210" s="4" t="s">
        <v>2308</v>
      </c>
      <c r="N1210" s="4" t="s">
        <v>2308</v>
      </c>
      <c r="O1210" s="4" t="s">
        <v>2308</v>
      </c>
      <c r="P1210" s="4" t="s">
        <v>2308</v>
      </c>
      <c r="Q1210" s="4" t="s">
        <v>2308</v>
      </c>
      <c r="R1210" s="4" t="s">
        <v>2308</v>
      </c>
      <c r="S1210" s="4" t="s">
        <v>2308</v>
      </c>
      <c r="T1210" s="4" t="s">
        <v>2308</v>
      </c>
      <c r="U1210" s="4" t="s">
        <v>2308</v>
      </c>
      <c r="V1210" s="4" t="s">
        <v>2308</v>
      </c>
      <c r="W1210" s="4" t="s">
        <v>2308</v>
      </c>
      <c r="X1210" s="4" t="s">
        <v>2308</v>
      </c>
      <c r="Y1210" s="4" t="s">
        <v>2308</v>
      </c>
      <c r="Z1210" s="4" t="s">
        <v>34</v>
      </c>
      <c r="AA1210" s="4" t="s">
        <v>35</v>
      </c>
      <c r="AB1210" s="4" t="s">
        <v>64</v>
      </c>
      <c r="AC1210" s="4"/>
      <c r="AD1210" s="4"/>
    </row>
    <row r="1211" spans="1:30" ht="89.5" customHeight="1">
      <c r="A1211" s="4" t="s">
        <v>3713</v>
      </c>
      <c r="B1211" s="4" t="s">
        <v>3736</v>
      </c>
      <c r="C1211" s="4" t="s">
        <v>2491</v>
      </c>
      <c r="D1211" s="4" t="s">
        <v>3027</v>
      </c>
      <c r="E1211" s="4" t="s">
        <v>2685</v>
      </c>
      <c r="F1211" s="5" t="s">
        <v>2308</v>
      </c>
      <c r="G1211" s="4" t="s">
        <v>2308</v>
      </c>
      <c r="H1211" s="4" t="s">
        <v>531</v>
      </c>
      <c r="I1211" s="4"/>
      <c r="J1211" s="4" t="s">
        <v>2308</v>
      </c>
      <c r="K1211" s="4" t="s">
        <v>2308</v>
      </c>
      <c r="L1211" s="4" t="s">
        <v>2308</v>
      </c>
      <c r="M1211" s="4" t="s">
        <v>2308</v>
      </c>
      <c r="N1211" s="4" t="s">
        <v>2308</v>
      </c>
      <c r="O1211" s="4" t="s">
        <v>2308</v>
      </c>
      <c r="P1211" s="4" t="s">
        <v>2308</v>
      </c>
      <c r="Q1211" s="4" t="s">
        <v>2308</v>
      </c>
      <c r="R1211" s="4" t="s">
        <v>2308</v>
      </c>
      <c r="S1211" s="4" t="s">
        <v>2308</v>
      </c>
      <c r="T1211" s="4" t="s">
        <v>2308</v>
      </c>
      <c r="U1211" s="4" t="s">
        <v>2308</v>
      </c>
      <c r="V1211" s="4" t="s">
        <v>2308</v>
      </c>
      <c r="W1211" s="4" t="s">
        <v>2308</v>
      </c>
      <c r="X1211" s="4" t="s">
        <v>2308</v>
      </c>
      <c r="Y1211" s="4" t="s">
        <v>2308</v>
      </c>
      <c r="Z1211" s="4" t="s">
        <v>34</v>
      </c>
      <c r="AA1211" s="4" t="s">
        <v>35</v>
      </c>
      <c r="AB1211" s="4" t="s">
        <v>64</v>
      </c>
      <c r="AC1211" s="4" t="s">
        <v>3729</v>
      </c>
      <c r="AD1211" s="4"/>
    </row>
    <row r="1212" spans="1:30" ht="89.5" customHeight="1">
      <c r="A1212" s="4" t="s">
        <v>3713</v>
      </c>
      <c r="B1212" s="4" t="s">
        <v>3737</v>
      </c>
      <c r="C1212" s="4" t="s">
        <v>31</v>
      </c>
      <c r="D1212" s="4" t="s">
        <v>2308</v>
      </c>
      <c r="E1212" s="4" t="s">
        <v>2686</v>
      </c>
      <c r="F1212" s="5" t="s">
        <v>2308</v>
      </c>
      <c r="G1212" s="4" t="s">
        <v>2308</v>
      </c>
      <c r="H1212" s="4" t="s">
        <v>531</v>
      </c>
      <c r="I1212" s="4"/>
      <c r="J1212" s="4" t="s">
        <v>2308</v>
      </c>
      <c r="K1212" s="4" t="s">
        <v>2308</v>
      </c>
      <c r="L1212" s="4" t="s">
        <v>2308</v>
      </c>
      <c r="M1212" s="4" t="s">
        <v>2308</v>
      </c>
      <c r="N1212" s="4" t="s">
        <v>2308</v>
      </c>
      <c r="O1212" s="4" t="s">
        <v>2308</v>
      </c>
      <c r="P1212" s="4" t="s">
        <v>2308</v>
      </c>
      <c r="Q1212" s="4" t="s">
        <v>2308</v>
      </c>
      <c r="R1212" s="4" t="s">
        <v>2308</v>
      </c>
      <c r="S1212" s="4" t="s">
        <v>2308</v>
      </c>
      <c r="T1212" s="4" t="s">
        <v>2308</v>
      </c>
      <c r="U1212" s="4" t="s">
        <v>2308</v>
      </c>
      <c r="V1212" s="4" t="s">
        <v>2308</v>
      </c>
      <c r="W1212" s="4" t="s">
        <v>2308</v>
      </c>
      <c r="X1212" s="4" t="s">
        <v>2308</v>
      </c>
      <c r="Y1212" s="4" t="s">
        <v>2308</v>
      </c>
      <c r="Z1212" s="4" t="s">
        <v>34</v>
      </c>
      <c r="AA1212" s="4" t="s">
        <v>35</v>
      </c>
      <c r="AB1212" s="4" t="s">
        <v>64</v>
      </c>
      <c r="AC1212" s="5" t="s">
        <v>3730</v>
      </c>
      <c r="AD1212" s="4"/>
    </row>
    <row r="1213" spans="1:30" ht="109.5" customHeight="1">
      <c r="A1213" s="4" t="s">
        <v>3715</v>
      </c>
      <c r="B1213" s="4" t="s">
        <v>3716</v>
      </c>
      <c r="C1213" s="4" t="s">
        <v>24</v>
      </c>
      <c r="D1213" s="4" t="s">
        <v>27</v>
      </c>
      <c r="E1213" s="4" t="s">
        <v>84</v>
      </c>
      <c r="F1213" s="5" t="s">
        <v>28</v>
      </c>
      <c r="G1213" s="4" t="s">
        <v>2308</v>
      </c>
      <c r="H1213" s="4" t="s">
        <v>532</v>
      </c>
      <c r="I1213" s="4"/>
      <c r="J1213" s="22">
        <v>0</v>
      </c>
      <c r="K1213" s="22">
        <v>0</v>
      </c>
      <c r="L1213" s="22">
        <v>0</v>
      </c>
      <c r="M1213" s="22">
        <v>0</v>
      </c>
      <c r="N1213" s="22">
        <v>0</v>
      </c>
      <c r="O1213" s="22">
        <v>0</v>
      </c>
      <c r="P1213" s="22">
        <v>0</v>
      </c>
      <c r="Q1213" s="22">
        <v>0</v>
      </c>
      <c r="R1213" s="22">
        <v>0</v>
      </c>
      <c r="S1213" s="22">
        <v>0</v>
      </c>
      <c r="T1213" s="22">
        <v>0</v>
      </c>
      <c r="U1213" s="22">
        <v>0</v>
      </c>
      <c r="V1213" s="22">
        <v>0</v>
      </c>
      <c r="W1213" s="22">
        <v>0</v>
      </c>
      <c r="X1213" s="22">
        <v>0</v>
      </c>
      <c r="Y1213" s="4" t="s">
        <v>2308</v>
      </c>
      <c r="Z1213" s="4" t="s">
        <v>2308</v>
      </c>
      <c r="AA1213" s="4" t="s">
        <v>2308</v>
      </c>
      <c r="AB1213" s="4" t="s">
        <v>2308</v>
      </c>
      <c r="AC1213" s="5" t="s">
        <v>3717</v>
      </c>
      <c r="AD1213" s="4"/>
    </row>
    <row r="1214" spans="1:30" ht="42.5" customHeight="1">
      <c r="A1214" s="12" t="s">
        <v>3749</v>
      </c>
      <c r="B1214" s="12" t="s">
        <v>3760</v>
      </c>
      <c r="C1214" s="4" t="s">
        <v>1125</v>
      </c>
      <c r="D1214" s="4" t="s">
        <v>1125</v>
      </c>
      <c r="E1214" s="4" t="s">
        <v>1125</v>
      </c>
      <c r="F1214" s="5" t="s">
        <v>2308</v>
      </c>
      <c r="G1214" s="4" t="s">
        <v>74</v>
      </c>
      <c r="H1214" s="4" t="s">
        <v>532</v>
      </c>
      <c r="I1214" s="4"/>
      <c r="J1214" s="22">
        <v>0</v>
      </c>
      <c r="K1214" s="22">
        <v>0</v>
      </c>
      <c r="L1214" s="22">
        <v>0</v>
      </c>
      <c r="M1214" s="22">
        <v>0</v>
      </c>
      <c r="N1214" s="22">
        <v>0</v>
      </c>
      <c r="O1214" s="22">
        <v>0</v>
      </c>
      <c r="P1214" s="22">
        <v>0</v>
      </c>
      <c r="Q1214" s="22">
        <v>0</v>
      </c>
      <c r="R1214" s="22">
        <v>0</v>
      </c>
      <c r="S1214" s="22">
        <v>0</v>
      </c>
      <c r="T1214" s="22">
        <v>0</v>
      </c>
      <c r="U1214" s="22">
        <v>0</v>
      </c>
      <c r="V1214" s="22">
        <v>0</v>
      </c>
      <c r="W1214" s="22">
        <v>0</v>
      </c>
      <c r="X1214" s="22">
        <v>0</v>
      </c>
      <c r="Y1214" s="4" t="s">
        <v>2308</v>
      </c>
      <c r="Z1214" s="4" t="s">
        <v>2308</v>
      </c>
      <c r="AA1214" s="4" t="s">
        <v>2308</v>
      </c>
      <c r="AB1214" s="4" t="s">
        <v>2308</v>
      </c>
      <c r="AC1214" s="5" t="s">
        <v>3756</v>
      </c>
      <c r="AD1214" s="4"/>
    </row>
    <row r="1215" spans="1:30" ht="42.5" customHeight="1">
      <c r="A1215" s="12" t="s">
        <v>3749</v>
      </c>
      <c r="B1215" s="12" t="s">
        <v>3758</v>
      </c>
      <c r="C1215" s="4" t="s">
        <v>1125</v>
      </c>
      <c r="D1215" s="4" t="s">
        <v>1125</v>
      </c>
      <c r="E1215" s="4" t="s">
        <v>1125</v>
      </c>
      <c r="F1215" s="5" t="s">
        <v>2308</v>
      </c>
      <c r="G1215" s="4" t="s">
        <v>55</v>
      </c>
      <c r="H1215" s="4" t="s">
        <v>531</v>
      </c>
      <c r="I1215" s="4"/>
      <c r="J1215" s="4" t="s">
        <v>2308</v>
      </c>
      <c r="K1215" s="4" t="s">
        <v>2308</v>
      </c>
      <c r="L1215" s="4" t="s">
        <v>2308</v>
      </c>
      <c r="M1215" s="4" t="s">
        <v>2308</v>
      </c>
      <c r="N1215" s="4" t="s">
        <v>2308</v>
      </c>
      <c r="O1215" s="4" t="s">
        <v>2308</v>
      </c>
      <c r="P1215" s="4" t="s">
        <v>2308</v>
      </c>
      <c r="Q1215" s="4" t="s">
        <v>2308</v>
      </c>
      <c r="R1215" s="4" t="s">
        <v>2308</v>
      </c>
      <c r="S1215" s="4" t="s">
        <v>2308</v>
      </c>
      <c r="T1215" s="4" t="s">
        <v>2308</v>
      </c>
      <c r="U1215" s="4" t="s">
        <v>2308</v>
      </c>
      <c r="V1215" s="4" t="s">
        <v>2308</v>
      </c>
      <c r="W1215" s="4" t="s">
        <v>2308</v>
      </c>
      <c r="X1215" s="4" t="s">
        <v>2308</v>
      </c>
      <c r="Y1215" s="4" t="s">
        <v>2308</v>
      </c>
      <c r="Z1215" s="4" t="s">
        <v>2308</v>
      </c>
      <c r="AA1215" s="4" t="s">
        <v>2308</v>
      </c>
      <c r="AB1215" s="4" t="s">
        <v>2308</v>
      </c>
      <c r="AC1215" s="5" t="s">
        <v>3757</v>
      </c>
      <c r="AD1215" s="4"/>
    </row>
    <row r="1216" spans="1:30" ht="41" customHeight="1">
      <c r="A1216" s="12" t="s">
        <v>3749</v>
      </c>
      <c r="B1216" s="12" t="s">
        <v>3761</v>
      </c>
      <c r="C1216" s="4" t="s">
        <v>1125</v>
      </c>
      <c r="D1216" s="4" t="s">
        <v>2308</v>
      </c>
      <c r="E1216" s="4" t="s">
        <v>1125</v>
      </c>
      <c r="F1216" s="5" t="s">
        <v>2308</v>
      </c>
      <c r="G1216" s="4" t="s">
        <v>2696</v>
      </c>
      <c r="H1216" s="4" t="s">
        <v>532</v>
      </c>
      <c r="I1216" s="4"/>
      <c r="J1216" s="22">
        <v>0</v>
      </c>
      <c r="K1216" s="22">
        <v>0</v>
      </c>
      <c r="L1216" s="22">
        <v>0</v>
      </c>
      <c r="M1216" s="22">
        <v>0</v>
      </c>
      <c r="N1216" s="22">
        <v>0</v>
      </c>
      <c r="O1216" s="22">
        <v>0</v>
      </c>
      <c r="P1216" s="22">
        <v>0</v>
      </c>
      <c r="Q1216" s="22">
        <v>0</v>
      </c>
      <c r="R1216" s="22">
        <v>0</v>
      </c>
      <c r="S1216" s="22">
        <v>0</v>
      </c>
      <c r="T1216" s="22">
        <v>0</v>
      </c>
      <c r="U1216" s="22">
        <v>0</v>
      </c>
      <c r="V1216" s="22">
        <v>0</v>
      </c>
      <c r="W1216" s="22">
        <v>0</v>
      </c>
      <c r="X1216" s="22">
        <v>0</v>
      </c>
      <c r="Y1216" s="4" t="s">
        <v>2308</v>
      </c>
      <c r="Z1216" s="4" t="s">
        <v>2308</v>
      </c>
      <c r="AA1216" s="4" t="s">
        <v>2308</v>
      </c>
      <c r="AB1216" s="4" t="s">
        <v>2308</v>
      </c>
      <c r="AC1216" s="5" t="s">
        <v>3756</v>
      </c>
      <c r="AD1216" s="4"/>
    </row>
    <row r="1217" spans="1:30" ht="42.5" customHeight="1">
      <c r="A1217" s="12" t="s">
        <v>3750</v>
      </c>
      <c r="B1217" s="12" t="s">
        <v>3759</v>
      </c>
      <c r="C1217" s="4" t="s">
        <v>1125</v>
      </c>
      <c r="D1217" s="4" t="s">
        <v>2308</v>
      </c>
      <c r="E1217" s="4" t="s">
        <v>1125</v>
      </c>
      <c r="F1217" s="5" t="s">
        <v>2308</v>
      </c>
      <c r="G1217" s="4" t="s">
        <v>2308</v>
      </c>
      <c r="H1217" s="4" t="s">
        <v>531</v>
      </c>
      <c r="I1217" s="4"/>
      <c r="J1217" s="4" t="s">
        <v>2308</v>
      </c>
      <c r="K1217" s="4" t="s">
        <v>2308</v>
      </c>
      <c r="L1217" s="4" t="s">
        <v>2308</v>
      </c>
      <c r="M1217" s="4" t="s">
        <v>2308</v>
      </c>
      <c r="N1217" s="4" t="s">
        <v>2308</v>
      </c>
      <c r="O1217" s="4" t="s">
        <v>2308</v>
      </c>
      <c r="P1217" s="4" t="s">
        <v>2308</v>
      </c>
      <c r="Q1217" s="4" t="s">
        <v>2308</v>
      </c>
      <c r="R1217" s="4" t="s">
        <v>2308</v>
      </c>
      <c r="S1217" s="4" t="s">
        <v>2308</v>
      </c>
      <c r="T1217" s="4" t="s">
        <v>2308</v>
      </c>
      <c r="U1217" s="4" t="s">
        <v>2308</v>
      </c>
      <c r="V1217" s="4" t="s">
        <v>2308</v>
      </c>
      <c r="W1217" s="4" t="s">
        <v>2308</v>
      </c>
      <c r="X1217" s="4" t="s">
        <v>2308</v>
      </c>
      <c r="Y1217" s="4" t="s">
        <v>2308</v>
      </c>
      <c r="Z1217" s="4" t="s">
        <v>2308</v>
      </c>
      <c r="AA1217" s="4" t="s">
        <v>2308</v>
      </c>
      <c r="AB1217" s="4" t="s">
        <v>2308</v>
      </c>
      <c r="AC1217" s="5" t="s">
        <v>3757</v>
      </c>
      <c r="AD1217" s="4"/>
    </row>
    <row r="1218" spans="1:30" ht="32" customHeight="1">
      <c r="A1218" s="12" t="s">
        <v>3765</v>
      </c>
      <c r="B1218" s="12" t="s">
        <v>3769</v>
      </c>
      <c r="C1218" s="4" t="s">
        <v>24</v>
      </c>
      <c r="D1218" s="4" t="s">
        <v>1264</v>
      </c>
      <c r="E1218" s="4" t="s">
        <v>116</v>
      </c>
      <c r="F1218" s="5" t="s">
        <v>2695</v>
      </c>
      <c r="G1218" s="4" t="s">
        <v>2308</v>
      </c>
      <c r="H1218" s="4" t="s">
        <v>531</v>
      </c>
      <c r="I1218" s="4"/>
      <c r="J1218" s="4" t="s">
        <v>2308</v>
      </c>
      <c r="K1218" s="4" t="s">
        <v>2308</v>
      </c>
      <c r="L1218" s="4" t="s">
        <v>2308</v>
      </c>
      <c r="M1218" s="4" t="s">
        <v>2308</v>
      </c>
      <c r="N1218" s="4" t="s">
        <v>2308</v>
      </c>
      <c r="O1218" s="4" t="s">
        <v>2308</v>
      </c>
      <c r="P1218" s="4" t="s">
        <v>2308</v>
      </c>
      <c r="Q1218" s="4" t="s">
        <v>2308</v>
      </c>
      <c r="R1218" s="4" t="s">
        <v>2308</v>
      </c>
      <c r="S1218" s="4" t="s">
        <v>2308</v>
      </c>
      <c r="T1218" s="4" t="s">
        <v>2308</v>
      </c>
      <c r="U1218" s="4" t="s">
        <v>2308</v>
      </c>
      <c r="V1218" s="4" t="s">
        <v>2308</v>
      </c>
      <c r="W1218" s="4" t="s">
        <v>2308</v>
      </c>
      <c r="X1218" s="4" t="s">
        <v>2308</v>
      </c>
      <c r="Y1218" s="4" t="s">
        <v>2308</v>
      </c>
      <c r="Z1218" s="4" t="s">
        <v>38</v>
      </c>
      <c r="AA1218" s="4" t="s">
        <v>34</v>
      </c>
      <c r="AB1218" s="4" t="s">
        <v>64</v>
      </c>
      <c r="AC1218" s="172"/>
      <c r="AD1218" s="4"/>
    </row>
    <row r="1219" spans="1:30" ht="31" customHeight="1">
      <c r="A1219" s="12" t="s">
        <v>3765</v>
      </c>
      <c r="B1219" s="12" t="s">
        <v>3770</v>
      </c>
      <c r="C1219" s="4" t="s">
        <v>24</v>
      </c>
      <c r="D1219" s="4" t="s">
        <v>413</v>
      </c>
      <c r="E1219" s="4" t="s">
        <v>136</v>
      </c>
      <c r="F1219" s="5" t="s">
        <v>2308</v>
      </c>
      <c r="G1219" s="4" t="s">
        <v>2308</v>
      </c>
      <c r="H1219" s="4" t="s">
        <v>531</v>
      </c>
      <c r="I1219" s="4"/>
      <c r="J1219" s="4" t="s">
        <v>2308</v>
      </c>
      <c r="K1219" s="4" t="s">
        <v>2308</v>
      </c>
      <c r="L1219" s="4" t="s">
        <v>2308</v>
      </c>
      <c r="M1219" s="4" t="s">
        <v>2308</v>
      </c>
      <c r="N1219" s="4" t="s">
        <v>2308</v>
      </c>
      <c r="O1219" s="4" t="s">
        <v>2308</v>
      </c>
      <c r="P1219" s="4" t="s">
        <v>2308</v>
      </c>
      <c r="Q1219" s="4" t="s">
        <v>2308</v>
      </c>
      <c r="R1219" s="4" t="s">
        <v>2308</v>
      </c>
      <c r="S1219" s="4" t="s">
        <v>2308</v>
      </c>
      <c r="T1219" s="4" t="s">
        <v>2308</v>
      </c>
      <c r="U1219" s="4" t="s">
        <v>2308</v>
      </c>
      <c r="V1219" s="4" t="s">
        <v>2308</v>
      </c>
      <c r="W1219" s="4" t="s">
        <v>2308</v>
      </c>
      <c r="X1219" s="4" t="s">
        <v>2308</v>
      </c>
      <c r="Y1219" s="4" t="s">
        <v>2308</v>
      </c>
      <c r="Z1219" s="4" t="s">
        <v>38</v>
      </c>
      <c r="AA1219" s="4" t="s">
        <v>68</v>
      </c>
      <c r="AB1219" s="4" t="s">
        <v>64</v>
      </c>
      <c r="AC1219" s="172"/>
      <c r="AD1219" s="4"/>
    </row>
    <row r="1220" spans="1:30" ht="33.5" customHeight="1">
      <c r="A1220" s="12" t="s">
        <v>3765</v>
      </c>
      <c r="B1220" s="12" t="s">
        <v>3771</v>
      </c>
      <c r="C1220" s="4" t="s">
        <v>24</v>
      </c>
      <c r="D1220" s="4" t="s">
        <v>413</v>
      </c>
      <c r="E1220" s="4" t="s">
        <v>116</v>
      </c>
      <c r="F1220" s="5" t="s">
        <v>2308</v>
      </c>
      <c r="G1220" s="4" t="s">
        <v>2308</v>
      </c>
      <c r="H1220" s="4" t="s">
        <v>531</v>
      </c>
      <c r="I1220" s="4"/>
      <c r="J1220" s="4" t="s">
        <v>2308</v>
      </c>
      <c r="K1220" s="4" t="s">
        <v>2308</v>
      </c>
      <c r="L1220" s="4" t="s">
        <v>2308</v>
      </c>
      <c r="M1220" s="4" t="s">
        <v>2308</v>
      </c>
      <c r="N1220" s="4" t="s">
        <v>2308</v>
      </c>
      <c r="O1220" s="4" t="s">
        <v>2308</v>
      </c>
      <c r="P1220" s="4" t="s">
        <v>2308</v>
      </c>
      <c r="Q1220" s="4" t="s">
        <v>2308</v>
      </c>
      <c r="R1220" s="4" t="s">
        <v>2308</v>
      </c>
      <c r="S1220" s="4" t="s">
        <v>2308</v>
      </c>
      <c r="T1220" s="4" t="s">
        <v>2308</v>
      </c>
      <c r="U1220" s="4" t="s">
        <v>2308</v>
      </c>
      <c r="V1220" s="4" t="s">
        <v>2308</v>
      </c>
      <c r="W1220" s="4" t="s">
        <v>2308</v>
      </c>
      <c r="X1220" s="4" t="s">
        <v>2308</v>
      </c>
      <c r="Y1220" s="4" t="s">
        <v>2308</v>
      </c>
      <c r="Z1220" s="4" t="s">
        <v>38</v>
      </c>
      <c r="AA1220" s="4" t="s">
        <v>68</v>
      </c>
      <c r="AB1220" s="4" t="s">
        <v>64</v>
      </c>
      <c r="AC1220" s="172"/>
      <c r="AD1220" s="4"/>
    </row>
    <row r="1221" spans="1:30" ht="32.5" customHeight="1">
      <c r="A1221" s="12" t="s">
        <v>3765</v>
      </c>
      <c r="B1221" s="12" t="s">
        <v>3772</v>
      </c>
      <c r="C1221" s="4" t="s">
        <v>24</v>
      </c>
      <c r="D1221" s="4" t="s">
        <v>27</v>
      </c>
      <c r="E1221" s="4" t="s">
        <v>136</v>
      </c>
      <c r="F1221" s="5" t="s">
        <v>28</v>
      </c>
      <c r="G1221" s="4" t="s">
        <v>2308</v>
      </c>
      <c r="H1221" s="4" t="s">
        <v>531</v>
      </c>
      <c r="I1221" s="4"/>
      <c r="J1221" s="4" t="s">
        <v>2308</v>
      </c>
      <c r="K1221" s="4" t="s">
        <v>2308</v>
      </c>
      <c r="L1221" s="4" t="s">
        <v>2308</v>
      </c>
      <c r="M1221" s="4" t="s">
        <v>2308</v>
      </c>
      <c r="N1221" s="4" t="s">
        <v>2308</v>
      </c>
      <c r="O1221" s="4" t="s">
        <v>2308</v>
      </c>
      <c r="P1221" s="4" t="s">
        <v>2308</v>
      </c>
      <c r="Q1221" s="4" t="s">
        <v>2308</v>
      </c>
      <c r="R1221" s="4" t="s">
        <v>2308</v>
      </c>
      <c r="S1221" s="4" t="s">
        <v>2308</v>
      </c>
      <c r="T1221" s="4" t="s">
        <v>2308</v>
      </c>
      <c r="U1221" s="4" t="s">
        <v>2308</v>
      </c>
      <c r="V1221" s="4" t="s">
        <v>2308</v>
      </c>
      <c r="W1221" s="4" t="s">
        <v>2308</v>
      </c>
      <c r="X1221" s="4" t="s">
        <v>2308</v>
      </c>
      <c r="Y1221" s="4" t="s">
        <v>2308</v>
      </c>
      <c r="Z1221" s="4" t="s">
        <v>412</v>
      </c>
      <c r="AA1221" s="4" t="s">
        <v>68</v>
      </c>
      <c r="AB1221" s="4" t="s">
        <v>64</v>
      </c>
      <c r="AC1221" s="172"/>
      <c r="AD1221" s="4"/>
    </row>
    <row r="1222" spans="1:30" ht="32.5" customHeight="1">
      <c r="A1222" s="12" t="s">
        <v>3765</v>
      </c>
      <c r="B1222" s="12" t="s">
        <v>3773</v>
      </c>
      <c r="C1222" s="4" t="s">
        <v>24</v>
      </c>
      <c r="D1222" s="4" t="s">
        <v>1267</v>
      </c>
      <c r="E1222" s="4" t="s">
        <v>116</v>
      </c>
      <c r="F1222" s="5" t="s">
        <v>2695</v>
      </c>
      <c r="G1222" s="4" t="s">
        <v>2308</v>
      </c>
      <c r="H1222" s="4" t="s">
        <v>531</v>
      </c>
      <c r="I1222" s="4"/>
      <c r="J1222" s="4" t="s">
        <v>2308</v>
      </c>
      <c r="K1222" s="4" t="s">
        <v>2308</v>
      </c>
      <c r="L1222" s="4" t="s">
        <v>2308</v>
      </c>
      <c r="M1222" s="4" t="s">
        <v>2308</v>
      </c>
      <c r="N1222" s="4" t="s">
        <v>2308</v>
      </c>
      <c r="O1222" s="4" t="s">
        <v>2308</v>
      </c>
      <c r="P1222" s="4" t="s">
        <v>2308</v>
      </c>
      <c r="Q1222" s="4" t="s">
        <v>2308</v>
      </c>
      <c r="R1222" s="4" t="s">
        <v>2308</v>
      </c>
      <c r="S1222" s="4" t="s">
        <v>2308</v>
      </c>
      <c r="T1222" s="4" t="s">
        <v>2308</v>
      </c>
      <c r="U1222" s="4" t="s">
        <v>2308</v>
      </c>
      <c r="V1222" s="4" t="s">
        <v>2308</v>
      </c>
      <c r="W1222" s="4" t="s">
        <v>2308</v>
      </c>
      <c r="X1222" s="4" t="s">
        <v>2308</v>
      </c>
      <c r="Y1222" s="4" t="s">
        <v>2308</v>
      </c>
      <c r="Z1222" s="4" t="s">
        <v>38</v>
      </c>
      <c r="AA1222" s="4" t="s">
        <v>68</v>
      </c>
      <c r="AB1222" s="4" t="s">
        <v>64</v>
      </c>
      <c r="AC1222" s="172"/>
      <c r="AD1222" s="4"/>
    </row>
    <row r="1223" spans="1:30" ht="32" customHeight="1">
      <c r="A1223" s="12" t="s">
        <v>3765</v>
      </c>
      <c r="B1223" s="12" t="s">
        <v>3774</v>
      </c>
      <c r="C1223" s="4" t="s">
        <v>24</v>
      </c>
      <c r="D1223" s="4" t="s">
        <v>3529</v>
      </c>
      <c r="E1223" s="4" t="s">
        <v>116</v>
      </c>
      <c r="F1223" s="5" t="s">
        <v>2695</v>
      </c>
      <c r="G1223" s="4" t="s">
        <v>2308</v>
      </c>
      <c r="H1223" s="4" t="s">
        <v>531</v>
      </c>
      <c r="I1223" s="4"/>
      <c r="J1223" s="4" t="s">
        <v>2308</v>
      </c>
      <c r="K1223" s="4" t="s">
        <v>2308</v>
      </c>
      <c r="L1223" s="4" t="s">
        <v>2308</v>
      </c>
      <c r="M1223" s="4" t="s">
        <v>2308</v>
      </c>
      <c r="N1223" s="4" t="s">
        <v>2308</v>
      </c>
      <c r="O1223" s="4" t="s">
        <v>2308</v>
      </c>
      <c r="P1223" s="4" t="s">
        <v>2308</v>
      </c>
      <c r="Q1223" s="4" t="s">
        <v>2308</v>
      </c>
      <c r="R1223" s="4" t="s">
        <v>2308</v>
      </c>
      <c r="S1223" s="4" t="s">
        <v>2308</v>
      </c>
      <c r="T1223" s="4" t="s">
        <v>2308</v>
      </c>
      <c r="U1223" s="4" t="s">
        <v>2308</v>
      </c>
      <c r="V1223" s="4" t="s">
        <v>2308</v>
      </c>
      <c r="W1223" s="4" t="s">
        <v>2308</v>
      </c>
      <c r="X1223" s="4" t="s">
        <v>2308</v>
      </c>
      <c r="Y1223" s="4" t="s">
        <v>2308</v>
      </c>
      <c r="Z1223" s="4" t="s">
        <v>86</v>
      </c>
      <c r="AA1223" s="4" t="s">
        <v>432</v>
      </c>
      <c r="AB1223" s="4" t="s">
        <v>64</v>
      </c>
      <c r="AC1223" s="172"/>
      <c r="AD1223" s="4"/>
    </row>
    <row r="1224" spans="1:30" ht="35" customHeight="1">
      <c r="A1224" s="12" t="s">
        <v>3765</v>
      </c>
      <c r="B1224" s="12" t="s">
        <v>3775</v>
      </c>
      <c r="C1224" s="4" t="s">
        <v>24</v>
      </c>
      <c r="D1224" s="4" t="s">
        <v>25</v>
      </c>
      <c r="E1224" s="4" t="s">
        <v>5065</v>
      </c>
      <c r="F1224" s="5" t="s">
        <v>55</v>
      </c>
      <c r="G1224" s="4" t="s">
        <v>2308</v>
      </c>
      <c r="H1224" s="4" t="s">
        <v>531</v>
      </c>
      <c r="I1224" s="4"/>
      <c r="J1224" s="4" t="s">
        <v>2308</v>
      </c>
      <c r="K1224" s="4" t="s">
        <v>2308</v>
      </c>
      <c r="L1224" s="4" t="s">
        <v>2308</v>
      </c>
      <c r="M1224" s="4" t="s">
        <v>2308</v>
      </c>
      <c r="N1224" s="4" t="s">
        <v>2308</v>
      </c>
      <c r="O1224" s="4" t="s">
        <v>2308</v>
      </c>
      <c r="P1224" s="4" t="s">
        <v>2308</v>
      </c>
      <c r="Q1224" s="4" t="s">
        <v>2308</v>
      </c>
      <c r="R1224" s="4" t="s">
        <v>2308</v>
      </c>
      <c r="S1224" s="4" t="s">
        <v>2308</v>
      </c>
      <c r="T1224" s="4" t="s">
        <v>2308</v>
      </c>
      <c r="U1224" s="4" t="s">
        <v>2308</v>
      </c>
      <c r="V1224" s="4" t="s">
        <v>2308</v>
      </c>
      <c r="W1224" s="4" t="s">
        <v>2308</v>
      </c>
      <c r="X1224" s="4" t="s">
        <v>2308</v>
      </c>
      <c r="Y1224" s="4" t="s">
        <v>2308</v>
      </c>
      <c r="Z1224" s="4" t="s">
        <v>34</v>
      </c>
      <c r="AA1224" s="4" t="s">
        <v>432</v>
      </c>
      <c r="AB1224" s="4" t="s">
        <v>64</v>
      </c>
      <c r="AC1224" s="172"/>
      <c r="AD1224" s="4"/>
    </row>
    <row r="1225" spans="1:30" ht="33.5" customHeight="1">
      <c r="A1225" s="12" t="s">
        <v>3765</v>
      </c>
      <c r="B1225" s="12" t="s">
        <v>3776</v>
      </c>
      <c r="C1225" s="4" t="s">
        <v>24</v>
      </c>
      <c r="D1225" s="4" t="s">
        <v>26</v>
      </c>
      <c r="E1225" s="4" t="s">
        <v>5065</v>
      </c>
      <c r="F1225" s="5" t="s">
        <v>2308</v>
      </c>
      <c r="G1225" s="4" t="s">
        <v>2308</v>
      </c>
      <c r="H1225" s="4" t="s">
        <v>531</v>
      </c>
      <c r="I1225" s="4"/>
      <c r="J1225" s="4" t="s">
        <v>2308</v>
      </c>
      <c r="K1225" s="4" t="s">
        <v>2308</v>
      </c>
      <c r="L1225" s="4" t="s">
        <v>2308</v>
      </c>
      <c r="M1225" s="4" t="s">
        <v>2308</v>
      </c>
      <c r="N1225" s="4" t="s">
        <v>2308</v>
      </c>
      <c r="O1225" s="4" t="s">
        <v>2308</v>
      </c>
      <c r="P1225" s="4" t="s">
        <v>2308</v>
      </c>
      <c r="Q1225" s="4" t="s">
        <v>2308</v>
      </c>
      <c r="R1225" s="4" t="s">
        <v>2308</v>
      </c>
      <c r="S1225" s="4" t="s">
        <v>2308</v>
      </c>
      <c r="T1225" s="4" t="s">
        <v>2308</v>
      </c>
      <c r="U1225" s="4" t="s">
        <v>2308</v>
      </c>
      <c r="V1225" s="4" t="s">
        <v>2308</v>
      </c>
      <c r="W1225" s="4" t="s">
        <v>2308</v>
      </c>
      <c r="X1225" s="4" t="s">
        <v>2308</v>
      </c>
      <c r="Y1225" s="4" t="s">
        <v>2308</v>
      </c>
      <c r="Z1225" s="4" t="s">
        <v>38</v>
      </c>
      <c r="AA1225" s="4" t="s">
        <v>68</v>
      </c>
      <c r="AB1225" s="4" t="s">
        <v>64</v>
      </c>
      <c r="AC1225" s="172"/>
      <c r="AD1225" s="4"/>
    </row>
    <row r="1226" spans="1:30" ht="34.5" customHeight="1">
      <c r="A1226" s="12" t="s">
        <v>3765</v>
      </c>
      <c r="B1226" s="12" t="s">
        <v>3777</v>
      </c>
      <c r="C1226" s="4" t="s">
        <v>24</v>
      </c>
      <c r="D1226" s="4" t="s">
        <v>2373</v>
      </c>
      <c r="E1226" s="4" t="s">
        <v>116</v>
      </c>
      <c r="F1226" s="5" t="s">
        <v>2695</v>
      </c>
      <c r="G1226" s="4" t="s">
        <v>2308</v>
      </c>
      <c r="H1226" s="4" t="s">
        <v>531</v>
      </c>
      <c r="I1226" s="4"/>
      <c r="J1226" s="4" t="s">
        <v>2308</v>
      </c>
      <c r="K1226" s="4" t="s">
        <v>2308</v>
      </c>
      <c r="L1226" s="4" t="s">
        <v>2308</v>
      </c>
      <c r="M1226" s="4" t="s">
        <v>2308</v>
      </c>
      <c r="N1226" s="4" t="s">
        <v>2308</v>
      </c>
      <c r="O1226" s="4" t="s">
        <v>2308</v>
      </c>
      <c r="P1226" s="4" t="s">
        <v>2308</v>
      </c>
      <c r="Q1226" s="4" t="s">
        <v>2308</v>
      </c>
      <c r="R1226" s="4" t="s">
        <v>2308</v>
      </c>
      <c r="S1226" s="4" t="s">
        <v>2308</v>
      </c>
      <c r="T1226" s="4" t="s">
        <v>2308</v>
      </c>
      <c r="U1226" s="4" t="s">
        <v>2308</v>
      </c>
      <c r="V1226" s="4" t="s">
        <v>2308</v>
      </c>
      <c r="W1226" s="4" t="s">
        <v>2308</v>
      </c>
      <c r="X1226" s="4" t="s">
        <v>2308</v>
      </c>
      <c r="Y1226" s="4" t="s">
        <v>2308</v>
      </c>
      <c r="Z1226" s="4" t="s">
        <v>38</v>
      </c>
      <c r="AA1226" s="4" t="s">
        <v>68</v>
      </c>
      <c r="AB1226" s="4" t="s">
        <v>64</v>
      </c>
      <c r="AC1226" s="172"/>
      <c r="AD1226" s="4"/>
    </row>
    <row r="1227" spans="1:30" ht="39" customHeight="1">
      <c r="A1227" s="12" t="s">
        <v>3765</v>
      </c>
      <c r="B1227" s="12" t="s">
        <v>3780</v>
      </c>
      <c r="C1227" s="4" t="s">
        <v>1125</v>
      </c>
      <c r="D1227" s="4" t="s">
        <v>1125</v>
      </c>
      <c r="E1227" s="4" t="s">
        <v>1125</v>
      </c>
      <c r="F1227" s="5" t="s">
        <v>1125</v>
      </c>
      <c r="G1227" s="4" t="s">
        <v>1125</v>
      </c>
      <c r="H1227" s="4" t="s">
        <v>531</v>
      </c>
      <c r="I1227" s="4">
        <v>2000</v>
      </c>
      <c r="J1227" s="4" t="s">
        <v>2308</v>
      </c>
      <c r="K1227" s="4" t="s">
        <v>2308</v>
      </c>
      <c r="L1227" s="4" t="s">
        <v>2308</v>
      </c>
      <c r="M1227" s="4" t="s">
        <v>2308</v>
      </c>
      <c r="N1227" s="4" t="s">
        <v>2308</v>
      </c>
      <c r="O1227" s="4" t="s">
        <v>2308</v>
      </c>
      <c r="P1227" s="4" t="s">
        <v>2308</v>
      </c>
      <c r="Q1227" s="4" t="s">
        <v>2308</v>
      </c>
      <c r="R1227" s="4" t="s">
        <v>2308</v>
      </c>
      <c r="S1227" s="4" t="s">
        <v>2308</v>
      </c>
      <c r="T1227" s="4" t="s">
        <v>2308</v>
      </c>
      <c r="U1227" s="4" t="s">
        <v>2308</v>
      </c>
      <c r="V1227" s="4" t="s">
        <v>2308</v>
      </c>
      <c r="W1227" s="4" t="s">
        <v>2308</v>
      </c>
      <c r="X1227" s="4" t="s">
        <v>2308</v>
      </c>
      <c r="Y1227" s="4" t="s">
        <v>2308</v>
      </c>
      <c r="Z1227" s="4" t="s">
        <v>38</v>
      </c>
      <c r="AA1227" s="4" t="s">
        <v>68</v>
      </c>
      <c r="AB1227" s="4" t="s">
        <v>76</v>
      </c>
      <c r="AC1227" s="5" t="s">
        <v>3782</v>
      </c>
      <c r="AD1227" s="4"/>
    </row>
    <row r="1228" spans="1:30" ht="38" customHeight="1">
      <c r="A1228" s="12" t="s">
        <v>3765</v>
      </c>
      <c r="B1228" s="12" t="s">
        <v>3781</v>
      </c>
      <c r="C1228" s="4" t="s">
        <v>1125</v>
      </c>
      <c r="D1228" s="4" t="s">
        <v>1125</v>
      </c>
      <c r="E1228" s="4" t="s">
        <v>1125</v>
      </c>
      <c r="F1228" s="5" t="s">
        <v>1125</v>
      </c>
      <c r="G1228" s="4" t="s">
        <v>1125</v>
      </c>
      <c r="H1228" s="4" t="s">
        <v>531</v>
      </c>
      <c r="I1228" s="4">
        <v>2006</v>
      </c>
      <c r="J1228" s="4" t="s">
        <v>2308</v>
      </c>
      <c r="K1228" s="4" t="s">
        <v>2308</v>
      </c>
      <c r="L1228" s="4" t="s">
        <v>2308</v>
      </c>
      <c r="M1228" s="4" t="s">
        <v>2308</v>
      </c>
      <c r="N1228" s="4" t="s">
        <v>2308</v>
      </c>
      <c r="O1228" s="4" t="s">
        <v>2308</v>
      </c>
      <c r="P1228" s="4" t="s">
        <v>2308</v>
      </c>
      <c r="Q1228" s="4" t="s">
        <v>2308</v>
      </c>
      <c r="R1228" s="4" t="s">
        <v>2308</v>
      </c>
      <c r="S1228" s="4" t="s">
        <v>2308</v>
      </c>
      <c r="T1228" s="4" t="s">
        <v>2308</v>
      </c>
      <c r="U1228" s="4" t="s">
        <v>2308</v>
      </c>
      <c r="V1228" s="4" t="s">
        <v>2308</v>
      </c>
      <c r="W1228" s="4" t="s">
        <v>2308</v>
      </c>
      <c r="X1228" s="4" t="s">
        <v>2308</v>
      </c>
      <c r="Y1228" s="4" t="s">
        <v>2308</v>
      </c>
      <c r="Z1228" s="4" t="s">
        <v>38</v>
      </c>
      <c r="AA1228" s="4" t="s">
        <v>68</v>
      </c>
      <c r="AB1228" s="4" t="s">
        <v>2688</v>
      </c>
      <c r="AC1228" s="4" t="s">
        <v>3783</v>
      </c>
      <c r="AD1228" s="4"/>
    </row>
    <row r="1229" spans="1:30" ht="35" customHeight="1">
      <c r="A1229" s="12" t="s">
        <v>3786</v>
      </c>
      <c r="B1229" s="12" t="s">
        <v>3789</v>
      </c>
      <c r="C1229" s="4" t="s">
        <v>24</v>
      </c>
      <c r="D1229" s="4" t="s">
        <v>2837</v>
      </c>
      <c r="E1229" s="4" t="s">
        <v>5065</v>
      </c>
      <c r="F1229" s="5" t="s">
        <v>2695</v>
      </c>
      <c r="G1229" s="5" t="s">
        <v>2695</v>
      </c>
      <c r="H1229" s="4" t="s">
        <v>531</v>
      </c>
      <c r="I1229" s="4"/>
      <c r="J1229" s="172" t="s">
        <v>2308</v>
      </c>
      <c r="K1229" s="22">
        <v>0.5</v>
      </c>
      <c r="L1229" s="22">
        <v>0.5</v>
      </c>
      <c r="M1229" s="4" t="s">
        <v>2308</v>
      </c>
      <c r="N1229" s="4" t="s">
        <v>2308</v>
      </c>
      <c r="O1229" s="4" t="s">
        <v>2308</v>
      </c>
      <c r="P1229" s="4" t="s">
        <v>2308</v>
      </c>
      <c r="Q1229" s="4" t="s">
        <v>2308</v>
      </c>
      <c r="R1229" s="4" t="s">
        <v>2308</v>
      </c>
      <c r="S1229" s="4" t="s">
        <v>2308</v>
      </c>
      <c r="T1229" s="4" t="s">
        <v>2308</v>
      </c>
      <c r="U1229" s="4" t="s">
        <v>2308</v>
      </c>
      <c r="V1229" s="4" t="s">
        <v>2308</v>
      </c>
      <c r="W1229" s="4" t="s">
        <v>2308</v>
      </c>
      <c r="X1229" s="4" t="s">
        <v>2308</v>
      </c>
      <c r="Y1229" s="4" t="s">
        <v>2308</v>
      </c>
      <c r="Z1229" s="4" t="s">
        <v>68</v>
      </c>
      <c r="AA1229" s="4" t="s">
        <v>194</v>
      </c>
      <c r="AB1229" s="4" t="s">
        <v>76</v>
      </c>
      <c r="AC1229" s="5"/>
      <c r="AD1229" s="4"/>
    </row>
    <row r="1230" spans="1:30" ht="41" customHeight="1">
      <c r="A1230" s="12" t="s">
        <v>3786</v>
      </c>
      <c r="B1230" s="12" t="s">
        <v>3790</v>
      </c>
      <c r="C1230" s="4" t="s">
        <v>24</v>
      </c>
      <c r="D1230" s="4" t="s">
        <v>26</v>
      </c>
      <c r="E1230" s="4" t="s">
        <v>5065</v>
      </c>
      <c r="F1230" s="5" t="s">
        <v>2695</v>
      </c>
      <c r="G1230" s="5" t="s">
        <v>2695</v>
      </c>
      <c r="H1230" s="4" t="s">
        <v>531</v>
      </c>
      <c r="I1230" s="4"/>
      <c r="J1230" s="172" t="s">
        <v>2308</v>
      </c>
      <c r="K1230" s="22">
        <v>0.5</v>
      </c>
      <c r="L1230" s="22">
        <v>0.5</v>
      </c>
      <c r="M1230" s="4" t="s">
        <v>2308</v>
      </c>
      <c r="N1230" s="4" t="s">
        <v>2308</v>
      </c>
      <c r="O1230" s="4" t="s">
        <v>2308</v>
      </c>
      <c r="P1230" s="4" t="s">
        <v>2308</v>
      </c>
      <c r="Q1230" s="4" t="s">
        <v>2308</v>
      </c>
      <c r="R1230" s="4" t="s">
        <v>2308</v>
      </c>
      <c r="S1230" s="4" t="s">
        <v>2308</v>
      </c>
      <c r="T1230" s="4" t="s">
        <v>2308</v>
      </c>
      <c r="U1230" s="4" t="s">
        <v>2308</v>
      </c>
      <c r="V1230" s="4" t="s">
        <v>2308</v>
      </c>
      <c r="W1230" s="4" t="s">
        <v>2308</v>
      </c>
      <c r="X1230" s="4" t="s">
        <v>2308</v>
      </c>
      <c r="Y1230" s="4" t="s">
        <v>2308</v>
      </c>
      <c r="Z1230" s="4" t="s">
        <v>68</v>
      </c>
      <c r="AA1230" s="4" t="s">
        <v>194</v>
      </c>
      <c r="AB1230" s="4" t="s">
        <v>76</v>
      </c>
      <c r="AC1230" s="5" t="s">
        <v>3794</v>
      </c>
      <c r="AD1230" s="4"/>
    </row>
    <row r="1231" spans="1:30" ht="88" customHeight="1">
      <c r="A1231" s="12" t="s">
        <v>3786</v>
      </c>
      <c r="B1231" s="12" t="s">
        <v>3791</v>
      </c>
      <c r="C1231" s="4" t="s">
        <v>24</v>
      </c>
      <c r="D1231" s="4" t="s">
        <v>1125</v>
      </c>
      <c r="E1231" s="4" t="s">
        <v>5065</v>
      </c>
      <c r="F1231" s="5" t="s">
        <v>2695</v>
      </c>
      <c r="G1231" s="5" t="s">
        <v>2695</v>
      </c>
      <c r="H1231" s="4" t="s">
        <v>531</v>
      </c>
      <c r="I1231" s="4"/>
      <c r="J1231" s="172" t="s">
        <v>2308</v>
      </c>
      <c r="K1231" s="22">
        <v>0.5</v>
      </c>
      <c r="L1231" s="22">
        <v>0.5</v>
      </c>
      <c r="M1231" s="4" t="s">
        <v>2308</v>
      </c>
      <c r="N1231" s="4" t="s">
        <v>2308</v>
      </c>
      <c r="O1231" s="4" t="s">
        <v>2308</v>
      </c>
      <c r="P1231" s="4" t="s">
        <v>2308</v>
      </c>
      <c r="Q1231" s="4" t="s">
        <v>2308</v>
      </c>
      <c r="R1231" s="4" t="s">
        <v>2308</v>
      </c>
      <c r="S1231" s="4" t="s">
        <v>2308</v>
      </c>
      <c r="T1231" s="4" t="s">
        <v>2308</v>
      </c>
      <c r="U1231" s="4" t="s">
        <v>2308</v>
      </c>
      <c r="V1231" s="4" t="s">
        <v>2308</v>
      </c>
      <c r="W1231" s="4" t="s">
        <v>2308</v>
      </c>
      <c r="X1231" s="4" t="s">
        <v>2308</v>
      </c>
      <c r="Y1231" s="15">
        <v>10.199999999999999</v>
      </c>
      <c r="Z1231" s="4" t="s">
        <v>68</v>
      </c>
      <c r="AA1231" s="4" t="s">
        <v>194</v>
      </c>
      <c r="AB1231" s="4" t="s">
        <v>76</v>
      </c>
      <c r="AC1231" s="5" t="s">
        <v>3793</v>
      </c>
      <c r="AD1231" s="5" t="s">
        <v>5064</v>
      </c>
    </row>
    <row r="1232" spans="1:30" ht="59" customHeight="1">
      <c r="A1232" s="12" t="s">
        <v>3786</v>
      </c>
      <c r="B1232" s="12" t="s">
        <v>3792</v>
      </c>
      <c r="C1232" s="4" t="s">
        <v>24</v>
      </c>
      <c r="D1232" s="4" t="s">
        <v>1125</v>
      </c>
      <c r="E1232" s="4" t="s">
        <v>5065</v>
      </c>
      <c r="F1232" s="5" t="s">
        <v>55</v>
      </c>
      <c r="G1232" s="5" t="s">
        <v>55</v>
      </c>
      <c r="H1232" s="4" t="s">
        <v>532</v>
      </c>
      <c r="I1232" s="4"/>
      <c r="J1232" s="22">
        <v>0</v>
      </c>
      <c r="K1232" s="22">
        <v>0</v>
      </c>
      <c r="L1232" s="22">
        <v>0</v>
      </c>
      <c r="M1232" s="22">
        <v>0</v>
      </c>
      <c r="N1232" s="22">
        <v>0</v>
      </c>
      <c r="O1232" s="22">
        <v>0</v>
      </c>
      <c r="P1232" s="22">
        <v>0</v>
      </c>
      <c r="Q1232" s="22">
        <v>0</v>
      </c>
      <c r="R1232" s="22">
        <v>0</v>
      </c>
      <c r="S1232" s="22">
        <v>0</v>
      </c>
      <c r="T1232" s="22">
        <v>0</v>
      </c>
      <c r="U1232" s="22">
        <v>0</v>
      </c>
      <c r="V1232" s="22">
        <v>0</v>
      </c>
      <c r="W1232" s="22">
        <v>0</v>
      </c>
      <c r="X1232" s="22">
        <v>0</v>
      </c>
      <c r="Y1232" s="4" t="s">
        <v>2308</v>
      </c>
      <c r="Z1232" s="4" t="s">
        <v>2308</v>
      </c>
      <c r="AA1232" s="4" t="s">
        <v>2308</v>
      </c>
      <c r="AB1232" s="4" t="s">
        <v>2308</v>
      </c>
      <c r="AC1232" s="5" t="s">
        <v>3795</v>
      </c>
      <c r="AD1232" s="4"/>
    </row>
    <row r="1233" spans="1:30" ht="46.5" customHeight="1">
      <c r="A1233" s="12" t="s">
        <v>3786</v>
      </c>
      <c r="B1233" s="12" t="s">
        <v>5063</v>
      </c>
      <c r="C1233" s="4" t="s">
        <v>2689</v>
      </c>
      <c r="D1233" s="4" t="s">
        <v>2308</v>
      </c>
      <c r="E1233" s="4" t="s">
        <v>2308</v>
      </c>
      <c r="F1233" s="5" t="s">
        <v>2308</v>
      </c>
      <c r="G1233" s="4" t="s">
        <v>2308</v>
      </c>
      <c r="H1233" s="4" t="s">
        <v>532</v>
      </c>
      <c r="I1233" s="4"/>
      <c r="J1233" s="22">
        <v>0</v>
      </c>
      <c r="K1233" s="22">
        <v>0</v>
      </c>
      <c r="L1233" s="22">
        <v>0</v>
      </c>
      <c r="M1233" s="22">
        <v>0</v>
      </c>
      <c r="N1233" s="22">
        <v>0</v>
      </c>
      <c r="O1233" s="22">
        <v>0</v>
      </c>
      <c r="P1233" s="22">
        <v>0</v>
      </c>
      <c r="Q1233" s="22">
        <v>0</v>
      </c>
      <c r="R1233" s="22">
        <v>0</v>
      </c>
      <c r="S1233" s="22">
        <v>0</v>
      </c>
      <c r="T1233" s="22">
        <v>0</v>
      </c>
      <c r="U1233" s="22">
        <v>0</v>
      </c>
      <c r="V1233" s="22">
        <v>0</v>
      </c>
      <c r="W1233" s="22">
        <v>0</v>
      </c>
      <c r="X1233" s="22">
        <v>0</v>
      </c>
      <c r="Y1233" s="4" t="s">
        <v>2308</v>
      </c>
      <c r="Z1233" s="4" t="s">
        <v>2308</v>
      </c>
      <c r="AA1233" s="4" t="s">
        <v>2308</v>
      </c>
      <c r="AB1233" s="4" t="s">
        <v>2308</v>
      </c>
      <c r="AC1233" s="5" t="s">
        <v>3796</v>
      </c>
      <c r="AD1233" s="4"/>
    </row>
    <row r="1234" spans="1:30" ht="167" customHeight="1">
      <c r="A1234" s="12" t="s">
        <v>3801</v>
      </c>
      <c r="B1234" s="12" t="s">
        <v>3804</v>
      </c>
      <c r="C1234" s="4" t="s">
        <v>24</v>
      </c>
      <c r="D1234" s="4" t="s">
        <v>25</v>
      </c>
      <c r="E1234" s="4" t="s">
        <v>5065</v>
      </c>
      <c r="F1234" s="5" t="s">
        <v>2695</v>
      </c>
      <c r="G1234" s="4" t="s">
        <v>2308</v>
      </c>
      <c r="H1234" s="4" t="s">
        <v>532</v>
      </c>
      <c r="I1234" s="4"/>
      <c r="J1234" s="22">
        <v>0</v>
      </c>
      <c r="K1234" s="22">
        <v>0</v>
      </c>
      <c r="L1234" s="22">
        <v>0</v>
      </c>
      <c r="M1234" s="22">
        <v>0</v>
      </c>
      <c r="N1234" s="22">
        <v>0</v>
      </c>
      <c r="O1234" s="22">
        <v>0</v>
      </c>
      <c r="P1234" s="22">
        <v>0</v>
      </c>
      <c r="Q1234" s="22">
        <v>0</v>
      </c>
      <c r="R1234" s="22">
        <v>0</v>
      </c>
      <c r="S1234" s="22">
        <v>0</v>
      </c>
      <c r="T1234" s="22">
        <v>0</v>
      </c>
      <c r="U1234" s="22">
        <v>0</v>
      </c>
      <c r="V1234" s="22">
        <v>0</v>
      </c>
      <c r="W1234" s="22">
        <v>0</v>
      </c>
      <c r="X1234" s="22">
        <v>0</v>
      </c>
      <c r="Y1234" s="22">
        <v>0</v>
      </c>
      <c r="Z1234" s="4" t="s">
        <v>2308</v>
      </c>
      <c r="AA1234" s="4" t="s">
        <v>2308</v>
      </c>
      <c r="AB1234" s="4" t="s">
        <v>2308</v>
      </c>
      <c r="AC1234" s="5" t="s">
        <v>3809</v>
      </c>
      <c r="AD1234" s="4"/>
    </row>
    <row r="1235" spans="1:30" ht="67.5" customHeight="1">
      <c r="A1235" s="12" t="s">
        <v>3801</v>
      </c>
      <c r="B1235" s="12" t="s">
        <v>3805</v>
      </c>
      <c r="C1235" s="4" t="s">
        <v>24</v>
      </c>
      <c r="D1235" s="4" t="s">
        <v>149</v>
      </c>
      <c r="E1235" s="4" t="s">
        <v>5065</v>
      </c>
      <c r="F1235" s="5" t="s">
        <v>74</v>
      </c>
      <c r="G1235" s="4" t="s">
        <v>2308</v>
      </c>
      <c r="H1235" s="4" t="s">
        <v>532</v>
      </c>
      <c r="I1235" s="4"/>
      <c r="J1235" s="22">
        <v>0</v>
      </c>
      <c r="K1235" s="22">
        <v>0</v>
      </c>
      <c r="L1235" s="22">
        <v>0</v>
      </c>
      <c r="M1235" s="22">
        <v>0</v>
      </c>
      <c r="N1235" s="22">
        <v>0</v>
      </c>
      <c r="O1235" s="22">
        <v>0</v>
      </c>
      <c r="P1235" s="22">
        <v>0</v>
      </c>
      <c r="Q1235" s="22">
        <v>0</v>
      </c>
      <c r="R1235" s="22">
        <v>0</v>
      </c>
      <c r="S1235" s="22">
        <v>0</v>
      </c>
      <c r="T1235" s="22">
        <v>0</v>
      </c>
      <c r="U1235" s="22">
        <v>0</v>
      </c>
      <c r="V1235" s="22">
        <v>0</v>
      </c>
      <c r="W1235" s="22">
        <v>0</v>
      </c>
      <c r="X1235" s="22">
        <v>0</v>
      </c>
      <c r="Y1235" s="22">
        <v>0</v>
      </c>
      <c r="Z1235" s="4" t="s">
        <v>2308</v>
      </c>
      <c r="AA1235" s="4" t="s">
        <v>2308</v>
      </c>
      <c r="AB1235" s="4" t="s">
        <v>2308</v>
      </c>
      <c r="AC1235" s="5" t="s">
        <v>3810</v>
      </c>
      <c r="AD1235" s="4"/>
    </row>
    <row r="1236" spans="1:30" ht="67.5" customHeight="1">
      <c r="A1236" s="12" t="s">
        <v>3801</v>
      </c>
      <c r="B1236" s="12" t="s">
        <v>3806</v>
      </c>
      <c r="C1236" s="4" t="s">
        <v>24</v>
      </c>
      <c r="D1236" s="4" t="s">
        <v>25</v>
      </c>
      <c r="E1236" s="4" t="s">
        <v>5065</v>
      </c>
      <c r="F1236" s="5" t="s">
        <v>29</v>
      </c>
      <c r="G1236" s="4" t="s">
        <v>2308</v>
      </c>
      <c r="H1236" s="4" t="s">
        <v>532</v>
      </c>
      <c r="I1236" s="4"/>
      <c r="J1236" s="22">
        <v>0</v>
      </c>
      <c r="K1236" s="22">
        <v>0</v>
      </c>
      <c r="L1236" s="22">
        <v>0</v>
      </c>
      <c r="M1236" s="22">
        <v>0</v>
      </c>
      <c r="N1236" s="22">
        <v>0</v>
      </c>
      <c r="O1236" s="22">
        <v>0</v>
      </c>
      <c r="P1236" s="22">
        <v>0</v>
      </c>
      <c r="Q1236" s="22">
        <v>0</v>
      </c>
      <c r="R1236" s="22">
        <v>0</v>
      </c>
      <c r="S1236" s="22">
        <v>0</v>
      </c>
      <c r="T1236" s="22">
        <v>0</v>
      </c>
      <c r="U1236" s="22">
        <v>0</v>
      </c>
      <c r="V1236" s="22">
        <v>0</v>
      </c>
      <c r="W1236" s="22">
        <v>0</v>
      </c>
      <c r="X1236" s="22">
        <v>0</v>
      </c>
      <c r="Y1236" s="22">
        <v>0</v>
      </c>
      <c r="Z1236" s="4" t="s">
        <v>2308</v>
      </c>
      <c r="AA1236" s="4" t="s">
        <v>2308</v>
      </c>
      <c r="AB1236" s="4" t="s">
        <v>2308</v>
      </c>
      <c r="AC1236" s="5" t="s">
        <v>3810</v>
      </c>
      <c r="AD1236" s="4"/>
    </row>
    <row r="1237" spans="1:30" ht="110.5" customHeight="1">
      <c r="A1237" s="12" t="s">
        <v>3807</v>
      </c>
      <c r="B1237" s="12" t="s">
        <v>3811</v>
      </c>
      <c r="C1237" s="4" t="s">
        <v>24</v>
      </c>
      <c r="D1237" s="4" t="s">
        <v>25</v>
      </c>
      <c r="E1237" s="4" t="s">
        <v>5065</v>
      </c>
      <c r="F1237" s="5" t="s">
        <v>2695</v>
      </c>
      <c r="G1237" s="4" t="s">
        <v>2308</v>
      </c>
      <c r="H1237" s="4" t="s">
        <v>532</v>
      </c>
      <c r="I1237" s="4"/>
      <c r="J1237" s="22">
        <v>0</v>
      </c>
      <c r="K1237" s="22">
        <v>0</v>
      </c>
      <c r="L1237" s="22">
        <v>0</v>
      </c>
      <c r="M1237" s="22">
        <v>0</v>
      </c>
      <c r="N1237" s="22">
        <v>0</v>
      </c>
      <c r="O1237" s="22">
        <v>0</v>
      </c>
      <c r="P1237" s="22">
        <v>0</v>
      </c>
      <c r="Q1237" s="22">
        <v>0</v>
      </c>
      <c r="R1237" s="22">
        <v>0</v>
      </c>
      <c r="S1237" s="22">
        <v>0</v>
      </c>
      <c r="T1237" s="22">
        <v>0</v>
      </c>
      <c r="U1237" s="22">
        <v>0</v>
      </c>
      <c r="V1237" s="22">
        <v>0</v>
      </c>
      <c r="W1237" s="22">
        <v>0</v>
      </c>
      <c r="X1237" s="22">
        <v>0</v>
      </c>
      <c r="Y1237" s="22">
        <v>0</v>
      </c>
      <c r="Z1237" s="4" t="s">
        <v>2308</v>
      </c>
      <c r="AA1237" s="4" t="s">
        <v>2308</v>
      </c>
      <c r="AB1237" s="4" t="s">
        <v>2308</v>
      </c>
      <c r="AC1237" s="5" t="s">
        <v>3816</v>
      </c>
      <c r="AD1237" s="4"/>
    </row>
    <row r="1238" spans="1:30" ht="109.5" customHeight="1">
      <c r="A1238" s="12" t="s">
        <v>3807</v>
      </c>
      <c r="B1238" s="12" t="s">
        <v>3812</v>
      </c>
      <c r="C1238" s="4" t="s">
        <v>24</v>
      </c>
      <c r="D1238" s="4" t="s">
        <v>149</v>
      </c>
      <c r="E1238" s="4" t="s">
        <v>5065</v>
      </c>
      <c r="F1238" s="5" t="s">
        <v>74</v>
      </c>
      <c r="G1238" s="4" t="s">
        <v>2308</v>
      </c>
      <c r="H1238" s="4" t="s">
        <v>532</v>
      </c>
      <c r="I1238" s="4"/>
      <c r="J1238" s="22">
        <v>0</v>
      </c>
      <c r="K1238" s="22">
        <v>0</v>
      </c>
      <c r="L1238" s="22">
        <v>0</v>
      </c>
      <c r="M1238" s="22">
        <v>0</v>
      </c>
      <c r="N1238" s="22">
        <v>0</v>
      </c>
      <c r="O1238" s="22">
        <v>0</v>
      </c>
      <c r="P1238" s="22">
        <v>0</v>
      </c>
      <c r="Q1238" s="22">
        <v>0</v>
      </c>
      <c r="R1238" s="22">
        <v>0</v>
      </c>
      <c r="S1238" s="22">
        <v>0</v>
      </c>
      <c r="T1238" s="22">
        <v>0</v>
      </c>
      <c r="U1238" s="22">
        <v>0</v>
      </c>
      <c r="V1238" s="22">
        <v>0</v>
      </c>
      <c r="W1238" s="22">
        <v>0</v>
      </c>
      <c r="X1238" s="22">
        <v>0</v>
      </c>
      <c r="Y1238" s="22">
        <v>0</v>
      </c>
      <c r="Z1238" s="4" t="s">
        <v>2308</v>
      </c>
      <c r="AA1238" s="4" t="s">
        <v>2308</v>
      </c>
      <c r="AB1238" s="4" t="s">
        <v>2308</v>
      </c>
      <c r="AC1238" s="5" t="s">
        <v>3816</v>
      </c>
      <c r="AD1238" s="4"/>
    </row>
    <row r="1239" spans="1:30" ht="105.5" customHeight="1">
      <c r="A1239" s="12" t="s">
        <v>3807</v>
      </c>
      <c r="B1239" s="12" t="s">
        <v>3813</v>
      </c>
      <c r="C1239" s="4" t="s">
        <v>24</v>
      </c>
      <c r="D1239" s="4" t="s">
        <v>25</v>
      </c>
      <c r="E1239" s="4" t="s">
        <v>5065</v>
      </c>
      <c r="F1239" s="5" t="s">
        <v>29</v>
      </c>
      <c r="G1239" s="4" t="s">
        <v>2308</v>
      </c>
      <c r="H1239" s="4" t="s">
        <v>532</v>
      </c>
      <c r="I1239" s="4"/>
      <c r="J1239" s="22">
        <v>0</v>
      </c>
      <c r="K1239" s="22">
        <v>0</v>
      </c>
      <c r="L1239" s="22">
        <v>0</v>
      </c>
      <c r="M1239" s="22">
        <v>0</v>
      </c>
      <c r="N1239" s="22">
        <v>0</v>
      </c>
      <c r="O1239" s="22">
        <v>0</v>
      </c>
      <c r="P1239" s="22">
        <v>0</v>
      </c>
      <c r="Q1239" s="22">
        <v>0</v>
      </c>
      <c r="R1239" s="22">
        <v>0</v>
      </c>
      <c r="S1239" s="22">
        <v>0</v>
      </c>
      <c r="T1239" s="22">
        <v>0</v>
      </c>
      <c r="U1239" s="22">
        <v>0</v>
      </c>
      <c r="V1239" s="22">
        <v>0</v>
      </c>
      <c r="W1239" s="22">
        <v>0</v>
      </c>
      <c r="X1239" s="22">
        <v>0</v>
      </c>
      <c r="Y1239" s="22">
        <v>0</v>
      </c>
      <c r="Z1239" s="4" t="s">
        <v>2308</v>
      </c>
      <c r="AA1239" s="4" t="s">
        <v>2308</v>
      </c>
      <c r="AB1239" s="4" t="s">
        <v>2308</v>
      </c>
      <c r="AC1239" s="5" t="s">
        <v>3816</v>
      </c>
      <c r="AD1239" s="4"/>
    </row>
    <row r="1240" spans="1:30" ht="54.5" customHeight="1">
      <c r="A1240" s="12" t="s">
        <v>3807</v>
      </c>
      <c r="B1240" s="12" t="s">
        <v>3814</v>
      </c>
      <c r="C1240" s="4" t="s">
        <v>24</v>
      </c>
      <c r="D1240" s="4" t="s">
        <v>27</v>
      </c>
      <c r="E1240" s="4" t="s">
        <v>136</v>
      </c>
      <c r="F1240" s="5" t="s">
        <v>74</v>
      </c>
      <c r="G1240" s="4" t="s">
        <v>2308</v>
      </c>
      <c r="H1240" s="4" t="s">
        <v>531</v>
      </c>
      <c r="I1240" s="4"/>
      <c r="J1240" s="4" t="s">
        <v>2308</v>
      </c>
      <c r="K1240" s="4" t="s">
        <v>2308</v>
      </c>
      <c r="L1240" s="4" t="s">
        <v>2308</v>
      </c>
      <c r="M1240" s="4" t="s">
        <v>2308</v>
      </c>
      <c r="N1240" s="4" t="s">
        <v>2308</v>
      </c>
      <c r="O1240" s="4" t="s">
        <v>2308</v>
      </c>
      <c r="P1240" s="4" t="s">
        <v>2308</v>
      </c>
      <c r="Q1240" s="4" t="s">
        <v>2308</v>
      </c>
      <c r="R1240" s="4" t="s">
        <v>2308</v>
      </c>
      <c r="S1240" s="4" t="s">
        <v>2308</v>
      </c>
      <c r="T1240" s="4" t="s">
        <v>2308</v>
      </c>
      <c r="U1240" s="4" t="s">
        <v>2308</v>
      </c>
      <c r="V1240" s="4" t="s">
        <v>2308</v>
      </c>
      <c r="W1240" s="4" t="s">
        <v>2308</v>
      </c>
      <c r="X1240" s="4" t="s">
        <v>2308</v>
      </c>
      <c r="Y1240" s="4" t="s">
        <v>2308</v>
      </c>
      <c r="Z1240" s="4" t="s">
        <v>2308</v>
      </c>
      <c r="AA1240" s="4" t="s">
        <v>2308</v>
      </c>
      <c r="AB1240" s="4" t="s">
        <v>2308</v>
      </c>
      <c r="AC1240" s="4"/>
      <c r="AD1240" s="4"/>
    </row>
    <row r="1241" spans="1:30" ht="47" customHeight="1">
      <c r="A1241" s="12" t="s">
        <v>3807</v>
      </c>
      <c r="B1241" s="12" t="s">
        <v>3815</v>
      </c>
      <c r="C1241" s="4" t="s">
        <v>24</v>
      </c>
      <c r="D1241" s="4" t="s">
        <v>27</v>
      </c>
      <c r="E1241" s="4" t="s">
        <v>136</v>
      </c>
      <c r="F1241" s="5" t="s">
        <v>167</v>
      </c>
      <c r="G1241" s="4" t="s">
        <v>2308</v>
      </c>
      <c r="H1241" s="4" t="s">
        <v>531</v>
      </c>
      <c r="I1241" s="4"/>
      <c r="J1241" s="4" t="s">
        <v>2308</v>
      </c>
      <c r="K1241" s="4" t="s">
        <v>2308</v>
      </c>
      <c r="L1241" s="4" t="s">
        <v>2308</v>
      </c>
      <c r="M1241" s="4" t="s">
        <v>2308</v>
      </c>
      <c r="N1241" s="4" t="s">
        <v>2308</v>
      </c>
      <c r="O1241" s="4" t="s">
        <v>2308</v>
      </c>
      <c r="P1241" s="4" t="s">
        <v>2308</v>
      </c>
      <c r="Q1241" s="4" t="s">
        <v>2308</v>
      </c>
      <c r="R1241" s="4" t="s">
        <v>2308</v>
      </c>
      <c r="S1241" s="4" t="s">
        <v>2308</v>
      </c>
      <c r="T1241" s="4" t="s">
        <v>2308</v>
      </c>
      <c r="U1241" s="4" t="s">
        <v>2308</v>
      </c>
      <c r="V1241" s="4" t="s">
        <v>2308</v>
      </c>
      <c r="W1241" s="4" t="s">
        <v>2308</v>
      </c>
      <c r="X1241" s="4" t="s">
        <v>2308</v>
      </c>
      <c r="Y1241" s="4" t="s">
        <v>2308</v>
      </c>
      <c r="Z1241" s="4" t="s">
        <v>2308</v>
      </c>
      <c r="AA1241" s="4" t="s">
        <v>2308</v>
      </c>
      <c r="AB1241" s="4" t="s">
        <v>2308</v>
      </c>
      <c r="AC1241" s="4"/>
      <c r="AD1241" s="4"/>
    </row>
    <row r="1242" spans="1:30" ht="51" customHeight="1">
      <c r="A1242" s="12" t="s">
        <v>3818</v>
      </c>
      <c r="B1242" s="12" t="s">
        <v>3823</v>
      </c>
      <c r="C1242" s="4" t="s">
        <v>24</v>
      </c>
      <c r="D1242" s="4" t="s">
        <v>25</v>
      </c>
      <c r="E1242" s="4" t="s">
        <v>45</v>
      </c>
      <c r="F1242" s="5" t="s">
        <v>29</v>
      </c>
      <c r="G1242" s="4" t="s">
        <v>2308</v>
      </c>
      <c r="H1242" s="4" t="s">
        <v>531</v>
      </c>
      <c r="I1242" s="4"/>
      <c r="J1242" s="4" t="s">
        <v>2308</v>
      </c>
      <c r="K1242" s="4" t="s">
        <v>2308</v>
      </c>
      <c r="L1242" s="4" t="s">
        <v>2308</v>
      </c>
      <c r="M1242" s="4" t="s">
        <v>2308</v>
      </c>
      <c r="N1242" s="4" t="s">
        <v>2308</v>
      </c>
      <c r="O1242" s="4" t="s">
        <v>2308</v>
      </c>
      <c r="P1242" s="4" t="s">
        <v>2308</v>
      </c>
      <c r="Q1242" s="4" t="s">
        <v>2308</v>
      </c>
      <c r="R1242" s="4" t="s">
        <v>2308</v>
      </c>
      <c r="S1242" s="4" t="s">
        <v>2308</v>
      </c>
      <c r="T1242" s="4" t="s">
        <v>2308</v>
      </c>
      <c r="U1242" s="4" t="s">
        <v>2308</v>
      </c>
      <c r="V1242" s="4" t="s">
        <v>2308</v>
      </c>
      <c r="W1242" s="4" t="s">
        <v>2308</v>
      </c>
      <c r="X1242" s="4" t="s">
        <v>2308</v>
      </c>
      <c r="Y1242" s="4" t="s">
        <v>2308</v>
      </c>
      <c r="Z1242" s="4" t="s">
        <v>2308</v>
      </c>
      <c r="AA1242" s="4" t="s">
        <v>2308</v>
      </c>
      <c r="AB1242" s="4" t="s">
        <v>2308</v>
      </c>
      <c r="AC1242" s="5"/>
      <c r="AD1242" s="5" t="s">
        <v>3826</v>
      </c>
    </row>
    <row r="1243" spans="1:30" ht="42" customHeight="1">
      <c r="A1243" s="12" t="s">
        <v>3818</v>
      </c>
      <c r="B1243" s="12" t="s">
        <v>3824</v>
      </c>
      <c r="C1243" s="4" t="s">
        <v>24</v>
      </c>
      <c r="D1243" s="4" t="s">
        <v>1267</v>
      </c>
      <c r="E1243" s="4" t="s">
        <v>116</v>
      </c>
      <c r="F1243" s="5" t="s">
        <v>55</v>
      </c>
      <c r="G1243" s="4" t="s">
        <v>2308</v>
      </c>
      <c r="H1243" s="4" t="s">
        <v>531</v>
      </c>
      <c r="I1243" s="4"/>
      <c r="J1243" s="4" t="s">
        <v>2308</v>
      </c>
      <c r="K1243" s="4" t="s">
        <v>2308</v>
      </c>
      <c r="L1243" s="4" t="s">
        <v>2308</v>
      </c>
      <c r="M1243" s="4" t="s">
        <v>2308</v>
      </c>
      <c r="N1243" s="4" t="s">
        <v>2308</v>
      </c>
      <c r="O1243" s="4" t="s">
        <v>2308</v>
      </c>
      <c r="P1243" s="4" t="s">
        <v>2308</v>
      </c>
      <c r="Q1243" s="4" t="s">
        <v>2308</v>
      </c>
      <c r="R1243" s="4" t="s">
        <v>2308</v>
      </c>
      <c r="S1243" s="4" t="s">
        <v>2308</v>
      </c>
      <c r="T1243" s="4" t="s">
        <v>2308</v>
      </c>
      <c r="U1243" s="4" t="s">
        <v>2308</v>
      </c>
      <c r="V1243" s="4" t="s">
        <v>2308</v>
      </c>
      <c r="W1243" s="4" t="s">
        <v>2308</v>
      </c>
      <c r="X1243" s="4" t="s">
        <v>2308</v>
      </c>
      <c r="Y1243" s="4" t="s">
        <v>2308</v>
      </c>
      <c r="Z1243" s="4" t="s">
        <v>2308</v>
      </c>
      <c r="AA1243" s="4" t="s">
        <v>2308</v>
      </c>
      <c r="AB1243" s="4" t="s">
        <v>2308</v>
      </c>
      <c r="AC1243" s="5" t="s">
        <v>3827</v>
      </c>
      <c r="AD1243" s="4"/>
    </row>
    <row r="1244" spans="1:30" ht="55.5" customHeight="1">
      <c r="A1244" s="12" t="s">
        <v>3818</v>
      </c>
      <c r="B1244" s="12" t="s">
        <v>3825</v>
      </c>
      <c r="C1244" s="4" t="s">
        <v>24</v>
      </c>
      <c r="D1244" s="4" t="s">
        <v>150</v>
      </c>
      <c r="E1244" s="4" t="s">
        <v>143</v>
      </c>
      <c r="F1244" s="5" t="s">
        <v>55</v>
      </c>
      <c r="G1244" s="4" t="s">
        <v>2308</v>
      </c>
      <c r="H1244" s="4" t="s">
        <v>531</v>
      </c>
      <c r="I1244" s="4"/>
      <c r="J1244" s="4" t="s">
        <v>2308</v>
      </c>
      <c r="K1244" s="4" t="s">
        <v>2308</v>
      </c>
      <c r="L1244" s="4" t="s">
        <v>2308</v>
      </c>
      <c r="M1244" s="4" t="s">
        <v>2308</v>
      </c>
      <c r="N1244" s="4" t="s">
        <v>2308</v>
      </c>
      <c r="O1244" s="4" t="s">
        <v>2308</v>
      </c>
      <c r="P1244" s="4" t="s">
        <v>2308</v>
      </c>
      <c r="Q1244" s="4" t="s">
        <v>2308</v>
      </c>
      <c r="R1244" s="4" t="s">
        <v>2308</v>
      </c>
      <c r="S1244" s="4" t="s">
        <v>2308</v>
      </c>
      <c r="T1244" s="4" t="s">
        <v>2308</v>
      </c>
      <c r="U1244" s="4" t="s">
        <v>2308</v>
      </c>
      <c r="V1244" s="4" t="s">
        <v>2308</v>
      </c>
      <c r="W1244" s="4" t="s">
        <v>2308</v>
      </c>
      <c r="X1244" s="4" t="s">
        <v>2308</v>
      </c>
      <c r="Y1244" s="4" t="s">
        <v>2308</v>
      </c>
      <c r="Z1244" s="4" t="s">
        <v>2308</v>
      </c>
      <c r="AA1244" s="4" t="s">
        <v>2308</v>
      </c>
      <c r="AB1244" s="4" t="s">
        <v>2308</v>
      </c>
      <c r="AC1244" s="5" t="s">
        <v>3828</v>
      </c>
      <c r="AD1244" s="4"/>
    </row>
    <row r="1245" spans="1:30" ht="40.5" customHeight="1">
      <c r="A1245" s="12" t="s">
        <v>3832</v>
      </c>
      <c r="B1245" s="12" t="s">
        <v>3835</v>
      </c>
      <c r="C1245" s="4" t="s">
        <v>24</v>
      </c>
      <c r="D1245" s="4" t="s">
        <v>25</v>
      </c>
      <c r="E1245" s="4" t="s">
        <v>45</v>
      </c>
      <c r="F1245" s="5" t="s">
        <v>29</v>
      </c>
      <c r="G1245" s="4" t="s">
        <v>2308</v>
      </c>
      <c r="H1245" s="4" t="s">
        <v>531</v>
      </c>
      <c r="I1245" s="4"/>
      <c r="J1245" s="4" t="s">
        <v>2308</v>
      </c>
      <c r="K1245" s="4" t="s">
        <v>2308</v>
      </c>
      <c r="L1245" s="4" t="s">
        <v>2308</v>
      </c>
      <c r="M1245" s="4" t="s">
        <v>2308</v>
      </c>
      <c r="N1245" s="4" t="s">
        <v>2308</v>
      </c>
      <c r="O1245" s="4" t="s">
        <v>2308</v>
      </c>
      <c r="P1245" s="4" t="s">
        <v>2308</v>
      </c>
      <c r="Q1245" s="4" t="s">
        <v>2308</v>
      </c>
      <c r="R1245" s="4" t="s">
        <v>2308</v>
      </c>
      <c r="S1245" s="4" t="s">
        <v>2308</v>
      </c>
      <c r="T1245" s="4" t="s">
        <v>2308</v>
      </c>
      <c r="U1245" s="4" t="s">
        <v>2308</v>
      </c>
      <c r="V1245" s="4" t="s">
        <v>2308</v>
      </c>
      <c r="W1245" s="4" t="s">
        <v>2308</v>
      </c>
      <c r="X1245" s="4" t="s">
        <v>2308</v>
      </c>
      <c r="Y1245" s="4" t="s">
        <v>2308</v>
      </c>
      <c r="Z1245" s="4" t="s">
        <v>406</v>
      </c>
      <c r="AA1245" s="4" t="s">
        <v>133</v>
      </c>
      <c r="AB1245" s="4" t="s">
        <v>2344</v>
      </c>
      <c r="AC1245" s="5" t="s">
        <v>3836</v>
      </c>
      <c r="AD1245" s="4"/>
    </row>
    <row r="1246" spans="1:30" ht="40" customHeight="1">
      <c r="A1246" s="12" t="s">
        <v>3832</v>
      </c>
      <c r="B1246" s="12" t="s">
        <v>3837</v>
      </c>
      <c r="C1246" s="4" t="s">
        <v>24</v>
      </c>
      <c r="D1246" s="4" t="s">
        <v>27</v>
      </c>
      <c r="E1246" s="4" t="s">
        <v>136</v>
      </c>
      <c r="F1246" s="5" t="s">
        <v>2308</v>
      </c>
      <c r="G1246" s="4" t="s">
        <v>2308</v>
      </c>
      <c r="H1246" s="4" t="s">
        <v>531</v>
      </c>
      <c r="I1246" s="4"/>
      <c r="J1246" s="4" t="s">
        <v>2308</v>
      </c>
      <c r="K1246" s="4" t="s">
        <v>2308</v>
      </c>
      <c r="L1246" s="4" t="s">
        <v>2308</v>
      </c>
      <c r="M1246" s="4" t="s">
        <v>2308</v>
      </c>
      <c r="N1246" s="4" t="s">
        <v>2308</v>
      </c>
      <c r="O1246" s="4" t="s">
        <v>2308</v>
      </c>
      <c r="P1246" s="4" t="s">
        <v>2308</v>
      </c>
      <c r="Q1246" s="4" t="s">
        <v>2308</v>
      </c>
      <c r="R1246" s="4" t="s">
        <v>2308</v>
      </c>
      <c r="S1246" s="4" t="s">
        <v>2308</v>
      </c>
      <c r="T1246" s="4" t="s">
        <v>2308</v>
      </c>
      <c r="U1246" s="4" t="s">
        <v>2308</v>
      </c>
      <c r="V1246" s="4" t="s">
        <v>2308</v>
      </c>
      <c r="W1246" s="4" t="s">
        <v>2308</v>
      </c>
      <c r="X1246" s="4" t="s">
        <v>2308</v>
      </c>
      <c r="Y1246" s="4" t="s">
        <v>2308</v>
      </c>
      <c r="Z1246" s="4" t="s">
        <v>2308</v>
      </c>
      <c r="AA1246" s="4" t="s">
        <v>2308</v>
      </c>
      <c r="AB1246" s="4" t="s">
        <v>2308</v>
      </c>
      <c r="AC1246" s="5"/>
      <c r="AD1246" s="4"/>
    </row>
    <row r="1247" spans="1:30" ht="40" customHeight="1">
      <c r="A1247" s="12" t="s">
        <v>3832</v>
      </c>
      <c r="B1247" s="12" t="s">
        <v>3838</v>
      </c>
      <c r="C1247" s="4" t="s">
        <v>24</v>
      </c>
      <c r="D1247" s="4" t="s">
        <v>1264</v>
      </c>
      <c r="E1247" s="4" t="s">
        <v>1125</v>
      </c>
      <c r="F1247" s="5" t="s">
        <v>55</v>
      </c>
      <c r="G1247" s="4" t="s">
        <v>2308</v>
      </c>
      <c r="H1247" s="4" t="s">
        <v>531</v>
      </c>
      <c r="I1247" s="4"/>
      <c r="J1247" s="4" t="s">
        <v>2308</v>
      </c>
      <c r="K1247" s="4" t="s">
        <v>2308</v>
      </c>
      <c r="L1247" s="4" t="s">
        <v>2308</v>
      </c>
      <c r="M1247" s="4" t="s">
        <v>2308</v>
      </c>
      <c r="N1247" s="4" t="s">
        <v>2308</v>
      </c>
      <c r="O1247" s="4" t="s">
        <v>2308</v>
      </c>
      <c r="P1247" s="4" t="s">
        <v>2308</v>
      </c>
      <c r="Q1247" s="4" t="s">
        <v>2308</v>
      </c>
      <c r="R1247" s="4" t="s">
        <v>2308</v>
      </c>
      <c r="S1247" s="4" t="s">
        <v>2308</v>
      </c>
      <c r="T1247" s="4" t="s">
        <v>2308</v>
      </c>
      <c r="U1247" s="4" t="s">
        <v>2308</v>
      </c>
      <c r="V1247" s="4" t="s">
        <v>2308</v>
      </c>
      <c r="W1247" s="4" t="s">
        <v>2308</v>
      </c>
      <c r="X1247" s="4" t="s">
        <v>2308</v>
      </c>
      <c r="Y1247" s="4" t="s">
        <v>2308</v>
      </c>
      <c r="Z1247" s="4" t="s">
        <v>2308</v>
      </c>
      <c r="AA1247" s="4" t="s">
        <v>2308</v>
      </c>
      <c r="AB1247" s="4" t="s">
        <v>2308</v>
      </c>
      <c r="AC1247" s="5"/>
      <c r="AD1247" s="4"/>
    </row>
    <row r="1248" spans="1:30" ht="43" customHeight="1">
      <c r="A1248" s="12" t="s">
        <v>3832</v>
      </c>
      <c r="B1248" s="12" t="s">
        <v>3839</v>
      </c>
      <c r="C1248" s="4" t="s">
        <v>24</v>
      </c>
      <c r="D1248" s="4" t="s">
        <v>26</v>
      </c>
      <c r="E1248" s="4" t="s">
        <v>45</v>
      </c>
      <c r="F1248" s="5" t="s">
        <v>29</v>
      </c>
      <c r="G1248" s="4" t="s">
        <v>2308</v>
      </c>
      <c r="H1248" s="4" t="s">
        <v>531</v>
      </c>
      <c r="I1248" s="4"/>
      <c r="J1248" s="4" t="s">
        <v>2308</v>
      </c>
      <c r="K1248" s="4" t="s">
        <v>2308</v>
      </c>
      <c r="L1248" s="4" t="s">
        <v>2308</v>
      </c>
      <c r="M1248" s="4" t="s">
        <v>2308</v>
      </c>
      <c r="N1248" s="4" t="s">
        <v>2308</v>
      </c>
      <c r="O1248" s="4" t="s">
        <v>2308</v>
      </c>
      <c r="P1248" s="4" t="s">
        <v>2308</v>
      </c>
      <c r="Q1248" s="4" t="s">
        <v>2308</v>
      </c>
      <c r="R1248" s="4" t="s">
        <v>2308</v>
      </c>
      <c r="S1248" s="4" t="s">
        <v>2308</v>
      </c>
      <c r="T1248" s="4" t="s">
        <v>2308</v>
      </c>
      <c r="U1248" s="4" t="s">
        <v>2308</v>
      </c>
      <c r="V1248" s="4" t="s">
        <v>2308</v>
      </c>
      <c r="W1248" s="4" t="s">
        <v>2308</v>
      </c>
      <c r="X1248" s="4" t="s">
        <v>2308</v>
      </c>
      <c r="Y1248" s="4" t="s">
        <v>2308</v>
      </c>
      <c r="Z1248" s="4" t="s">
        <v>34</v>
      </c>
      <c r="AA1248" s="4" t="s">
        <v>412</v>
      </c>
      <c r="AB1248" s="4" t="s">
        <v>64</v>
      </c>
      <c r="AC1248" s="5" t="s">
        <v>3840</v>
      </c>
      <c r="AD1248" s="4"/>
    </row>
    <row r="1249" spans="1:30" ht="38" customHeight="1">
      <c r="A1249" s="12" t="s">
        <v>3832</v>
      </c>
      <c r="B1249" s="12" t="s">
        <v>3842</v>
      </c>
      <c r="C1249" s="4" t="s">
        <v>24</v>
      </c>
      <c r="D1249" s="4" t="s">
        <v>1267</v>
      </c>
      <c r="E1249" s="4" t="s">
        <v>116</v>
      </c>
      <c r="F1249" s="5" t="s">
        <v>55</v>
      </c>
      <c r="G1249" s="4" t="s">
        <v>2308</v>
      </c>
      <c r="H1249" s="4" t="s">
        <v>531</v>
      </c>
      <c r="I1249" s="4"/>
      <c r="J1249" s="4" t="s">
        <v>2308</v>
      </c>
      <c r="K1249" s="4" t="s">
        <v>2308</v>
      </c>
      <c r="L1249" s="4" t="s">
        <v>2308</v>
      </c>
      <c r="M1249" s="4" t="s">
        <v>2308</v>
      </c>
      <c r="N1249" s="4" t="s">
        <v>2308</v>
      </c>
      <c r="O1249" s="4" t="s">
        <v>2308</v>
      </c>
      <c r="P1249" s="4" t="s">
        <v>2308</v>
      </c>
      <c r="Q1249" s="4" t="s">
        <v>2308</v>
      </c>
      <c r="R1249" s="4" t="s">
        <v>2308</v>
      </c>
      <c r="S1249" s="4" t="s">
        <v>2308</v>
      </c>
      <c r="T1249" s="4" t="s">
        <v>2308</v>
      </c>
      <c r="U1249" s="4" t="s">
        <v>2308</v>
      </c>
      <c r="V1249" s="4" t="s">
        <v>2308</v>
      </c>
      <c r="W1249" s="4" t="s">
        <v>2308</v>
      </c>
      <c r="X1249" s="4" t="s">
        <v>2308</v>
      </c>
      <c r="Y1249" s="4" t="s">
        <v>2308</v>
      </c>
      <c r="Z1249" s="4" t="s">
        <v>2308</v>
      </c>
      <c r="AA1249" s="4" t="s">
        <v>2308</v>
      </c>
      <c r="AB1249" s="4" t="s">
        <v>2308</v>
      </c>
      <c r="AC1249" s="5" t="s">
        <v>3827</v>
      </c>
      <c r="AD1249" s="4"/>
    </row>
    <row r="1250" spans="1:30" ht="54.5" customHeight="1">
      <c r="A1250" s="12" t="s">
        <v>3832</v>
      </c>
      <c r="B1250" s="12" t="s">
        <v>3843</v>
      </c>
      <c r="C1250" s="4" t="s">
        <v>24</v>
      </c>
      <c r="D1250" s="4" t="s">
        <v>150</v>
      </c>
      <c r="E1250" s="4" t="s">
        <v>143</v>
      </c>
      <c r="F1250" s="5" t="s">
        <v>55</v>
      </c>
      <c r="G1250" s="4" t="s">
        <v>2308</v>
      </c>
      <c r="H1250" s="4" t="s">
        <v>531</v>
      </c>
      <c r="I1250" s="4"/>
      <c r="J1250" s="4" t="s">
        <v>2308</v>
      </c>
      <c r="K1250" s="4" t="s">
        <v>2308</v>
      </c>
      <c r="L1250" s="4" t="s">
        <v>2308</v>
      </c>
      <c r="M1250" s="4" t="s">
        <v>2308</v>
      </c>
      <c r="N1250" s="4" t="s">
        <v>2308</v>
      </c>
      <c r="O1250" s="4" t="s">
        <v>2308</v>
      </c>
      <c r="P1250" s="4" t="s">
        <v>2308</v>
      </c>
      <c r="Q1250" s="4" t="s">
        <v>2308</v>
      </c>
      <c r="R1250" s="4" t="s">
        <v>2308</v>
      </c>
      <c r="S1250" s="4" t="s">
        <v>2308</v>
      </c>
      <c r="T1250" s="4" t="s">
        <v>2308</v>
      </c>
      <c r="U1250" s="4" t="s">
        <v>2308</v>
      </c>
      <c r="V1250" s="4" t="s">
        <v>2308</v>
      </c>
      <c r="W1250" s="4" t="s">
        <v>2308</v>
      </c>
      <c r="X1250" s="4" t="s">
        <v>2308</v>
      </c>
      <c r="Y1250" s="4" t="s">
        <v>2308</v>
      </c>
      <c r="Z1250" s="4" t="s">
        <v>2308</v>
      </c>
      <c r="AA1250" s="4" t="s">
        <v>2308</v>
      </c>
      <c r="AB1250" s="4" t="s">
        <v>2308</v>
      </c>
      <c r="AC1250" s="5" t="s">
        <v>3828</v>
      </c>
      <c r="AD1250" s="4"/>
    </row>
    <row r="1251" spans="1:30" ht="73" customHeight="1">
      <c r="A1251" s="12" t="s">
        <v>3846</v>
      </c>
      <c r="B1251" s="12" t="s">
        <v>3850</v>
      </c>
      <c r="C1251" s="4" t="s">
        <v>24</v>
      </c>
      <c r="D1251" s="4" t="s">
        <v>1264</v>
      </c>
      <c r="E1251" s="4" t="s">
        <v>1125</v>
      </c>
      <c r="F1251" s="5" t="s">
        <v>2695</v>
      </c>
      <c r="G1251" s="4" t="s">
        <v>2308</v>
      </c>
      <c r="H1251" s="4" t="s">
        <v>531</v>
      </c>
      <c r="I1251" s="4"/>
      <c r="J1251" s="4" t="s">
        <v>2308</v>
      </c>
      <c r="K1251" s="4" t="s">
        <v>2308</v>
      </c>
      <c r="L1251" s="4" t="s">
        <v>2308</v>
      </c>
      <c r="M1251" s="4" t="s">
        <v>2308</v>
      </c>
      <c r="N1251" s="4" t="s">
        <v>2308</v>
      </c>
      <c r="O1251" s="4" t="s">
        <v>2308</v>
      </c>
      <c r="P1251" s="4" t="s">
        <v>2308</v>
      </c>
      <c r="Q1251" s="4" t="s">
        <v>2308</v>
      </c>
      <c r="R1251" s="4" t="s">
        <v>2308</v>
      </c>
      <c r="S1251" s="4" t="s">
        <v>2308</v>
      </c>
      <c r="T1251" s="4" t="s">
        <v>2308</v>
      </c>
      <c r="U1251" s="4" t="s">
        <v>2308</v>
      </c>
      <c r="V1251" s="4" t="s">
        <v>2308</v>
      </c>
      <c r="W1251" s="4" t="s">
        <v>2308</v>
      </c>
      <c r="X1251" s="4" t="s">
        <v>2308</v>
      </c>
      <c r="Y1251" s="4" t="s">
        <v>2308</v>
      </c>
      <c r="Z1251" s="4" t="s">
        <v>68</v>
      </c>
      <c r="AA1251" s="4" t="s">
        <v>35</v>
      </c>
      <c r="AB1251" s="4" t="s">
        <v>64</v>
      </c>
      <c r="AC1251" s="5" t="s">
        <v>3863</v>
      </c>
      <c r="AD1251" s="4"/>
    </row>
    <row r="1252" spans="1:30" ht="67.5" customHeight="1">
      <c r="A1252" s="12" t="s">
        <v>3846</v>
      </c>
      <c r="B1252" s="12" t="s">
        <v>3851</v>
      </c>
      <c r="C1252" s="4" t="s">
        <v>24</v>
      </c>
      <c r="D1252" s="4" t="s">
        <v>27</v>
      </c>
      <c r="E1252" s="4" t="s">
        <v>136</v>
      </c>
      <c r="F1252" s="5" t="s">
        <v>167</v>
      </c>
      <c r="G1252" s="4" t="s">
        <v>2308</v>
      </c>
      <c r="H1252" s="4" t="s">
        <v>531</v>
      </c>
      <c r="I1252" s="4"/>
      <c r="J1252" s="4" t="s">
        <v>2308</v>
      </c>
      <c r="K1252" s="4" t="s">
        <v>2308</v>
      </c>
      <c r="L1252" s="4" t="s">
        <v>2308</v>
      </c>
      <c r="M1252" s="4" t="s">
        <v>2308</v>
      </c>
      <c r="N1252" s="4" t="s">
        <v>2308</v>
      </c>
      <c r="O1252" s="4" t="s">
        <v>2308</v>
      </c>
      <c r="P1252" s="4" t="s">
        <v>2308</v>
      </c>
      <c r="Q1252" s="4" t="s">
        <v>2308</v>
      </c>
      <c r="R1252" s="4" t="s">
        <v>2308</v>
      </c>
      <c r="S1252" s="4" t="s">
        <v>2308</v>
      </c>
      <c r="T1252" s="4" t="s">
        <v>2308</v>
      </c>
      <c r="U1252" s="4" t="s">
        <v>2308</v>
      </c>
      <c r="V1252" s="4" t="s">
        <v>2308</v>
      </c>
      <c r="W1252" s="4" t="s">
        <v>2308</v>
      </c>
      <c r="X1252" s="4" t="s">
        <v>2308</v>
      </c>
      <c r="Y1252" s="4" t="s">
        <v>2308</v>
      </c>
      <c r="Z1252" s="4" t="s">
        <v>133</v>
      </c>
      <c r="AA1252" s="4" t="s">
        <v>406</v>
      </c>
      <c r="AB1252" s="4" t="s">
        <v>64</v>
      </c>
      <c r="AC1252" s="5" t="s">
        <v>3857</v>
      </c>
      <c r="AD1252" s="5"/>
    </row>
    <row r="1253" spans="1:30" ht="62" customHeight="1">
      <c r="A1253" s="20" t="s">
        <v>3846</v>
      </c>
      <c r="B1253" s="12" t="s">
        <v>3853</v>
      </c>
      <c r="C1253" s="5" t="s">
        <v>24</v>
      </c>
      <c r="D1253" s="5" t="s">
        <v>27</v>
      </c>
      <c r="E1253" s="5" t="s">
        <v>136</v>
      </c>
      <c r="F1253" s="5" t="s">
        <v>28</v>
      </c>
      <c r="G1253" s="4" t="s">
        <v>2308</v>
      </c>
      <c r="H1253" s="4" t="s">
        <v>531</v>
      </c>
      <c r="I1253" s="4"/>
      <c r="J1253" s="4" t="s">
        <v>2308</v>
      </c>
      <c r="K1253" s="4" t="s">
        <v>2308</v>
      </c>
      <c r="L1253" s="4" t="s">
        <v>2308</v>
      </c>
      <c r="M1253" s="4" t="s">
        <v>2308</v>
      </c>
      <c r="N1253" s="4" t="s">
        <v>2308</v>
      </c>
      <c r="O1253" s="4" t="s">
        <v>2308</v>
      </c>
      <c r="P1253" s="4" t="s">
        <v>2308</v>
      </c>
      <c r="Q1253" s="4" t="s">
        <v>2308</v>
      </c>
      <c r="R1253" s="4" t="s">
        <v>2308</v>
      </c>
      <c r="S1253" s="4" t="s">
        <v>2308</v>
      </c>
      <c r="T1253" s="4" t="s">
        <v>2308</v>
      </c>
      <c r="U1253" s="4" t="s">
        <v>2308</v>
      </c>
      <c r="V1253" s="4" t="s">
        <v>2308</v>
      </c>
      <c r="W1253" s="4" t="s">
        <v>2308</v>
      </c>
      <c r="X1253" s="4" t="s">
        <v>2308</v>
      </c>
      <c r="Y1253" s="4" t="s">
        <v>2308</v>
      </c>
      <c r="Z1253" s="4" t="s">
        <v>38</v>
      </c>
      <c r="AA1253" s="4" t="s">
        <v>86</v>
      </c>
      <c r="AB1253" s="4" t="s">
        <v>64</v>
      </c>
      <c r="AC1253" s="5" t="s">
        <v>3862</v>
      </c>
      <c r="AD1253" s="4"/>
    </row>
    <row r="1254" spans="1:30" ht="46.5" customHeight="1">
      <c r="A1254" s="20" t="s">
        <v>3846</v>
      </c>
      <c r="B1254" s="12" t="s">
        <v>3854</v>
      </c>
      <c r="C1254" s="5" t="s">
        <v>24</v>
      </c>
      <c r="D1254" s="5" t="s">
        <v>25</v>
      </c>
      <c r="E1254" s="5" t="s">
        <v>45</v>
      </c>
      <c r="F1254" s="5" t="s">
        <v>2695</v>
      </c>
      <c r="G1254" s="4" t="s">
        <v>2308</v>
      </c>
      <c r="H1254" s="4" t="s">
        <v>531</v>
      </c>
      <c r="I1254" s="4"/>
      <c r="J1254" s="4" t="s">
        <v>2308</v>
      </c>
      <c r="K1254" s="4" t="s">
        <v>2308</v>
      </c>
      <c r="L1254" s="4" t="s">
        <v>2308</v>
      </c>
      <c r="M1254" s="4" t="s">
        <v>2308</v>
      </c>
      <c r="N1254" s="4" t="s">
        <v>2308</v>
      </c>
      <c r="O1254" s="4" t="s">
        <v>2308</v>
      </c>
      <c r="P1254" s="4" t="s">
        <v>2308</v>
      </c>
      <c r="Q1254" s="4" t="s">
        <v>2308</v>
      </c>
      <c r="R1254" s="4" t="s">
        <v>2308</v>
      </c>
      <c r="S1254" s="4" t="s">
        <v>2308</v>
      </c>
      <c r="T1254" s="4" t="s">
        <v>2308</v>
      </c>
      <c r="U1254" s="4" t="s">
        <v>2308</v>
      </c>
      <c r="V1254" s="4" t="s">
        <v>2308</v>
      </c>
      <c r="W1254" s="4" t="s">
        <v>2308</v>
      </c>
      <c r="X1254" s="4" t="s">
        <v>2308</v>
      </c>
      <c r="Y1254" s="4" t="s">
        <v>2308</v>
      </c>
      <c r="Z1254" s="4" t="s">
        <v>2308</v>
      </c>
      <c r="AA1254" s="4" t="s">
        <v>2308</v>
      </c>
      <c r="AB1254" s="4" t="s">
        <v>2308</v>
      </c>
      <c r="AC1254" s="4"/>
      <c r="AD1254" s="4"/>
    </row>
    <row r="1255" spans="1:30" ht="47.5" customHeight="1">
      <c r="A1255" s="20" t="s">
        <v>3846</v>
      </c>
      <c r="B1255" s="12" t="s">
        <v>3855</v>
      </c>
      <c r="C1255" s="5" t="s">
        <v>24</v>
      </c>
      <c r="D1255" s="5" t="s">
        <v>1267</v>
      </c>
      <c r="E1255" s="5" t="s">
        <v>116</v>
      </c>
      <c r="F1255" s="5" t="s">
        <v>2695</v>
      </c>
      <c r="G1255" s="4" t="s">
        <v>2308</v>
      </c>
      <c r="H1255" s="4" t="s">
        <v>531</v>
      </c>
      <c r="I1255" s="4"/>
      <c r="J1255" s="4" t="s">
        <v>2308</v>
      </c>
      <c r="K1255" s="4" t="s">
        <v>2308</v>
      </c>
      <c r="L1255" s="4" t="s">
        <v>2308</v>
      </c>
      <c r="M1255" s="4" t="s">
        <v>2308</v>
      </c>
      <c r="N1255" s="4" t="s">
        <v>2308</v>
      </c>
      <c r="O1255" s="4" t="s">
        <v>2308</v>
      </c>
      <c r="P1255" s="4" t="s">
        <v>2308</v>
      </c>
      <c r="Q1255" s="4" t="s">
        <v>2308</v>
      </c>
      <c r="R1255" s="4" t="s">
        <v>2308</v>
      </c>
      <c r="S1255" s="4" t="s">
        <v>2308</v>
      </c>
      <c r="T1255" s="4" t="s">
        <v>2308</v>
      </c>
      <c r="U1255" s="4" t="s">
        <v>2308</v>
      </c>
      <c r="V1255" s="4" t="s">
        <v>2308</v>
      </c>
      <c r="W1255" s="4" t="s">
        <v>2308</v>
      </c>
      <c r="X1255" s="4" t="s">
        <v>2308</v>
      </c>
      <c r="Y1255" s="4" t="s">
        <v>2308</v>
      </c>
      <c r="Z1255" s="4" t="s">
        <v>2308</v>
      </c>
      <c r="AA1255" s="4" t="s">
        <v>2308</v>
      </c>
      <c r="AB1255" s="4" t="s">
        <v>2308</v>
      </c>
      <c r="AC1255" s="4"/>
      <c r="AD1255" s="4"/>
    </row>
    <row r="1256" spans="1:30" ht="41.5" customHeight="1">
      <c r="A1256" s="20" t="s">
        <v>3846</v>
      </c>
      <c r="B1256" s="12" t="s">
        <v>3858</v>
      </c>
      <c r="C1256" s="4" t="s">
        <v>2691</v>
      </c>
      <c r="D1256" s="4" t="s">
        <v>2308</v>
      </c>
      <c r="E1256" s="4" t="s">
        <v>2308</v>
      </c>
      <c r="F1256" s="5" t="s">
        <v>74</v>
      </c>
      <c r="G1256" s="4" t="s">
        <v>74</v>
      </c>
      <c r="H1256" s="4" t="s">
        <v>531</v>
      </c>
      <c r="I1256" s="4"/>
      <c r="J1256" s="4" t="s">
        <v>2308</v>
      </c>
      <c r="K1256" s="4" t="s">
        <v>2308</v>
      </c>
      <c r="L1256" s="4" t="s">
        <v>2308</v>
      </c>
      <c r="M1256" s="4" t="s">
        <v>2308</v>
      </c>
      <c r="N1256" s="4" t="s">
        <v>2308</v>
      </c>
      <c r="O1256" s="4" t="s">
        <v>2308</v>
      </c>
      <c r="P1256" s="4" t="s">
        <v>2308</v>
      </c>
      <c r="Q1256" s="4" t="s">
        <v>2308</v>
      </c>
      <c r="R1256" s="4" t="s">
        <v>2308</v>
      </c>
      <c r="S1256" s="4" t="s">
        <v>2308</v>
      </c>
      <c r="T1256" s="4" t="s">
        <v>2308</v>
      </c>
      <c r="U1256" s="4" t="s">
        <v>2308</v>
      </c>
      <c r="V1256" s="4" t="s">
        <v>2308</v>
      </c>
      <c r="W1256" s="4" t="s">
        <v>2308</v>
      </c>
      <c r="X1256" s="4" t="s">
        <v>2308</v>
      </c>
      <c r="Y1256" s="4" t="s">
        <v>2308</v>
      </c>
      <c r="Z1256" s="4" t="s">
        <v>68</v>
      </c>
      <c r="AA1256" s="4" t="s">
        <v>38</v>
      </c>
      <c r="AB1256" s="4" t="s">
        <v>76</v>
      </c>
      <c r="AC1256" s="4"/>
      <c r="AD1256" s="5" t="s">
        <v>3856</v>
      </c>
    </row>
    <row r="1257" spans="1:30" ht="37" customHeight="1">
      <c r="A1257" s="20" t="s">
        <v>3865</v>
      </c>
      <c r="B1257" s="12" t="s">
        <v>3867</v>
      </c>
      <c r="C1257" s="4" t="s">
        <v>24</v>
      </c>
      <c r="D1257" s="4" t="s">
        <v>1264</v>
      </c>
      <c r="E1257" s="4" t="s">
        <v>1125</v>
      </c>
      <c r="F1257" s="5" t="s">
        <v>2695</v>
      </c>
      <c r="G1257" s="4" t="s">
        <v>2308</v>
      </c>
      <c r="H1257" s="4" t="s">
        <v>531</v>
      </c>
      <c r="I1257" s="4"/>
      <c r="J1257" s="4" t="s">
        <v>2308</v>
      </c>
      <c r="K1257" s="4" t="s">
        <v>2308</v>
      </c>
      <c r="L1257" s="4" t="s">
        <v>2308</v>
      </c>
      <c r="M1257" s="4" t="s">
        <v>2308</v>
      </c>
      <c r="N1257" s="4" t="s">
        <v>2308</v>
      </c>
      <c r="O1257" s="4" t="s">
        <v>2308</v>
      </c>
      <c r="P1257" s="4" t="s">
        <v>2308</v>
      </c>
      <c r="Q1257" s="4" t="s">
        <v>2308</v>
      </c>
      <c r="R1257" s="4" t="s">
        <v>2308</v>
      </c>
      <c r="S1257" s="4" t="s">
        <v>2308</v>
      </c>
      <c r="T1257" s="4" t="s">
        <v>2308</v>
      </c>
      <c r="U1257" s="4" t="s">
        <v>2308</v>
      </c>
      <c r="V1257" s="4" t="s">
        <v>2308</v>
      </c>
      <c r="W1257" s="4" t="s">
        <v>2308</v>
      </c>
      <c r="X1257" s="4" t="s">
        <v>2308</v>
      </c>
      <c r="Y1257" s="4" t="s">
        <v>2308</v>
      </c>
      <c r="Z1257" s="4" t="s">
        <v>68</v>
      </c>
      <c r="AA1257" s="4" t="s">
        <v>133</v>
      </c>
      <c r="AB1257" s="4" t="s">
        <v>64</v>
      </c>
      <c r="AC1257" s="4"/>
      <c r="AD1257" s="4"/>
    </row>
    <row r="1258" spans="1:30" ht="37" customHeight="1">
      <c r="A1258" s="20" t="s">
        <v>3865</v>
      </c>
      <c r="B1258" s="12" t="s">
        <v>3868</v>
      </c>
      <c r="C1258" s="5" t="s">
        <v>24</v>
      </c>
      <c r="D1258" s="5" t="s">
        <v>25</v>
      </c>
      <c r="E1258" s="5" t="s">
        <v>45</v>
      </c>
      <c r="F1258" s="5" t="s">
        <v>2695</v>
      </c>
      <c r="G1258" s="4" t="s">
        <v>2308</v>
      </c>
      <c r="H1258" s="4" t="s">
        <v>531</v>
      </c>
      <c r="I1258" s="4"/>
      <c r="J1258" s="4" t="s">
        <v>2308</v>
      </c>
      <c r="K1258" s="4" t="s">
        <v>2308</v>
      </c>
      <c r="L1258" s="4" t="s">
        <v>2308</v>
      </c>
      <c r="M1258" s="4" t="s">
        <v>2308</v>
      </c>
      <c r="N1258" s="4" t="s">
        <v>2308</v>
      </c>
      <c r="O1258" s="4" t="s">
        <v>2308</v>
      </c>
      <c r="P1258" s="4" t="s">
        <v>2308</v>
      </c>
      <c r="Q1258" s="4" t="s">
        <v>2308</v>
      </c>
      <c r="R1258" s="4" t="s">
        <v>2308</v>
      </c>
      <c r="S1258" s="4" t="s">
        <v>2308</v>
      </c>
      <c r="T1258" s="4" t="s">
        <v>2308</v>
      </c>
      <c r="U1258" s="4" t="s">
        <v>2308</v>
      </c>
      <c r="V1258" s="4" t="s">
        <v>2308</v>
      </c>
      <c r="W1258" s="4" t="s">
        <v>2308</v>
      </c>
      <c r="X1258" s="4" t="s">
        <v>2308</v>
      </c>
      <c r="Y1258" s="4" t="s">
        <v>2308</v>
      </c>
      <c r="Z1258" s="4" t="s">
        <v>68</v>
      </c>
      <c r="AA1258" s="4" t="s">
        <v>133</v>
      </c>
      <c r="AB1258" s="4" t="s">
        <v>64</v>
      </c>
      <c r="AC1258" s="4"/>
      <c r="AD1258" s="4"/>
    </row>
    <row r="1259" spans="1:30" ht="37" customHeight="1">
      <c r="A1259" s="20" t="s">
        <v>3865</v>
      </c>
      <c r="B1259" s="12" t="s">
        <v>3869</v>
      </c>
      <c r="C1259" s="5" t="s">
        <v>24</v>
      </c>
      <c r="D1259" s="5" t="s">
        <v>26</v>
      </c>
      <c r="E1259" s="5" t="s">
        <v>1125</v>
      </c>
      <c r="F1259" s="5" t="s">
        <v>2695</v>
      </c>
      <c r="G1259" s="4" t="s">
        <v>2308</v>
      </c>
      <c r="H1259" s="4" t="s">
        <v>531</v>
      </c>
      <c r="I1259" s="4"/>
      <c r="J1259" s="4" t="s">
        <v>2308</v>
      </c>
      <c r="K1259" s="4" t="s">
        <v>2308</v>
      </c>
      <c r="L1259" s="4" t="s">
        <v>2308</v>
      </c>
      <c r="M1259" s="4" t="s">
        <v>2308</v>
      </c>
      <c r="N1259" s="4" t="s">
        <v>2308</v>
      </c>
      <c r="O1259" s="4" t="s">
        <v>2308</v>
      </c>
      <c r="P1259" s="4" t="s">
        <v>2308</v>
      </c>
      <c r="Q1259" s="4" t="s">
        <v>2308</v>
      </c>
      <c r="R1259" s="4" t="s">
        <v>2308</v>
      </c>
      <c r="S1259" s="4" t="s">
        <v>2308</v>
      </c>
      <c r="T1259" s="4" t="s">
        <v>2308</v>
      </c>
      <c r="U1259" s="4" t="s">
        <v>2308</v>
      </c>
      <c r="V1259" s="4" t="s">
        <v>2308</v>
      </c>
      <c r="W1259" s="4" t="s">
        <v>2308</v>
      </c>
      <c r="X1259" s="4" t="s">
        <v>2308</v>
      </c>
      <c r="Y1259" s="4" t="s">
        <v>2308</v>
      </c>
      <c r="Z1259" s="4" t="s">
        <v>68</v>
      </c>
      <c r="AA1259" s="4" t="s">
        <v>133</v>
      </c>
      <c r="AB1259" s="4" t="s">
        <v>64</v>
      </c>
      <c r="AC1259" s="4"/>
      <c r="AD1259" s="4"/>
    </row>
    <row r="1260" spans="1:30" ht="37" customHeight="1">
      <c r="A1260" s="20" t="s">
        <v>3865</v>
      </c>
      <c r="B1260" s="12" t="s">
        <v>3870</v>
      </c>
      <c r="C1260" s="5" t="s">
        <v>24</v>
      </c>
      <c r="D1260" s="5" t="s">
        <v>1267</v>
      </c>
      <c r="E1260" s="5" t="s">
        <v>116</v>
      </c>
      <c r="F1260" s="5" t="s">
        <v>2695</v>
      </c>
      <c r="G1260" s="4" t="s">
        <v>2308</v>
      </c>
      <c r="H1260" s="4" t="s">
        <v>531</v>
      </c>
      <c r="I1260" s="4"/>
      <c r="J1260" s="4" t="s">
        <v>2308</v>
      </c>
      <c r="K1260" s="4" t="s">
        <v>2308</v>
      </c>
      <c r="L1260" s="4" t="s">
        <v>2308</v>
      </c>
      <c r="M1260" s="4" t="s">
        <v>2308</v>
      </c>
      <c r="N1260" s="4" t="s">
        <v>2308</v>
      </c>
      <c r="O1260" s="4" t="s">
        <v>2308</v>
      </c>
      <c r="P1260" s="4" t="s">
        <v>2308</v>
      </c>
      <c r="Q1260" s="4" t="s">
        <v>2308</v>
      </c>
      <c r="R1260" s="4" t="s">
        <v>2308</v>
      </c>
      <c r="S1260" s="4" t="s">
        <v>2308</v>
      </c>
      <c r="T1260" s="4" t="s">
        <v>2308</v>
      </c>
      <c r="U1260" s="4" t="s">
        <v>2308</v>
      </c>
      <c r="V1260" s="4" t="s">
        <v>2308</v>
      </c>
      <c r="W1260" s="4" t="s">
        <v>2308</v>
      </c>
      <c r="X1260" s="4" t="s">
        <v>2308</v>
      </c>
      <c r="Y1260" s="4" t="s">
        <v>2308</v>
      </c>
      <c r="Z1260" s="4" t="s">
        <v>68</v>
      </c>
      <c r="AA1260" s="4" t="s">
        <v>133</v>
      </c>
      <c r="AB1260" s="4" t="s">
        <v>64</v>
      </c>
      <c r="AC1260" s="4"/>
      <c r="AD1260" s="4"/>
    </row>
    <row r="1261" spans="1:30" ht="32.5" customHeight="1">
      <c r="A1261" s="20" t="s">
        <v>3865</v>
      </c>
      <c r="B1261" s="12" t="s">
        <v>3871</v>
      </c>
      <c r="C1261" s="4" t="s">
        <v>24</v>
      </c>
      <c r="D1261" s="4" t="s">
        <v>27</v>
      </c>
      <c r="E1261" s="4" t="s">
        <v>136</v>
      </c>
      <c r="F1261" s="5" t="s">
        <v>167</v>
      </c>
      <c r="G1261" s="4" t="s">
        <v>2308</v>
      </c>
      <c r="H1261" s="4" t="s">
        <v>531</v>
      </c>
      <c r="I1261" s="4"/>
      <c r="J1261" s="4" t="s">
        <v>2308</v>
      </c>
      <c r="K1261" s="4" t="s">
        <v>2308</v>
      </c>
      <c r="L1261" s="4" t="s">
        <v>2308</v>
      </c>
      <c r="M1261" s="4" t="s">
        <v>2308</v>
      </c>
      <c r="N1261" s="4" t="s">
        <v>2308</v>
      </c>
      <c r="O1261" s="4" t="s">
        <v>2308</v>
      </c>
      <c r="P1261" s="4" t="s">
        <v>2308</v>
      </c>
      <c r="Q1261" s="4" t="s">
        <v>2308</v>
      </c>
      <c r="R1261" s="4" t="s">
        <v>2308</v>
      </c>
      <c r="S1261" s="4" t="s">
        <v>2308</v>
      </c>
      <c r="T1261" s="4" t="s">
        <v>2308</v>
      </c>
      <c r="U1261" s="4" t="s">
        <v>2308</v>
      </c>
      <c r="V1261" s="4" t="s">
        <v>2308</v>
      </c>
      <c r="W1261" s="4" t="s">
        <v>2308</v>
      </c>
      <c r="X1261" s="4" t="s">
        <v>2308</v>
      </c>
      <c r="Y1261" s="4" t="s">
        <v>2308</v>
      </c>
      <c r="Z1261" s="4" t="s">
        <v>133</v>
      </c>
      <c r="AA1261" s="4" t="s">
        <v>406</v>
      </c>
      <c r="AB1261" s="4" t="s">
        <v>64</v>
      </c>
      <c r="AC1261" s="4"/>
      <c r="AD1261" s="4"/>
    </row>
    <row r="1262" spans="1:30" ht="33.5" customHeight="1">
      <c r="A1262" s="20" t="s">
        <v>3865</v>
      </c>
      <c r="B1262" s="12" t="s">
        <v>3872</v>
      </c>
      <c r="C1262" s="5" t="s">
        <v>24</v>
      </c>
      <c r="D1262" s="5" t="s">
        <v>1264</v>
      </c>
      <c r="E1262" s="5" t="s">
        <v>136</v>
      </c>
      <c r="F1262" s="5" t="s">
        <v>167</v>
      </c>
      <c r="G1262" s="4" t="s">
        <v>2308</v>
      </c>
      <c r="H1262" s="4" t="s">
        <v>531</v>
      </c>
      <c r="I1262" s="4"/>
      <c r="J1262" s="4" t="s">
        <v>2308</v>
      </c>
      <c r="K1262" s="4" t="s">
        <v>2308</v>
      </c>
      <c r="L1262" s="4" t="s">
        <v>2308</v>
      </c>
      <c r="M1262" s="4" t="s">
        <v>2308</v>
      </c>
      <c r="N1262" s="4" t="s">
        <v>2308</v>
      </c>
      <c r="O1262" s="4" t="s">
        <v>2308</v>
      </c>
      <c r="P1262" s="4" t="s">
        <v>2308</v>
      </c>
      <c r="Q1262" s="4" t="s">
        <v>2308</v>
      </c>
      <c r="R1262" s="4" t="s">
        <v>2308</v>
      </c>
      <c r="S1262" s="4" t="s">
        <v>2308</v>
      </c>
      <c r="T1262" s="4" t="s">
        <v>2308</v>
      </c>
      <c r="U1262" s="4" t="s">
        <v>2308</v>
      </c>
      <c r="V1262" s="4" t="s">
        <v>2308</v>
      </c>
      <c r="W1262" s="4" t="s">
        <v>2308</v>
      </c>
      <c r="X1262" s="4" t="s">
        <v>2308</v>
      </c>
      <c r="Y1262" s="4" t="s">
        <v>2308</v>
      </c>
      <c r="Z1262" s="4" t="s">
        <v>133</v>
      </c>
      <c r="AA1262" s="4" t="s">
        <v>406</v>
      </c>
      <c r="AB1262" s="4" t="s">
        <v>64</v>
      </c>
      <c r="AC1262" s="4"/>
      <c r="AD1262" s="4"/>
    </row>
    <row r="1263" spans="1:30" ht="38" customHeight="1">
      <c r="A1263" s="20" t="s">
        <v>3865</v>
      </c>
      <c r="B1263" s="12" t="s">
        <v>3873</v>
      </c>
      <c r="C1263" s="4" t="s">
        <v>24</v>
      </c>
      <c r="D1263" s="4" t="s">
        <v>61</v>
      </c>
      <c r="E1263" s="4" t="s">
        <v>116</v>
      </c>
      <c r="F1263" s="5" t="s">
        <v>74</v>
      </c>
      <c r="G1263" s="4" t="s">
        <v>74</v>
      </c>
      <c r="H1263" s="4" t="s">
        <v>531</v>
      </c>
      <c r="I1263" s="4"/>
      <c r="J1263" s="4" t="s">
        <v>2308</v>
      </c>
      <c r="K1263" s="4" t="s">
        <v>2308</v>
      </c>
      <c r="L1263" s="4" t="s">
        <v>2308</v>
      </c>
      <c r="M1263" s="4" t="s">
        <v>2308</v>
      </c>
      <c r="N1263" s="4" t="s">
        <v>2308</v>
      </c>
      <c r="O1263" s="4" t="s">
        <v>2308</v>
      </c>
      <c r="P1263" s="4" t="s">
        <v>2308</v>
      </c>
      <c r="Q1263" s="4" t="s">
        <v>2308</v>
      </c>
      <c r="R1263" s="4" t="s">
        <v>2308</v>
      </c>
      <c r="S1263" s="4" t="s">
        <v>2308</v>
      </c>
      <c r="T1263" s="4" t="s">
        <v>2308</v>
      </c>
      <c r="U1263" s="4" t="s">
        <v>2308</v>
      </c>
      <c r="V1263" s="4" t="s">
        <v>2308</v>
      </c>
      <c r="W1263" s="4" t="s">
        <v>2308</v>
      </c>
      <c r="X1263" s="4" t="s">
        <v>2308</v>
      </c>
      <c r="Y1263" s="4" t="s">
        <v>2308</v>
      </c>
      <c r="Z1263" s="4" t="s">
        <v>406</v>
      </c>
      <c r="AA1263" s="4" t="s">
        <v>38</v>
      </c>
      <c r="AB1263" s="4" t="s">
        <v>64</v>
      </c>
      <c r="AC1263" s="4"/>
      <c r="AD1263" s="4"/>
    </row>
    <row r="1264" spans="1:30" ht="42" customHeight="1">
      <c r="A1264" s="20" t="s">
        <v>3865</v>
      </c>
      <c r="B1264" s="12" t="s">
        <v>3875</v>
      </c>
      <c r="C1264" s="4" t="s">
        <v>31</v>
      </c>
      <c r="D1264" s="4" t="s">
        <v>2308</v>
      </c>
      <c r="E1264" s="4" t="s">
        <v>1125</v>
      </c>
      <c r="F1264" s="5" t="s">
        <v>2308</v>
      </c>
      <c r="G1264" s="4" t="s">
        <v>74</v>
      </c>
      <c r="H1264" s="4" t="s">
        <v>531</v>
      </c>
      <c r="I1264" s="4"/>
      <c r="J1264" s="4" t="s">
        <v>2308</v>
      </c>
      <c r="K1264" s="4" t="s">
        <v>2308</v>
      </c>
      <c r="L1264" s="4" t="s">
        <v>2308</v>
      </c>
      <c r="M1264" s="4" t="s">
        <v>2308</v>
      </c>
      <c r="N1264" s="4" t="s">
        <v>2308</v>
      </c>
      <c r="O1264" s="4" t="s">
        <v>2308</v>
      </c>
      <c r="P1264" s="4" t="s">
        <v>2308</v>
      </c>
      <c r="Q1264" s="4" t="s">
        <v>2308</v>
      </c>
      <c r="R1264" s="4" t="s">
        <v>2308</v>
      </c>
      <c r="S1264" s="4" t="s">
        <v>2308</v>
      </c>
      <c r="T1264" s="4" t="s">
        <v>2308</v>
      </c>
      <c r="U1264" s="4" t="s">
        <v>2308</v>
      </c>
      <c r="V1264" s="4" t="s">
        <v>2308</v>
      </c>
      <c r="W1264" s="4" t="s">
        <v>2308</v>
      </c>
      <c r="X1264" s="4" t="s">
        <v>2308</v>
      </c>
      <c r="Y1264" s="4" t="s">
        <v>2308</v>
      </c>
      <c r="Z1264" s="4" t="s">
        <v>406</v>
      </c>
      <c r="AA1264" s="4" t="s">
        <v>38</v>
      </c>
      <c r="AB1264" s="4" t="s">
        <v>64</v>
      </c>
      <c r="AC1264" s="4"/>
      <c r="AD1264" s="4"/>
    </row>
    <row r="1265" spans="1:30" ht="41" customHeight="1">
      <c r="A1265" s="20" t="s">
        <v>3865</v>
      </c>
      <c r="B1265" s="12" t="s">
        <v>3876</v>
      </c>
      <c r="C1265" s="4" t="s">
        <v>24</v>
      </c>
      <c r="D1265" s="4" t="s">
        <v>27</v>
      </c>
      <c r="E1265" s="4" t="s">
        <v>136</v>
      </c>
      <c r="F1265" s="5" t="s">
        <v>74</v>
      </c>
      <c r="G1265" s="4" t="s">
        <v>2308</v>
      </c>
      <c r="H1265" s="4" t="s">
        <v>531</v>
      </c>
      <c r="I1265" s="4"/>
      <c r="J1265" s="4" t="s">
        <v>2308</v>
      </c>
      <c r="K1265" s="4" t="s">
        <v>2308</v>
      </c>
      <c r="L1265" s="4" t="s">
        <v>2308</v>
      </c>
      <c r="M1265" s="4" t="s">
        <v>2308</v>
      </c>
      <c r="N1265" s="4" t="s">
        <v>2308</v>
      </c>
      <c r="O1265" s="4" t="s">
        <v>2308</v>
      </c>
      <c r="P1265" s="4" t="s">
        <v>2308</v>
      </c>
      <c r="Q1265" s="4" t="s">
        <v>2308</v>
      </c>
      <c r="R1265" s="4" t="s">
        <v>2308</v>
      </c>
      <c r="S1265" s="4" t="s">
        <v>2308</v>
      </c>
      <c r="T1265" s="4" t="s">
        <v>2308</v>
      </c>
      <c r="U1265" s="4" t="s">
        <v>2308</v>
      </c>
      <c r="V1265" s="4" t="s">
        <v>2308</v>
      </c>
      <c r="W1265" s="4" t="s">
        <v>2308</v>
      </c>
      <c r="X1265" s="4" t="s">
        <v>2308</v>
      </c>
      <c r="Y1265" s="4" t="s">
        <v>2308</v>
      </c>
      <c r="Z1265" s="4" t="s">
        <v>194</v>
      </c>
      <c r="AA1265" s="4" t="s">
        <v>38</v>
      </c>
      <c r="AB1265" s="4" t="s">
        <v>64</v>
      </c>
      <c r="AC1265" s="4"/>
      <c r="AD1265" s="4"/>
    </row>
    <row r="1266" spans="1:30" ht="43.5" customHeight="1">
      <c r="A1266" s="20" t="s">
        <v>3881</v>
      </c>
      <c r="B1266" s="12" t="s">
        <v>3887</v>
      </c>
      <c r="C1266" s="4" t="s">
        <v>24</v>
      </c>
      <c r="D1266" s="4" t="s">
        <v>3525</v>
      </c>
      <c r="E1266" s="4" t="s">
        <v>116</v>
      </c>
      <c r="F1266" s="5" t="s">
        <v>2695</v>
      </c>
      <c r="G1266" s="4" t="s">
        <v>2308</v>
      </c>
      <c r="H1266" s="4" t="s">
        <v>532</v>
      </c>
      <c r="I1266" s="4"/>
      <c r="J1266" s="22">
        <v>0</v>
      </c>
      <c r="K1266" s="22">
        <v>0</v>
      </c>
      <c r="L1266" s="22">
        <v>0</v>
      </c>
      <c r="M1266" s="22">
        <v>0</v>
      </c>
      <c r="N1266" s="22">
        <v>0</v>
      </c>
      <c r="O1266" s="22">
        <v>0</v>
      </c>
      <c r="P1266" s="22">
        <v>0</v>
      </c>
      <c r="Q1266" s="22">
        <v>0</v>
      </c>
      <c r="R1266" s="22">
        <v>0</v>
      </c>
      <c r="S1266" s="22">
        <v>0</v>
      </c>
      <c r="T1266" s="22">
        <v>0</v>
      </c>
      <c r="U1266" s="22">
        <v>0</v>
      </c>
      <c r="V1266" s="22">
        <v>0</v>
      </c>
      <c r="W1266" s="22">
        <v>0</v>
      </c>
      <c r="X1266" s="22">
        <v>0</v>
      </c>
      <c r="Y1266" s="22">
        <v>0</v>
      </c>
      <c r="Z1266" s="4" t="s">
        <v>2308</v>
      </c>
      <c r="AA1266" s="4" t="s">
        <v>2308</v>
      </c>
      <c r="AB1266" s="4" t="s">
        <v>2308</v>
      </c>
      <c r="AC1266" s="4"/>
      <c r="AD1266" s="4"/>
    </row>
    <row r="1267" spans="1:30" ht="63.5" customHeight="1">
      <c r="A1267" s="20" t="s">
        <v>3890</v>
      </c>
      <c r="B1267" s="12" t="s">
        <v>3894</v>
      </c>
      <c r="C1267" s="4" t="s">
        <v>24</v>
      </c>
      <c r="D1267" s="4" t="s">
        <v>2837</v>
      </c>
      <c r="E1267" s="4" t="s">
        <v>5065</v>
      </c>
      <c r="F1267" s="5" t="s">
        <v>2695</v>
      </c>
      <c r="G1267" s="5" t="s">
        <v>2695</v>
      </c>
      <c r="H1267" s="4" t="s">
        <v>531</v>
      </c>
      <c r="I1267" s="4"/>
      <c r="J1267" s="4" t="s">
        <v>2308</v>
      </c>
      <c r="K1267" s="4" t="s">
        <v>2308</v>
      </c>
      <c r="L1267" s="4" t="s">
        <v>2308</v>
      </c>
      <c r="M1267" s="4" t="s">
        <v>2308</v>
      </c>
      <c r="N1267" s="4" t="s">
        <v>2308</v>
      </c>
      <c r="O1267" s="4" t="s">
        <v>2308</v>
      </c>
      <c r="P1267" s="4" t="s">
        <v>2308</v>
      </c>
      <c r="Q1267" s="4" t="s">
        <v>2308</v>
      </c>
      <c r="R1267" s="4" t="s">
        <v>2308</v>
      </c>
      <c r="S1267" s="4" t="s">
        <v>2308</v>
      </c>
      <c r="T1267" s="4" t="s">
        <v>2308</v>
      </c>
      <c r="U1267" s="4" t="s">
        <v>2308</v>
      </c>
      <c r="V1267" s="4" t="s">
        <v>2308</v>
      </c>
      <c r="W1267" s="4" t="s">
        <v>2308</v>
      </c>
      <c r="X1267" s="4" t="s">
        <v>2308</v>
      </c>
      <c r="Y1267" s="4" t="s">
        <v>2308</v>
      </c>
      <c r="Z1267" s="4" t="s">
        <v>2308</v>
      </c>
      <c r="AA1267" s="4" t="s">
        <v>2308</v>
      </c>
      <c r="AB1267" s="4" t="s">
        <v>2308</v>
      </c>
      <c r="AC1267" s="4"/>
      <c r="AD1267" s="5" t="s">
        <v>3895</v>
      </c>
    </row>
    <row r="1268" spans="1:30" ht="59.5" customHeight="1">
      <c r="A1268" s="20" t="s">
        <v>3890</v>
      </c>
      <c r="B1268" s="12" t="s">
        <v>3896</v>
      </c>
      <c r="C1268" s="4" t="s">
        <v>2689</v>
      </c>
      <c r="D1268" s="4" t="s">
        <v>2308</v>
      </c>
      <c r="E1268" s="4" t="s">
        <v>2308</v>
      </c>
      <c r="F1268" s="5" t="s">
        <v>2308</v>
      </c>
      <c r="G1268" s="4" t="s">
        <v>2308</v>
      </c>
      <c r="H1268" s="4" t="s">
        <v>532</v>
      </c>
      <c r="I1268" s="4"/>
      <c r="J1268" s="22">
        <v>0</v>
      </c>
      <c r="K1268" s="22">
        <v>0</v>
      </c>
      <c r="L1268" s="22">
        <v>0</v>
      </c>
      <c r="M1268" s="22">
        <v>0</v>
      </c>
      <c r="N1268" s="22">
        <v>0</v>
      </c>
      <c r="O1268" s="22">
        <v>0</v>
      </c>
      <c r="P1268" s="22">
        <v>0</v>
      </c>
      <c r="Q1268" s="22">
        <v>0</v>
      </c>
      <c r="R1268" s="22">
        <v>0</v>
      </c>
      <c r="S1268" s="22">
        <v>0</v>
      </c>
      <c r="T1268" s="22">
        <v>0</v>
      </c>
      <c r="U1268" s="22">
        <v>0</v>
      </c>
      <c r="V1268" s="22">
        <v>0</v>
      </c>
      <c r="W1268" s="22">
        <v>0</v>
      </c>
      <c r="X1268" s="22">
        <v>0</v>
      </c>
      <c r="Y1268" s="22">
        <v>0</v>
      </c>
      <c r="Z1268" s="4" t="s">
        <v>2308</v>
      </c>
      <c r="AA1268" s="4" t="s">
        <v>2308</v>
      </c>
      <c r="AB1268" s="4" t="s">
        <v>2308</v>
      </c>
      <c r="AC1268" s="4"/>
      <c r="AD1268" s="5" t="s">
        <v>3897</v>
      </c>
    </row>
    <row r="1269" spans="1:30" ht="101" customHeight="1">
      <c r="A1269" s="20" t="s">
        <v>3899</v>
      </c>
      <c r="B1269" s="12" t="s">
        <v>3906</v>
      </c>
      <c r="C1269" s="4" t="s">
        <v>24</v>
      </c>
      <c r="D1269" s="4" t="s">
        <v>25</v>
      </c>
      <c r="E1269" s="4" t="s">
        <v>2308</v>
      </c>
      <c r="F1269" s="5" t="s">
        <v>55</v>
      </c>
      <c r="G1269" s="4" t="s">
        <v>2308</v>
      </c>
      <c r="H1269" s="4" t="s">
        <v>532</v>
      </c>
      <c r="I1269" s="4"/>
      <c r="J1269" s="22">
        <v>0</v>
      </c>
      <c r="K1269" s="22">
        <v>0</v>
      </c>
      <c r="L1269" s="22">
        <v>0</v>
      </c>
      <c r="M1269" s="22">
        <v>0</v>
      </c>
      <c r="N1269" s="22">
        <v>0</v>
      </c>
      <c r="O1269" s="22">
        <v>0</v>
      </c>
      <c r="P1269" s="22">
        <v>0</v>
      </c>
      <c r="Q1269" s="22">
        <v>0</v>
      </c>
      <c r="R1269" s="22">
        <v>0</v>
      </c>
      <c r="S1269" s="22">
        <v>0</v>
      </c>
      <c r="T1269" s="22">
        <v>0</v>
      </c>
      <c r="U1269" s="22">
        <v>0</v>
      </c>
      <c r="V1269" s="22">
        <v>0</v>
      </c>
      <c r="W1269" s="22">
        <v>0</v>
      </c>
      <c r="X1269" s="22">
        <v>0</v>
      </c>
      <c r="Y1269" s="4" t="s">
        <v>2308</v>
      </c>
      <c r="Z1269" s="4" t="s">
        <v>2308</v>
      </c>
      <c r="AA1269" s="4" t="s">
        <v>2308</v>
      </c>
      <c r="AB1269" s="4" t="s">
        <v>2308</v>
      </c>
      <c r="AC1269" s="25" t="s">
        <v>3907</v>
      </c>
      <c r="AD1269" s="25" t="s">
        <v>3948</v>
      </c>
    </row>
    <row r="1270" spans="1:30" ht="52.5" customHeight="1">
      <c r="A1270" s="20" t="s">
        <v>3910</v>
      </c>
      <c r="B1270" s="12" t="s">
        <v>3914</v>
      </c>
      <c r="C1270" s="4" t="s">
        <v>1125</v>
      </c>
      <c r="D1270" s="4" t="s">
        <v>1125</v>
      </c>
      <c r="E1270" s="4" t="s">
        <v>116</v>
      </c>
      <c r="F1270" s="5" t="s">
        <v>2308</v>
      </c>
      <c r="G1270" s="4" t="s">
        <v>2308</v>
      </c>
      <c r="H1270" s="4" t="s">
        <v>531</v>
      </c>
      <c r="I1270" s="4">
        <v>1992</v>
      </c>
      <c r="J1270" s="4" t="s">
        <v>2308</v>
      </c>
      <c r="K1270" s="4" t="s">
        <v>2308</v>
      </c>
      <c r="L1270" s="4" t="s">
        <v>2308</v>
      </c>
      <c r="M1270" s="4" t="s">
        <v>2308</v>
      </c>
      <c r="N1270" s="4" t="s">
        <v>2308</v>
      </c>
      <c r="O1270" s="4" t="s">
        <v>2308</v>
      </c>
      <c r="P1270" s="4" t="s">
        <v>2308</v>
      </c>
      <c r="Q1270" s="4" t="s">
        <v>2308</v>
      </c>
      <c r="R1270" s="4" t="s">
        <v>2308</v>
      </c>
      <c r="S1270" s="4" t="s">
        <v>2308</v>
      </c>
      <c r="T1270" s="4" t="s">
        <v>2308</v>
      </c>
      <c r="U1270" s="4" t="s">
        <v>2308</v>
      </c>
      <c r="V1270" s="4" t="s">
        <v>2308</v>
      </c>
      <c r="W1270" s="4" t="s">
        <v>2308</v>
      </c>
      <c r="X1270" s="4" t="s">
        <v>2308</v>
      </c>
      <c r="Y1270" s="4" t="s">
        <v>2308</v>
      </c>
      <c r="Z1270" s="4" t="s">
        <v>406</v>
      </c>
      <c r="AA1270" s="4" t="s">
        <v>86</v>
      </c>
      <c r="AB1270" s="4" t="s">
        <v>2308</v>
      </c>
      <c r="AC1270" s="5" t="s">
        <v>3915</v>
      </c>
      <c r="AD1270" s="5" t="s">
        <v>3927</v>
      </c>
    </row>
    <row r="1271" spans="1:30" ht="52.5" customHeight="1">
      <c r="A1271" s="20" t="s">
        <v>3910</v>
      </c>
      <c r="B1271" s="12" t="s">
        <v>3916</v>
      </c>
      <c r="C1271" s="4" t="s">
        <v>1125</v>
      </c>
      <c r="D1271" s="4" t="s">
        <v>1125</v>
      </c>
      <c r="E1271" s="4" t="s">
        <v>116</v>
      </c>
      <c r="F1271" s="5" t="s">
        <v>2308</v>
      </c>
      <c r="G1271" s="4" t="s">
        <v>2308</v>
      </c>
      <c r="H1271" s="4" t="s">
        <v>531</v>
      </c>
      <c r="I1271" s="4">
        <v>1993</v>
      </c>
      <c r="J1271" s="4" t="s">
        <v>2308</v>
      </c>
      <c r="K1271" s="4" t="s">
        <v>2308</v>
      </c>
      <c r="L1271" s="4" t="s">
        <v>2308</v>
      </c>
      <c r="M1271" s="4" t="s">
        <v>2308</v>
      </c>
      <c r="N1271" s="4" t="s">
        <v>2308</v>
      </c>
      <c r="O1271" s="4" t="s">
        <v>2308</v>
      </c>
      <c r="P1271" s="4" t="s">
        <v>2308</v>
      </c>
      <c r="Q1271" s="4" t="s">
        <v>2308</v>
      </c>
      <c r="R1271" s="4" t="s">
        <v>2308</v>
      </c>
      <c r="S1271" s="4" t="s">
        <v>2308</v>
      </c>
      <c r="T1271" s="4" t="s">
        <v>2308</v>
      </c>
      <c r="U1271" s="4" t="s">
        <v>2308</v>
      </c>
      <c r="V1271" s="4" t="s">
        <v>2308</v>
      </c>
      <c r="W1271" s="4" t="s">
        <v>2308</v>
      </c>
      <c r="X1271" s="4" t="s">
        <v>2308</v>
      </c>
      <c r="Y1271" s="4" t="s">
        <v>2308</v>
      </c>
      <c r="Z1271" s="4" t="s">
        <v>406</v>
      </c>
      <c r="AA1271" s="4" t="s">
        <v>86</v>
      </c>
      <c r="AB1271" s="4" t="s">
        <v>2308</v>
      </c>
      <c r="AC1271" s="5" t="s">
        <v>3915</v>
      </c>
      <c r="AD1271" s="5" t="s">
        <v>3927</v>
      </c>
    </row>
    <row r="1272" spans="1:30" ht="52.5" customHeight="1">
      <c r="A1272" s="20" t="s">
        <v>3910</v>
      </c>
      <c r="B1272" s="12" t="s">
        <v>3917</v>
      </c>
      <c r="C1272" s="4" t="s">
        <v>1125</v>
      </c>
      <c r="D1272" s="4" t="s">
        <v>1125</v>
      </c>
      <c r="E1272" s="4" t="s">
        <v>116</v>
      </c>
      <c r="F1272" s="5" t="s">
        <v>2308</v>
      </c>
      <c r="G1272" s="4" t="s">
        <v>2308</v>
      </c>
      <c r="H1272" s="4" t="s">
        <v>531</v>
      </c>
      <c r="I1272" s="4">
        <v>1994</v>
      </c>
      <c r="J1272" s="4" t="s">
        <v>2308</v>
      </c>
      <c r="K1272" s="4" t="s">
        <v>2308</v>
      </c>
      <c r="L1272" s="4" t="s">
        <v>2308</v>
      </c>
      <c r="M1272" s="4" t="s">
        <v>2308</v>
      </c>
      <c r="N1272" s="4" t="s">
        <v>2308</v>
      </c>
      <c r="O1272" s="4" t="s">
        <v>2308</v>
      </c>
      <c r="P1272" s="4" t="s">
        <v>2308</v>
      </c>
      <c r="Q1272" s="4" t="s">
        <v>2308</v>
      </c>
      <c r="R1272" s="4" t="s">
        <v>2308</v>
      </c>
      <c r="S1272" s="4" t="s">
        <v>2308</v>
      </c>
      <c r="T1272" s="4" t="s">
        <v>2308</v>
      </c>
      <c r="U1272" s="4" t="s">
        <v>2308</v>
      </c>
      <c r="V1272" s="4" t="s">
        <v>2308</v>
      </c>
      <c r="W1272" s="4" t="s">
        <v>2308</v>
      </c>
      <c r="X1272" s="4" t="s">
        <v>2308</v>
      </c>
      <c r="Y1272" s="4" t="s">
        <v>2308</v>
      </c>
      <c r="Z1272" s="4" t="s">
        <v>406</v>
      </c>
      <c r="AA1272" s="4" t="s">
        <v>86</v>
      </c>
      <c r="AB1272" s="4" t="s">
        <v>2308</v>
      </c>
      <c r="AC1272" s="5" t="s">
        <v>3915</v>
      </c>
      <c r="AD1272" s="5" t="s">
        <v>3927</v>
      </c>
    </row>
    <row r="1273" spans="1:30" ht="52.5" customHeight="1">
      <c r="A1273" s="20" t="s">
        <v>3910</v>
      </c>
      <c r="B1273" s="12" t="s">
        <v>3918</v>
      </c>
      <c r="C1273" s="4" t="s">
        <v>1125</v>
      </c>
      <c r="D1273" s="4" t="s">
        <v>1125</v>
      </c>
      <c r="E1273" s="4" t="s">
        <v>116</v>
      </c>
      <c r="F1273" s="5" t="s">
        <v>2308</v>
      </c>
      <c r="G1273" s="4" t="s">
        <v>2308</v>
      </c>
      <c r="H1273" s="4" t="s">
        <v>531</v>
      </c>
      <c r="I1273" s="4">
        <v>1995</v>
      </c>
      <c r="J1273" s="4" t="s">
        <v>2308</v>
      </c>
      <c r="K1273" s="4" t="s">
        <v>2308</v>
      </c>
      <c r="L1273" s="4" t="s">
        <v>2308</v>
      </c>
      <c r="M1273" s="4" t="s">
        <v>2308</v>
      </c>
      <c r="N1273" s="4" t="s">
        <v>2308</v>
      </c>
      <c r="O1273" s="4" t="s">
        <v>2308</v>
      </c>
      <c r="P1273" s="4" t="s">
        <v>2308</v>
      </c>
      <c r="Q1273" s="4" t="s">
        <v>2308</v>
      </c>
      <c r="R1273" s="4" t="s">
        <v>2308</v>
      </c>
      <c r="S1273" s="4" t="s">
        <v>2308</v>
      </c>
      <c r="T1273" s="4" t="s">
        <v>2308</v>
      </c>
      <c r="U1273" s="4" t="s">
        <v>2308</v>
      </c>
      <c r="V1273" s="4" t="s">
        <v>2308</v>
      </c>
      <c r="W1273" s="4" t="s">
        <v>2308</v>
      </c>
      <c r="X1273" s="4" t="s">
        <v>2308</v>
      </c>
      <c r="Y1273" s="4" t="s">
        <v>2308</v>
      </c>
      <c r="Z1273" s="4" t="s">
        <v>406</v>
      </c>
      <c r="AA1273" s="4" t="s">
        <v>86</v>
      </c>
      <c r="AB1273" s="4" t="s">
        <v>2308</v>
      </c>
      <c r="AC1273" s="5" t="s">
        <v>3915</v>
      </c>
      <c r="AD1273" s="5" t="s">
        <v>3927</v>
      </c>
    </row>
    <row r="1274" spans="1:30" ht="52.5" customHeight="1">
      <c r="A1274" s="20" t="s">
        <v>3910</v>
      </c>
      <c r="B1274" s="12" t="s">
        <v>3919</v>
      </c>
      <c r="C1274" s="4" t="s">
        <v>1125</v>
      </c>
      <c r="D1274" s="4" t="s">
        <v>1125</v>
      </c>
      <c r="E1274" s="4" t="s">
        <v>116</v>
      </c>
      <c r="F1274" s="5" t="s">
        <v>2308</v>
      </c>
      <c r="G1274" s="4" t="s">
        <v>2308</v>
      </c>
      <c r="H1274" s="4" t="s">
        <v>531</v>
      </c>
      <c r="I1274" s="4">
        <v>1996</v>
      </c>
      <c r="J1274" s="4" t="s">
        <v>2308</v>
      </c>
      <c r="K1274" s="4" t="s">
        <v>2308</v>
      </c>
      <c r="L1274" s="4" t="s">
        <v>2308</v>
      </c>
      <c r="M1274" s="4" t="s">
        <v>2308</v>
      </c>
      <c r="N1274" s="4" t="s">
        <v>2308</v>
      </c>
      <c r="O1274" s="4" t="s">
        <v>2308</v>
      </c>
      <c r="P1274" s="4" t="s">
        <v>2308</v>
      </c>
      <c r="Q1274" s="4" t="s">
        <v>2308</v>
      </c>
      <c r="R1274" s="4" t="s">
        <v>2308</v>
      </c>
      <c r="S1274" s="4" t="s">
        <v>2308</v>
      </c>
      <c r="T1274" s="4" t="s">
        <v>2308</v>
      </c>
      <c r="U1274" s="4" t="s">
        <v>2308</v>
      </c>
      <c r="V1274" s="4" t="s">
        <v>2308</v>
      </c>
      <c r="W1274" s="4" t="s">
        <v>2308</v>
      </c>
      <c r="X1274" s="4" t="s">
        <v>2308</v>
      </c>
      <c r="Y1274" s="4" t="s">
        <v>2308</v>
      </c>
      <c r="Z1274" s="4" t="s">
        <v>406</v>
      </c>
      <c r="AA1274" s="4" t="s">
        <v>86</v>
      </c>
      <c r="AB1274" s="4" t="s">
        <v>2308</v>
      </c>
      <c r="AC1274" s="5" t="s">
        <v>3915</v>
      </c>
      <c r="AD1274" s="5" t="s">
        <v>3927</v>
      </c>
    </row>
    <row r="1275" spans="1:30" ht="52.5" customHeight="1">
      <c r="A1275" s="20" t="s">
        <v>3910</v>
      </c>
      <c r="B1275" s="12" t="s">
        <v>3920</v>
      </c>
      <c r="C1275" s="4" t="s">
        <v>1125</v>
      </c>
      <c r="D1275" s="4" t="s">
        <v>1125</v>
      </c>
      <c r="E1275" s="4" t="s">
        <v>116</v>
      </c>
      <c r="F1275" s="5" t="s">
        <v>2308</v>
      </c>
      <c r="G1275" s="4" t="s">
        <v>2308</v>
      </c>
      <c r="H1275" s="4" t="s">
        <v>531</v>
      </c>
      <c r="I1275" s="4">
        <v>1997</v>
      </c>
      <c r="J1275" s="4" t="s">
        <v>2308</v>
      </c>
      <c r="K1275" s="4" t="s">
        <v>2308</v>
      </c>
      <c r="L1275" s="4" t="s">
        <v>2308</v>
      </c>
      <c r="M1275" s="4" t="s">
        <v>2308</v>
      </c>
      <c r="N1275" s="4" t="s">
        <v>2308</v>
      </c>
      <c r="O1275" s="4" t="s">
        <v>2308</v>
      </c>
      <c r="P1275" s="4" t="s">
        <v>2308</v>
      </c>
      <c r="Q1275" s="4" t="s">
        <v>2308</v>
      </c>
      <c r="R1275" s="4" t="s">
        <v>2308</v>
      </c>
      <c r="S1275" s="4" t="s">
        <v>2308</v>
      </c>
      <c r="T1275" s="4" t="s">
        <v>2308</v>
      </c>
      <c r="U1275" s="4" t="s">
        <v>2308</v>
      </c>
      <c r="V1275" s="4" t="s">
        <v>2308</v>
      </c>
      <c r="W1275" s="4" t="s">
        <v>2308</v>
      </c>
      <c r="X1275" s="4" t="s">
        <v>2308</v>
      </c>
      <c r="Y1275" s="4" t="s">
        <v>2308</v>
      </c>
      <c r="Z1275" s="4" t="s">
        <v>406</v>
      </c>
      <c r="AA1275" s="4" t="s">
        <v>86</v>
      </c>
      <c r="AB1275" s="4" t="s">
        <v>2308</v>
      </c>
      <c r="AC1275" s="5" t="s">
        <v>3915</v>
      </c>
      <c r="AD1275" s="5" t="s">
        <v>3927</v>
      </c>
    </row>
    <row r="1276" spans="1:30" ht="52.5" customHeight="1">
      <c r="A1276" s="20" t="s">
        <v>3910</v>
      </c>
      <c r="B1276" s="12" t="s">
        <v>3921</v>
      </c>
      <c r="C1276" s="4" t="s">
        <v>1125</v>
      </c>
      <c r="D1276" s="4" t="s">
        <v>1125</v>
      </c>
      <c r="E1276" s="4" t="s">
        <v>116</v>
      </c>
      <c r="F1276" s="5" t="s">
        <v>2308</v>
      </c>
      <c r="G1276" s="4" t="s">
        <v>2308</v>
      </c>
      <c r="H1276" s="4" t="s">
        <v>531</v>
      </c>
      <c r="I1276" s="4">
        <v>1998</v>
      </c>
      <c r="J1276" s="4" t="s">
        <v>2308</v>
      </c>
      <c r="K1276" s="4" t="s">
        <v>2308</v>
      </c>
      <c r="L1276" s="4" t="s">
        <v>2308</v>
      </c>
      <c r="M1276" s="4" t="s">
        <v>2308</v>
      </c>
      <c r="N1276" s="4" t="s">
        <v>2308</v>
      </c>
      <c r="O1276" s="4" t="s">
        <v>2308</v>
      </c>
      <c r="P1276" s="4" t="s">
        <v>2308</v>
      </c>
      <c r="Q1276" s="4" t="s">
        <v>2308</v>
      </c>
      <c r="R1276" s="4" t="s">
        <v>2308</v>
      </c>
      <c r="S1276" s="4" t="s">
        <v>2308</v>
      </c>
      <c r="T1276" s="4" t="s">
        <v>2308</v>
      </c>
      <c r="U1276" s="4" t="s">
        <v>2308</v>
      </c>
      <c r="V1276" s="4" t="s">
        <v>2308</v>
      </c>
      <c r="W1276" s="4" t="s">
        <v>2308</v>
      </c>
      <c r="X1276" s="4" t="s">
        <v>2308</v>
      </c>
      <c r="Y1276" s="4" t="s">
        <v>2308</v>
      </c>
      <c r="Z1276" s="4" t="s">
        <v>406</v>
      </c>
      <c r="AA1276" s="4" t="s">
        <v>86</v>
      </c>
      <c r="AB1276" s="4" t="s">
        <v>2308</v>
      </c>
      <c r="AC1276" s="5" t="s">
        <v>3915</v>
      </c>
      <c r="AD1276" s="5" t="s">
        <v>3927</v>
      </c>
    </row>
    <row r="1277" spans="1:30" ht="52.5" customHeight="1">
      <c r="A1277" s="20" t="s">
        <v>3910</v>
      </c>
      <c r="B1277" s="12" t="s">
        <v>3922</v>
      </c>
      <c r="C1277" s="4" t="s">
        <v>1125</v>
      </c>
      <c r="D1277" s="4" t="s">
        <v>1125</v>
      </c>
      <c r="E1277" s="4" t="s">
        <v>116</v>
      </c>
      <c r="F1277" s="5" t="s">
        <v>2308</v>
      </c>
      <c r="G1277" s="4" t="s">
        <v>2308</v>
      </c>
      <c r="H1277" s="4" t="s">
        <v>531</v>
      </c>
      <c r="I1277" s="4">
        <v>1999</v>
      </c>
      <c r="J1277" s="4" t="s">
        <v>2308</v>
      </c>
      <c r="K1277" s="4" t="s">
        <v>2308</v>
      </c>
      <c r="L1277" s="4" t="s">
        <v>2308</v>
      </c>
      <c r="M1277" s="4" t="s">
        <v>2308</v>
      </c>
      <c r="N1277" s="4" t="s">
        <v>2308</v>
      </c>
      <c r="O1277" s="4" t="s">
        <v>2308</v>
      </c>
      <c r="P1277" s="4" t="s">
        <v>2308</v>
      </c>
      <c r="Q1277" s="4" t="s">
        <v>2308</v>
      </c>
      <c r="R1277" s="4" t="s">
        <v>2308</v>
      </c>
      <c r="S1277" s="4" t="s">
        <v>2308</v>
      </c>
      <c r="T1277" s="4" t="s">
        <v>2308</v>
      </c>
      <c r="U1277" s="4" t="s">
        <v>2308</v>
      </c>
      <c r="V1277" s="4" t="s">
        <v>2308</v>
      </c>
      <c r="W1277" s="4" t="s">
        <v>2308</v>
      </c>
      <c r="X1277" s="4" t="s">
        <v>2308</v>
      </c>
      <c r="Y1277" s="4" t="s">
        <v>2308</v>
      </c>
      <c r="Z1277" s="4" t="s">
        <v>406</v>
      </c>
      <c r="AA1277" s="4" t="s">
        <v>86</v>
      </c>
      <c r="AB1277" s="4" t="s">
        <v>2308</v>
      </c>
      <c r="AC1277" s="5" t="s">
        <v>3915</v>
      </c>
      <c r="AD1277" s="5" t="s">
        <v>3927</v>
      </c>
    </row>
    <row r="1278" spans="1:30" ht="52.5" customHeight="1">
      <c r="A1278" s="20" t="s">
        <v>3910</v>
      </c>
      <c r="B1278" s="12" t="s">
        <v>3923</v>
      </c>
      <c r="C1278" s="4" t="s">
        <v>1125</v>
      </c>
      <c r="D1278" s="4" t="s">
        <v>1125</v>
      </c>
      <c r="E1278" s="4" t="s">
        <v>116</v>
      </c>
      <c r="F1278" s="5" t="s">
        <v>2308</v>
      </c>
      <c r="G1278" s="4" t="s">
        <v>2308</v>
      </c>
      <c r="H1278" s="4" t="s">
        <v>531</v>
      </c>
      <c r="I1278" s="4">
        <v>2000</v>
      </c>
      <c r="J1278" s="4" t="s">
        <v>2308</v>
      </c>
      <c r="K1278" s="4" t="s">
        <v>2308</v>
      </c>
      <c r="L1278" s="4" t="s">
        <v>2308</v>
      </c>
      <c r="M1278" s="4" t="s">
        <v>2308</v>
      </c>
      <c r="N1278" s="4" t="s">
        <v>2308</v>
      </c>
      <c r="O1278" s="4" t="s">
        <v>2308</v>
      </c>
      <c r="P1278" s="4" t="s">
        <v>2308</v>
      </c>
      <c r="Q1278" s="4" t="s">
        <v>2308</v>
      </c>
      <c r="R1278" s="4" t="s">
        <v>2308</v>
      </c>
      <c r="S1278" s="4" t="s">
        <v>2308</v>
      </c>
      <c r="T1278" s="4" t="s">
        <v>2308</v>
      </c>
      <c r="U1278" s="4" t="s">
        <v>2308</v>
      </c>
      <c r="V1278" s="4" t="s">
        <v>2308</v>
      </c>
      <c r="W1278" s="4" t="s">
        <v>2308</v>
      </c>
      <c r="X1278" s="4" t="s">
        <v>2308</v>
      </c>
      <c r="Y1278" s="4" t="s">
        <v>2308</v>
      </c>
      <c r="Z1278" s="4" t="s">
        <v>406</v>
      </c>
      <c r="AA1278" s="4" t="s">
        <v>86</v>
      </c>
      <c r="AB1278" s="4" t="s">
        <v>2308</v>
      </c>
      <c r="AC1278" s="5" t="s">
        <v>3915</v>
      </c>
      <c r="AD1278" s="5" t="s">
        <v>3927</v>
      </c>
    </row>
    <row r="1279" spans="1:30" ht="52.5" customHeight="1">
      <c r="A1279" s="20" t="s">
        <v>3910</v>
      </c>
      <c r="B1279" s="12" t="s">
        <v>3924</v>
      </c>
      <c r="C1279" s="4" t="s">
        <v>1125</v>
      </c>
      <c r="D1279" s="4" t="s">
        <v>1125</v>
      </c>
      <c r="E1279" s="4" t="s">
        <v>116</v>
      </c>
      <c r="F1279" s="5" t="s">
        <v>2308</v>
      </c>
      <c r="G1279" s="4" t="s">
        <v>2308</v>
      </c>
      <c r="H1279" s="4" t="s">
        <v>531</v>
      </c>
      <c r="I1279" s="4">
        <v>2001</v>
      </c>
      <c r="J1279" s="4" t="s">
        <v>2308</v>
      </c>
      <c r="K1279" s="4" t="s">
        <v>2308</v>
      </c>
      <c r="L1279" s="4" t="s">
        <v>2308</v>
      </c>
      <c r="M1279" s="4" t="s">
        <v>2308</v>
      </c>
      <c r="N1279" s="4" t="s">
        <v>2308</v>
      </c>
      <c r="O1279" s="4" t="s">
        <v>2308</v>
      </c>
      <c r="P1279" s="4" t="s">
        <v>2308</v>
      </c>
      <c r="Q1279" s="4" t="s">
        <v>2308</v>
      </c>
      <c r="R1279" s="4" t="s">
        <v>2308</v>
      </c>
      <c r="S1279" s="4" t="s">
        <v>2308</v>
      </c>
      <c r="T1279" s="4" t="s">
        <v>2308</v>
      </c>
      <c r="U1279" s="4" t="s">
        <v>2308</v>
      </c>
      <c r="V1279" s="4" t="s">
        <v>2308</v>
      </c>
      <c r="W1279" s="4" t="s">
        <v>2308</v>
      </c>
      <c r="X1279" s="4" t="s">
        <v>2308</v>
      </c>
      <c r="Y1279" s="4" t="s">
        <v>2308</v>
      </c>
      <c r="Z1279" s="4" t="s">
        <v>406</v>
      </c>
      <c r="AA1279" s="4" t="s">
        <v>86</v>
      </c>
      <c r="AB1279" s="4" t="s">
        <v>2308</v>
      </c>
      <c r="AC1279" s="5" t="s">
        <v>3915</v>
      </c>
      <c r="AD1279" s="5" t="s">
        <v>3927</v>
      </c>
    </row>
    <row r="1280" spans="1:30" ht="52.5" customHeight="1">
      <c r="A1280" s="20" t="s">
        <v>3910</v>
      </c>
      <c r="B1280" s="12" t="s">
        <v>3925</v>
      </c>
      <c r="C1280" s="4" t="s">
        <v>1125</v>
      </c>
      <c r="D1280" s="4" t="s">
        <v>1125</v>
      </c>
      <c r="E1280" s="4" t="s">
        <v>116</v>
      </c>
      <c r="F1280" s="5" t="s">
        <v>2308</v>
      </c>
      <c r="G1280" s="4" t="s">
        <v>2308</v>
      </c>
      <c r="H1280" s="4" t="s">
        <v>531</v>
      </c>
      <c r="I1280" s="4">
        <v>2002</v>
      </c>
      <c r="J1280" s="4" t="s">
        <v>2308</v>
      </c>
      <c r="K1280" s="4" t="s">
        <v>2308</v>
      </c>
      <c r="L1280" s="4" t="s">
        <v>2308</v>
      </c>
      <c r="M1280" s="4" t="s">
        <v>2308</v>
      </c>
      <c r="N1280" s="4" t="s">
        <v>2308</v>
      </c>
      <c r="O1280" s="4" t="s">
        <v>2308</v>
      </c>
      <c r="P1280" s="4" t="s">
        <v>2308</v>
      </c>
      <c r="Q1280" s="4" t="s">
        <v>2308</v>
      </c>
      <c r="R1280" s="4" t="s">
        <v>2308</v>
      </c>
      <c r="S1280" s="4" t="s">
        <v>2308</v>
      </c>
      <c r="T1280" s="4" t="s">
        <v>2308</v>
      </c>
      <c r="U1280" s="4" t="s">
        <v>2308</v>
      </c>
      <c r="V1280" s="4" t="s">
        <v>2308</v>
      </c>
      <c r="W1280" s="4" t="s">
        <v>2308</v>
      </c>
      <c r="X1280" s="4" t="s">
        <v>2308</v>
      </c>
      <c r="Y1280" s="4" t="s">
        <v>2308</v>
      </c>
      <c r="Z1280" s="4" t="s">
        <v>406</v>
      </c>
      <c r="AA1280" s="4" t="s">
        <v>86</v>
      </c>
      <c r="AB1280" s="4" t="s">
        <v>2308</v>
      </c>
      <c r="AC1280" s="5" t="s">
        <v>3915</v>
      </c>
      <c r="AD1280" s="5" t="s">
        <v>3927</v>
      </c>
    </row>
    <row r="1281" spans="1:30" ht="52.5" customHeight="1">
      <c r="A1281" s="20" t="s">
        <v>3910</v>
      </c>
      <c r="B1281" s="12" t="s">
        <v>3926</v>
      </c>
      <c r="C1281" s="4" t="s">
        <v>1125</v>
      </c>
      <c r="D1281" s="4" t="s">
        <v>1125</v>
      </c>
      <c r="E1281" s="4" t="s">
        <v>116</v>
      </c>
      <c r="F1281" s="5" t="s">
        <v>2308</v>
      </c>
      <c r="G1281" s="4" t="s">
        <v>2308</v>
      </c>
      <c r="H1281" s="4" t="s">
        <v>531</v>
      </c>
      <c r="I1281" s="4">
        <v>2003</v>
      </c>
      <c r="J1281" s="4" t="s">
        <v>2308</v>
      </c>
      <c r="K1281" s="4" t="s">
        <v>2308</v>
      </c>
      <c r="L1281" s="4" t="s">
        <v>2308</v>
      </c>
      <c r="M1281" s="4" t="s">
        <v>2308</v>
      </c>
      <c r="N1281" s="4" t="s">
        <v>2308</v>
      </c>
      <c r="O1281" s="4" t="s">
        <v>2308</v>
      </c>
      <c r="P1281" s="4" t="s">
        <v>2308</v>
      </c>
      <c r="Q1281" s="4" t="s">
        <v>2308</v>
      </c>
      <c r="R1281" s="4" t="s">
        <v>2308</v>
      </c>
      <c r="S1281" s="4" t="s">
        <v>2308</v>
      </c>
      <c r="T1281" s="4" t="s">
        <v>2308</v>
      </c>
      <c r="U1281" s="4" t="s">
        <v>2308</v>
      </c>
      <c r="V1281" s="4" t="s">
        <v>2308</v>
      </c>
      <c r="W1281" s="4" t="s">
        <v>2308</v>
      </c>
      <c r="X1281" s="4" t="s">
        <v>2308</v>
      </c>
      <c r="Y1281" s="4" t="s">
        <v>2308</v>
      </c>
      <c r="Z1281" s="4" t="s">
        <v>406</v>
      </c>
      <c r="AA1281" s="4" t="s">
        <v>86</v>
      </c>
      <c r="AB1281" s="4" t="s">
        <v>2308</v>
      </c>
      <c r="AC1281" s="5" t="s">
        <v>3915</v>
      </c>
      <c r="AD1281" s="5" t="s">
        <v>3927</v>
      </c>
    </row>
    <row r="1282" spans="1:30" ht="41.5" customHeight="1">
      <c r="A1282" s="20" t="s">
        <v>3910</v>
      </c>
      <c r="B1282" s="12" t="s">
        <v>3928</v>
      </c>
      <c r="C1282" s="4" t="s">
        <v>24</v>
      </c>
      <c r="D1282" s="4" t="s">
        <v>1267</v>
      </c>
      <c r="E1282" s="4" t="s">
        <v>116</v>
      </c>
      <c r="F1282" s="5" t="s">
        <v>2695</v>
      </c>
      <c r="G1282" s="5" t="s">
        <v>2695</v>
      </c>
      <c r="H1282" s="4" t="s">
        <v>531</v>
      </c>
      <c r="I1282" s="4"/>
      <c r="J1282" s="4" t="s">
        <v>2308</v>
      </c>
      <c r="K1282" s="4" t="s">
        <v>2308</v>
      </c>
      <c r="L1282" s="4" t="s">
        <v>2308</v>
      </c>
      <c r="M1282" s="4" t="s">
        <v>2308</v>
      </c>
      <c r="N1282" s="4" t="s">
        <v>2308</v>
      </c>
      <c r="O1282" s="4" t="s">
        <v>2308</v>
      </c>
      <c r="P1282" s="4" t="s">
        <v>2308</v>
      </c>
      <c r="Q1282" s="4" t="s">
        <v>2308</v>
      </c>
      <c r="R1282" s="4" t="s">
        <v>2308</v>
      </c>
      <c r="S1282" s="4" t="s">
        <v>2308</v>
      </c>
      <c r="T1282" s="4" t="s">
        <v>2308</v>
      </c>
      <c r="U1282" s="4" t="s">
        <v>2308</v>
      </c>
      <c r="V1282" s="4" t="s">
        <v>2308</v>
      </c>
      <c r="W1282" s="4" t="s">
        <v>2308</v>
      </c>
      <c r="X1282" s="4" t="s">
        <v>2308</v>
      </c>
      <c r="Y1282" s="4" t="s">
        <v>2308</v>
      </c>
      <c r="Z1282" s="4" t="s">
        <v>2308</v>
      </c>
      <c r="AA1282" s="4" t="s">
        <v>2308</v>
      </c>
      <c r="AB1282" s="4" t="s">
        <v>2308</v>
      </c>
      <c r="AC1282" s="5" t="s">
        <v>3935</v>
      </c>
      <c r="AD1282" s="4"/>
    </row>
    <row r="1283" spans="1:30" ht="39" customHeight="1">
      <c r="A1283" s="20" t="s">
        <v>3910</v>
      </c>
      <c r="B1283" s="12" t="s">
        <v>3929</v>
      </c>
      <c r="C1283" s="4" t="s">
        <v>24</v>
      </c>
      <c r="D1283" s="4" t="s">
        <v>2337</v>
      </c>
      <c r="E1283" s="4" t="s">
        <v>116</v>
      </c>
      <c r="F1283" s="5" t="s">
        <v>2695</v>
      </c>
      <c r="G1283" s="5" t="s">
        <v>2695</v>
      </c>
      <c r="H1283" s="4" t="s">
        <v>531</v>
      </c>
      <c r="I1283" s="4"/>
      <c r="J1283" s="4" t="s">
        <v>2308</v>
      </c>
      <c r="K1283" s="4" t="s">
        <v>2308</v>
      </c>
      <c r="L1283" s="4" t="s">
        <v>2308</v>
      </c>
      <c r="M1283" s="4" t="s">
        <v>2308</v>
      </c>
      <c r="N1283" s="4" t="s">
        <v>2308</v>
      </c>
      <c r="O1283" s="4" t="s">
        <v>2308</v>
      </c>
      <c r="P1283" s="4" t="s">
        <v>2308</v>
      </c>
      <c r="Q1283" s="4" t="s">
        <v>2308</v>
      </c>
      <c r="R1283" s="4" t="s">
        <v>2308</v>
      </c>
      <c r="S1283" s="4" t="s">
        <v>2308</v>
      </c>
      <c r="T1283" s="4" t="s">
        <v>2308</v>
      </c>
      <c r="U1283" s="4" t="s">
        <v>2308</v>
      </c>
      <c r="V1283" s="4" t="s">
        <v>2308</v>
      </c>
      <c r="W1283" s="4" t="s">
        <v>2308</v>
      </c>
      <c r="X1283" s="4" t="s">
        <v>2308</v>
      </c>
      <c r="Y1283" s="4" t="s">
        <v>2308</v>
      </c>
      <c r="Z1283" s="4" t="s">
        <v>2308</v>
      </c>
      <c r="AA1283" s="4" t="s">
        <v>2308</v>
      </c>
      <c r="AB1283" s="4" t="s">
        <v>2308</v>
      </c>
      <c r="AC1283" s="4"/>
      <c r="AD1283" s="4"/>
    </row>
    <row r="1284" spans="1:30" ht="33.5" customHeight="1">
      <c r="A1284" s="20" t="s">
        <v>3910</v>
      </c>
      <c r="B1284" s="12" t="s">
        <v>3930</v>
      </c>
      <c r="C1284" s="4" t="s">
        <v>24</v>
      </c>
      <c r="D1284" s="4" t="s">
        <v>2373</v>
      </c>
      <c r="E1284" s="4" t="s">
        <v>116</v>
      </c>
      <c r="F1284" s="5" t="s">
        <v>2695</v>
      </c>
      <c r="G1284" s="5" t="s">
        <v>2695</v>
      </c>
      <c r="H1284" s="4" t="s">
        <v>531</v>
      </c>
      <c r="I1284" s="4"/>
      <c r="J1284" s="4" t="s">
        <v>2308</v>
      </c>
      <c r="K1284" s="4" t="s">
        <v>2308</v>
      </c>
      <c r="L1284" s="4" t="s">
        <v>2308</v>
      </c>
      <c r="M1284" s="4" t="s">
        <v>2308</v>
      </c>
      <c r="N1284" s="4" t="s">
        <v>2308</v>
      </c>
      <c r="O1284" s="4" t="s">
        <v>2308</v>
      </c>
      <c r="P1284" s="4" t="s">
        <v>2308</v>
      </c>
      <c r="Q1284" s="4" t="s">
        <v>2308</v>
      </c>
      <c r="R1284" s="4" t="s">
        <v>2308</v>
      </c>
      <c r="S1284" s="4" t="s">
        <v>2308</v>
      </c>
      <c r="T1284" s="4" t="s">
        <v>2308</v>
      </c>
      <c r="U1284" s="4" t="s">
        <v>2308</v>
      </c>
      <c r="V1284" s="4" t="s">
        <v>2308</v>
      </c>
      <c r="W1284" s="4" t="s">
        <v>2308</v>
      </c>
      <c r="X1284" s="4" t="s">
        <v>2308</v>
      </c>
      <c r="Y1284" s="4" t="s">
        <v>2308</v>
      </c>
      <c r="Z1284" s="4" t="s">
        <v>2308</v>
      </c>
      <c r="AA1284" s="4" t="s">
        <v>2308</v>
      </c>
      <c r="AB1284" s="4" t="s">
        <v>2308</v>
      </c>
      <c r="AC1284" s="4"/>
      <c r="AD1284" s="4"/>
    </row>
    <row r="1285" spans="1:30" ht="33.5" customHeight="1">
      <c r="A1285" s="20" t="s">
        <v>3910</v>
      </c>
      <c r="B1285" s="12" t="s">
        <v>3931</v>
      </c>
      <c r="C1285" s="4" t="s">
        <v>24</v>
      </c>
      <c r="D1285" s="4" t="s">
        <v>26</v>
      </c>
      <c r="E1285" s="4" t="s">
        <v>116</v>
      </c>
      <c r="F1285" s="5" t="s">
        <v>2695</v>
      </c>
      <c r="G1285" s="5" t="s">
        <v>2695</v>
      </c>
      <c r="H1285" s="4" t="s">
        <v>531</v>
      </c>
      <c r="I1285" s="4"/>
      <c r="J1285" s="4" t="s">
        <v>2308</v>
      </c>
      <c r="K1285" s="4" t="s">
        <v>2308</v>
      </c>
      <c r="L1285" s="4" t="s">
        <v>2308</v>
      </c>
      <c r="M1285" s="4" t="s">
        <v>2308</v>
      </c>
      <c r="N1285" s="4" t="s">
        <v>2308</v>
      </c>
      <c r="O1285" s="4" t="s">
        <v>2308</v>
      </c>
      <c r="P1285" s="4" t="s">
        <v>2308</v>
      </c>
      <c r="Q1285" s="4" t="s">
        <v>2308</v>
      </c>
      <c r="R1285" s="4" t="s">
        <v>2308</v>
      </c>
      <c r="S1285" s="4" t="s">
        <v>2308</v>
      </c>
      <c r="T1285" s="4" t="s">
        <v>2308</v>
      </c>
      <c r="U1285" s="4" t="s">
        <v>2308</v>
      </c>
      <c r="V1285" s="4" t="s">
        <v>2308</v>
      </c>
      <c r="W1285" s="4" t="s">
        <v>2308</v>
      </c>
      <c r="X1285" s="4" t="s">
        <v>2308</v>
      </c>
      <c r="Y1285" s="4" t="s">
        <v>2308</v>
      </c>
      <c r="Z1285" s="4" t="s">
        <v>2308</v>
      </c>
      <c r="AA1285" s="4" t="s">
        <v>2308</v>
      </c>
      <c r="AB1285" s="4" t="s">
        <v>2308</v>
      </c>
      <c r="AC1285" s="4"/>
      <c r="AD1285" s="4"/>
    </row>
    <row r="1286" spans="1:30" ht="37" customHeight="1">
      <c r="A1286" s="20" t="s">
        <v>3910</v>
      </c>
      <c r="B1286" s="12" t="s">
        <v>3932</v>
      </c>
      <c r="C1286" s="4" t="s">
        <v>24</v>
      </c>
      <c r="D1286" s="4" t="s">
        <v>1264</v>
      </c>
      <c r="E1286" s="4" t="s">
        <v>116</v>
      </c>
      <c r="F1286" s="5" t="s">
        <v>2695</v>
      </c>
      <c r="G1286" s="5" t="s">
        <v>2695</v>
      </c>
      <c r="H1286" s="4" t="s">
        <v>531</v>
      </c>
      <c r="I1286" s="4"/>
      <c r="J1286" s="4" t="s">
        <v>2308</v>
      </c>
      <c r="K1286" s="4" t="s">
        <v>2308</v>
      </c>
      <c r="L1286" s="77">
        <v>0.04</v>
      </c>
      <c r="M1286" s="77">
        <v>0.25</v>
      </c>
      <c r="N1286" s="4" t="s">
        <v>2308</v>
      </c>
      <c r="O1286" s="4" t="s">
        <v>2308</v>
      </c>
      <c r="P1286" s="4" t="s">
        <v>2308</v>
      </c>
      <c r="Q1286" s="4" t="s">
        <v>2308</v>
      </c>
      <c r="R1286" s="4" t="s">
        <v>2308</v>
      </c>
      <c r="S1286" s="4" t="s">
        <v>2308</v>
      </c>
      <c r="T1286" s="4" t="s">
        <v>2308</v>
      </c>
      <c r="U1286" s="4" t="s">
        <v>2308</v>
      </c>
      <c r="V1286" s="4" t="s">
        <v>2308</v>
      </c>
      <c r="W1286" s="4" t="s">
        <v>2308</v>
      </c>
      <c r="X1286" s="4" t="s">
        <v>2308</v>
      </c>
      <c r="Y1286" s="4" t="s">
        <v>2308</v>
      </c>
      <c r="Z1286" s="4" t="s">
        <v>2308</v>
      </c>
      <c r="AA1286" s="4" t="s">
        <v>2308</v>
      </c>
      <c r="AB1286" s="4" t="s">
        <v>2308</v>
      </c>
      <c r="AC1286" s="9" t="s">
        <v>3934</v>
      </c>
      <c r="AD1286" s="4"/>
    </row>
    <row r="1287" spans="1:30" ht="43" customHeight="1">
      <c r="A1287" s="20" t="s">
        <v>3910</v>
      </c>
      <c r="B1287" s="12" t="s">
        <v>3932</v>
      </c>
      <c r="C1287" s="4" t="s">
        <v>24</v>
      </c>
      <c r="D1287" s="4" t="s">
        <v>27</v>
      </c>
      <c r="E1287" s="4" t="s">
        <v>136</v>
      </c>
      <c r="F1287" s="5" t="s">
        <v>2695</v>
      </c>
      <c r="G1287" s="5" t="s">
        <v>2695</v>
      </c>
      <c r="H1287" s="4" t="s">
        <v>531</v>
      </c>
      <c r="I1287" s="4"/>
      <c r="J1287" s="4" t="s">
        <v>2308</v>
      </c>
      <c r="K1287" s="4" t="s">
        <v>2308</v>
      </c>
      <c r="L1287" s="4" t="s">
        <v>2308</v>
      </c>
      <c r="M1287" s="4" t="s">
        <v>2308</v>
      </c>
      <c r="N1287" s="4" t="s">
        <v>2308</v>
      </c>
      <c r="O1287" s="4" t="s">
        <v>2308</v>
      </c>
      <c r="P1287" s="4" t="s">
        <v>2308</v>
      </c>
      <c r="Q1287" s="4" t="s">
        <v>2308</v>
      </c>
      <c r="R1287" s="4" t="s">
        <v>2308</v>
      </c>
      <c r="S1287" s="4" t="s">
        <v>2308</v>
      </c>
      <c r="T1287" s="4" t="s">
        <v>2308</v>
      </c>
      <c r="U1287" s="4" t="s">
        <v>2308</v>
      </c>
      <c r="V1287" s="4" t="s">
        <v>2308</v>
      </c>
      <c r="W1287" s="4" t="s">
        <v>2308</v>
      </c>
      <c r="X1287" s="4" t="s">
        <v>2308</v>
      </c>
      <c r="Y1287" s="4" t="s">
        <v>2308</v>
      </c>
      <c r="Z1287" s="4" t="s">
        <v>2308</v>
      </c>
      <c r="AA1287" s="4" t="s">
        <v>2308</v>
      </c>
      <c r="AB1287" s="4" t="s">
        <v>2308</v>
      </c>
      <c r="AC1287" s="4"/>
      <c r="AD1287" s="4"/>
    </row>
    <row r="1288" spans="1:30" ht="42" customHeight="1">
      <c r="A1288" s="20" t="s">
        <v>3910</v>
      </c>
      <c r="B1288" s="12" t="s">
        <v>3933</v>
      </c>
      <c r="C1288" s="4" t="s">
        <v>2491</v>
      </c>
      <c r="D1288" s="4" t="s">
        <v>2308</v>
      </c>
      <c r="E1288" s="4" t="s">
        <v>116</v>
      </c>
      <c r="F1288" s="5" t="s">
        <v>2695</v>
      </c>
      <c r="G1288" s="4" t="s">
        <v>74</v>
      </c>
      <c r="H1288" s="4" t="s">
        <v>531</v>
      </c>
      <c r="I1288" s="4"/>
      <c r="J1288" s="4" t="s">
        <v>2308</v>
      </c>
      <c r="K1288" s="4" t="s">
        <v>2308</v>
      </c>
      <c r="L1288" s="4" t="s">
        <v>2308</v>
      </c>
      <c r="M1288" s="4" t="s">
        <v>2308</v>
      </c>
      <c r="N1288" s="4" t="s">
        <v>2308</v>
      </c>
      <c r="O1288" s="4" t="s">
        <v>2308</v>
      </c>
      <c r="P1288" s="4" t="s">
        <v>2308</v>
      </c>
      <c r="Q1288" s="4" t="s">
        <v>2308</v>
      </c>
      <c r="R1288" s="4" t="s">
        <v>2308</v>
      </c>
      <c r="S1288" s="4" t="s">
        <v>2308</v>
      </c>
      <c r="T1288" s="4" t="s">
        <v>2308</v>
      </c>
      <c r="U1288" s="4" t="s">
        <v>2308</v>
      </c>
      <c r="V1288" s="4" t="s">
        <v>2308</v>
      </c>
      <c r="W1288" s="4" t="s">
        <v>2308</v>
      </c>
      <c r="X1288" s="4" t="s">
        <v>2308</v>
      </c>
      <c r="Y1288" s="4" t="s">
        <v>2308</v>
      </c>
      <c r="Z1288" s="4" t="s">
        <v>2308</v>
      </c>
      <c r="AA1288" s="4" t="s">
        <v>2308</v>
      </c>
      <c r="AB1288" s="4" t="s">
        <v>2308</v>
      </c>
      <c r="AC1288" s="4"/>
      <c r="AD1288" s="4"/>
    </row>
    <row r="1289" spans="1:30" ht="35.5" customHeight="1">
      <c r="A1289" s="20" t="s">
        <v>3941</v>
      </c>
      <c r="B1289" s="12" t="s">
        <v>3946</v>
      </c>
      <c r="C1289" s="4" t="s">
        <v>24</v>
      </c>
      <c r="D1289" s="4" t="s">
        <v>2837</v>
      </c>
      <c r="E1289" s="4" t="s">
        <v>5065</v>
      </c>
      <c r="F1289" s="5" t="s">
        <v>2308</v>
      </c>
      <c r="G1289" s="4" t="s">
        <v>2308</v>
      </c>
      <c r="H1289" s="4" t="s">
        <v>531</v>
      </c>
      <c r="I1289" s="4"/>
      <c r="J1289" s="4" t="s">
        <v>2308</v>
      </c>
      <c r="K1289" s="4" t="s">
        <v>2308</v>
      </c>
      <c r="L1289" s="4" t="s">
        <v>2308</v>
      </c>
      <c r="M1289" s="4" t="s">
        <v>2308</v>
      </c>
      <c r="N1289" s="4" t="s">
        <v>2308</v>
      </c>
      <c r="O1289" s="4" t="s">
        <v>2308</v>
      </c>
      <c r="P1289" s="4" t="s">
        <v>2308</v>
      </c>
      <c r="Q1289" s="4" t="s">
        <v>2308</v>
      </c>
      <c r="R1289" s="4" t="s">
        <v>2308</v>
      </c>
      <c r="S1289" s="4" t="s">
        <v>2308</v>
      </c>
      <c r="T1289" s="4" t="s">
        <v>2308</v>
      </c>
      <c r="U1289" s="4" t="s">
        <v>2308</v>
      </c>
      <c r="V1289" s="4" t="s">
        <v>2308</v>
      </c>
      <c r="W1289" s="4" t="s">
        <v>2308</v>
      </c>
      <c r="X1289" s="4" t="s">
        <v>2308</v>
      </c>
      <c r="Y1289" s="4" t="s">
        <v>2308</v>
      </c>
      <c r="Z1289" s="4" t="s">
        <v>194</v>
      </c>
      <c r="AA1289" s="4" t="s">
        <v>38</v>
      </c>
      <c r="AB1289" s="4" t="s">
        <v>2308</v>
      </c>
      <c r="AC1289" s="4"/>
      <c r="AD1289" s="4"/>
    </row>
    <row r="1290" spans="1:30" ht="37" customHeight="1">
      <c r="A1290" s="20" t="s">
        <v>3942</v>
      </c>
      <c r="B1290" s="12" t="s">
        <v>3947</v>
      </c>
      <c r="C1290" s="4" t="s">
        <v>24</v>
      </c>
      <c r="D1290" s="4" t="s">
        <v>2837</v>
      </c>
      <c r="E1290" s="4" t="s">
        <v>5065</v>
      </c>
      <c r="F1290" s="5" t="s">
        <v>2308</v>
      </c>
      <c r="G1290" s="4" t="s">
        <v>2308</v>
      </c>
      <c r="H1290" s="4" t="s">
        <v>531</v>
      </c>
      <c r="I1290" s="4"/>
      <c r="J1290" s="4" t="s">
        <v>2308</v>
      </c>
      <c r="K1290" s="4" t="s">
        <v>2308</v>
      </c>
      <c r="L1290" s="4" t="s">
        <v>2308</v>
      </c>
      <c r="M1290" s="4" t="s">
        <v>2308</v>
      </c>
      <c r="N1290" s="4" t="s">
        <v>2308</v>
      </c>
      <c r="O1290" s="4" t="s">
        <v>2308</v>
      </c>
      <c r="P1290" s="4" t="s">
        <v>2308</v>
      </c>
      <c r="Q1290" s="4" t="s">
        <v>2308</v>
      </c>
      <c r="R1290" s="4" t="s">
        <v>2308</v>
      </c>
      <c r="S1290" s="4" t="s">
        <v>2308</v>
      </c>
      <c r="T1290" s="4" t="s">
        <v>2308</v>
      </c>
      <c r="U1290" s="4" t="s">
        <v>2308</v>
      </c>
      <c r="V1290" s="4" t="s">
        <v>2308</v>
      </c>
      <c r="W1290" s="4" t="s">
        <v>2308</v>
      </c>
      <c r="X1290" s="4" t="s">
        <v>2308</v>
      </c>
      <c r="Y1290" s="4" t="s">
        <v>2308</v>
      </c>
      <c r="Z1290" s="4" t="s">
        <v>194</v>
      </c>
      <c r="AA1290" s="4" t="s">
        <v>38</v>
      </c>
      <c r="AB1290" s="4" t="s">
        <v>2308</v>
      </c>
      <c r="AC1290" s="4"/>
      <c r="AD1290" s="4"/>
    </row>
    <row r="1291" spans="1:30" ht="39" customHeight="1">
      <c r="A1291" s="20" t="s">
        <v>3950</v>
      </c>
      <c r="B1291" s="12" t="s">
        <v>3963</v>
      </c>
      <c r="C1291" s="4" t="s">
        <v>24</v>
      </c>
      <c r="D1291" s="4" t="s">
        <v>26</v>
      </c>
      <c r="E1291" s="4" t="s">
        <v>5065</v>
      </c>
      <c r="F1291" s="5" t="s">
        <v>2308</v>
      </c>
      <c r="G1291" s="4" t="s">
        <v>2308</v>
      </c>
      <c r="H1291" s="4" t="s">
        <v>531</v>
      </c>
      <c r="I1291" s="4"/>
      <c r="J1291" s="4" t="s">
        <v>2308</v>
      </c>
      <c r="K1291" s="4" t="s">
        <v>2308</v>
      </c>
      <c r="L1291" s="4" t="s">
        <v>2308</v>
      </c>
      <c r="M1291" s="4" t="s">
        <v>2308</v>
      </c>
      <c r="N1291" s="4" t="s">
        <v>2308</v>
      </c>
      <c r="O1291" s="4" t="s">
        <v>2308</v>
      </c>
      <c r="P1291" s="4" t="s">
        <v>2308</v>
      </c>
      <c r="Q1291" s="4" t="s">
        <v>2308</v>
      </c>
      <c r="R1291" s="4" t="s">
        <v>2308</v>
      </c>
      <c r="S1291" s="4" t="s">
        <v>2308</v>
      </c>
      <c r="T1291" s="4" t="s">
        <v>2308</v>
      </c>
      <c r="U1291" s="4" t="s">
        <v>2308</v>
      </c>
      <c r="V1291" s="4" t="s">
        <v>2308</v>
      </c>
      <c r="W1291" s="4" t="s">
        <v>2308</v>
      </c>
      <c r="X1291" s="4" t="s">
        <v>2308</v>
      </c>
      <c r="Y1291" s="4" t="s">
        <v>2308</v>
      </c>
      <c r="Z1291" s="4" t="s">
        <v>35</v>
      </c>
      <c r="AA1291" s="4" t="s">
        <v>34</v>
      </c>
      <c r="AB1291" s="4" t="s">
        <v>2308</v>
      </c>
      <c r="AC1291" s="4"/>
      <c r="AD1291" s="5" t="s">
        <v>3964</v>
      </c>
    </row>
    <row r="1292" spans="1:30" ht="39" customHeight="1">
      <c r="A1292" s="20" t="s">
        <v>3956</v>
      </c>
      <c r="B1292" s="20" t="s">
        <v>3965</v>
      </c>
      <c r="C1292" s="4" t="s">
        <v>24</v>
      </c>
      <c r="D1292" s="4" t="s">
        <v>26</v>
      </c>
      <c r="E1292" s="4" t="s">
        <v>5065</v>
      </c>
      <c r="F1292" s="5" t="s">
        <v>2308</v>
      </c>
      <c r="G1292" s="4" t="s">
        <v>2308</v>
      </c>
      <c r="H1292" s="4" t="s">
        <v>531</v>
      </c>
      <c r="I1292" s="4"/>
      <c r="J1292" s="4" t="s">
        <v>2308</v>
      </c>
      <c r="K1292" s="4" t="s">
        <v>2308</v>
      </c>
      <c r="L1292" s="4" t="s">
        <v>2308</v>
      </c>
      <c r="M1292" s="4" t="s">
        <v>2308</v>
      </c>
      <c r="N1292" s="4" t="s">
        <v>2308</v>
      </c>
      <c r="O1292" s="4" t="s">
        <v>2308</v>
      </c>
      <c r="P1292" s="4" t="s">
        <v>2308</v>
      </c>
      <c r="Q1292" s="4" t="s">
        <v>2308</v>
      </c>
      <c r="R1292" s="4" t="s">
        <v>2308</v>
      </c>
      <c r="S1292" s="4" t="s">
        <v>2308</v>
      </c>
      <c r="T1292" s="4" t="s">
        <v>2308</v>
      </c>
      <c r="U1292" s="4" t="s">
        <v>2308</v>
      </c>
      <c r="V1292" s="4" t="s">
        <v>2308</v>
      </c>
      <c r="W1292" s="4" t="s">
        <v>2308</v>
      </c>
      <c r="X1292" s="4" t="s">
        <v>2308</v>
      </c>
      <c r="Y1292" s="4" t="s">
        <v>2308</v>
      </c>
      <c r="Z1292" s="4" t="s">
        <v>35</v>
      </c>
      <c r="AA1292" s="4" t="s">
        <v>34</v>
      </c>
      <c r="AB1292" s="4" t="s">
        <v>2308</v>
      </c>
      <c r="AC1292" s="4"/>
      <c r="AD1292" s="5" t="s">
        <v>3964</v>
      </c>
    </row>
    <row r="1293" spans="1:30" ht="38" customHeight="1">
      <c r="A1293" s="20" t="s">
        <v>3958</v>
      </c>
      <c r="B1293" s="20" t="s">
        <v>3966</v>
      </c>
      <c r="C1293" s="4" t="s">
        <v>24</v>
      </c>
      <c r="D1293" s="4" t="s">
        <v>26</v>
      </c>
      <c r="E1293" s="4" t="s">
        <v>5065</v>
      </c>
      <c r="F1293" s="5" t="s">
        <v>2308</v>
      </c>
      <c r="G1293" s="4" t="s">
        <v>2308</v>
      </c>
      <c r="H1293" s="4" t="s">
        <v>531</v>
      </c>
      <c r="I1293" s="4"/>
      <c r="J1293" s="4" t="s">
        <v>2308</v>
      </c>
      <c r="K1293" s="4" t="s">
        <v>2308</v>
      </c>
      <c r="L1293" s="4" t="s">
        <v>2308</v>
      </c>
      <c r="M1293" s="4" t="s">
        <v>2308</v>
      </c>
      <c r="N1293" s="4" t="s">
        <v>2308</v>
      </c>
      <c r="O1293" s="4" t="s">
        <v>2308</v>
      </c>
      <c r="P1293" s="4" t="s">
        <v>2308</v>
      </c>
      <c r="Q1293" s="4" t="s">
        <v>2308</v>
      </c>
      <c r="R1293" s="4" t="s">
        <v>2308</v>
      </c>
      <c r="S1293" s="4" t="s">
        <v>2308</v>
      </c>
      <c r="T1293" s="4" t="s">
        <v>2308</v>
      </c>
      <c r="U1293" s="4" t="s">
        <v>2308</v>
      </c>
      <c r="V1293" s="4" t="s">
        <v>2308</v>
      </c>
      <c r="W1293" s="4" t="s">
        <v>2308</v>
      </c>
      <c r="X1293" s="4" t="s">
        <v>2308</v>
      </c>
      <c r="Y1293" s="4" t="s">
        <v>2308</v>
      </c>
      <c r="Z1293" s="4" t="s">
        <v>35</v>
      </c>
      <c r="AA1293" s="4" t="s">
        <v>34</v>
      </c>
      <c r="AB1293" s="4" t="s">
        <v>2308</v>
      </c>
      <c r="AC1293" s="4"/>
      <c r="AD1293" s="5" t="s">
        <v>3964</v>
      </c>
    </row>
    <row r="1294" spans="1:30" ht="36.5" customHeight="1">
      <c r="A1294" s="20" t="s">
        <v>3957</v>
      </c>
      <c r="B1294" s="20" t="s">
        <v>3967</v>
      </c>
      <c r="C1294" s="4" t="s">
        <v>24</v>
      </c>
      <c r="D1294" s="4" t="s">
        <v>26</v>
      </c>
      <c r="E1294" s="4" t="s">
        <v>5065</v>
      </c>
      <c r="F1294" s="5" t="s">
        <v>2308</v>
      </c>
      <c r="G1294" s="4" t="s">
        <v>2308</v>
      </c>
      <c r="H1294" s="4" t="s">
        <v>531</v>
      </c>
      <c r="I1294" s="4"/>
      <c r="J1294" s="4" t="s">
        <v>2308</v>
      </c>
      <c r="K1294" s="4" t="s">
        <v>2308</v>
      </c>
      <c r="L1294" s="4" t="s">
        <v>2308</v>
      </c>
      <c r="M1294" s="4" t="s">
        <v>2308</v>
      </c>
      <c r="N1294" s="4" t="s">
        <v>2308</v>
      </c>
      <c r="O1294" s="4" t="s">
        <v>2308</v>
      </c>
      <c r="P1294" s="4" t="s">
        <v>2308</v>
      </c>
      <c r="Q1294" s="4" t="s">
        <v>2308</v>
      </c>
      <c r="R1294" s="4" t="s">
        <v>2308</v>
      </c>
      <c r="S1294" s="4" t="s">
        <v>2308</v>
      </c>
      <c r="T1294" s="4" t="s">
        <v>2308</v>
      </c>
      <c r="U1294" s="4" t="s">
        <v>2308</v>
      </c>
      <c r="V1294" s="4" t="s">
        <v>2308</v>
      </c>
      <c r="W1294" s="4" t="s">
        <v>2308</v>
      </c>
      <c r="X1294" s="4" t="s">
        <v>2308</v>
      </c>
      <c r="Y1294" s="4" t="s">
        <v>2308</v>
      </c>
      <c r="Z1294" s="4" t="s">
        <v>35</v>
      </c>
      <c r="AA1294" s="4" t="s">
        <v>34</v>
      </c>
      <c r="AB1294" s="4" t="s">
        <v>2308</v>
      </c>
      <c r="AC1294" s="4"/>
      <c r="AD1294" s="5" t="s">
        <v>3964</v>
      </c>
    </row>
    <row r="1295" spans="1:30" ht="35.5" customHeight="1">
      <c r="A1295" s="20" t="s">
        <v>3959</v>
      </c>
      <c r="B1295" s="20" t="s">
        <v>3968</v>
      </c>
      <c r="C1295" s="4" t="s">
        <v>24</v>
      </c>
      <c r="D1295" s="4" t="s">
        <v>26</v>
      </c>
      <c r="E1295" s="4" t="s">
        <v>5065</v>
      </c>
      <c r="F1295" s="5" t="s">
        <v>2308</v>
      </c>
      <c r="G1295" s="4" t="s">
        <v>2308</v>
      </c>
      <c r="H1295" s="4" t="s">
        <v>531</v>
      </c>
      <c r="I1295" s="4"/>
      <c r="J1295" s="4" t="s">
        <v>2308</v>
      </c>
      <c r="K1295" s="4" t="s">
        <v>2308</v>
      </c>
      <c r="L1295" s="4" t="s">
        <v>2308</v>
      </c>
      <c r="M1295" s="4" t="s">
        <v>2308</v>
      </c>
      <c r="N1295" s="4" t="s">
        <v>2308</v>
      </c>
      <c r="O1295" s="4" t="s">
        <v>2308</v>
      </c>
      <c r="P1295" s="4" t="s">
        <v>2308</v>
      </c>
      <c r="Q1295" s="4" t="s">
        <v>2308</v>
      </c>
      <c r="R1295" s="4" t="s">
        <v>2308</v>
      </c>
      <c r="S1295" s="4" t="s">
        <v>2308</v>
      </c>
      <c r="T1295" s="4" t="s">
        <v>2308</v>
      </c>
      <c r="U1295" s="4" t="s">
        <v>2308</v>
      </c>
      <c r="V1295" s="4" t="s">
        <v>2308</v>
      </c>
      <c r="W1295" s="4" t="s">
        <v>2308</v>
      </c>
      <c r="X1295" s="4" t="s">
        <v>2308</v>
      </c>
      <c r="Y1295" s="4" t="s">
        <v>2308</v>
      </c>
      <c r="Z1295" s="4" t="s">
        <v>35</v>
      </c>
      <c r="AA1295" s="4" t="s">
        <v>34</v>
      </c>
      <c r="AB1295" s="4" t="s">
        <v>2308</v>
      </c>
      <c r="AC1295" s="4"/>
      <c r="AD1295" s="5" t="s">
        <v>3964</v>
      </c>
    </row>
    <row r="1296" spans="1:30" ht="41" customHeight="1">
      <c r="A1296" s="20" t="s">
        <v>3960</v>
      </c>
      <c r="B1296" s="20" t="s">
        <v>3969</v>
      </c>
      <c r="C1296" s="4" t="s">
        <v>24</v>
      </c>
      <c r="D1296" s="4" t="s">
        <v>26</v>
      </c>
      <c r="E1296" s="4" t="s">
        <v>5065</v>
      </c>
      <c r="F1296" s="5" t="s">
        <v>2308</v>
      </c>
      <c r="G1296" s="4" t="s">
        <v>2308</v>
      </c>
      <c r="H1296" s="4" t="s">
        <v>531</v>
      </c>
      <c r="I1296" s="4"/>
      <c r="J1296" s="4" t="s">
        <v>2308</v>
      </c>
      <c r="K1296" s="4" t="s">
        <v>2308</v>
      </c>
      <c r="L1296" s="4" t="s">
        <v>2308</v>
      </c>
      <c r="M1296" s="4" t="s">
        <v>2308</v>
      </c>
      <c r="N1296" s="4" t="s">
        <v>2308</v>
      </c>
      <c r="O1296" s="4" t="s">
        <v>2308</v>
      </c>
      <c r="P1296" s="4" t="s">
        <v>2308</v>
      </c>
      <c r="Q1296" s="4" t="s">
        <v>2308</v>
      </c>
      <c r="R1296" s="4" t="s">
        <v>2308</v>
      </c>
      <c r="S1296" s="4" t="s">
        <v>2308</v>
      </c>
      <c r="T1296" s="4" t="s">
        <v>2308</v>
      </c>
      <c r="U1296" s="4" t="s">
        <v>2308</v>
      </c>
      <c r="V1296" s="4" t="s">
        <v>2308</v>
      </c>
      <c r="W1296" s="4" t="s">
        <v>2308</v>
      </c>
      <c r="X1296" s="4" t="s">
        <v>2308</v>
      </c>
      <c r="Y1296" s="4" t="s">
        <v>2308</v>
      </c>
      <c r="Z1296" s="4" t="s">
        <v>35</v>
      </c>
      <c r="AA1296" s="4" t="s">
        <v>34</v>
      </c>
      <c r="AB1296" s="4" t="s">
        <v>2308</v>
      </c>
      <c r="AC1296" s="4"/>
      <c r="AD1296" s="5" t="s">
        <v>3964</v>
      </c>
    </row>
    <row r="1297" spans="1:30" ht="46" customHeight="1">
      <c r="A1297" s="20" t="s">
        <v>3971</v>
      </c>
      <c r="B1297" s="20" t="s">
        <v>4005</v>
      </c>
      <c r="C1297" s="4" t="s">
        <v>24</v>
      </c>
      <c r="D1297" s="4" t="s">
        <v>25</v>
      </c>
      <c r="E1297" s="4" t="s">
        <v>5065</v>
      </c>
      <c r="F1297" s="5" t="s">
        <v>2695</v>
      </c>
      <c r="G1297" s="4" t="s">
        <v>2308</v>
      </c>
      <c r="H1297" s="4" t="s">
        <v>531</v>
      </c>
      <c r="I1297" s="4"/>
      <c r="J1297" s="4" t="s">
        <v>2308</v>
      </c>
      <c r="K1297" s="4" t="s">
        <v>2308</v>
      </c>
      <c r="L1297" s="4" t="s">
        <v>2308</v>
      </c>
      <c r="M1297" s="4" t="s">
        <v>2308</v>
      </c>
      <c r="N1297" s="4" t="s">
        <v>2308</v>
      </c>
      <c r="O1297" s="4" t="s">
        <v>2308</v>
      </c>
      <c r="P1297" s="4" t="s">
        <v>2308</v>
      </c>
      <c r="Q1297" s="4" t="s">
        <v>2308</v>
      </c>
      <c r="R1297" s="4" t="s">
        <v>2308</v>
      </c>
      <c r="S1297" s="4" t="s">
        <v>2308</v>
      </c>
      <c r="T1297" s="4" t="s">
        <v>2308</v>
      </c>
      <c r="U1297" s="4" t="s">
        <v>2308</v>
      </c>
      <c r="V1297" s="4" t="s">
        <v>2308</v>
      </c>
      <c r="W1297" s="4" t="s">
        <v>2308</v>
      </c>
      <c r="X1297" s="4" t="s">
        <v>2308</v>
      </c>
      <c r="Y1297" s="4" t="s">
        <v>2308</v>
      </c>
      <c r="Z1297" s="4" t="s">
        <v>2308</v>
      </c>
      <c r="AA1297" s="4" t="s">
        <v>2308</v>
      </c>
      <c r="AB1297" s="4" t="s">
        <v>2308</v>
      </c>
      <c r="AC1297" s="5" t="s">
        <v>4434</v>
      </c>
      <c r="AD1297" s="5" t="s">
        <v>4009</v>
      </c>
    </row>
    <row r="1298" spans="1:30" ht="46" customHeight="1">
      <c r="A1298" s="20" t="s">
        <v>3972</v>
      </c>
      <c r="B1298" s="20" t="s">
        <v>4006</v>
      </c>
      <c r="C1298" s="4" t="s">
        <v>24</v>
      </c>
      <c r="D1298" s="4" t="s">
        <v>25</v>
      </c>
      <c r="E1298" s="4" t="s">
        <v>5065</v>
      </c>
      <c r="F1298" s="5" t="s">
        <v>2695</v>
      </c>
      <c r="G1298" s="4" t="s">
        <v>2308</v>
      </c>
      <c r="H1298" s="4" t="s">
        <v>531</v>
      </c>
      <c r="I1298" s="4"/>
      <c r="J1298" s="4" t="s">
        <v>2308</v>
      </c>
      <c r="K1298" s="4" t="s">
        <v>2308</v>
      </c>
      <c r="L1298" s="4" t="s">
        <v>2308</v>
      </c>
      <c r="M1298" s="4" t="s">
        <v>2308</v>
      </c>
      <c r="N1298" s="4" t="s">
        <v>2308</v>
      </c>
      <c r="O1298" s="4" t="s">
        <v>2308</v>
      </c>
      <c r="P1298" s="4" t="s">
        <v>2308</v>
      </c>
      <c r="Q1298" s="4" t="s">
        <v>2308</v>
      </c>
      <c r="R1298" s="4" t="s">
        <v>2308</v>
      </c>
      <c r="S1298" s="4" t="s">
        <v>2308</v>
      </c>
      <c r="T1298" s="4" t="s">
        <v>2308</v>
      </c>
      <c r="U1298" s="4" t="s">
        <v>2308</v>
      </c>
      <c r="V1298" s="4" t="s">
        <v>2308</v>
      </c>
      <c r="W1298" s="4" t="s">
        <v>2308</v>
      </c>
      <c r="X1298" s="4" t="s">
        <v>2308</v>
      </c>
      <c r="Y1298" s="4" t="s">
        <v>2308</v>
      </c>
      <c r="Z1298" s="4" t="s">
        <v>2308</v>
      </c>
      <c r="AA1298" s="4" t="s">
        <v>2308</v>
      </c>
      <c r="AB1298" s="4" t="s">
        <v>2308</v>
      </c>
      <c r="AC1298" s="5" t="s">
        <v>4434</v>
      </c>
      <c r="AD1298" s="5" t="s">
        <v>4009</v>
      </c>
    </row>
    <row r="1299" spans="1:30" ht="46" customHeight="1">
      <c r="A1299" s="20" t="s">
        <v>3974</v>
      </c>
      <c r="B1299" s="20" t="s">
        <v>4007</v>
      </c>
      <c r="C1299" s="4" t="s">
        <v>24</v>
      </c>
      <c r="D1299" s="4" t="s">
        <v>25</v>
      </c>
      <c r="E1299" s="4" t="s">
        <v>5065</v>
      </c>
      <c r="F1299" s="5" t="s">
        <v>2695</v>
      </c>
      <c r="G1299" s="4" t="s">
        <v>2308</v>
      </c>
      <c r="H1299" s="4" t="s">
        <v>531</v>
      </c>
      <c r="I1299" s="4"/>
      <c r="J1299" s="4" t="s">
        <v>2308</v>
      </c>
      <c r="K1299" s="4" t="s">
        <v>2308</v>
      </c>
      <c r="L1299" s="4" t="s">
        <v>2308</v>
      </c>
      <c r="M1299" s="4" t="s">
        <v>2308</v>
      </c>
      <c r="N1299" s="4" t="s">
        <v>2308</v>
      </c>
      <c r="O1299" s="4" t="s">
        <v>2308</v>
      </c>
      <c r="P1299" s="4" t="s">
        <v>2308</v>
      </c>
      <c r="Q1299" s="4" t="s">
        <v>2308</v>
      </c>
      <c r="R1299" s="4" t="s">
        <v>2308</v>
      </c>
      <c r="S1299" s="4" t="s">
        <v>2308</v>
      </c>
      <c r="T1299" s="4" t="s">
        <v>2308</v>
      </c>
      <c r="U1299" s="4" t="s">
        <v>2308</v>
      </c>
      <c r="V1299" s="4" t="s">
        <v>2308</v>
      </c>
      <c r="W1299" s="4" t="s">
        <v>2308</v>
      </c>
      <c r="X1299" s="4" t="s">
        <v>2308</v>
      </c>
      <c r="Y1299" s="4" t="s">
        <v>2308</v>
      </c>
      <c r="Z1299" s="4" t="s">
        <v>2308</v>
      </c>
      <c r="AA1299" s="4" t="s">
        <v>2308</v>
      </c>
      <c r="AB1299" s="4" t="s">
        <v>2308</v>
      </c>
      <c r="AC1299" s="5" t="s">
        <v>4434</v>
      </c>
      <c r="AD1299" s="5" t="s">
        <v>4009</v>
      </c>
    </row>
    <row r="1300" spans="1:30" ht="46" customHeight="1">
      <c r="A1300" s="20" t="s">
        <v>3975</v>
      </c>
      <c r="B1300" s="20" t="s">
        <v>4008</v>
      </c>
      <c r="C1300" s="4" t="s">
        <v>24</v>
      </c>
      <c r="D1300" s="4" t="s">
        <v>25</v>
      </c>
      <c r="E1300" s="4" t="s">
        <v>5065</v>
      </c>
      <c r="F1300" s="5" t="s">
        <v>2695</v>
      </c>
      <c r="G1300" s="4" t="s">
        <v>2308</v>
      </c>
      <c r="H1300" s="4" t="s">
        <v>531</v>
      </c>
      <c r="I1300" s="4"/>
      <c r="J1300" s="4" t="s">
        <v>2308</v>
      </c>
      <c r="K1300" s="4" t="s">
        <v>2308</v>
      </c>
      <c r="L1300" s="4" t="s">
        <v>2308</v>
      </c>
      <c r="M1300" s="4" t="s">
        <v>2308</v>
      </c>
      <c r="N1300" s="4" t="s">
        <v>2308</v>
      </c>
      <c r="O1300" s="4" t="s">
        <v>2308</v>
      </c>
      <c r="P1300" s="4" t="s">
        <v>2308</v>
      </c>
      <c r="Q1300" s="4" t="s">
        <v>2308</v>
      </c>
      <c r="R1300" s="4" t="s">
        <v>2308</v>
      </c>
      <c r="S1300" s="4" t="s">
        <v>2308</v>
      </c>
      <c r="T1300" s="4" t="s">
        <v>2308</v>
      </c>
      <c r="U1300" s="4" t="s">
        <v>2308</v>
      </c>
      <c r="V1300" s="4" t="s">
        <v>2308</v>
      </c>
      <c r="W1300" s="4" t="s">
        <v>2308</v>
      </c>
      <c r="X1300" s="4" t="s">
        <v>2308</v>
      </c>
      <c r="Y1300" s="4" t="s">
        <v>2308</v>
      </c>
      <c r="Z1300" s="4" t="s">
        <v>2308</v>
      </c>
      <c r="AA1300" s="4" t="s">
        <v>2308</v>
      </c>
      <c r="AB1300" s="4" t="s">
        <v>2308</v>
      </c>
      <c r="AC1300" s="5" t="s">
        <v>4434</v>
      </c>
      <c r="AD1300" s="5" t="s">
        <v>4009</v>
      </c>
    </row>
    <row r="1301" spans="1:30" ht="46" customHeight="1">
      <c r="A1301" s="12" t="s">
        <v>3979</v>
      </c>
      <c r="B1301" s="12" t="s">
        <v>3996</v>
      </c>
      <c r="C1301" s="4" t="s">
        <v>24</v>
      </c>
      <c r="D1301" s="4" t="s">
        <v>25</v>
      </c>
      <c r="E1301" s="4" t="s">
        <v>5065</v>
      </c>
      <c r="F1301" s="5" t="s">
        <v>2695</v>
      </c>
      <c r="G1301" s="4" t="s">
        <v>2308</v>
      </c>
      <c r="H1301" s="4" t="s">
        <v>531</v>
      </c>
      <c r="I1301" s="4"/>
      <c r="J1301" s="4" t="s">
        <v>2308</v>
      </c>
      <c r="K1301" s="4" t="s">
        <v>2308</v>
      </c>
      <c r="L1301" s="4" t="s">
        <v>2308</v>
      </c>
      <c r="M1301" s="4" t="s">
        <v>2308</v>
      </c>
      <c r="N1301" s="4" t="s">
        <v>2308</v>
      </c>
      <c r="O1301" s="4" t="s">
        <v>2308</v>
      </c>
      <c r="P1301" s="4" t="s">
        <v>2308</v>
      </c>
      <c r="Q1301" s="4" t="s">
        <v>2308</v>
      </c>
      <c r="R1301" s="4" t="s">
        <v>2308</v>
      </c>
      <c r="S1301" s="4" t="s">
        <v>2308</v>
      </c>
      <c r="T1301" s="4" t="s">
        <v>2308</v>
      </c>
      <c r="U1301" s="4" t="s">
        <v>2308</v>
      </c>
      <c r="V1301" s="4" t="s">
        <v>2308</v>
      </c>
      <c r="W1301" s="4" t="s">
        <v>2308</v>
      </c>
      <c r="X1301" s="4" t="s">
        <v>2308</v>
      </c>
      <c r="Y1301" s="4" t="s">
        <v>2308</v>
      </c>
      <c r="Z1301" s="4" t="s">
        <v>2308</v>
      </c>
      <c r="AA1301" s="4" t="s">
        <v>2308</v>
      </c>
      <c r="AB1301" s="4" t="s">
        <v>2308</v>
      </c>
      <c r="AC1301" s="5" t="s">
        <v>4435</v>
      </c>
      <c r="AD1301" s="5" t="s">
        <v>4009</v>
      </c>
    </row>
    <row r="1302" spans="1:30" ht="46" customHeight="1">
      <c r="A1302" s="12" t="s">
        <v>3980</v>
      </c>
      <c r="B1302" s="12" t="s">
        <v>3997</v>
      </c>
      <c r="C1302" s="4" t="s">
        <v>24</v>
      </c>
      <c r="D1302" s="4" t="s">
        <v>25</v>
      </c>
      <c r="E1302" s="4" t="s">
        <v>5065</v>
      </c>
      <c r="F1302" s="5" t="s">
        <v>2695</v>
      </c>
      <c r="G1302" s="4" t="s">
        <v>2308</v>
      </c>
      <c r="H1302" s="4" t="s">
        <v>531</v>
      </c>
      <c r="I1302" s="4"/>
      <c r="J1302" s="4" t="s">
        <v>2308</v>
      </c>
      <c r="K1302" s="4" t="s">
        <v>2308</v>
      </c>
      <c r="L1302" s="4" t="s">
        <v>2308</v>
      </c>
      <c r="M1302" s="4" t="s">
        <v>2308</v>
      </c>
      <c r="N1302" s="4" t="s">
        <v>2308</v>
      </c>
      <c r="O1302" s="4" t="s">
        <v>2308</v>
      </c>
      <c r="P1302" s="4" t="s">
        <v>2308</v>
      </c>
      <c r="Q1302" s="4" t="s">
        <v>2308</v>
      </c>
      <c r="R1302" s="4" t="s">
        <v>2308</v>
      </c>
      <c r="S1302" s="4" t="s">
        <v>2308</v>
      </c>
      <c r="T1302" s="4" t="s">
        <v>2308</v>
      </c>
      <c r="U1302" s="4" t="s">
        <v>2308</v>
      </c>
      <c r="V1302" s="4" t="s">
        <v>2308</v>
      </c>
      <c r="W1302" s="4" t="s">
        <v>2308</v>
      </c>
      <c r="X1302" s="4" t="s">
        <v>2308</v>
      </c>
      <c r="Y1302" s="4" t="s">
        <v>2308</v>
      </c>
      <c r="Z1302" s="4" t="s">
        <v>2308</v>
      </c>
      <c r="AA1302" s="4" t="s">
        <v>2308</v>
      </c>
      <c r="AB1302" s="4" t="s">
        <v>2308</v>
      </c>
      <c r="AC1302" s="5" t="s">
        <v>4435</v>
      </c>
      <c r="AD1302" s="5" t="s">
        <v>4009</v>
      </c>
    </row>
    <row r="1303" spans="1:30" ht="46" customHeight="1">
      <c r="A1303" s="12" t="s">
        <v>3981</v>
      </c>
      <c r="B1303" s="12" t="s">
        <v>3998</v>
      </c>
      <c r="C1303" s="4" t="s">
        <v>24</v>
      </c>
      <c r="D1303" s="4" t="s">
        <v>25</v>
      </c>
      <c r="E1303" s="4" t="s">
        <v>5065</v>
      </c>
      <c r="F1303" s="5" t="s">
        <v>2695</v>
      </c>
      <c r="G1303" s="4" t="s">
        <v>2308</v>
      </c>
      <c r="H1303" s="4" t="s">
        <v>531</v>
      </c>
      <c r="I1303" s="4"/>
      <c r="J1303" s="4" t="s">
        <v>2308</v>
      </c>
      <c r="K1303" s="4" t="s">
        <v>2308</v>
      </c>
      <c r="L1303" s="4" t="s">
        <v>2308</v>
      </c>
      <c r="M1303" s="4" t="s">
        <v>2308</v>
      </c>
      <c r="N1303" s="4" t="s">
        <v>2308</v>
      </c>
      <c r="O1303" s="4" t="s">
        <v>2308</v>
      </c>
      <c r="P1303" s="4" t="s">
        <v>2308</v>
      </c>
      <c r="Q1303" s="4" t="s">
        <v>2308</v>
      </c>
      <c r="R1303" s="4" t="s">
        <v>2308</v>
      </c>
      <c r="S1303" s="4" t="s">
        <v>2308</v>
      </c>
      <c r="T1303" s="4" t="s">
        <v>2308</v>
      </c>
      <c r="U1303" s="4" t="s">
        <v>2308</v>
      </c>
      <c r="V1303" s="4" t="s">
        <v>2308</v>
      </c>
      <c r="W1303" s="4" t="s">
        <v>2308</v>
      </c>
      <c r="X1303" s="4" t="s">
        <v>2308</v>
      </c>
      <c r="Y1303" s="4" t="s">
        <v>2308</v>
      </c>
      <c r="Z1303" s="4" t="s">
        <v>2308</v>
      </c>
      <c r="AA1303" s="4" t="s">
        <v>2308</v>
      </c>
      <c r="AB1303" s="4" t="s">
        <v>2308</v>
      </c>
      <c r="AC1303" s="5" t="s">
        <v>4436</v>
      </c>
      <c r="AD1303" s="5" t="s">
        <v>4009</v>
      </c>
    </row>
    <row r="1304" spans="1:30" ht="46" customHeight="1">
      <c r="A1304" s="20" t="s">
        <v>3971</v>
      </c>
      <c r="B1304" s="20" t="s">
        <v>4010</v>
      </c>
      <c r="C1304" s="4" t="s">
        <v>2491</v>
      </c>
      <c r="D1304" s="4" t="s">
        <v>25</v>
      </c>
      <c r="E1304" s="4" t="s">
        <v>5065</v>
      </c>
      <c r="F1304" s="5" t="s">
        <v>2695</v>
      </c>
      <c r="G1304" s="4" t="s">
        <v>2308</v>
      </c>
      <c r="H1304" s="4" t="s">
        <v>531</v>
      </c>
      <c r="I1304" s="4"/>
      <c r="J1304" s="4" t="s">
        <v>2308</v>
      </c>
      <c r="K1304" s="4" t="s">
        <v>2308</v>
      </c>
      <c r="L1304" s="4" t="s">
        <v>2308</v>
      </c>
      <c r="M1304" s="4" t="s">
        <v>2308</v>
      </c>
      <c r="N1304" s="4" t="s">
        <v>2308</v>
      </c>
      <c r="O1304" s="4" t="s">
        <v>2308</v>
      </c>
      <c r="P1304" s="4" t="s">
        <v>2308</v>
      </c>
      <c r="Q1304" s="4" t="s">
        <v>2308</v>
      </c>
      <c r="R1304" s="4" t="s">
        <v>2308</v>
      </c>
      <c r="S1304" s="4" t="s">
        <v>2308</v>
      </c>
      <c r="T1304" s="4" t="s">
        <v>2308</v>
      </c>
      <c r="U1304" s="4" t="s">
        <v>2308</v>
      </c>
      <c r="V1304" s="4" t="s">
        <v>2308</v>
      </c>
      <c r="W1304" s="4" t="s">
        <v>2308</v>
      </c>
      <c r="X1304" s="4" t="s">
        <v>2308</v>
      </c>
      <c r="Y1304" s="4" t="s">
        <v>2308</v>
      </c>
      <c r="Z1304" s="4" t="s">
        <v>2308</v>
      </c>
      <c r="AA1304" s="4" t="s">
        <v>2308</v>
      </c>
      <c r="AB1304" s="4" t="s">
        <v>2308</v>
      </c>
      <c r="AC1304" s="5" t="s">
        <v>4434</v>
      </c>
      <c r="AD1304" s="5" t="s">
        <v>4009</v>
      </c>
    </row>
    <row r="1305" spans="1:30" ht="46" customHeight="1">
      <c r="A1305" s="20" t="s">
        <v>3972</v>
      </c>
      <c r="B1305" s="20" t="s">
        <v>4011</v>
      </c>
      <c r="C1305" s="4" t="s">
        <v>2491</v>
      </c>
      <c r="D1305" s="4" t="s">
        <v>25</v>
      </c>
      <c r="E1305" s="4" t="s">
        <v>5065</v>
      </c>
      <c r="F1305" s="5" t="s">
        <v>2695</v>
      </c>
      <c r="G1305" s="4" t="s">
        <v>2308</v>
      </c>
      <c r="H1305" s="4" t="s">
        <v>531</v>
      </c>
      <c r="I1305" s="4"/>
      <c r="J1305" s="4" t="s">
        <v>2308</v>
      </c>
      <c r="K1305" s="4" t="s">
        <v>2308</v>
      </c>
      <c r="L1305" s="4" t="s">
        <v>2308</v>
      </c>
      <c r="M1305" s="4" t="s">
        <v>2308</v>
      </c>
      <c r="N1305" s="4" t="s">
        <v>2308</v>
      </c>
      <c r="O1305" s="4" t="s">
        <v>2308</v>
      </c>
      <c r="P1305" s="4" t="s">
        <v>2308</v>
      </c>
      <c r="Q1305" s="4" t="s">
        <v>2308</v>
      </c>
      <c r="R1305" s="4" t="s">
        <v>2308</v>
      </c>
      <c r="S1305" s="4" t="s">
        <v>2308</v>
      </c>
      <c r="T1305" s="4" t="s">
        <v>2308</v>
      </c>
      <c r="U1305" s="4" t="s">
        <v>2308</v>
      </c>
      <c r="V1305" s="4" t="s">
        <v>2308</v>
      </c>
      <c r="W1305" s="4" t="s">
        <v>2308</v>
      </c>
      <c r="X1305" s="4" t="s">
        <v>2308</v>
      </c>
      <c r="Y1305" s="4" t="s">
        <v>2308</v>
      </c>
      <c r="Z1305" s="4" t="s">
        <v>2308</v>
      </c>
      <c r="AA1305" s="4" t="s">
        <v>2308</v>
      </c>
      <c r="AB1305" s="4" t="s">
        <v>2308</v>
      </c>
      <c r="AC1305" s="5" t="s">
        <v>4434</v>
      </c>
      <c r="AD1305" s="5" t="s">
        <v>4009</v>
      </c>
    </row>
    <row r="1306" spans="1:30" ht="46" customHeight="1">
      <c r="A1306" s="20" t="s">
        <v>3974</v>
      </c>
      <c r="B1306" s="20" t="s">
        <v>4012</v>
      </c>
      <c r="C1306" s="4" t="s">
        <v>2491</v>
      </c>
      <c r="D1306" s="4" t="s">
        <v>25</v>
      </c>
      <c r="E1306" s="4" t="s">
        <v>5065</v>
      </c>
      <c r="F1306" s="5" t="s">
        <v>2695</v>
      </c>
      <c r="G1306" s="4" t="s">
        <v>2308</v>
      </c>
      <c r="H1306" s="4" t="s">
        <v>531</v>
      </c>
      <c r="I1306" s="4"/>
      <c r="J1306" s="4" t="s">
        <v>2308</v>
      </c>
      <c r="K1306" s="4" t="s">
        <v>2308</v>
      </c>
      <c r="L1306" s="4" t="s">
        <v>2308</v>
      </c>
      <c r="M1306" s="4" t="s">
        <v>2308</v>
      </c>
      <c r="N1306" s="4" t="s">
        <v>2308</v>
      </c>
      <c r="O1306" s="4" t="s">
        <v>2308</v>
      </c>
      <c r="P1306" s="4" t="s">
        <v>2308</v>
      </c>
      <c r="Q1306" s="4" t="s">
        <v>2308</v>
      </c>
      <c r="R1306" s="4" t="s">
        <v>2308</v>
      </c>
      <c r="S1306" s="4" t="s">
        <v>2308</v>
      </c>
      <c r="T1306" s="4" t="s">
        <v>2308</v>
      </c>
      <c r="U1306" s="4" t="s">
        <v>2308</v>
      </c>
      <c r="V1306" s="4" t="s">
        <v>2308</v>
      </c>
      <c r="W1306" s="4" t="s">
        <v>2308</v>
      </c>
      <c r="X1306" s="4" t="s">
        <v>2308</v>
      </c>
      <c r="Y1306" s="4" t="s">
        <v>2308</v>
      </c>
      <c r="Z1306" s="4" t="s">
        <v>2308</v>
      </c>
      <c r="AA1306" s="4" t="s">
        <v>2308</v>
      </c>
      <c r="AB1306" s="4" t="s">
        <v>2308</v>
      </c>
      <c r="AC1306" s="5" t="s">
        <v>4434</v>
      </c>
      <c r="AD1306" s="5" t="s">
        <v>4009</v>
      </c>
    </row>
    <row r="1307" spans="1:30" ht="46" customHeight="1">
      <c r="A1307" s="20" t="s">
        <v>3975</v>
      </c>
      <c r="B1307" s="20" t="s">
        <v>4013</v>
      </c>
      <c r="C1307" s="4" t="s">
        <v>2491</v>
      </c>
      <c r="D1307" s="4" t="s">
        <v>25</v>
      </c>
      <c r="E1307" s="4" t="s">
        <v>5065</v>
      </c>
      <c r="F1307" s="5" t="s">
        <v>2695</v>
      </c>
      <c r="G1307" s="4" t="s">
        <v>2308</v>
      </c>
      <c r="H1307" s="4" t="s">
        <v>531</v>
      </c>
      <c r="I1307" s="4"/>
      <c r="J1307" s="4" t="s">
        <v>2308</v>
      </c>
      <c r="K1307" s="4" t="s">
        <v>2308</v>
      </c>
      <c r="L1307" s="4" t="s">
        <v>2308</v>
      </c>
      <c r="M1307" s="4" t="s">
        <v>2308</v>
      </c>
      <c r="N1307" s="4" t="s">
        <v>2308</v>
      </c>
      <c r="O1307" s="4" t="s">
        <v>2308</v>
      </c>
      <c r="P1307" s="4" t="s">
        <v>2308</v>
      </c>
      <c r="Q1307" s="4" t="s">
        <v>2308</v>
      </c>
      <c r="R1307" s="4" t="s">
        <v>2308</v>
      </c>
      <c r="S1307" s="4" t="s">
        <v>2308</v>
      </c>
      <c r="T1307" s="4" t="s">
        <v>2308</v>
      </c>
      <c r="U1307" s="4" t="s">
        <v>2308</v>
      </c>
      <c r="V1307" s="4" t="s">
        <v>2308</v>
      </c>
      <c r="W1307" s="4" t="s">
        <v>2308</v>
      </c>
      <c r="X1307" s="4" t="s">
        <v>2308</v>
      </c>
      <c r="Y1307" s="4" t="s">
        <v>2308</v>
      </c>
      <c r="Z1307" s="4" t="s">
        <v>2308</v>
      </c>
      <c r="AA1307" s="4" t="s">
        <v>2308</v>
      </c>
      <c r="AB1307" s="4" t="s">
        <v>2308</v>
      </c>
      <c r="AC1307" s="5" t="s">
        <v>4437</v>
      </c>
      <c r="AD1307" s="5" t="s">
        <v>4009</v>
      </c>
    </row>
    <row r="1308" spans="1:30" ht="46" customHeight="1">
      <c r="A1308" s="12" t="s">
        <v>3979</v>
      </c>
      <c r="B1308" s="12" t="s">
        <v>3999</v>
      </c>
      <c r="C1308" s="4" t="s">
        <v>2491</v>
      </c>
      <c r="D1308" s="4" t="s">
        <v>25</v>
      </c>
      <c r="E1308" s="4" t="s">
        <v>5065</v>
      </c>
      <c r="F1308" s="5" t="s">
        <v>2695</v>
      </c>
      <c r="G1308" s="4" t="s">
        <v>2308</v>
      </c>
      <c r="H1308" s="4" t="s">
        <v>531</v>
      </c>
      <c r="I1308" s="4"/>
      <c r="J1308" s="4" t="s">
        <v>2308</v>
      </c>
      <c r="K1308" s="4" t="s">
        <v>2308</v>
      </c>
      <c r="L1308" s="4" t="s">
        <v>2308</v>
      </c>
      <c r="M1308" s="4" t="s">
        <v>2308</v>
      </c>
      <c r="N1308" s="4" t="s">
        <v>2308</v>
      </c>
      <c r="O1308" s="4" t="s">
        <v>2308</v>
      </c>
      <c r="P1308" s="4" t="s">
        <v>2308</v>
      </c>
      <c r="Q1308" s="4" t="s">
        <v>2308</v>
      </c>
      <c r="R1308" s="4" t="s">
        <v>2308</v>
      </c>
      <c r="S1308" s="4" t="s">
        <v>2308</v>
      </c>
      <c r="T1308" s="4" t="s">
        <v>2308</v>
      </c>
      <c r="U1308" s="4" t="s">
        <v>2308</v>
      </c>
      <c r="V1308" s="4" t="s">
        <v>2308</v>
      </c>
      <c r="W1308" s="4" t="s">
        <v>2308</v>
      </c>
      <c r="X1308" s="4" t="s">
        <v>2308</v>
      </c>
      <c r="Y1308" s="4" t="s">
        <v>2308</v>
      </c>
      <c r="Z1308" s="4" t="s">
        <v>2308</v>
      </c>
      <c r="AA1308" s="4" t="s">
        <v>2308</v>
      </c>
      <c r="AB1308" s="4" t="s">
        <v>2308</v>
      </c>
      <c r="AC1308" s="5" t="s">
        <v>4435</v>
      </c>
      <c r="AD1308" s="5" t="s">
        <v>4009</v>
      </c>
    </row>
    <row r="1309" spans="1:30" ht="46" customHeight="1">
      <c r="A1309" s="12" t="s">
        <v>3980</v>
      </c>
      <c r="B1309" s="12" t="s">
        <v>4000</v>
      </c>
      <c r="C1309" s="4" t="s">
        <v>2491</v>
      </c>
      <c r="D1309" s="4" t="s">
        <v>25</v>
      </c>
      <c r="E1309" s="4" t="s">
        <v>5065</v>
      </c>
      <c r="F1309" s="5" t="s">
        <v>2695</v>
      </c>
      <c r="G1309" s="4" t="s">
        <v>2308</v>
      </c>
      <c r="H1309" s="4" t="s">
        <v>531</v>
      </c>
      <c r="I1309" s="4"/>
      <c r="J1309" s="4" t="s">
        <v>2308</v>
      </c>
      <c r="K1309" s="4" t="s">
        <v>2308</v>
      </c>
      <c r="L1309" s="4" t="s">
        <v>2308</v>
      </c>
      <c r="M1309" s="4" t="s">
        <v>2308</v>
      </c>
      <c r="N1309" s="4" t="s">
        <v>2308</v>
      </c>
      <c r="O1309" s="4" t="s">
        <v>2308</v>
      </c>
      <c r="P1309" s="4" t="s">
        <v>2308</v>
      </c>
      <c r="Q1309" s="4" t="s">
        <v>2308</v>
      </c>
      <c r="R1309" s="4" t="s">
        <v>2308</v>
      </c>
      <c r="S1309" s="4" t="s">
        <v>2308</v>
      </c>
      <c r="T1309" s="4" t="s">
        <v>2308</v>
      </c>
      <c r="U1309" s="4" t="s">
        <v>2308</v>
      </c>
      <c r="V1309" s="4" t="s">
        <v>2308</v>
      </c>
      <c r="W1309" s="4" t="s">
        <v>2308</v>
      </c>
      <c r="X1309" s="4" t="s">
        <v>2308</v>
      </c>
      <c r="Y1309" s="4" t="s">
        <v>2308</v>
      </c>
      <c r="Z1309" s="4" t="s">
        <v>2308</v>
      </c>
      <c r="AA1309" s="4" t="s">
        <v>2308</v>
      </c>
      <c r="AB1309" s="4" t="s">
        <v>2308</v>
      </c>
      <c r="AC1309" s="5" t="s">
        <v>4435</v>
      </c>
      <c r="AD1309" s="5" t="s">
        <v>4009</v>
      </c>
    </row>
    <row r="1310" spans="1:30" ht="46" customHeight="1">
      <c r="A1310" s="12" t="s">
        <v>3981</v>
      </c>
      <c r="B1310" s="12" t="s">
        <v>4001</v>
      </c>
      <c r="C1310" s="4" t="s">
        <v>2491</v>
      </c>
      <c r="D1310" s="4" t="s">
        <v>25</v>
      </c>
      <c r="E1310" s="4" t="s">
        <v>5065</v>
      </c>
      <c r="F1310" s="5" t="s">
        <v>2695</v>
      </c>
      <c r="G1310" s="4" t="s">
        <v>2308</v>
      </c>
      <c r="H1310" s="4" t="s">
        <v>531</v>
      </c>
      <c r="I1310" s="4"/>
      <c r="J1310" s="4" t="s">
        <v>2308</v>
      </c>
      <c r="K1310" s="4" t="s">
        <v>2308</v>
      </c>
      <c r="L1310" s="4" t="s">
        <v>2308</v>
      </c>
      <c r="M1310" s="4" t="s">
        <v>2308</v>
      </c>
      <c r="N1310" s="4" t="s">
        <v>2308</v>
      </c>
      <c r="O1310" s="4" t="s">
        <v>2308</v>
      </c>
      <c r="P1310" s="4" t="s">
        <v>2308</v>
      </c>
      <c r="Q1310" s="4" t="s">
        <v>2308</v>
      </c>
      <c r="R1310" s="4" t="s">
        <v>2308</v>
      </c>
      <c r="S1310" s="4" t="s">
        <v>2308</v>
      </c>
      <c r="T1310" s="4" t="s">
        <v>2308</v>
      </c>
      <c r="U1310" s="4" t="s">
        <v>2308</v>
      </c>
      <c r="V1310" s="4" t="s">
        <v>2308</v>
      </c>
      <c r="W1310" s="4" t="s">
        <v>2308</v>
      </c>
      <c r="X1310" s="4" t="s">
        <v>2308</v>
      </c>
      <c r="Y1310" s="4" t="s">
        <v>2308</v>
      </c>
      <c r="Z1310" s="4" t="s">
        <v>2308</v>
      </c>
      <c r="AA1310" s="4" t="s">
        <v>2308</v>
      </c>
      <c r="AB1310" s="4" t="s">
        <v>2308</v>
      </c>
      <c r="AC1310" s="5" t="s">
        <v>4436</v>
      </c>
      <c r="AD1310" s="5" t="s">
        <v>4009</v>
      </c>
    </row>
    <row r="1311" spans="1:30" ht="32" customHeight="1">
      <c r="A1311" s="12" t="s">
        <v>4016</v>
      </c>
      <c r="B1311" s="12" t="s">
        <v>4024</v>
      </c>
      <c r="C1311" s="4" t="s">
        <v>24</v>
      </c>
      <c r="D1311" s="4" t="s">
        <v>26</v>
      </c>
      <c r="E1311" s="4" t="s">
        <v>5065</v>
      </c>
      <c r="F1311" s="5" t="s">
        <v>2695</v>
      </c>
      <c r="G1311" s="4" t="s">
        <v>2308</v>
      </c>
      <c r="H1311" s="4" t="s">
        <v>531</v>
      </c>
      <c r="I1311" s="4"/>
      <c r="J1311" s="4" t="s">
        <v>2308</v>
      </c>
      <c r="K1311" s="4" t="s">
        <v>2308</v>
      </c>
      <c r="L1311" s="4" t="s">
        <v>2308</v>
      </c>
      <c r="M1311" s="4" t="s">
        <v>2308</v>
      </c>
      <c r="N1311" s="4" t="s">
        <v>2308</v>
      </c>
      <c r="O1311" s="4" t="s">
        <v>2308</v>
      </c>
      <c r="P1311" s="4" t="s">
        <v>2308</v>
      </c>
      <c r="Q1311" s="4" t="s">
        <v>2308</v>
      </c>
      <c r="R1311" s="4" t="s">
        <v>2308</v>
      </c>
      <c r="S1311" s="4" t="s">
        <v>2308</v>
      </c>
      <c r="T1311" s="4" t="s">
        <v>2308</v>
      </c>
      <c r="U1311" s="4" t="s">
        <v>2308</v>
      </c>
      <c r="V1311" s="4" t="s">
        <v>2308</v>
      </c>
      <c r="W1311" s="4" t="s">
        <v>2308</v>
      </c>
      <c r="X1311" s="4" t="s">
        <v>2308</v>
      </c>
      <c r="Y1311" s="4" t="s">
        <v>2308</v>
      </c>
      <c r="Z1311" s="4" t="s">
        <v>2308</v>
      </c>
      <c r="AA1311" s="4" t="s">
        <v>2308</v>
      </c>
      <c r="AB1311" s="4" t="s">
        <v>2308</v>
      </c>
      <c r="AC1311" s="4" t="s">
        <v>4028</v>
      </c>
      <c r="AD1311" s="4"/>
    </row>
    <row r="1312" spans="1:30" ht="37" customHeight="1">
      <c r="A1312" s="12" t="s">
        <v>4016</v>
      </c>
      <c r="B1312" s="12" t="s">
        <v>4026</v>
      </c>
      <c r="C1312" s="4" t="s">
        <v>24</v>
      </c>
      <c r="D1312" s="4" t="s">
        <v>26</v>
      </c>
      <c r="E1312" s="4" t="s">
        <v>45</v>
      </c>
      <c r="F1312" s="5" t="s">
        <v>2695</v>
      </c>
      <c r="G1312" s="4" t="s">
        <v>2308</v>
      </c>
      <c r="H1312" s="4" t="s">
        <v>531</v>
      </c>
      <c r="I1312" s="4"/>
      <c r="J1312" s="4" t="s">
        <v>2308</v>
      </c>
      <c r="K1312" s="4" t="s">
        <v>2308</v>
      </c>
      <c r="L1312" s="4" t="s">
        <v>2308</v>
      </c>
      <c r="M1312" s="4" t="s">
        <v>2308</v>
      </c>
      <c r="N1312" s="4" t="s">
        <v>2308</v>
      </c>
      <c r="O1312" s="4" t="s">
        <v>2308</v>
      </c>
      <c r="P1312" s="4" t="s">
        <v>2308</v>
      </c>
      <c r="Q1312" s="4" t="s">
        <v>2308</v>
      </c>
      <c r="R1312" s="4" t="s">
        <v>2308</v>
      </c>
      <c r="S1312" s="4" t="s">
        <v>2308</v>
      </c>
      <c r="T1312" s="4" t="s">
        <v>2308</v>
      </c>
      <c r="U1312" s="4" t="s">
        <v>2308</v>
      </c>
      <c r="V1312" s="4" t="s">
        <v>2308</v>
      </c>
      <c r="W1312" s="4" t="s">
        <v>2308</v>
      </c>
      <c r="X1312" s="4" t="s">
        <v>2308</v>
      </c>
      <c r="Y1312" s="4" t="s">
        <v>2308</v>
      </c>
      <c r="Z1312" s="4" t="s">
        <v>2308</v>
      </c>
      <c r="AA1312" s="4" t="s">
        <v>2308</v>
      </c>
      <c r="AB1312" s="4" t="s">
        <v>2308</v>
      </c>
      <c r="AC1312" s="4" t="s">
        <v>4028</v>
      </c>
      <c r="AD1312" s="4"/>
    </row>
    <row r="1313" spans="1:30" ht="32" customHeight="1">
      <c r="A1313" s="12" t="s">
        <v>4016</v>
      </c>
      <c r="B1313" s="12" t="s">
        <v>4030</v>
      </c>
      <c r="C1313" s="4" t="s">
        <v>24</v>
      </c>
      <c r="D1313" s="4" t="s">
        <v>26</v>
      </c>
      <c r="E1313" s="4" t="s">
        <v>5065</v>
      </c>
      <c r="F1313" s="5" t="s">
        <v>74</v>
      </c>
      <c r="G1313" s="4" t="s">
        <v>2308</v>
      </c>
      <c r="H1313" s="4" t="s">
        <v>531</v>
      </c>
      <c r="I1313" s="4"/>
      <c r="J1313" s="4" t="s">
        <v>2308</v>
      </c>
      <c r="K1313" s="4" t="s">
        <v>2308</v>
      </c>
      <c r="L1313" s="4" t="s">
        <v>2308</v>
      </c>
      <c r="M1313" s="4" t="s">
        <v>2308</v>
      </c>
      <c r="N1313" s="4" t="s">
        <v>2308</v>
      </c>
      <c r="O1313" s="4" t="s">
        <v>2308</v>
      </c>
      <c r="P1313" s="4" t="s">
        <v>2308</v>
      </c>
      <c r="Q1313" s="4" t="s">
        <v>2308</v>
      </c>
      <c r="R1313" s="4" t="s">
        <v>2308</v>
      </c>
      <c r="S1313" s="4" t="s">
        <v>2308</v>
      </c>
      <c r="T1313" s="4" t="s">
        <v>2308</v>
      </c>
      <c r="U1313" s="4" t="s">
        <v>2308</v>
      </c>
      <c r="V1313" s="4" t="s">
        <v>2308</v>
      </c>
      <c r="W1313" s="4" t="s">
        <v>2308</v>
      </c>
      <c r="X1313" s="4" t="s">
        <v>2308</v>
      </c>
      <c r="Y1313" s="4" t="s">
        <v>2308</v>
      </c>
      <c r="Z1313" s="4" t="s">
        <v>2308</v>
      </c>
      <c r="AA1313" s="4" t="s">
        <v>2308</v>
      </c>
      <c r="AB1313" s="4" t="s">
        <v>2308</v>
      </c>
      <c r="AC1313" s="4" t="s">
        <v>4028</v>
      </c>
      <c r="AD1313" s="4"/>
    </row>
    <row r="1314" spans="1:30" ht="31" customHeight="1">
      <c r="A1314" s="12" t="s">
        <v>4016</v>
      </c>
      <c r="B1314" s="12" t="s">
        <v>4031</v>
      </c>
      <c r="C1314" s="4" t="s">
        <v>24</v>
      </c>
      <c r="D1314" s="4" t="s">
        <v>26</v>
      </c>
      <c r="E1314" s="4" t="s">
        <v>45</v>
      </c>
      <c r="F1314" s="5" t="s">
        <v>74</v>
      </c>
      <c r="G1314" s="4" t="s">
        <v>2308</v>
      </c>
      <c r="H1314" s="4" t="s">
        <v>531</v>
      </c>
      <c r="I1314" s="4"/>
      <c r="J1314" s="4" t="s">
        <v>2308</v>
      </c>
      <c r="K1314" s="4" t="s">
        <v>2308</v>
      </c>
      <c r="L1314" s="4" t="s">
        <v>2308</v>
      </c>
      <c r="M1314" s="4" t="s">
        <v>2308</v>
      </c>
      <c r="N1314" s="4" t="s">
        <v>2308</v>
      </c>
      <c r="O1314" s="4" t="s">
        <v>2308</v>
      </c>
      <c r="P1314" s="4" t="s">
        <v>2308</v>
      </c>
      <c r="Q1314" s="4" t="s">
        <v>2308</v>
      </c>
      <c r="R1314" s="4" t="s">
        <v>2308</v>
      </c>
      <c r="S1314" s="4" t="s">
        <v>2308</v>
      </c>
      <c r="T1314" s="4" t="s">
        <v>2308</v>
      </c>
      <c r="U1314" s="4" t="s">
        <v>2308</v>
      </c>
      <c r="V1314" s="4" t="s">
        <v>2308</v>
      </c>
      <c r="W1314" s="4" t="s">
        <v>2308</v>
      </c>
      <c r="X1314" s="4" t="s">
        <v>2308</v>
      </c>
      <c r="Y1314" s="4" t="s">
        <v>2308</v>
      </c>
      <c r="Z1314" s="4" t="s">
        <v>2308</v>
      </c>
      <c r="AA1314" s="4" t="s">
        <v>2308</v>
      </c>
      <c r="AB1314" s="4" t="s">
        <v>2308</v>
      </c>
      <c r="AC1314" s="4" t="s">
        <v>4028</v>
      </c>
      <c r="AD1314" s="4"/>
    </row>
    <row r="1315" spans="1:30" ht="37" customHeight="1">
      <c r="A1315" s="12" t="s">
        <v>4021</v>
      </c>
      <c r="B1315" s="12" t="s">
        <v>4025</v>
      </c>
      <c r="C1315" s="4" t="s">
        <v>24</v>
      </c>
      <c r="D1315" s="4" t="s">
        <v>26</v>
      </c>
      <c r="E1315" s="4" t="s">
        <v>5065</v>
      </c>
      <c r="F1315" s="5" t="s">
        <v>2695</v>
      </c>
      <c r="G1315" s="4" t="s">
        <v>2308</v>
      </c>
      <c r="H1315" s="4" t="s">
        <v>532</v>
      </c>
      <c r="I1315" s="4"/>
      <c r="J1315" s="22">
        <v>0</v>
      </c>
      <c r="K1315" s="22">
        <v>0</v>
      </c>
      <c r="L1315" s="22">
        <v>0</v>
      </c>
      <c r="M1315" s="22">
        <v>0</v>
      </c>
      <c r="N1315" s="22">
        <v>0</v>
      </c>
      <c r="O1315" s="22">
        <v>0</v>
      </c>
      <c r="P1315" s="22">
        <v>0</v>
      </c>
      <c r="Q1315" s="22">
        <v>0</v>
      </c>
      <c r="R1315" s="22">
        <v>0</v>
      </c>
      <c r="S1315" s="22">
        <v>0</v>
      </c>
      <c r="T1315" s="22">
        <v>0</v>
      </c>
      <c r="U1315" s="22">
        <v>0</v>
      </c>
      <c r="V1315" s="22">
        <v>0</v>
      </c>
      <c r="W1315" s="22">
        <v>0</v>
      </c>
      <c r="X1315" s="22">
        <v>0</v>
      </c>
      <c r="Y1315" s="4" t="s">
        <v>2308</v>
      </c>
      <c r="Z1315" s="4" t="s">
        <v>2308</v>
      </c>
      <c r="AA1315" s="4" t="s">
        <v>2308</v>
      </c>
      <c r="AB1315" s="4" t="s">
        <v>2308</v>
      </c>
      <c r="AC1315" s="5" t="s">
        <v>4029</v>
      </c>
      <c r="AD1315" s="4"/>
    </row>
    <row r="1316" spans="1:30" ht="37" customHeight="1">
      <c r="A1316" s="12" t="s">
        <v>4021</v>
      </c>
      <c r="B1316" s="12" t="s">
        <v>4027</v>
      </c>
      <c r="C1316" s="4" t="s">
        <v>24</v>
      </c>
      <c r="D1316" s="4" t="s">
        <v>26</v>
      </c>
      <c r="E1316" s="4" t="s">
        <v>45</v>
      </c>
      <c r="F1316" s="5" t="s">
        <v>2695</v>
      </c>
      <c r="G1316" s="4" t="s">
        <v>2308</v>
      </c>
      <c r="H1316" s="4" t="s">
        <v>532</v>
      </c>
      <c r="I1316" s="4"/>
      <c r="J1316" s="22">
        <v>0</v>
      </c>
      <c r="K1316" s="22">
        <v>0</v>
      </c>
      <c r="L1316" s="22">
        <v>0</v>
      </c>
      <c r="M1316" s="22">
        <v>0</v>
      </c>
      <c r="N1316" s="22">
        <v>0</v>
      </c>
      <c r="O1316" s="22">
        <v>0</v>
      </c>
      <c r="P1316" s="22">
        <v>0</v>
      </c>
      <c r="Q1316" s="22">
        <v>0</v>
      </c>
      <c r="R1316" s="22">
        <v>0</v>
      </c>
      <c r="S1316" s="22">
        <v>0</v>
      </c>
      <c r="T1316" s="22">
        <v>0</v>
      </c>
      <c r="U1316" s="22">
        <v>0</v>
      </c>
      <c r="V1316" s="22">
        <v>0</v>
      </c>
      <c r="W1316" s="22">
        <v>0</v>
      </c>
      <c r="X1316" s="22">
        <v>0</v>
      </c>
      <c r="Y1316" s="4" t="s">
        <v>2308</v>
      </c>
      <c r="Z1316" s="4" t="s">
        <v>2308</v>
      </c>
      <c r="AA1316" s="4" t="s">
        <v>2308</v>
      </c>
      <c r="AB1316" s="4" t="s">
        <v>2308</v>
      </c>
      <c r="AC1316" s="5" t="s">
        <v>4029</v>
      </c>
      <c r="AD1316" s="4"/>
    </row>
    <row r="1317" spans="1:30" ht="37" customHeight="1">
      <c r="A1317" s="12" t="s">
        <v>4021</v>
      </c>
      <c r="B1317" s="12" t="s">
        <v>4032</v>
      </c>
      <c r="C1317" s="4" t="s">
        <v>24</v>
      </c>
      <c r="D1317" s="4" t="s">
        <v>26</v>
      </c>
      <c r="E1317" s="4" t="s">
        <v>5065</v>
      </c>
      <c r="F1317" s="5" t="s">
        <v>74</v>
      </c>
      <c r="G1317" s="4" t="s">
        <v>2308</v>
      </c>
      <c r="H1317" s="4" t="s">
        <v>532</v>
      </c>
      <c r="I1317" s="4"/>
      <c r="J1317" s="22">
        <v>0</v>
      </c>
      <c r="K1317" s="22">
        <v>0</v>
      </c>
      <c r="L1317" s="22">
        <v>0</v>
      </c>
      <c r="M1317" s="22">
        <v>0</v>
      </c>
      <c r="N1317" s="22">
        <v>0</v>
      </c>
      <c r="O1317" s="22">
        <v>0</v>
      </c>
      <c r="P1317" s="22">
        <v>0</v>
      </c>
      <c r="Q1317" s="22">
        <v>0</v>
      </c>
      <c r="R1317" s="22">
        <v>0</v>
      </c>
      <c r="S1317" s="22">
        <v>0</v>
      </c>
      <c r="T1317" s="22">
        <v>0</v>
      </c>
      <c r="U1317" s="22">
        <v>0</v>
      </c>
      <c r="V1317" s="22">
        <v>0</v>
      </c>
      <c r="W1317" s="22">
        <v>0</v>
      </c>
      <c r="X1317" s="22">
        <v>0</v>
      </c>
      <c r="Y1317" s="4" t="s">
        <v>2308</v>
      </c>
      <c r="Z1317" s="4" t="s">
        <v>2308</v>
      </c>
      <c r="AA1317" s="4" t="s">
        <v>2308</v>
      </c>
      <c r="AB1317" s="4" t="s">
        <v>2308</v>
      </c>
      <c r="AC1317" s="5" t="s">
        <v>4029</v>
      </c>
      <c r="AD1317" s="4"/>
    </row>
    <row r="1318" spans="1:30" ht="37" customHeight="1">
      <c r="A1318" s="12" t="s">
        <v>4021</v>
      </c>
      <c r="B1318" s="12" t="s">
        <v>4033</v>
      </c>
      <c r="C1318" s="4" t="s">
        <v>24</v>
      </c>
      <c r="D1318" s="4" t="s">
        <v>26</v>
      </c>
      <c r="E1318" s="4" t="s">
        <v>45</v>
      </c>
      <c r="F1318" s="5" t="s">
        <v>74</v>
      </c>
      <c r="G1318" s="4" t="s">
        <v>2308</v>
      </c>
      <c r="H1318" s="4" t="s">
        <v>532</v>
      </c>
      <c r="I1318" s="4"/>
      <c r="J1318" s="22">
        <v>0</v>
      </c>
      <c r="K1318" s="22">
        <v>0</v>
      </c>
      <c r="L1318" s="22">
        <v>0</v>
      </c>
      <c r="M1318" s="22">
        <v>0</v>
      </c>
      <c r="N1318" s="22">
        <v>0</v>
      </c>
      <c r="O1318" s="22">
        <v>0</v>
      </c>
      <c r="P1318" s="22">
        <v>0</v>
      </c>
      <c r="Q1318" s="22">
        <v>0</v>
      </c>
      <c r="R1318" s="22">
        <v>0</v>
      </c>
      <c r="S1318" s="22">
        <v>0</v>
      </c>
      <c r="T1318" s="22">
        <v>0</v>
      </c>
      <c r="U1318" s="22">
        <v>0</v>
      </c>
      <c r="V1318" s="22">
        <v>0</v>
      </c>
      <c r="W1318" s="22">
        <v>0</v>
      </c>
      <c r="X1318" s="22">
        <v>0</v>
      </c>
      <c r="Y1318" s="4" t="s">
        <v>2308</v>
      </c>
      <c r="Z1318" s="4" t="s">
        <v>2308</v>
      </c>
      <c r="AA1318" s="4" t="s">
        <v>2308</v>
      </c>
      <c r="AB1318" s="4" t="s">
        <v>2308</v>
      </c>
      <c r="AC1318" s="5" t="s">
        <v>4029</v>
      </c>
      <c r="AD1318" s="4"/>
    </row>
    <row r="1319" spans="1:30" ht="35.5" customHeight="1">
      <c r="A1319" s="12" t="s">
        <v>4021</v>
      </c>
      <c r="B1319" s="12" t="s">
        <v>4034</v>
      </c>
      <c r="C1319" s="4" t="s">
        <v>24</v>
      </c>
      <c r="D1319" s="4" t="s">
        <v>3525</v>
      </c>
      <c r="E1319" s="4" t="s">
        <v>116</v>
      </c>
      <c r="F1319" s="5" t="s">
        <v>2695</v>
      </c>
      <c r="G1319" s="4" t="s">
        <v>2308</v>
      </c>
      <c r="H1319" s="4" t="s">
        <v>531</v>
      </c>
      <c r="I1319" s="4"/>
      <c r="J1319" s="4" t="s">
        <v>2308</v>
      </c>
      <c r="K1319" s="4" t="s">
        <v>2308</v>
      </c>
      <c r="L1319" s="4" t="s">
        <v>2308</v>
      </c>
      <c r="M1319" s="4" t="s">
        <v>2308</v>
      </c>
      <c r="N1319" s="4" t="s">
        <v>2308</v>
      </c>
      <c r="O1319" s="4" t="s">
        <v>2308</v>
      </c>
      <c r="P1319" s="4" t="s">
        <v>2308</v>
      </c>
      <c r="Q1319" s="4" t="s">
        <v>2308</v>
      </c>
      <c r="R1319" s="4" t="s">
        <v>2308</v>
      </c>
      <c r="S1319" s="4" t="s">
        <v>2308</v>
      </c>
      <c r="T1319" s="4" t="s">
        <v>2308</v>
      </c>
      <c r="U1319" s="4" t="s">
        <v>2308</v>
      </c>
      <c r="V1319" s="4" t="s">
        <v>2308</v>
      </c>
      <c r="W1319" s="4" t="s">
        <v>2308</v>
      </c>
      <c r="X1319" s="4" t="s">
        <v>2308</v>
      </c>
      <c r="Y1319" s="4" t="s">
        <v>2308</v>
      </c>
      <c r="Z1319" s="4" t="s">
        <v>2308</v>
      </c>
      <c r="AA1319" s="4" t="s">
        <v>2308</v>
      </c>
      <c r="AB1319" s="4" t="s">
        <v>2308</v>
      </c>
      <c r="AC1319" s="4"/>
      <c r="AD1319" s="4"/>
    </row>
    <row r="1320" spans="1:30" ht="47.5" customHeight="1">
      <c r="A1320" s="12" t="s">
        <v>4038</v>
      </c>
      <c r="B1320" s="12" t="s">
        <v>4046</v>
      </c>
      <c r="C1320" s="4" t="s">
        <v>24</v>
      </c>
      <c r="D1320" s="4" t="s">
        <v>25</v>
      </c>
      <c r="E1320" s="4" t="s">
        <v>5065</v>
      </c>
      <c r="F1320" s="5" t="s">
        <v>29</v>
      </c>
      <c r="G1320" s="4" t="s">
        <v>2308</v>
      </c>
      <c r="H1320" s="4" t="s">
        <v>531</v>
      </c>
      <c r="I1320" s="4"/>
      <c r="J1320" s="4" t="s">
        <v>2308</v>
      </c>
      <c r="K1320" s="4" t="s">
        <v>2308</v>
      </c>
      <c r="L1320" s="4" t="s">
        <v>2308</v>
      </c>
      <c r="M1320" s="4" t="s">
        <v>2308</v>
      </c>
      <c r="N1320" s="4" t="s">
        <v>2308</v>
      </c>
      <c r="O1320" s="4" t="s">
        <v>2308</v>
      </c>
      <c r="P1320" s="4" t="s">
        <v>2308</v>
      </c>
      <c r="Q1320" s="4" t="s">
        <v>2308</v>
      </c>
      <c r="R1320" s="4" t="s">
        <v>2308</v>
      </c>
      <c r="S1320" s="4" t="s">
        <v>2308</v>
      </c>
      <c r="T1320" s="4" t="s">
        <v>2308</v>
      </c>
      <c r="U1320" s="4" t="s">
        <v>2308</v>
      </c>
      <c r="V1320" s="4" t="s">
        <v>2308</v>
      </c>
      <c r="W1320" s="4" t="s">
        <v>2308</v>
      </c>
      <c r="X1320" s="4" t="s">
        <v>2308</v>
      </c>
      <c r="Y1320" s="4" t="s">
        <v>2308</v>
      </c>
      <c r="Z1320" s="4" t="s">
        <v>2308</v>
      </c>
      <c r="AA1320" s="4" t="s">
        <v>2308</v>
      </c>
      <c r="AB1320" s="4" t="s">
        <v>2308</v>
      </c>
      <c r="AC1320" s="4" t="s">
        <v>4059</v>
      </c>
      <c r="AD1320" s="4"/>
    </row>
    <row r="1321" spans="1:30" ht="46" customHeight="1">
      <c r="A1321" s="12" t="s">
        <v>4038</v>
      </c>
      <c r="B1321" s="12" t="s">
        <v>4050</v>
      </c>
      <c r="C1321" s="4" t="s">
        <v>24</v>
      </c>
      <c r="D1321" s="4" t="s">
        <v>2837</v>
      </c>
      <c r="E1321" s="4" t="s">
        <v>5065</v>
      </c>
      <c r="F1321" s="5" t="s">
        <v>2695</v>
      </c>
      <c r="G1321" s="4" t="s">
        <v>2308</v>
      </c>
      <c r="H1321" s="4" t="s">
        <v>531</v>
      </c>
      <c r="I1321" s="4"/>
      <c r="J1321" s="4" t="s">
        <v>2308</v>
      </c>
      <c r="K1321" s="4" t="s">
        <v>2308</v>
      </c>
      <c r="L1321" s="4" t="s">
        <v>2308</v>
      </c>
      <c r="M1321" s="4" t="s">
        <v>2308</v>
      </c>
      <c r="N1321" s="4" t="s">
        <v>2308</v>
      </c>
      <c r="O1321" s="4" t="s">
        <v>2308</v>
      </c>
      <c r="P1321" s="4" t="s">
        <v>2308</v>
      </c>
      <c r="Q1321" s="4" t="s">
        <v>2308</v>
      </c>
      <c r="R1321" s="4" t="s">
        <v>2308</v>
      </c>
      <c r="S1321" s="4" t="s">
        <v>2308</v>
      </c>
      <c r="T1321" s="4" t="s">
        <v>2308</v>
      </c>
      <c r="U1321" s="4" t="s">
        <v>2308</v>
      </c>
      <c r="V1321" s="4" t="s">
        <v>2308</v>
      </c>
      <c r="W1321" s="4" t="s">
        <v>2308</v>
      </c>
      <c r="X1321" s="4" t="s">
        <v>2308</v>
      </c>
      <c r="Y1321" s="4" t="s">
        <v>2308</v>
      </c>
      <c r="Z1321" s="4" t="s">
        <v>2308</v>
      </c>
      <c r="AA1321" s="4" t="s">
        <v>2308</v>
      </c>
      <c r="AB1321" s="4" t="s">
        <v>2308</v>
      </c>
      <c r="AC1321" s="4" t="s">
        <v>4060</v>
      </c>
      <c r="AD1321" s="4"/>
    </row>
    <row r="1322" spans="1:30" ht="53.5" customHeight="1">
      <c r="A1322" s="12" t="s">
        <v>4039</v>
      </c>
      <c r="B1322" s="12" t="s">
        <v>4053</v>
      </c>
      <c r="C1322" s="4" t="s">
        <v>24</v>
      </c>
      <c r="D1322" s="4" t="s">
        <v>25</v>
      </c>
      <c r="E1322" s="5" t="s">
        <v>3903</v>
      </c>
      <c r="F1322" s="5" t="s">
        <v>29</v>
      </c>
      <c r="G1322" s="4" t="s">
        <v>2308</v>
      </c>
      <c r="H1322" s="4" t="s">
        <v>531</v>
      </c>
      <c r="I1322" s="4"/>
      <c r="J1322" s="4" t="s">
        <v>2308</v>
      </c>
      <c r="K1322" s="4" t="s">
        <v>2308</v>
      </c>
      <c r="L1322" s="4" t="s">
        <v>2308</v>
      </c>
      <c r="M1322" s="4" t="s">
        <v>2308</v>
      </c>
      <c r="N1322" s="4" t="s">
        <v>2308</v>
      </c>
      <c r="O1322" s="4" t="s">
        <v>2308</v>
      </c>
      <c r="P1322" s="4" t="s">
        <v>2308</v>
      </c>
      <c r="Q1322" s="4" t="s">
        <v>2308</v>
      </c>
      <c r="R1322" s="4" t="s">
        <v>2308</v>
      </c>
      <c r="S1322" s="4" t="s">
        <v>2308</v>
      </c>
      <c r="T1322" s="4" t="s">
        <v>2308</v>
      </c>
      <c r="U1322" s="4" t="s">
        <v>2308</v>
      </c>
      <c r="V1322" s="4" t="s">
        <v>2308</v>
      </c>
      <c r="W1322" s="4" t="s">
        <v>2308</v>
      </c>
      <c r="X1322" s="4" t="s">
        <v>2308</v>
      </c>
      <c r="Y1322" s="4" t="s">
        <v>2308</v>
      </c>
      <c r="Z1322" s="4" t="s">
        <v>2308</v>
      </c>
      <c r="AA1322" s="4" t="s">
        <v>2308</v>
      </c>
      <c r="AB1322" s="4" t="s">
        <v>2308</v>
      </c>
      <c r="AC1322" s="4" t="s">
        <v>4059</v>
      </c>
      <c r="AD1322" s="4"/>
    </row>
    <row r="1323" spans="1:30" ht="55.5" customHeight="1">
      <c r="A1323" s="12" t="s">
        <v>4039</v>
      </c>
      <c r="B1323" s="12" t="s">
        <v>4054</v>
      </c>
      <c r="C1323" s="4" t="s">
        <v>24</v>
      </c>
      <c r="D1323" s="4" t="s">
        <v>2837</v>
      </c>
      <c r="E1323" s="5" t="s">
        <v>3903</v>
      </c>
      <c r="F1323" s="5" t="s">
        <v>2695</v>
      </c>
      <c r="G1323" s="4" t="s">
        <v>2308</v>
      </c>
      <c r="H1323" s="4" t="s">
        <v>531</v>
      </c>
      <c r="I1323" s="4"/>
      <c r="J1323" s="4" t="s">
        <v>2308</v>
      </c>
      <c r="K1323" s="4" t="s">
        <v>2308</v>
      </c>
      <c r="L1323" s="4" t="s">
        <v>2308</v>
      </c>
      <c r="M1323" s="4" t="s">
        <v>2308</v>
      </c>
      <c r="N1323" s="4" t="s">
        <v>2308</v>
      </c>
      <c r="O1323" s="4" t="s">
        <v>2308</v>
      </c>
      <c r="P1323" s="4" t="s">
        <v>2308</v>
      </c>
      <c r="Q1323" s="4" t="s">
        <v>2308</v>
      </c>
      <c r="R1323" s="4" t="s">
        <v>2308</v>
      </c>
      <c r="S1323" s="4" t="s">
        <v>2308</v>
      </c>
      <c r="T1323" s="4" t="s">
        <v>2308</v>
      </c>
      <c r="U1323" s="4" t="s">
        <v>2308</v>
      </c>
      <c r="V1323" s="4" t="s">
        <v>2308</v>
      </c>
      <c r="W1323" s="4" t="s">
        <v>2308</v>
      </c>
      <c r="X1323" s="4" t="s">
        <v>2308</v>
      </c>
      <c r="Y1323" s="4" t="s">
        <v>2308</v>
      </c>
      <c r="Z1323" s="4" t="s">
        <v>2308</v>
      </c>
      <c r="AA1323" s="4" t="s">
        <v>2308</v>
      </c>
      <c r="AB1323" s="4" t="s">
        <v>2308</v>
      </c>
      <c r="AC1323" s="4" t="s">
        <v>4060</v>
      </c>
      <c r="AD1323" s="4"/>
    </row>
    <row r="1324" spans="1:30" ht="49.5" customHeight="1">
      <c r="A1324" s="12" t="s">
        <v>4039</v>
      </c>
      <c r="B1324" s="12" t="s">
        <v>4047</v>
      </c>
      <c r="C1324" s="4" t="s">
        <v>24</v>
      </c>
      <c r="D1324" s="4" t="s">
        <v>25</v>
      </c>
      <c r="E1324" s="4" t="s">
        <v>5065</v>
      </c>
      <c r="F1324" s="5" t="s">
        <v>29</v>
      </c>
      <c r="G1324" s="4" t="s">
        <v>2308</v>
      </c>
      <c r="H1324" s="4" t="s">
        <v>531</v>
      </c>
      <c r="I1324" s="4"/>
      <c r="J1324" s="4" t="s">
        <v>2308</v>
      </c>
      <c r="K1324" s="4" t="s">
        <v>2308</v>
      </c>
      <c r="L1324" s="4" t="s">
        <v>2308</v>
      </c>
      <c r="M1324" s="4" t="s">
        <v>2308</v>
      </c>
      <c r="N1324" s="4" t="s">
        <v>2308</v>
      </c>
      <c r="O1324" s="4" t="s">
        <v>2308</v>
      </c>
      <c r="P1324" s="4" t="s">
        <v>2308</v>
      </c>
      <c r="Q1324" s="4" t="s">
        <v>2308</v>
      </c>
      <c r="R1324" s="4" t="s">
        <v>2308</v>
      </c>
      <c r="S1324" s="4" t="s">
        <v>2308</v>
      </c>
      <c r="T1324" s="4" t="s">
        <v>2308</v>
      </c>
      <c r="U1324" s="4" t="s">
        <v>2308</v>
      </c>
      <c r="V1324" s="4" t="s">
        <v>2308</v>
      </c>
      <c r="W1324" s="4" t="s">
        <v>2308</v>
      </c>
      <c r="X1324" s="4" t="s">
        <v>2308</v>
      </c>
      <c r="Y1324" s="4" t="s">
        <v>2308</v>
      </c>
      <c r="Z1324" s="4" t="s">
        <v>2308</v>
      </c>
      <c r="AA1324" s="4" t="s">
        <v>2308</v>
      </c>
      <c r="AB1324" s="4" t="s">
        <v>2308</v>
      </c>
      <c r="AC1324" s="4" t="s">
        <v>4061</v>
      </c>
      <c r="AD1324" s="4"/>
    </row>
    <row r="1325" spans="1:30" ht="53" customHeight="1">
      <c r="A1325" s="12" t="s">
        <v>4039</v>
      </c>
      <c r="B1325" s="12" t="s">
        <v>4051</v>
      </c>
      <c r="C1325" s="4" t="s">
        <v>24</v>
      </c>
      <c r="D1325" s="4" t="s">
        <v>2837</v>
      </c>
      <c r="E1325" s="4" t="s">
        <v>5065</v>
      </c>
      <c r="F1325" s="5" t="s">
        <v>2695</v>
      </c>
      <c r="G1325" s="4" t="s">
        <v>2308</v>
      </c>
      <c r="H1325" s="4" t="s">
        <v>531</v>
      </c>
      <c r="I1325" s="4"/>
      <c r="J1325" s="4" t="s">
        <v>2308</v>
      </c>
      <c r="K1325" s="4" t="s">
        <v>2308</v>
      </c>
      <c r="L1325" s="4" t="s">
        <v>2308</v>
      </c>
      <c r="M1325" s="4" t="s">
        <v>2308</v>
      </c>
      <c r="N1325" s="4" t="s">
        <v>2308</v>
      </c>
      <c r="O1325" s="4" t="s">
        <v>2308</v>
      </c>
      <c r="P1325" s="4" t="s">
        <v>2308</v>
      </c>
      <c r="Q1325" s="4" t="s">
        <v>2308</v>
      </c>
      <c r="R1325" s="4" t="s">
        <v>2308</v>
      </c>
      <c r="S1325" s="4" t="s">
        <v>2308</v>
      </c>
      <c r="T1325" s="4" t="s">
        <v>2308</v>
      </c>
      <c r="U1325" s="4" t="s">
        <v>2308</v>
      </c>
      <c r="V1325" s="4" t="s">
        <v>2308</v>
      </c>
      <c r="W1325" s="4" t="s">
        <v>2308</v>
      </c>
      <c r="X1325" s="4" t="s">
        <v>2308</v>
      </c>
      <c r="Y1325" s="4" t="s">
        <v>2308</v>
      </c>
      <c r="Z1325" s="4" t="s">
        <v>2308</v>
      </c>
      <c r="AA1325" s="4" t="s">
        <v>2308</v>
      </c>
      <c r="AB1325" s="4" t="s">
        <v>2308</v>
      </c>
      <c r="AC1325" s="4" t="s">
        <v>4063</v>
      </c>
      <c r="AD1325" s="4"/>
    </row>
    <row r="1326" spans="1:30" ht="50.5" customHeight="1">
      <c r="A1326" s="12" t="s">
        <v>4039</v>
      </c>
      <c r="B1326" s="12" t="s">
        <v>4055</v>
      </c>
      <c r="C1326" s="4" t="s">
        <v>24</v>
      </c>
      <c r="D1326" s="4" t="s">
        <v>25</v>
      </c>
      <c r="E1326" s="5" t="s">
        <v>3903</v>
      </c>
      <c r="F1326" s="5" t="s">
        <v>29</v>
      </c>
      <c r="G1326" s="4" t="s">
        <v>2308</v>
      </c>
      <c r="H1326" s="4" t="s">
        <v>531</v>
      </c>
      <c r="I1326" s="4"/>
      <c r="J1326" s="4" t="s">
        <v>2308</v>
      </c>
      <c r="K1326" s="4" t="s">
        <v>2308</v>
      </c>
      <c r="L1326" s="4" t="s">
        <v>2308</v>
      </c>
      <c r="M1326" s="4" t="s">
        <v>2308</v>
      </c>
      <c r="N1326" s="4" t="s">
        <v>2308</v>
      </c>
      <c r="O1326" s="4" t="s">
        <v>2308</v>
      </c>
      <c r="P1326" s="4" t="s">
        <v>2308</v>
      </c>
      <c r="Q1326" s="4" t="s">
        <v>2308</v>
      </c>
      <c r="R1326" s="4" t="s">
        <v>2308</v>
      </c>
      <c r="S1326" s="4" t="s">
        <v>2308</v>
      </c>
      <c r="T1326" s="4" t="s">
        <v>2308</v>
      </c>
      <c r="U1326" s="4" t="s">
        <v>2308</v>
      </c>
      <c r="V1326" s="4" t="s">
        <v>2308</v>
      </c>
      <c r="W1326" s="4" t="s">
        <v>2308</v>
      </c>
      <c r="X1326" s="4" t="s">
        <v>2308</v>
      </c>
      <c r="Y1326" s="4" t="s">
        <v>2308</v>
      </c>
      <c r="Z1326" s="4" t="s">
        <v>2308</v>
      </c>
      <c r="AA1326" s="4" t="s">
        <v>2308</v>
      </c>
      <c r="AB1326" s="4" t="s">
        <v>2308</v>
      </c>
      <c r="AC1326" s="4" t="s">
        <v>4061</v>
      </c>
      <c r="AD1326" s="4"/>
    </row>
    <row r="1327" spans="1:30" ht="47" customHeight="1">
      <c r="A1327" s="12" t="s">
        <v>4039</v>
      </c>
      <c r="B1327" s="12" t="s">
        <v>4056</v>
      </c>
      <c r="C1327" s="4" t="s">
        <v>24</v>
      </c>
      <c r="D1327" s="4" t="s">
        <v>2837</v>
      </c>
      <c r="E1327" s="5" t="s">
        <v>3903</v>
      </c>
      <c r="F1327" s="5" t="s">
        <v>2695</v>
      </c>
      <c r="G1327" s="4" t="s">
        <v>2308</v>
      </c>
      <c r="H1327" s="4" t="s">
        <v>531</v>
      </c>
      <c r="I1327" s="4"/>
      <c r="J1327" s="4" t="s">
        <v>2308</v>
      </c>
      <c r="K1327" s="4" t="s">
        <v>2308</v>
      </c>
      <c r="L1327" s="4" t="s">
        <v>2308</v>
      </c>
      <c r="M1327" s="4" t="s">
        <v>2308</v>
      </c>
      <c r="N1327" s="4" t="s">
        <v>2308</v>
      </c>
      <c r="O1327" s="4" t="s">
        <v>2308</v>
      </c>
      <c r="P1327" s="4" t="s">
        <v>2308</v>
      </c>
      <c r="Q1327" s="4" t="s">
        <v>2308</v>
      </c>
      <c r="R1327" s="4" t="s">
        <v>2308</v>
      </c>
      <c r="S1327" s="4" t="s">
        <v>2308</v>
      </c>
      <c r="T1327" s="4" t="s">
        <v>2308</v>
      </c>
      <c r="U1327" s="4" t="s">
        <v>2308</v>
      </c>
      <c r="V1327" s="4" t="s">
        <v>2308</v>
      </c>
      <c r="W1327" s="4" t="s">
        <v>2308</v>
      </c>
      <c r="X1327" s="4" t="s">
        <v>2308</v>
      </c>
      <c r="Y1327" s="4" t="s">
        <v>2308</v>
      </c>
      <c r="Z1327" s="4" t="s">
        <v>2308</v>
      </c>
      <c r="AA1327" s="4" t="s">
        <v>2308</v>
      </c>
      <c r="AB1327" s="4" t="s">
        <v>2308</v>
      </c>
      <c r="AC1327" s="4" t="s">
        <v>4063</v>
      </c>
      <c r="AD1327" s="4"/>
    </row>
    <row r="1328" spans="1:30" ht="50" customHeight="1">
      <c r="A1328" s="12" t="s">
        <v>4044</v>
      </c>
      <c r="B1328" s="12" t="s">
        <v>4048</v>
      </c>
      <c r="C1328" s="4" t="s">
        <v>24</v>
      </c>
      <c r="D1328" s="4" t="s">
        <v>25</v>
      </c>
      <c r="E1328" s="4" t="s">
        <v>5065</v>
      </c>
      <c r="F1328" s="5" t="s">
        <v>29</v>
      </c>
      <c r="G1328" s="4" t="s">
        <v>2308</v>
      </c>
      <c r="H1328" s="4" t="s">
        <v>531</v>
      </c>
      <c r="I1328" s="4"/>
      <c r="J1328" s="4" t="s">
        <v>2308</v>
      </c>
      <c r="K1328" s="4" t="s">
        <v>2308</v>
      </c>
      <c r="L1328" s="4" t="s">
        <v>2308</v>
      </c>
      <c r="M1328" s="4" t="s">
        <v>2308</v>
      </c>
      <c r="N1328" s="4" t="s">
        <v>2308</v>
      </c>
      <c r="O1328" s="4" t="s">
        <v>2308</v>
      </c>
      <c r="P1328" s="4" t="s">
        <v>2308</v>
      </c>
      <c r="Q1328" s="4" t="s">
        <v>2308</v>
      </c>
      <c r="R1328" s="4" t="s">
        <v>2308</v>
      </c>
      <c r="S1328" s="4" t="s">
        <v>2308</v>
      </c>
      <c r="T1328" s="4" t="s">
        <v>2308</v>
      </c>
      <c r="U1328" s="4" t="s">
        <v>2308</v>
      </c>
      <c r="V1328" s="4" t="s">
        <v>2308</v>
      </c>
      <c r="W1328" s="4" t="s">
        <v>2308</v>
      </c>
      <c r="X1328" s="4" t="s">
        <v>2308</v>
      </c>
      <c r="Y1328" s="4" t="s">
        <v>2308</v>
      </c>
      <c r="Z1328" s="4" t="s">
        <v>2308</v>
      </c>
      <c r="AA1328" s="4" t="s">
        <v>2308</v>
      </c>
      <c r="AB1328" s="4" t="s">
        <v>2308</v>
      </c>
      <c r="AC1328" s="4" t="s">
        <v>4062</v>
      </c>
      <c r="AD1328" s="4"/>
    </row>
    <row r="1329" spans="1:30" ht="51.5" customHeight="1">
      <c r="A1329" s="12" t="s">
        <v>4044</v>
      </c>
      <c r="B1329" s="12" t="s">
        <v>4052</v>
      </c>
      <c r="C1329" s="4" t="s">
        <v>24</v>
      </c>
      <c r="D1329" s="4" t="s">
        <v>2837</v>
      </c>
      <c r="E1329" s="4" t="s">
        <v>5065</v>
      </c>
      <c r="F1329" s="5" t="s">
        <v>2695</v>
      </c>
      <c r="G1329" s="4" t="s">
        <v>2308</v>
      </c>
      <c r="H1329" s="4" t="s">
        <v>531</v>
      </c>
      <c r="I1329" s="4"/>
      <c r="J1329" s="4" t="s">
        <v>2308</v>
      </c>
      <c r="K1329" s="4" t="s">
        <v>2308</v>
      </c>
      <c r="L1329" s="4" t="s">
        <v>2308</v>
      </c>
      <c r="M1329" s="4" t="s">
        <v>2308</v>
      </c>
      <c r="N1329" s="4" t="s">
        <v>2308</v>
      </c>
      <c r="O1329" s="4" t="s">
        <v>2308</v>
      </c>
      <c r="P1329" s="4" t="s">
        <v>2308</v>
      </c>
      <c r="Q1329" s="4" t="s">
        <v>2308</v>
      </c>
      <c r="R1329" s="4" t="s">
        <v>2308</v>
      </c>
      <c r="S1329" s="4" t="s">
        <v>2308</v>
      </c>
      <c r="T1329" s="4" t="s">
        <v>2308</v>
      </c>
      <c r="U1329" s="4" t="s">
        <v>2308</v>
      </c>
      <c r="V1329" s="4" t="s">
        <v>2308</v>
      </c>
      <c r="W1329" s="4" t="s">
        <v>2308</v>
      </c>
      <c r="X1329" s="4" t="s">
        <v>2308</v>
      </c>
      <c r="Y1329" s="4" t="s">
        <v>2308</v>
      </c>
      <c r="Z1329" s="4" t="s">
        <v>2308</v>
      </c>
      <c r="AA1329" s="4" t="s">
        <v>2308</v>
      </c>
      <c r="AB1329" s="4" t="s">
        <v>2308</v>
      </c>
      <c r="AC1329" s="4" t="s">
        <v>4063</v>
      </c>
      <c r="AD1329" s="4"/>
    </row>
    <row r="1330" spans="1:30" ht="52.5" customHeight="1">
      <c r="A1330" s="12" t="s">
        <v>4044</v>
      </c>
      <c r="B1330" s="12" t="s">
        <v>4057</v>
      </c>
      <c r="C1330" s="4" t="s">
        <v>24</v>
      </c>
      <c r="D1330" s="4" t="s">
        <v>25</v>
      </c>
      <c r="E1330" s="5" t="s">
        <v>3903</v>
      </c>
      <c r="F1330" s="5" t="s">
        <v>29</v>
      </c>
      <c r="G1330" s="4" t="s">
        <v>2308</v>
      </c>
      <c r="H1330" s="4" t="s">
        <v>531</v>
      </c>
      <c r="I1330" s="4"/>
      <c r="J1330" s="4" t="s">
        <v>2308</v>
      </c>
      <c r="K1330" s="4" t="s">
        <v>2308</v>
      </c>
      <c r="L1330" s="4" t="s">
        <v>2308</v>
      </c>
      <c r="M1330" s="4" t="s">
        <v>2308</v>
      </c>
      <c r="N1330" s="4" t="s">
        <v>2308</v>
      </c>
      <c r="O1330" s="4" t="s">
        <v>2308</v>
      </c>
      <c r="P1330" s="4" t="s">
        <v>2308</v>
      </c>
      <c r="Q1330" s="4" t="s">
        <v>2308</v>
      </c>
      <c r="R1330" s="4" t="s">
        <v>2308</v>
      </c>
      <c r="S1330" s="4" t="s">
        <v>2308</v>
      </c>
      <c r="T1330" s="4" t="s">
        <v>2308</v>
      </c>
      <c r="U1330" s="4" t="s">
        <v>2308</v>
      </c>
      <c r="V1330" s="4" t="s">
        <v>2308</v>
      </c>
      <c r="W1330" s="4" t="s">
        <v>2308</v>
      </c>
      <c r="X1330" s="4" t="s">
        <v>2308</v>
      </c>
      <c r="Y1330" s="4" t="s">
        <v>2308</v>
      </c>
      <c r="Z1330" s="4" t="s">
        <v>2308</v>
      </c>
      <c r="AA1330" s="4" t="s">
        <v>2308</v>
      </c>
      <c r="AB1330" s="4" t="s">
        <v>2308</v>
      </c>
      <c r="AC1330" s="4" t="s">
        <v>4062</v>
      </c>
      <c r="AD1330" s="4"/>
    </row>
    <row r="1331" spans="1:30" ht="47.5" customHeight="1">
      <c r="A1331" s="12" t="s">
        <v>4044</v>
      </c>
      <c r="B1331" s="12" t="s">
        <v>4058</v>
      </c>
      <c r="C1331" s="4" t="s">
        <v>24</v>
      </c>
      <c r="D1331" s="4" t="s">
        <v>2837</v>
      </c>
      <c r="E1331" s="5" t="s">
        <v>3903</v>
      </c>
      <c r="F1331" s="5" t="s">
        <v>2695</v>
      </c>
      <c r="G1331" s="4" t="s">
        <v>2308</v>
      </c>
      <c r="H1331" s="4" t="s">
        <v>531</v>
      </c>
      <c r="I1331" s="4"/>
      <c r="J1331" s="4" t="s">
        <v>2308</v>
      </c>
      <c r="K1331" s="4" t="s">
        <v>2308</v>
      </c>
      <c r="L1331" s="4" t="s">
        <v>2308</v>
      </c>
      <c r="M1331" s="4" t="s">
        <v>2308</v>
      </c>
      <c r="N1331" s="4" t="s">
        <v>2308</v>
      </c>
      <c r="O1331" s="4" t="s">
        <v>2308</v>
      </c>
      <c r="P1331" s="4" t="s">
        <v>2308</v>
      </c>
      <c r="Q1331" s="4" t="s">
        <v>2308</v>
      </c>
      <c r="R1331" s="4" t="s">
        <v>2308</v>
      </c>
      <c r="S1331" s="4" t="s">
        <v>2308</v>
      </c>
      <c r="T1331" s="4" t="s">
        <v>2308</v>
      </c>
      <c r="U1331" s="4" t="s">
        <v>2308</v>
      </c>
      <c r="V1331" s="4" t="s">
        <v>2308</v>
      </c>
      <c r="W1331" s="4" t="s">
        <v>2308</v>
      </c>
      <c r="X1331" s="4" t="s">
        <v>2308</v>
      </c>
      <c r="Y1331" s="4" t="s">
        <v>2308</v>
      </c>
      <c r="Z1331" s="4" t="s">
        <v>2308</v>
      </c>
      <c r="AA1331" s="4" t="s">
        <v>2308</v>
      </c>
      <c r="AB1331" s="4" t="s">
        <v>2308</v>
      </c>
      <c r="AC1331" s="4" t="s">
        <v>4063</v>
      </c>
      <c r="AD1331" s="4"/>
    </row>
    <row r="1332" spans="1:30" ht="30" customHeight="1">
      <c r="A1332" s="12" t="s">
        <v>4064</v>
      </c>
      <c r="B1332" s="12" t="s">
        <v>4069</v>
      </c>
      <c r="C1332" s="4" t="s">
        <v>24</v>
      </c>
      <c r="D1332" s="4" t="s">
        <v>2837</v>
      </c>
      <c r="E1332" s="4" t="s">
        <v>5065</v>
      </c>
      <c r="F1332" s="5" t="s">
        <v>2695</v>
      </c>
      <c r="G1332" s="4" t="s">
        <v>2308</v>
      </c>
      <c r="H1332" s="4" t="s">
        <v>531</v>
      </c>
      <c r="I1332" s="4"/>
      <c r="J1332" s="4" t="s">
        <v>2308</v>
      </c>
      <c r="K1332" s="4" t="s">
        <v>2308</v>
      </c>
      <c r="L1332" s="4" t="s">
        <v>2308</v>
      </c>
      <c r="M1332" s="4" t="s">
        <v>2308</v>
      </c>
      <c r="N1332" s="4" t="s">
        <v>2308</v>
      </c>
      <c r="O1332" s="4" t="s">
        <v>2308</v>
      </c>
      <c r="P1332" s="4" t="s">
        <v>2308</v>
      </c>
      <c r="Q1332" s="4" t="s">
        <v>2308</v>
      </c>
      <c r="R1332" s="4" t="s">
        <v>2308</v>
      </c>
      <c r="S1332" s="4" t="s">
        <v>2308</v>
      </c>
      <c r="T1332" s="4" t="s">
        <v>2308</v>
      </c>
      <c r="U1332" s="4" t="s">
        <v>2308</v>
      </c>
      <c r="V1332" s="4" t="s">
        <v>2308</v>
      </c>
      <c r="W1332" s="4" t="s">
        <v>2308</v>
      </c>
      <c r="X1332" s="4" t="s">
        <v>2308</v>
      </c>
      <c r="Y1332" s="4" t="s">
        <v>2308</v>
      </c>
      <c r="Z1332" s="4" t="s">
        <v>35</v>
      </c>
      <c r="AA1332" s="4" t="s">
        <v>38</v>
      </c>
      <c r="AB1332" s="4" t="s">
        <v>2308</v>
      </c>
      <c r="AC1332" s="4"/>
      <c r="AD1332" s="4"/>
    </row>
    <row r="1333" spans="1:30" ht="33.5" customHeight="1">
      <c r="A1333" s="12" t="s">
        <v>4064</v>
      </c>
      <c r="B1333" s="12" t="s">
        <v>4070</v>
      </c>
      <c r="C1333" s="4" t="s">
        <v>24</v>
      </c>
      <c r="D1333" s="4" t="s">
        <v>25</v>
      </c>
      <c r="E1333" s="4" t="s">
        <v>5065</v>
      </c>
      <c r="F1333" s="5" t="s">
        <v>29</v>
      </c>
      <c r="G1333" s="4" t="s">
        <v>2308</v>
      </c>
      <c r="H1333" s="4" t="s">
        <v>531</v>
      </c>
      <c r="I1333" s="4"/>
      <c r="J1333" s="4" t="s">
        <v>2308</v>
      </c>
      <c r="K1333" s="4" t="s">
        <v>2308</v>
      </c>
      <c r="L1333" s="4" t="s">
        <v>2308</v>
      </c>
      <c r="M1333" s="4" t="s">
        <v>2308</v>
      </c>
      <c r="N1333" s="4" t="s">
        <v>2308</v>
      </c>
      <c r="O1333" s="4" t="s">
        <v>2308</v>
      </c>
      <c r="P1333" s="4" t="s">
        <v>2308</v>
      </c>
      <c r="Q1333" s="4" t="s">
        <v>2308</v>
      </c>
      <c r="R1333" s="4" t="s">
        <v>2308</v>
      </c>
      <c r="S1333" s="4" t="s">
        <v>2308</v>
      </c>
      <c r="T1333" s="4" t="s">
        <v>2308</v>
      </c>
      <c r="U1333" s="4" t="s">
        <v>2308</v>
      </c>
      <c r="V1333" s="4" t="s">
        <v>2308</v>
      </c>
      <c r="W1333" s="4" t="s">
        <v>2308</v>
      </c>
      <c r="X1333" s="4" t="s">
        <v>2308</v>
      </c>
      <c r="Y1333" s="4" t="s">
        <v>2308</v>
      </c>
      <c r="Z1333" s="4" t="s">
        <v>35</v>
      </c>
      <c r="AA1333" s="4" t="s">
        <v>38</v>
      </c>
      <c r="AB1333" s="4" t="s">
        <v>2308</v>
      </c>
      <c r="AC1333" s="4"/>
      <c r="AD1333" s="4"/>
    </row>
    <row r="1334" spans="1:30" ht="30" customHeight="1">
      <c r="A1334" s="12" t="s">
        <v>4064</v>
      </c>
      <c r="B1334" s="12" t="s">
        <v>4071</v>
      </c>
      <c r="C1334" s="4" t="s">
        <v>2491</v>
      </c>
      <c r="D1334" s="4" t="s">
        <v>2308</v>
      </c>
      <c r="E1334" s="4" t="s">
        <v>5065</v>
      </c>
      <c r="F1334" s="5" t="s">
        <v>2308</v>
      </c>
      <c r="G1334" s="4" t="s">
        <v>74</v>
      </c>
      <c r="H1334" s="4" t="s">
        <v>531</v>
      </c>
      <c r="I1334" s="4"/>
      <c r="J1334" s="4" t="s">
        <v>2308</v>
      </c>
      <c r="K1334" s="4" t="s">
        <v>2308</v>
      </c>
      <c r="L1334" s="4" t="s">
        <v>2308</v>
      </c>
      <c r="M1334" s="4" t="s">
        <v>2308</v>
      </c>
      <c r="N1334" s="4" t="s">
        <v>2308</v>
      </c>
      <c r="O1334" s="4" t="s">
        <v>2308</v>
      </c>
      <c r="P1334" s="4" t="s">
        <v>2308</v>
      </c>
      <c r="Q1334" s="4" t="s">
        <v>2308</v>
      </c>
      <c r="R1334" s="4" t="s">
        <v>2308</v>
      </c>
      <c r="S1334" s="4" t="s">
        <v>2308</v>
      </c>
      <c r="T1334" s="4" t="s">
        <v>2308</v>
      </c>
      <c r="U1334" s="4" t="s">
        <v>2308</v>
      </c>
      <c r="V1334" s="4" t="s">
        <v>2308</v>
      </c>
      <c r="W1334" s="4" t="s">
        <v>2308</v>
      </c>
      <c r="X1334" s="4" t="s">
        <v>2308</v>
      </c>
      <c r="Y1334" s="4" t="s">
        <v>2308</v>
      </c>
      <c r="Z1334" s="4" t="s">
        <v>35</v>
      </c>
      <c r="AA1334" s="4" t="s">
        <v>38</v>
      </c>
      <c r="AB1334" s="4" t="s">
        <v>2308</v>
      </c>
      <c r="AC1334" s="4"/>
      <c r="AD1334" s="4"/>
    </row>
    <row r="1335" spans="1:30" ht="44.5" customHeight="1">
      <c r="A1335" s="12" t="s">
        <v>4064</v>
      </c>
      <c r="B1335" s="12" t="s">
        <v>4072</v>
      </c>
      <c r="C1335" s="4" t="s">
        <v>24</v>
      </c>
      <c r="D1335" s="4" t="s">
        <v>2837</v>
      </c>
      <c r="E1335" s="4" t="s">
        <v>45</v>
      </c>
      <c r="F1335" s="5" t="s">
        <v>2695</v>
      </c>
      <c r="G1335" s="4" t="s">
        <v>2308</v>
      </c>
      <c r="H1335" s="4" t="s">
        <v>531</v>
      </c>
      <c r="I1335" s="4"/>
      <c r="J1335" s="4" t="s">
        <v>2308</v>
      </c>
      <c r="K1335" s="4" t="s">
        <v>2308</v>
      </c>
      <c r="L1335" s="4" t="s">
        <v>2308</v>
      </c>
      <c r="M1335" s="4" t="s">
        <v>2308</v>
      </c>
      <c r="N1335" s="4" t="s">
        <v>2308</v>
      </c>
      <c r="O1335" s="4" t="s">
        <v>2308</v>
      </c>
      <c r="P1335" s="4" t="s">
        <v>2308</v>
      </c>
      <c r="Q1335" s="4" t="s">
        <v>2308</v>
      </c>
      <c r="R1335" s="4" t="s">
        <v>2308</v>
      </c>
      <c r="S1335" s="4" t="s">
        <v>2308</v>
      </c>
      <c r="T1335" s="4" t="s">
        <v>2308</v>
      </c>
      <c r="U1335" s="4" t="s">
        <v>2308</v>
      </c>
      <c r="V1335" s="4" t="s">
        <v>2308</v>
      </c>
      <c r="W1335" s="4" t="s">
        <v>2308</v>
      </c>
      <c r="X1335" s="4" t="s">
        <v>2308</v>
      </c>
      <c r="Y1335" s="4" t="s">
        <v>2308</v>
      </c>
      <c r="Z1335" s="4" t="s">
        <v>2308</v>
      </c>
      <c r="AA1335" s="4" t="s">
        <v>2308</v>
      </c>
      <c r="AB1335" s="4" t="s">
        <v>2308</v>
      </c>
      <c r="AC1335" s="4"/>
      <c r="AD1335" s="4"/>
    </row>
    <row r="1336" spans="1:30" ht="36.5" customHeight="1">
      <c r="A1336" s="12" t="s">
        <v>4064</v>
      </c>
      <c r="B1336" s="12" t="s">
        <v>4073</v>
      </c>
      <c r="C1336" s="4" t="s">
        <v>24</v>
      </c>
      <c r="D1336" s="4" t="s">
        <v>25</v>
      </c>
      <c r="E1336" s="4" t="s">
        <v>45</v>
      </c>
      <c r="F1336" s="5" t="s">
        <v>29</v>
      </c>
      <c r="G1336" s="4" t="s">
        <v>2308</v>
      </c>
      <c r="H1336" s="4" t="s">
        <v>531</v>
      </c>
      <c r="I1336" s="4"/>
      <c r="J1336" s="4" t="s">
        <v>2308</v>
      </c>
      <c r="K1336" s="4" t="s">
        <v>2308</v>
      </c>
      <c r="L1336" s="4" t="s">
        <v>2308</v>
      </c>
      <c r="M1336" s="4" t="s">
        <v>2308</v>
      </c>
      <c r="N1336" s="4" t="s">
        <v>2308</v>
      </c>
      <c r="O1336" s="4" t="s">
        <v>2308</v>
      </c>
      <c r="P1336" s="4" t="s">
        <v>2308</v>
      </c>
      <c r="Q1336" s="4" t="s">
        <v>2308</v>
      </c>
      <c r="R1336" s="4" t="s">
        <v>2308</v>
      </c>
      <c r="S1336" s="4" t="s">
        <v>2308</v>
      </c>
      <c r="T1336" s="4" t="s">
        <v>2308</v>
      </c>
      <c r="U1336" s="4" t="s">
        <v>2308</v>
      </c>
      <c r="V1336" s="4" t="s">
        <v>2308</v>
      </c>
      <c r="W1336" s="4" t="s">
        <v>2308</v>
      </c>
      <c r="X1336" s="4" t="s">
        <v>2308</v>
      </c>
      <c r="Y1336" s="4" t="s">
        <v>2308</v>
      </c>
      <c r="Z1336" s="4" t="s">
        <v>2308</v>
      </c>
      <c r="AA1336" s="4" t="s">
        <v>2308</v>
      </c>
      <c r="AB1336" s="4" t="s">
        <v>2308</v>
      </c>
      <c r="AC1336" s="4"/>
      <c r="AD1336" s="4"/>
    </row>
    <row r="1337" spans="1:30" ht="33.5" customHeight="1">
      <c r="A1337" s="12" t="s">
        <v>4064</v>
      </c>
      <c r="B1337" s="12" t="s">
        <v>4074</v>
      </c>
      <c r="C1337" s="4" t="s">
        <v>24</v>
      </c>
      <c r="D1337" s="4" t="s">
        <v>2308</v>
      </c>
      <c r="E1337" s="4" t="s">
        <v>45</v>
      </c>
      <c r="F1337" s="5" t="s">
        <v>74</v>
      </c>
      <c r="G1337" s="4" t="s">
        <v>74</v>
      </c>
      <c r="H1337" s="4" t="s">
        <v>531</v>
      </c>
      <c r="I1337" s="4"/>
      <c r="J1337" s="4" t="s">
        <v>2308</v>
      </c>
      <c r="K1337" s="4" t="s">
        <v>2308</v>
      </c>
      <c r="L1337" s="4" t="s">
        <v>2308</v>
      </c>
      <c r="M1337" s="4" t="s">
        <v>2308</v>
      </c>
      <c r="N1337" s="4" t="s">
        <v>2308</v>
      </c>
      <c r="O1337" s="4" t="s">
        <v>2308</v>
      </c>
      <c r="P1337" s="4" t="s">
        <v>2308</v>
      </c>
      <c r="Q1337" s="4" t="s">
        <v>2308</v>
      </c>
      <c r="R1337" s="4" t="s">
        <v>2308</v>
      </c>
      <c r="S1337" s="4" t="s">
        <v>2308</v>
      </c>
      <c r="T1337" s="4" t="s">
        <v>2308</v>
      </c>
      <c r="U1337" s="4" t="s">
        <v>2308</v>
      </c>
      <c r="V1337" s="4" t="s">
        <v>2308</v>
      </c>
      <c r="W1337" s="4" t="s">
        <v>2308</v>
      </c>
      <c r="X1337" s="4" t="s">
        <v>2308</v>
      </c>
      <c r="Y1337" s="4" t="s">
        <v>2308</v>
      </c>
      <c r="Z1337" s="4" t="s">
        <v>2308</v>
      </c>
      <c r="AA1337" s="4" t="s">
        <v>2308</v>
      </c>
      <c r="AB1337" s="4" t="s">
        <v>2308</v>
      </c>
      <c r="AC1337" s="4"/>
      <c r="AD1337" s="4"/>
    </row>
    <row r="1338" spans="1:30" ht="33" customHeight="1">
      <c r="A1338" s="12" t="s">
        <v>4064</v>
      </c>
      <c r="B1338" s="12" t="s">
        <v>4075</v>
      </c>
      <c r="C1338" s="4" t="s">
        <v>24</v>
      </c>
      <c r="D1338" s="4" t="s">
        <v>149</v>
      </c>
      <c r="E1338" s="5" t="s">
        <v>404</v>
      </c>
      <c r="F1338" s="5" t="s">
        <v>74</v>
      </c>
      <c r="G1338" s="4" t="s">
        <v>74</v>
      </c>
      <c r="H1338" s="4" t="s">
        <v>531</v>
      </c>
      <c r="I1338" s="4"/>
      <c r="J1338" s="4" t="s">
        <v>2308</v>
      </c>
      <c r="K1338" s="4" t="s">
        <v>2308</v>
      </c>
      <c r="L1338" s="4" t="s">
        <v>2308</v>
      </c>
      <c r="M1338" s="4" t="s">
        <v>2308</v>
      </c>
      <c r="N1338" s="4" t="s">
        <v>2308</v>
      </c>
      <c r="O1338" s="4" t="s">
        <v>2308</v>
      </c>
      <c r="P1338" s="4" t="s">
        <v>2308</v>
      </c>
      <c r="Q1338" s="4" t="s">
        <v>2308</v>
      </c>
      <c r="R1338" s="4" t="s">
        <v>2308</v>
      </c>
      <c r="S1338" s="4" t="s">
        <v>2308</v>
      </c>
      <c r="T1338" s="4" t="s">
        <v>2308</v>
      </c>
      <c r="U1338" s="4" t="s">
        <v>2308</v>
      </c>
      <c r="V1338" s="4" t="s">
        <v>2308</v>
      </c>
      <c r="W1338" s="4" t="s">
        <v>2308</v>
      </c>
      <c r="X1338" s="4" t="s">
        <v>2308</v>
      </c>
      <c r="Y1338" s="4" t="s">
        <v>2308</v>
      </c>
      <c r="Z1338" s="4" t="s">
        <v>2308</v>
      </c>
      <c r="AA1338" s="4" t="s">
        <v>2308</v>
      </c>
      <c r="AB1338" s="4" t="s">
        <v>2308</v>
      </c>
      <c r="AC1338" s="4"/>
      <c r="AD1338" s="4"/>
    </row>
    <row r="1339" spans="1:30" ht="56.5" customHeight="1">
      <c r="A1339" s="12" t="s">
        <v>4077</v>
      </c>
      <c r="B1339" s="12" t="s">
        <v>4088</v>
      </c>
      <c r="C1339" s="4" t="s">
        <v>24</v>
      </c>
      <c r="D1339" s="4" t="s">
        <v>2837</v>
      </c>
      <c r="E1339" s="4" t="s">
        <v>5065</v>
      </c>
      <c r="F1339" s="5" t="s">
        <v>55</v>
      </c>
      <c r="G1339" s="4" t="s">
        <v>2308</v>
      </c>
      <c r="H1339" s="4" t="s">
        <v>532</v>
      </c>
      <c r="I1339" s="4"/>
      <c r="J1339" s="22">
        <v>0</v>
      </c>
      <c r="K1339" s="22">
        <v>0</v>
      </c>
      <c r="L1339" s="22">
        <v>0</v>
      </c>
      <c r="M1339" s="22">
        <v>0</v>
      </c>
      <c r="N1339" s="22">
        <v>0</v>
      </c>
      <c r="O1339" s="22">
        <v>0</v>
      </c>
      <c r="P1339" s="22">
        <v>0</v>
      </c>
      <c r="Q1339" s="22">
        <v>0</v>
      </c>
      <c r="R1339" s="22">
        <v>0</v>
      </c>
      <c r="S1339" s="22">
        <v>0</v>
      </c>
      <c r="T1339" s="22">
        <v>0</v>
      </c>
      <c r="U1339" s="22">
        <v>0</v>
      </c>
      <c r="V1339" s="22">
        <v>0</v>
      </c>
      <c r="W1339" s="22">
        <v>0</v>
      </c>
      <c r="X1339" s="22">
        <v>0</v>
      </c>
      <c r="Y1339" s="4" t="s">
        <v>2308</v>
      </c>
      <c r="Z1339" s="4" t="s">
        <v>2308</v>
      </c>
      <c r="AA1339" s="4" t="s">
        <v>2308</v>
      </c>
      <c r="AB1339" s="4" t="s">
        <v>2308</v>
      </c>
      <c r="AC1339" s="5" t="s">
        <v>4096</v>
      </c>
      <c r="AD1339" s="4"/>
    </row>
    <row r="1340" spans="1:30" ht="56.5" customHeight="1">
      <c r="A1340" s="12" t="s">
        <v>4078</v>
      </c>
      <c r="B1340" s="12" t="s">
        <v>4089</v>
      </c>
      <c r="C1340" s="4" t="s">
        <v>24</v>
      </c>
      <c r="D1340" s="4" t="s">
        <v>2837</v>
      </c>
      <c r="E1340" s="4" t="s">
        <v>5065</v>
      </c>
      <c r="F1340" s="5" t="s">
        <v>55</v>
      </c>
      <c r="G1340" s="4" t="s">
        <v>2308</v>
      </c>
      <c r="H1340" s="4" t="s">
        <v>532</v>
      </c>
      <c r="I1340" s="4"/>
      <c r="J1340" s="22">
        <v>0</v>
      </c>
      <c r="K1340" s="22">
        <v>0</v>
      </c>
      <c r="L1340" s="22">
        <v>0</v>
      </c>
      <c r="M1340" s="22">
        <v>0</v>
      </c>
      <c r="N1340" s="22">
        <v>0</v>
      </c>
      <c r="O1340" s="22">
        <v>0</v>
      </c>
      <c r="P1340" s="22">
        <v>0</v>
      </c>
      <c r="Q1340" s="22">
        <v>0</v>
      </c>
      <c r="R1340" s="22">
        <v>0</v>
      </c>
      <c r="S1340" s="22">
        <v>0</v>
      </c>
      <c r="T1340" s="22">
        <v>0</v>
      </c>
      <c r="U1340" s="22">
        <v>0</v>
      </c>
      <c r="V1340" s="22">
        <v>0</v>
      </c>
      <c r="W1340" s="22">
        <v>0</v>
      </c>
      <c r="X1340" s="22">
        <v>0</v>
      </c>
      <c r="Y1340" s="4" t="s">
        <v>2308</v>
      </c>
      <c r="Z1340" s="4" t="s">
        <v>2308</v>
      </c>
      <c r="AA1340" s="4" t="s">
        <v>2308</v>
      </c>
      <c r="AB1340" s="4" t="s">
        <v>2308</v>
      </c>
      <c r="AC1340" s="5" t="s">
        <v>4096</v>
      </c>
      <c r="AD1340" s="4"/>
    </row>
    <row r="1341" spans="1:30" ht="56.5" customHeight="1">
      <c r="A1341" s="12" t="s">
        <v>4079</v>
      </c>
      <c r="B1341" s="12" t="s">
        <v>4090</v>
      </c>
      <c r="C1341" s="4" t="s">
        <v>24</v>
      </c>
      <c r="D1341" s="4" t="s">
        <v>2837</v>
      </c>
      <c r="E1341" s="4" t="s">
        <v>5065</v>
      </c>
      <c r="F1341" s="5" t="s">
        <v>55</v>
      </c>
      <c r="G1341" s="4" t="s">
        <v>2308</v>
      </c>
      <c r="H1341" s="4" t="s">
        <v>532</v>
      </c>
      <c r="I1341" s="4"/>
      <c r="J1341" s="22">
        <v>0</v>
      </c>
      <c r="K1341" s="22">
        <v>0</v>
      </c>
      <c r="L1341" s="22">
        <v>0</v>
      </c>
      <c r="M1341" s="22">
        <v>0</v>
      </c>
      <c r="N1341" s="22">
        <v>0</v>
      </c>
      <c r="O1341" s="22">
        <v>0</v>
      </c>
      <c r="P1341" s="22">
        <v>0</v>
      </c>
      <c r="Q1341" s="22">
        <v>0</v>
      </c>
      <c r="R1341" s="22">
        <v>0</v>
      </c>
      <c r="S1341" s="22">
        <v>0</v>
      </c>
      <c r="T1341" s="22">
        <v>0</v>
      </c>
      <c r="U1341" s="22">
        <v>0</v>
      </c>
      <c r="V1341" s="22">
        <v>0</v>
      </c>
      <c r="W1341" s="22">
        <v>0</v>
      </c>
      <c r="X1341" s="22">
        <v>0</v>
      </c>
      <c r="Y1341" s="4" t="s">
        <v>2308</v>
      </c>
      <c r="Z1341" s="4" t="s">
        <v>2308</v>
      </c>
      <c r="AA1341" s="4" t="s">
        <v>2308</v>
      </c>
      <c r="AB1341" s="4" t="s">
        <v>2308</v>
      </c>
      <c r="AC1341" s="5" t="s">
        <v>4096</v>
      </c>
      <c r="AD1341" s="4"/>
    </row>
    <row r="1342" spans="1:30" ht="56.5" customHeight="1">
      <c r="A1342" s="12" t="s">
        <v>4080</v>
      </c>
      <c r="B1342" s="12" t="s">
        <v>4091</v>
      </c>
      <c r="C1342" s="4" t="s">
        <v>24</v>
      </c>
      <c r="D1342" s="4" t="s">
        <v>2837</v>
      </c>
      <c r="E1342" s="4" t="s">
        <v>5065</v>
      </c>
      <c r="F1342" s="5" t="s">
        <v>55</v>
      </c>
      <c r="G1342" s="4" t="s">
        <v>2308</v>
      </c>
      <c r="H1342" s="4" t="s">
        <v>532</v>
      </c>
      <c r="I1342" s="4"/>
      <c r="J1342" s="22">
        <v>0</v>
      </c>
      <c r="K1342" s="22">
        <v>0</v>
      </c>
      <c r="L1342" s="22">
        <v>0</v>
      </c>
      <c r="M1342" s="22">
        <v>0</v>
      </c>
      <c r="N1342" s="22">
        <v>0</v>
      </c>
      <c r="O1342" s="22">
        <v>0</v>
      </c>
      <c r="P1342" s="22">
        <v>0</v>
      </c>
      <c r="Q1342" s="22">
        <v>0</v>
      </c>
      <c r="R1342" s="22">
        <v>0</v>
      </c>
      <c r="S1342" s="22">
        <v>0</v>
      </c>
      <c r="T1342" s="22">
        <v>0</v>
      </c>
      <c r="U1342" s="22">
        <v>0</v>
      </c>
      <c r="V1342" s="22">
        <v>0</v>
      </c>
      <c r="W1342" s="22">
        <v>0</v>
      </c>
      <c r="X1342" s="22">
        <v>0</v>
      </c>
      <c r="Y1342" s="4" t="s">
        <v>2308</v>
      </c>
      <c r="Z1342" s="4" t="s">
        <v>2308</v>
      </c>
      <c r="AA1342" s="4" t="s">
        <v>2308</v>
      </c>
      <c r="AB1342" s="4" t="s">
        <v>2308</v>
      </c>
      <c r="AC1342" s="5" t="s">
        <v>4096</v>
      </c>
      <c r="AD1342" s="4"/>
    </row>
    <row r="1343" spans="1:30" ht="56.5" customHeight="1">
      <c r="A1343" s="12" t="s">
        <v>4077</v>
      </c>
      <c r="B1343" s="12" t="s">
        <v>4092</v>
      </c>
      <c r="C1343" s="4" t="s">
        <v>24</v>
      </c>
      <c r="D1343" s="4" t="s">
        <v>2837</v>
      </c>
      <c r="E1343" s="4" t="s">
        <v>5065</v>
      </c>
      <c r="F1343" s="5" t="s">
        <v>2695</v>
      </c>
      <c r="G1343" s="4" t="s">
        <v>2308</v>
      </c>
      <c r="H1343" s="4" t="s">
        <v>532</v>
      </c>
      <c r="I1343" s="4"/>
      <c r="J1343" s="22">
        <v>0</v>
      </c>
      <c r="K1343" s="22">
        <v>0</v>
      </c>
      <c r="L1343" s="22">
        <v>0</v>
      </c>
      <c r="M1343" s="22">
        <v>0</v>
      </c>
      <c r="N1343" s="22">
        <v>0</v>
      </c>
      <c r="O1343" s="22">
        <v>0</v>
      </c>
      <c r="P1343" s="22">
        <v>0</v>
      </c>
      <c r="Q1343" s="22">
        <v>0</v>
      </c>
      <c r="R1343" s="22">
        <v>0</v>
      </c>
      <c r="S1343" s="22">
        <v>0</v>
      </c>
      <c r="T1343" s="22">
        <v>0</v>
      </c>
      <c r="U1343" s="22">
        <v>0</v>
      </c>
      <c r="V1343" s="22">
        <v>0</v>
      </c>
      <c r="W1343" s="22">
        <v>0</v>
      </c>
      <c r="X1343" s="22">
        <v>0</v>
      </c>
      <c r="Y1343" s="4" t="s">
        <v>2308</v>
      </c>
      <c r="Z1343" s="4" t="s">
        <v>2308</v>
      </c>
      <c r="AA1343" s="4" t="s">
        <v>2308</v>
      </c>
      <c r="AB1343" s="4" t="s">
        <v>2308</v>
      </c>
      <c r="AC1343" s="5" t="s">
        <v>4096</v>
      </c>
      <c r="AD1343" s="4"/>
    </row>
    <row r="1344" spans="1:30" ht="56.5" customHeight="1">
      <c r="A1344" s="12" t="s">
        <v>4078</v>
      </c>
      <c r="B1344" s="12" t="s">
        <v>4093</v>
      </c>
      <c r="C1344" s="4" t="s">
        <v>24</v>
      </c>
      <c r="D1344" s="4" t="s">
        <v>2837</v>
      </c>
      <c r="E1344" s="4" t="s">
        <v>5065</v>
      </c>
      <c r="F1344" s="5" t="s">
        <v>2695</v>
      </c>
      <c r="G1344" s="4" t="s">
        <v>2308</v>
      </c>
      <c r="H1344" s="4" t="s">
        <v>532</v>
      </c>
      <c r="I1344" s="4"/>
      <c r="J1344" s="22">
        <v>0</v>
      </c>
      <c r="K1344" s="22">
        <v>0</v>
      </c>
      <c r="L1344" s="22">
        <v>0</v>
      </c>
      <c r="M1344" s="22">
        <v>0</v>
      </c>
      <c r="N1344" s="22">
        <v>0</v>
      </c>
      <c r="O1344" s="22">
        <v>0</v>
      </c>
      <c r="P1344" s="22">
        <v>0</v>
      </c>
      <c r="Q1344" s="22">
        <v>0</v>
      </c>
      <c r="R1344" s="22">
        <v>0</v>
      </c>
      <c r="S1344" s="22">
        <v>0</v>
      </c>
      <c r="T1344" s="22">
        <v>0</v>
      </c>
      <c r="U1344" s="22">
        <v>0</v>
      </c>
      <c r="V1344" s="22">
        <v>0</v>
      </c>
      <c r="W1344" s="22">
        <v>0</v>
      </c>
      <c r="X1344" s="22">
        <v>0</v>
      </c>
      <c r="Y1344" s="4" t="s">
        <v>2308</v>
      </c>
      <c r="Z1344" s="4" t="s">
        <v>2308</v>
      </c>
      <c r="AA1344" s="4" t="s">
        <v>2308</v>
      </c>
      <c r="AB1344" s="4" t="s">
        <v>2308</v>
      </c>
      <c r="AC1344" s="5" t="s">
        <v>4096</v>
      </c>
      <c r="AD1344" s="4"/>
    </row>
    <row r="1345" spans="1:30" ht="56.5" customHeight="1">
      <c r="A1345" s="12" t="s">
        <v>4079</v>
      </c>
      <c r="B1345" s="12" t="s">
        <v>4094</v>
      </c>
      <c r="C1345" s="4" t="s">
        <v>24</v>
      </c>
      <c r="D1345" s="4" t="s">
        <v>2837</v>
      </c>
      <c r="E1345" s="4" t="s">
        <v>5065</v>
      </c>
      <c r="F1345" s="5" t="s">
        <v>2695</v>
      </c>
      <c r="G1345" s="4" t="s">
        <v>2308</v>
      </c>
      <c r="H1345" s="4" t="s">
        <v>532</v>
      </c>
      <c r="I1345" s="4"/>
      <c r="J1345" s="22">
        <v>0</v>
      </c>
      <c r="K1345" s="22">
        <v>0</v>
      </c>
      <c r="L1345" s="22">
        <v>0</v>
      </c>
      <c r="M1345" s="22">
        <v>0</v>
      </c>
      <c r="N1345" s="22">
        <v>0</v>
      </c>
      <c r="O1345" s="22">
        <v>0</v>
      </c>
      <c r="P1345" s="22">
        <v>0</v>
      </c>
      <c r="Q1345" s="22">
        <v>0</v>
      </c>
      <c r="R1345" s="22">
        <v>0</v>
      </c>
      <c r="S1345" s="22">
        <v>0</v>
      </c>
      <c r="T1345" s="22">
        <v>0</v>
      </c>
      <c r="U1345" s="22">
        <v>0</v>
      </c>
      <c r="V1345" s="22">
        <v>0</v>
      </c>
      <c r="W1345" s="22">
        <v>0</v>
      </c>
      <c r="X1345" s="22">
        <v>0</v>
      </c>
      <c r="Y1345" s="4" t="s">
        <v>2308</v>
      </c>
      <c r="Z1345" s="4" t="s">
        <v>2308</v>
      </c>
      <c r="AA1345" s="4" t="s">
        <v>2308</v>
      </c>
      <c r="AB1345" s="4" t="s">
        <v>2308</v>
      </c>
      <c r="AC1345" s="5" t="s">
        <v>4096</v>
      </c>
      <c r="AD1345" s="4"/>
    </row>
    <row r="1346" spans="1:30" ht="56.5" customHeight="1">
      <c r="A1346" s="12" t="s">
        <v>4080</v>
      </c>
      <c r="B1346" s="12" t="s">
        <v>4095</v>
      </c>
      <c r="C1346" s="4" t="s">
        <v>24</v>
      </c>
      <c r="D1346" s="4" t="s">
        <v>2837</v>
      </c>
      <c r="E1346" s="4" t="s">
        <v>5065</v>
      </c>
      <c r="F1346" s="5" t="s">
        <v>2695</v>
      </c>
      <c r="G1346" s="4" t="s">
        <v>2308</v>
      </c>
      <c r="H1346" s="4" t="s">
        <v>532</v>
      </c>
      <c r="I1346" s="4"/>
      <c r="J1346" s="22">
        <v>0</v>
      </c>
      <c r="K1346" s="22">
        <v>0</v>
      </c>
      <c r="L1346" s="22">
        <v>0</v>
      </c>
      <c r="M1346" s="22">
        <v>0</v>
      </c>
      <c r="N1346" s="22">
        <v>0</v>
      </c>
      <c r="O1346" s="22">
        <v>0</v>
      </c>
      <c r="P1346" s="22">
        <v>0</v>
      </c>
      <c r="Q1346" s="22">
        <v>0</v>
      </c>
      <c r="R1346" s="22">
        <v>0</v>
      </c>
      <c r="S1346" s="22">
        <v>0</v>
      </c>
      <c r="T1346" s="22">
        <v>0</v>
      </c>
      <c r="U1346" s="22">
        <v>0</v>
      </c>
      <c r="V1346" s="22">
        <v>0</v>
      </c>
      <c r="W1346" s="22">
        <v>0</v>
      </c>
      <c r="X1346" s="22">
        <v>0</v>
      </c>
      <c r="Y1346" s="4" t="s">
        <v>2308</v>
      </c>
      <c r="Z1346" s="4" t="s">
        <v>2308</v>
      </c>
      <c r="AA1346" s="4" t="s">
        <v>2308</v>
      </c>
      <c r="AB1346" s="4" t="s">
        <v>2308</v>
      </c>
      <c r="AC1346" s="5" t="s">
        <v>4096</v>
      </c>
      <c r="AD1346" s="4"/>
    </row>
    <row r="1347" spans="1:30" ht="29.5" customHeight="1">
      <c r="A1347" s="12" t="s">
        <v>4097</v>
      </c>
      <c r="B1347" s="4" t="s">
        <v>4098</v>
      </c>
      <c r="C1347" s="4" t="s">
        <v>2691</v>
      </c>
      <c r="D1347" s="4" t="s">
        <v>2308</v>
      </c>
      <c r="E1347" s="4" t="s">
        <v>2308</v>
      </c>
      <c r="F1347" s="5" t="s">
        <v>2308</v>
      </c>
      <c r="G1347" s="5" t="s">
        <v>74</v>
      </c>
      <c r="H1347" s="5" t="s">
        <v>531</v>
      </c>
      <c r="I1347" s="4">
        <v>2007</v>
      </c>
      <c r="J1347" s="4" t="s">
        <v>2308</v>
      </c>
      <c r="K1347" s="4" t="s">
        <v>2308</v>
      </c>
      <c r="L1347" s="4" t="s">
        <v>2308</v>
      </c>
      <c r="M1347" s="4" t="s">
        <v>2308</v>
      </c>
      <c r="N1347" s="4" t="s">
        <v>2308</v>
      </c>
      <c r="O1347" s="4" t="s">
        <v>2308</v>
      </c>
      <c r="P1347" s="4" t="s">
        <v>2308</v>
      </c>
      <c r="Q1347" s="4" t="s">
        <v>2308</v>
      </c>
      <c r="R1347" s="4" t="s">
        <v>2308</v>
      </c>
      <c r="S1347" s="4" t="s">
        <v>2308</v>
      </c>
      <c r="T1347" s="4" t="s">
        <v>2308</v>
      </c>
      <c r="U1347" s="4" t="s">
        <v>2308</v>
      </c>
      <c r="V1347" s="4" t="s">
        <v>2308</v>
      </c>
      <c r="W1347" s="4" t="s">
        <v>2308</v>
      </c>
      <c r="X1347" s="4" t="s">
        <v>2308</v>
      </c>
      <c r="Y1347" s="4" t="s">
        <v>2308</v>
      </c>
      <c r="Z1347" s="4" t="s">
        <v>2308</v>
      </c>
      <c r="AA1347" s="4" t="s">
        <v>2308</v>
      </c>
      <c r="AB1347" s="4" t="s">
        <v>2308</v>
      </c>
      <c r="AC1347" s="4" t="s">
        <v>4120</v>
      </c>
      <c r="AD1347" s="4"/>
    </row>
    <row r="1348" spans="1:30" ht="29.5" customHeight="1">
      <c r="A1348" s="12" t="s">
        <v>4112</v>
      </c>
      <c r="B1348" s="4" t="s">
        <v>4115</v>
      </c>
      <c r="C1348" s="4" t="s">
        <v>2691</v>
      </c>
      <c r="D1348" s="4" t="s">
        <v>2308</v>
      </c>
      <c r="E1348" s="4" t="s">
        <v>2308</v>
      </c>
      <c r="F1348" s="5" t="s">
        <v>2308</v>
      </c>
      <c r="G1348" s="5" t="s">
        <v>74</v>
      </c>
      <c r="H1348" s="5" t="s">
        <v>531</v>
      </c>
      <c r="I1348" s="4">
        <v>2007</v>
      </c>
      <c r="J1348" s="4" t="s">
        <v>2308</v>
      </c>
      <c r="K1348" s="4" t="s">
        <v>2308</v>
      </c>
      <c r="L1348" s="4" t="s">
        <v>2308</v>
      </c>
      <c r="M1348" s="4" t="s">
        <v>2308</v>
      </c>
      <c r="N1348" s="4" t="s">
        <v>2308</v>
      </c>
      <c r="O1348" s="4" t="s">
        <v>2308</v>
      </c>
      <c r="P1348" s="4" t="s">
        <v>2308</v>
      </c>
      <c r="Q1348" s="4" t="s">
        <v>2308</v>
      </c>
      <c r="R1348" s="4" t="s">
        <v>2308</v>
      </c>
      <c r="S1348" s="4" t="s">
        <v>2308</v>
      </c>
      <c r="T1348" s="4" t="s">
        <v>2308</v>
      </c>
      <c r="U1348" s="4" t="s">
        <v>2308</v>
      </c>
      <c r="V1348" s="4" t="s">
        <v>2308</v>
      </c>
      <c r="W1348" s="4" t="s">
        <v>2308</v>
      </c>
      <c r="X1348" s="4" t="s">
        <v>2308</v>
      </c>
      <c r="Y1348" s="4" t="s">
        <v>2308</v>
      </c>
      <c r="Z1348" s="4" t="s">
        <v>2308</v>
      </c>
      <c r="AA1348" s="4" t="s">
        <v>2308</v>
      </c>
      <c r="AB1348" s="4" t="s">
        <v>2308</v>
      </c>
      <c r="AC1348" s="4" t="s">
        <v>4120</v>
      </c>
      <c r="AD1348" s="4"/>
    </row>
    <row r="1349" spans="1:30" ht="29.5" customHeight="1">
      <c r="A1349" s="12" t="s">
        <v>4097</v>
      </c>
      <c r="B1349" s="4" t="s">
        <v>4116</v>
      </c>
      <c r="C1349" s="4" t="s">
        <v>2691</v>
      </c>
      <c r="D1349" s="4" t="s">
        <v>2308</v>
      </c>
      <c r="E1349" s="4" t="s">
        <v>2308</v>
      </c>
      <c r="F1349" s="5" t="s">
        <v>2308</v>
      </c>
      <c r="G1349" s="5" t="s">
        <v>28</v>
      </c>
      <c r="H1349" s="5" t="s">
        <v>531</v>
      </c>
      <c r="I1349" s="4">
        <v>2007</v>
      </c>
      <c r="J1349" s="4" t="s">
        <v>2308</v>
      </c>
      <c r="K1349" s="4" t="s">
        <v>2308</v>
      </c>
      <c r="L1349" s="4" t="s">
        <v>2308</v>
      </c>
      <c r="M1349" s="4" t="s">
        <v>2308</v>
      </c>
      <c r="N1349" s="4" t="s">
        <v>2308</v>
      </c>
      <c r="O1349" s="4" t="s">
        <v>2308</v>
      </c>
      <c r="P1349" s="4" t="s">
        <v>2308</v>
      </c>
      <c r="Q1349" s="4" t="s">
        <v>2308</v>
      </c>
      <c r="R1349" s="4" t="s">
        <v>2308</v>
      </c>
      <c r="S1349" s="4" t="s">
        <v>2308</v>
      </c>
      <c r="T1349" s="4" t="s">
        <v>2308</v>
      </c>
      <c r="U1349" s="4" t="s">
        <v>2308</v>
      </c>
      <c r="V1349" s="4" t="s">
        <v>2308</v>
      </c>
      <c r="W1349" s="4" t="s">
        <v>2308</v>
      </c>
      <c r="X1349" s="4" t="s">
        <v>2308</v>
      </c>
      <c r="Y1349" s="4" t="s">
        <v>2308</v>
      </c>
      <c r="Z1349" s="4" t="s">
        <v>2308</v>
      </c>
      <c r="AA1349" s="4" t="s">
        <v>2308</v>
      </c>
      <c r="AB1349" s="4" t="s">
        <v>2308</v>
      </c>
      <c r="AC1349" s="4" t="s">
        <v>4120</v>
      </c>
      <c r="AD1349" s="4"/>
    </row>
    <row r="1350" spans="1:30" ht="29.5" customHeight="1">
      <c r="A1350" s="12" t="s">
        <v>4112</v>
      </c>
      <c r="B1350" s="4" t="s">
        <v>4117</v>
      </c>
      <c r="C1350" s="4" t="s">
        <v>2691</v>
      </c>
      <c r="D1350" s="4" t="s">
        <v>2308</v>
      </c>
      <c r="E1350" s="4" t="s">
        <v>2308</v>
      </c>
      <c r="F1350" s="5" t="s">
        <v>2308</v>
      </c>
      <c r="G1350" s="5" t="s">
        <v>28</v>
      </c>
      <c r="H1350" s="5" t="s">
        <v>531</v>
      </c>
      <c r="I1350" s="4">
        <v>2007</v>
      </c>
      <c r="J1350" s="4" t="s">
        <v>2308</v>
      </c>
      <c r="K1350" s="4" t="s">
        <v>2308</v>
      </c>
      <c r="L1350" s="4" t="s">
        <v>2308</v>
      </c>
      <c r="M1350" s="4" t="s">
        <v>2308</v>
      </c>
      <c r="N1350" s="4" t="s">
        <v>2308</v>
      </c>
      <c r="O1350" s="4" t="s">
        <v>2308</v>
      </c>
      <c r="P1350" s="4" t="s">
        <v>2308</v>
      </c>
      <c r="Q1350" s="4" t="s">
        <v>2308</v>
      </c>
      <c r="R1350" s="4" t="s">
        <v>2308</v>
      </c>
      <c r="S1350" s="4" t="s">
        <v>2308</v>
      </c>
      <c r="T1350" s="4" t="s">
        <v>2308</v>
      </c>
      <c r="U1350" s="4" t="s">
        <v>2308</v>
      </c>
      <c r="V1350" s="4" t="s">
        <v>2308</v>
      </c>
      <c r="W1350" s="4" t="s">
        <v>2308</v>
      </c>
      <c r="X1350" s="4" t="s">
        <v>2308</v>
      </c>
      <c r="Y1350" s="4" t="s">
        <v>2308</v>
      </c>
      <c r="Z1350" s="4" t="s">
        <v>2308</v>
      </c>
      <c r="AA1350" s="4" t="s">
        <v>2308</v>
      </c>
      <c r="AB1350" s="4" t="s">
        <v>2308</v>
      </c>
      <c r="AC1350" s="4" t="s">
        <v>4120</v>
      </c>
      <c r="AD1350" s="4"/>
    </row>
    <row r="1351" spans="1:30" ht="29.5" customHeight="1">
      <c r="A1351" s="12" t="s">
        <v>4097</v>
      </c>
      <c r="B1351" s="4" t="s">
        <v>4118</v>
      </c>
      <c r="C1351" s="4" t="s">
        <v>2691</v>
      </c>
      <c r="D1351" s="4" t="s">
        <v>2308</v>
      </c>
      <c r="E1351" s="4" t="s">
        <v>2308</v>
      </c>
      <c r="F1351" s="5" t="s">
        <v>2308</v>
      </c>
      <c r="G1351" s="5" t="s">
        <v>2695</v>
      </c>
      <c r="H1351" s="5" t="s">
        <v>531</v>
      </c>
      <c r="I1351" s="4">
        <v>2007</v>
      </c>
      <c r="J1351" s="4" t="s">
        <v>2308</v>
      </c>
      <c r="K1351" s="4" t="s">
        <v>2308</v>
      </c>
      <c r="L1351" s="4" t="s">
        <v>2308</v>
      </c>
      <c r="M1351" s="4" t="s">
        <v>2308</v>
      </c>
      <c r="N1351" s="4" t="s">
        <v>2308</v>
      </c>
      <c r="O1351" s="4" t="s">
        <v>2308</v>
      </c>
      <c r="P1351" s="4" t="s">
        <v>2308</v>
      </c>
      <c r="Q1351" s="4" t="s">
        <v>2308</v>
      </c>
      <c r="R1351" s="4" t="s">
        <v>2308</v>
      </c>
      <c r="S1351" s="4" t="s">
        <v>2308</v>
      </c>
      <c r="T1351" s="4" t="s">
        <v>2308</v>
      </c>
      <c r="U1351" s="4" t="s">
        <v>2308</v>
      </c>
      <c r="V1351" s="4" t="s">
        <v>2308</v>
      </c>
      <c r="W1351" s="4" t="s">
        <v>2308</v>
      </c>
      <c r="X1351" s="4" t="s">
        <v>2308</v>
      </c>
      <c r="Y1351" s="4" t="s">
        <v>2308</v>
      </c>
      <c r="Z1351" s="4" t="s">
        <v>2308</v>
      </c>
      <c r="AA1351" s="4" t="s">
        <v>2308</v>
      </c>
      <c r="AB1351" s="4" t="s">
        <v>2308</v>
      </c>
      <c r="AC1351" s="4" t="s">
        <v>4120</v>
      </c>
      <c r="AD1351" s="4"/>
    </row>
    <row r="1352" spans="1:30" ht="29.5" customHeight="1">
      <c r="A1352" s="12" t="s">
        <v>4112</v>
      </c>
      <c r="B1352" s="4" t="s">
        <v>4119</v>
      </c>
      <c r="C1352" s="4" t="s">
        <v>2691</v>
      </c>
      <c r="D1352" s="4" t="s">
        <v>2308</v>
      </c>
      <c r="E1352" s="4" t="s">
        <v>2308</v>
      </c>
      <c r="F1352" s="5" t="s">
        <v>2308</v>
      </c>
      <c r="G1352" s="5" t="s">
        <v>2695</v>
      </c>
      <c r="H1352" s="5" t="s">
        <v>531</v>
      </c>
      <c r="I1352" s="4">
        <v>2007</v>
      </c>
      <c r="J1352" s="4" t="s">
        <v>2308</v>
      </c>
      <c r="K1352" s="4" t="s">
        <v>2308</v>
      </c>
      <c r="L1352" s="4" t="s">
        <v>2308</v>
      </c>
      <c r="M1352" s="4" t="s">
        <v>2308</v>
      </c>
      <c r="N1352" s="4" t="s">
        <v>2308</v>
      </c>
      <c r="O1352" s="4" t="s">
        <v>2308</v>
      </c>
      <c r="P1352" s="4" t="s">
        <v>2308</v>
      </c>
      <c r="Q1352" s="4" t="s">
        <v>2308</v>
      </c>
      <c r="R1352" s="4" t="s">
        <v>2308</v>
      </c>
      <c r="S1352" s="4" t="s">
        <v>2308</v>
      </c>
      <c r="T1352" s="4" t="s">
        <v>2308</v>
      </c>
      <c r="U1352" s="4" t="s">
        <v>2308</v>
      </c>
      <c r="V1352" s="4" t="s">
        <v>2308</v>
      </c>
      <c r="W1352" s="4" t="s">
        <v>2308</v>
      </c>
      <c r="X1352" s="4" t="s">
        <v>2308</v>
      </c>
      <c r="Y1352" s="4" t="s">
        <v>2308</v>
      </c>
      <c r="Z1352" s="4" t="s">
        <v>2308</v>
      </c>
      <c r="AA1352" s="4" t="s">
        <v>2308</v>
      </c>
      <c r="AB1352" s="4" t="s">
        <v>2308</v>
      </c>
      <c r="AC1352" s="4" t="s">
        <v>4120</v>
      </c>
      <c r="AD1352" s="4"/>
    </row>
    <row r="1353" spans="1:30" ht="31" customHeight="1">
      <c r="A1353" s="12" t="s">
        <v>4135</v>
      </c>
      <c r="B1353" s="12" t="s">
        <v>4139</v>
      </c>
      <c r="C1353" s="4" t="s">
        <v>24</v>
      </c>
      <c r="D1353" s="4" t="s">
        <v>2837</v>
      </c>
      <c r="E1353" s="4" t="s">
        <v>5065</v>
      </c>
      <c r="F1353" s="5" t="s">
        <v>55</v>
      </c>
      <c r="G1353" s="4" t="s">
        <v>2308</v>
      </c>
      <c r="H1353" s="4" t="s">
        <v>532</v>
      </c>
      <c r="I1353" s="4"/>
      <c r="J1353" s="22">
        <v>0</v>
      </c>
      <c r="K1353" s="22">
        <v>0</v>
      </c>
      <c r="L1353" s="22">
        <v>0</v>
      </c>
      <c r="M1353" s="22">
        <v>0</v>
      </c>
      <c r="N1353" s="22">
        <v>0</v>
      </c>
      <c r="O1353" s="22">
        <v>0</v>
      </c>
      <c r="P1353" s="22">
        <v>0</v>
      </c>
      <c r="Q1353" s="22">
        <v>0</v>
      </c>
      <c r="R1353" s="22">
        <v>0</v>
      </c>
      <c r="S1353" s="22">
        <v>0</v>
      </c>
      <c r="T1353" s="22">
        <v>0</v>
      </c>
      <c r="U1353" s="22">
        <v>0</v>
      </c>
      <c r="V1353" s="22">
        <v>0</v>
      </c>
      <c r="W1353" s="22">
        <v>0</v>
      </c>
      <c r="X1353" s="22">
        <v>0</v>
      </c>
      <c r="Y1353" s="4" t="s">
        <v>2308</v>
      </c>
      <c r="Z1353" s="4" t="s">
        <v>2308</v>
      </c>
      <c r="AA1353" s="4" t="s">
        <v>2308</v>
      </c>
      <c r="AB1353" s="4" t="s">
        <v>2308</v>
      </c>
      <c r="AC1353" s="4"/>
      <c r="AD1353" s="4"/>
    </row>
    <row r="1354" spans="1:30" ht="32.5" customHeight="1">
      <c r="A1354" s="12" t="s">
        <v>4135</v>
      </c>
      <c r="B1354" s="12" t="s">
        <v>4140</v>
      </c>
      <c r="C1354" s="4" t="s">
        <v>24</v>
      </c>
      <c r="D1354" s="4" t="s">
        <v>2837</v>
      </c>
      <c r="E1354" s="4" t="s">
        <v>5065</v>
      </c>
      <c r="F1354" s="5" t="s">
        <v>74</v>
      </c>
      <c r="G1354" s="4" t="s">
        <v>2308</v>
      </c>
      <c r="H1354" s="4" t="s">
        <v>532</v>
      </c>
      <c r="I1354" s="4"/>
      <c r="J1354" s="22">
        <v>0</v>
      </c>
      <c r="K1354" s="22">
        <v>0</v>
      </c>
      <c r="L1354" s="22">
        <v>0</v>
      </c>
      <c r="M1354" s="22">
        <v>0</v>
      </c>
      <c r="N1354" s="22">
        <v>0</v>
      </c>
      <c r="O1354" s="22">
        <v>0</v>
      </c>
      <c r="P1354" s="22">
        <v>0</v>
      </c>
      <c r="Q1354" s="22">
        <v>0</v>
      </c>
      <c r="R1354" s="22">
        <v>0</v>
      </c>
      <c r="S1354" s="22">
        <v>0</v>
      </c>
      <c r="T1354" s="22">
        <v>0</v>
      </c>
      <c r="U1354" s="22">
        <v>0</v>
      </c>
      <c r="V1354" s="22">
        <v>0</v>
      </c>
      <c r="W1354" s="22">
        <v>0</v>
      </c>
      <c r="X1354" s="22">
        <v>0</v>
      </c>
      <c r="Y1354" s="4" t="s">
        <v>2308</v>
      </c>
      <c r="Z1354" s="4" t="s">
        <v>2308</v>
      </c>
      <c r="AA1354" s="4" t="s">
        <v>2308</v>
      </c>
      <c r="AB1354" s="4" t="s">
        <v>2308</v>
      </c>
      <c r="AC1354" s="4"/>
      <c r="AD1354" s="4"/>
    </row>
    <row r="1355" spans="1:30" ht="31.5" customHeight="1">
      <c r="A1355" s="12" t="s">
        <v>4135</v>
      </c>
      <c r="B1355" s="12" t="s">
        <v>4141</v>
      </c>
      <c r="C1355" s="4" t="s">
        <v>24</v>
      </c>
      <c r="D1355" s="4" t="s">
        <v>2837</v>
      </c>
      <c r="E1355" s="4" t="s">
        <v>5065</v>
      </c>
      <c r="F1355" s="5" t="s">
        <v>2695</v>
      </c>
      <c r="G1355" s="4" t="s">
        <v>2308</v>
      </c>
      <c r="H1355" s="4" t="s">
        <v>532</v>
      </c>
      <c r="I1355" s="4"/>
      <c r="J1355" s="22">
        <v>0</v>
      </c>
      <c r="K1355" s="22">
        <v>0</v>
      </c>
      <c r="L1355" s="22">
        <v>0</v>
      </c>
      <c r="M1355" s="22">
        <v>0</v>
      </c>
      <c r="N1355" s="22">
        <v>0</v>
      </c>
      <c r="O1355" s="22">
        <v>0</v>
      </c>
      <c r="P1355" s="22">
        <v>0</v>
      </c>
      <c r="Q1355" s="22">
        <v>0</v>
      </c>
      <c r="R1355" s="22">
        <v>0</v>
      </c>
      <c r="S1355" s="22">
        <v>0</v>
      </c>
      <c r="T1355" s="22">
        <v>0</v>
      </c>
      <c r="U1355" s="22">
        <v>0</v>
      </c>
      <c r="V1355" s="22">
        <v>0</v>
      </c>
      <c r="W1355" s="22">
        <v>0</v>
      </c>
      <c r="X1355" s="22">
        <v>0</v>
      </c>
      <c r="Y1355" s="4" t="s">
        <v>2308</v>
      </c>
      <c r="Z1355" s="4" t="s">
        <v>2308</v>
      </c>
      <c r="AA1355" s="4" t="s">
        <v>2308</v>
      </c>
      <c r="AB1355" s="4" t="s">
        <v>2308</v>
      </c>
      <c r="AC1355" s="4"/>
      <c r="AD1355" s="4"/>
    </row>
    <row r="1356" spans="1:30" ht="35.5" customHeight="1">
      <c r="A1356" s="12" t="s">
        <v>4135</v>
      </c>
      <c r="B1356" s="12" t="s">
        <v>4142</v>
      </c>
      <c r="C1356" s="4" t="s">
        <v>31</v>
      </c>
      <c r="D1356" s="4" t="s">
        <v>2308</v>
      </c>
      <c r="E1356" s="4" t="s">
        <v>2308</v>
      </c>
      <c r="F1356" s="5" t="s">
        <v>2308</v>
      </c>
      <c r="G1356" s="4" t="s">
        <v>74</v>
      </c>
      <c r="H1356" s="4" t="s">
        <v>531</v>
      </c>
      <c r="I1356" s="4"/>
      <c r="J1356" s="4" t="s">
        <v>2308</v>
      </c>
      <c r="K1356" s="4" t="s">
        <v>2308</v>
      </c>
      <c r="L1356" s="4" t="s">
        <v>2308</v>
      </c>
      <c r="M1356" s="4" t="s">
        <v>2308</v>
      </c>
      <c r="N1356" s="4" t="s">
        <v>2308</v>
      </c>
      <c r="O1356" s="4" t="s">
        <v>2308</v>
      </c>
      <c r="P1356" s="4" t="s">
        <v>2308</v>
      </c>
      <c r="Q1356" s="4" t="s">
        <v>2308</v>
      </c>
      <c r="R1356" s="4" t="s">
        <v>2308</v>
      </c>
      <c r="S1356" s="4" t="s">
        <v>2308</v>
      </c>
      <c r="T1356" s="4" t="s">
        <v>2308</v>
      </c>
      <c r="U1356" s="4" t="s">
        <v>2308</v>
      </c>
      <c r="V1356" s="4" t="s">
        <v>2308</v>
      </c>
      <c r="W1356" s="4" t="s">
        <v>2308</v>
      </c>
      <c r="X1356" s="4" t="s">
        <v>2308</v>
      </c>
      <c r="Y1356" s="22">
        <v>18</v>
      </c>
      <c r="Z1356" s="4" t="s">
        <v>195</v>
      </c>
      <c r="AA1356" s="4" t="s">
        <v>34</v>
      </c>
      <c r="AB1356" s="4" t="s">
        <v>2308</v>
      </c>
      <c r="AC1356" s="4"/>
      <c r="AD1356" s="4"/>
    </row>
    <row r="1357" spans="1:30" ht="35.5" customHeight="1">
      <c r="A1357" s="12" t="s">
        <v>4135</v>
      </c>
      <c r="B1357" s="12" t="s">
        <v>4143</v>
      </c>
      <c r="C1357" s="4" t="s">
        <v>31</v>
      </c>
      <c r="D1357" s="4" t="s">
        <v>2308</v>
      </c>
      <c r="E1357" s="4" t="s">
        <v>2308</v>
      </c>
      <c r="F1357" s="5" t="s">
        <v>2308</v>
      </c>
      <c r="G1357" s="4" t="s">
        <v>74</v>
      </c>
      <c r="H1357" s="4" t="s">
        <v>531</v>
      </c>
      <c r="I1357" s="4">
        <v>1994</v>
      </c>
      <c r="J1357" s="4" t="s">
        <v>2308</v>
      </c>
      <c r="K1357" s="4" t="s">
        <v>2308</v>
      </c>
      <c r="L1357" s="4" t="s">
        <v>2308</v>
      </c>
      <c r="M1357" s="4" t="s">
        <v>2308</v>
      </c>
      <c r="N1357" s="4" t="s">
        <v>2308</v>
      </c>
      <c r="O1357" s="4" t="s">
        <v>2308</v>
      </c>
      <c r="P1357" s="4" t="s">
        <v>2308</v>
      </c>
      <c r="Q1357" s="4" t="s">
        <v>2308</v>
      </c>
      <c r="R1357" s="4" t="s">
        <v>2308</v>
      </c>
      <c r="S1357" s="4" t="s">
        <v>2308</v>
      </c>
      <c r="T1357" s="4" t="s">
        <v>2308</v>
      </c>
      <c r="U1357" s="4" t="s">
        <v>2308</v>
      </c>
      <c r="V1357" s="4" t="s">
        <v>2308</v>
      </c>
      <c r="W1357" s="4" t="s">
        <v>2308</v>
      </c>
      <c r="X1357" s="4" t="s">
        <v>2308</v>
      </c>
      <c r="Y1357" s="4" t="s">
        <v>2308</v>
      </c>
      <c r="Z1357" s="4" t="s">
        <v>195</v>
      </c>
      <c r="AA1357" s="4" t="s">
        <v>34</v>
      </c>
      <c r="AB1357" s="4" t="s">
        <v>2308</v>
      </c>
      <c r="AC1357" s="4"/>
      <c r="AD1357" s="4"/>
    </row>
    <row r="1358" spans="1:30" ht="40" customHeight="1">
      <c r="A1358" s="12" t="s">
        <v>4135</v>
      </c>
      <c r="B1358" s="12" t="s">
        <v>4144</v>
      </c>
      <c r="C1358" s="4" t="s">
        <v>31</v>
      </c>
      <c r="D1358" s="4" t="s">
        <v>2308</v>
      </c>
      <c r="E1358" s="4" t="s">
        <v>2308</v>
      </c>
      <c r="F1358" s="5" t="s">
        <v>2308</v>
      </c>
      <c r="G1358" s="4" t="s">
        <v>74</v>
      </c>
      <c r="H1358" s="4" t="s">
        <v>531</v>
      </c>
      <c r="I1358" s="4">
        <v>1996</v>
      </c>
      <c r="J1358" s="4" t="s">
        <v>2308</v>
      </c>
      <c r="K1358" s="4" t="s">
        <v>2308</v>
      </c>
      <c r="L1358" s="4" t="s">
        <v>2308</v>
      </c>
      <c r="M1358" s="4" t="s">
        <v>2308</v>
      </c>
      <c r="N1358" s="4" t="s">
        <v>2308</v>
      </c>
      <c r="O1358" s="4" t="s">
        <v>2308</v>
      </c>
      <c r="P1358" s="4" t="s">
        <v>2308</v>
      </c>
      <c r="Q1358" s="4" t="s">
        <v>2308</v>
      </c>
      <c r="R1358" s="4" t="s">
        <v>2308</v>
      </c>
      <c r="S1358" s="4" t="s">
        <v>2308</v>
      </c>
      <c r="T1358" s="4" t="s">
        <v>2308</v>
      </c>
      <c r="U1358" s="4" t="s">
        <v>2308</v>
      </c>
      <c r="V1358" s="4" t="s">
        <v>2308</v>
      </c>
      <c r="W1358" s="4" t="s">
        <v>2308</v>
      </c>
      <c r="X1358" s="4" t="s">
        <v>2308</v>
      </c>
      <c r="Y1358" s="4" t="s">
        <v>2308</v>
      </c>
      <c r="Z1358" s="4" t="s">
        <v>195</v>
      </c>
      <c r="AA1358" s="4" t="s">
        <v>34</v>
      </c>
      <c r="AB1358" s="4" t="s">
        <v>2308</v>
      </c>
      <c r="AC1358" s="4"/>
      <c r="AD1358" s="4"/>
    </row>
    <row r="1359" spans="1:30" ht="40" customHeight="1">
      <c r="A1359" s="12" t="s">
        <v>4135</v>
      </c>
      <c r="B1359" s="12" t="s">
        <v>4145</v>
      </c>
      <c r="C1359" s="4" t="s">
        <v>31</v>
      </c>
      <c r="D1359" s="4" t="s">
        <v>2308</v>
      </c>
      <c r="E1359" s="4" t="s">
        <v>2308</v>
      </c>
      <c r="F1359" s="5" t="s">
        <v>2308</v>
      </c>
      <c r="G1359" s="4" t="s">
        <v>74</v>
      </c>
      <c r="H1359" s="4" t="s">
        <v>531</v>
      </c>
      <c r="I1359" s="4">
        <v>1997</v>
      </c>
      <c r="J1359" s="4" t="s">
        <v>2308</v>
      </c>
      <c r="K1359" s="4" t="s">
        <v>2308</v>
      </c>
      <c r="L1359" s="4" t="s">
        <v>2308</v>
      </c>
      <c r="M1359" s="4" t="s">
        <v>2308</v>
      </c>
      <c r="N1359" s="4" t="s">
        <v>2308</v>
      </c>
      <c r="O1359" s="4" t="s">
        <v>2308</v>
      </c>
      <c r="P1359" s="4" t="s">
        <v>2308</v>
      </c>
      <c r="Q1359" s="4" t="s">
        <v>2308</v>
      </c>
      <c r="R1359" s="4" t="s">
        <v>2308</v>
      </c>
      <c r="S1359" s="4" t="s">
        <v>2308</v>
      </c>
      <c r="T1359" s="4" t="s">
        <v>2308</v>
      </c>
      <c r="U1359" s="4" t="s">
        <v>2308</v>
      </c>
      <c r="V1359" s="4" t="s">
        <v>2308</v>
      </c>
      <c r="W1359" s="4" t="s">
        <v>2308</v>
      </c>
      <c r="X1359" s="4" t="s">
        <v>2308</v>
      </c>
      <c r="Y1359" s="4" t="s">
        <v>2308</v>
      </c>
      <c r="Z1359" s="4" t="s">
        <v>195</v>
      </c>
      <c r="AA1359" s="4" t="s">
        <v>34</v>
      </c>
      <c r="AB1359" s="4" t="s">
        <v>2308</v>
      </c>
      <c r="AC1359" s="4"/>
      <c r="AD1359" s="4"/>
    </row>
    <row r="1360" spans="1:30" ht="40" customHeight="1">
      <c r="A1360" s="12" t="s">
        <v>4135</v>
      </c>
      <c r="B1360" s="12" t="s">
        <v>4146</v>
      </c>
      <c r="C1360" s="4" t="s">
        <v>31</v>
      </c>
      <c r="D1360" s="4" t="s">
        <v>2308</v>
      </c>
      <c r="E1360" s="4" t="s">
        <v>2308</v>
      </c>
      <c r="F1360" s="5" t="s">
        <v>2308</v>
      </c>
      <c r="G1360" s="4" t="s">
        <v>74</v>
      </c>
      <c r="H1360" s="4" t="s">
        <v>531</v>
      </c>
      <c r="I1360" s="4">
        <v>2007</v>
      </c>
      <c r="J1360" s="4" t="s">
        <v>2308</v>
      </c>
      <c r="K1360" s="4" t="s">
        <v>2308</v>
      </c>
      <c r="L1360" s="4" t="s">
        <v>2308</v>
      </c>
      <c r="M1360" s="4" t="s">
        <v>2308</v>
      </c>
      <c r="N1360" s="4" t="s">
        <v>2308</v>
      </c>
      <c r="O1360" s="4" t="s">
        <v>2308</v>
      </c>
      <c r="P1360" s="4" t="s">
        <v>2308</v>
      </c>
      <c r="Q1360" s="4" t="s">
        <v>2308</v>
      </c>
      <c r="R1360" s="4" t="s">
        <v>2308</v>
      </c>
      <c r="S1360" s="4" t="s">
        <v>2308</v>
      </c>
      <c r="T1360" s="4" t="s">
        <v>2308</v>
      </c>
      <c r="U1360" s="4" t="s">
        <v>2308</v>
      </c>
      <c r="V1360" s="4" t="s">
        <v>2308</v>
      </c>
      <c r="W1360" s="4" t="s">
        <v>2308</v>
      </c>
      <c r="X1360" s="4" t="s">
        <v>2308</v>
      </c>
      <c r="Y1360" s="4" t="s">
        <v>2308</v>
      </c>
      <c r="Z1360" s="4" t="s">
        <v>195</v>
      </c>
      <c r="AA1360" s="4" t="s">
        <v>34</v>
      </c>
      <c r="AB1360" s="4" t="s">
        <v>2308</v>
      </c>
      <c r="AC1360" s="4"/>
      <c r="AD1360" s="4"/>
    </row>
    <row r="1361" spans="1:30" ht="36.5" customHeight="1">
      <c r="A1361" s="12" t="s">
        <v>4135</v>
      </c>
      <c r="B1361" s="12" t="s">
        <v>4147</v>
      </c>
      <c r="C1361" s="4" t="s">
        <v>2689</v>
      </c>
      <c r="D1361" s="4" t="s">
        <v>2308</v>
      </c>
      <c r="E1361" s="4" t="s">
        <v>2308</v>
      </c>
      <c r="F1361" s="5" t="s">
        <v>2308</v>
      </c>
      <c r="G1361" s="4" t="s">
        <v>74</v>
      </c>
      <c r="H1361" s="4" t="s">
        <v>532</v>
      </c>
      <c r="I1361" s="4"/>
      <c r="J1361" s="22">
        <v>0</v>
      </c>
      <c r="K1361" s="22">
        <v>0</v>
      </c>
      <c r="L1361" s="22">
        <v>0</v>
      </c>
      <c r="M1361" s="22">
        <v>0</v>
      </c>
      <c r="N1361" s="22">
        <v>0</v>
      </c>
      <c r="O1361" s="22">
        <v>0</v>
      </c>
      <c r="P1361" s="22">
        <v>0</v>
      </c>
      <c r="Q1361" s="22">
        <v>0</v>
      </c>
      <c r="R1361" s="22">
        <v>0</v>
      </c>
      <c r="S1361" s="22">
        <v>0</v>
      </c>
      <c r="T1361" s="22">
        <v>0</v>
      </c>
      <c r="U1361" s="22">
        <v>0</v>
      </c>
      <c r="V1361" s="22">
        <v>0</v>
      </c>
      <c r="W1361" s="22">
        <v>0</v>
      </c>
      <c r="X1361" s="22">
        <v>0</v>
      </c>
      <c r="Y1361" s="4" t="s">
        <v>2308</v>
      </c>
      <c r="Z1361" s="4" t="s">
        <v>195</v>
      </c>
      <c r="AA1361" s="4" t="s">
        <v>34</v>
      </c>
      <c r="AB1361" s="4" t="s">
        <v>2308</v>
      </c>
      <c r="AC1361" s="5" t="s">
        <v>4148</v>
      </c>
      <c r="AD1361" s="4"/>
    </row>
    <row r="1362" spans="1:30" ht="39" customHeight="1">
      <c r="A1362" s="12" t="s">
        <v>4157</v>
      </c>
      <c r="B1362" s="4" t="s">
        <v>4167</v>
      </c>
      <c r="C1362" s="4" t="s">
        <v>24</v>
      </c>
      <c r="D1362" s="4" t="s">
        <v>25</v>
      </c>
      <c r="E1362" s="4" t="s">
        <v>5065</v>
      </c>
      <c r="F1362" s="5" t="s">
        <v>55</v>
      </c>
      <c r="G1362" s="4" t="s">
        <v>2308</v>
      </c>
      <c r="H1362" s="4" t="s">
        <v>531</v>
      </c>
      <c r="I1362" s="4"/>
      <c r="J1362" s="4" t="s">
        <v>2308</v>
      </c>
      <c r="K1362" s="4" t="s">
        <v>2308</v>
      </c>
      <c r="L1362" s="4" t="s">
        <v>2308</v>
      </c>
      <c r="M1362" s="4" t="s">
        <v>2308</v>
      </c>
      <c r="N1362" s="4" t="s">
        <v>2308</v>
      </c>
      <c r="O1362" s="4" t="s">
        <v>2308</v>
      </c>
      <c r="P1362" s="4" t="s">
        <v>2308</v>
      </c>
      <c r="Q1362" s="4" t="s">
        <v>2308</v>
      </c>
      <c r="R1362" s="4" t="s">
        <v>2308</v>
      </c>
      <c r="S1362" s="4" t="s">
        <v>2308</v>
      </c>
      <c r="T1362" s="4" t="s">
        <v>2308</v>
      </c>
      <c r="U1362" s="4" t="s">
        <v>2308</v>
      </c>
      <c r="V1362" s="4" t="s">
        <v>2308</v>
      </c>
      <c r="W1362" s="4" t="s">
        <v>2308</v>
      </c>
      <c r="X1362" s="4" t="s">
        <v>2308</v>
      </c>
      <c r="Y1362" s="4" t="s">
        <v>2308</v>
      </c>
      <c r="Z1362" s="4" t="s">
        <v>2308</v>
      </c>
      <c r="AA1362" s="4" t="s">
        <v>2308</v>
      </c>
      <c r="AB1362" s="4" t="s">
        <v>2308</v>
      </c>
      <c r="AC1362" s="4"/>
      <c r="AD1362" s="4"/>
    </row>
    <row r="1363" spans="1:30" ht="39" customHeight="1">
      <c r="A1363" s="12" t="s">
        <v>4157</v>
      </c>
      <c r="B1363" s="4" t="s">
        <v>4168</v>
      </c>
      <c r="C1363" s="4" t="s">
        <v>24</v>
      </c>
      <c r="D1363" s="4" t="s">
        <v>25</v>
      </c>
      <c r="E1363" s="4" t="s">
        <v>45</v>
      </c>
      <c r="F1363" s="5" t="s">
        <v>55</v>
      </c>
      <c r="G1363" s="4" t="s">
        <v>2308</v>
      </c>
      <c r="H1363" s="4" t="s">
        <v>531</v>
      </c>
      <c r="I1363" s="4"/>
      <c r="J1363" s="4" t="s">
        <v>2308</v>
      </c>
      <c r="K1363" s="4" t="s">
        <v>2308</v>
      </c>
      <c r="L1363" s="4" t="s">
        <v>2308</v>
      </c>
      <c r="M1363" s="4" t="s">
        <v>2308</v>
      </c>
      <c r="N1363" s="4" t="s">
        <v>2308</v>
      </c>
      <c r="O1363" s="4" t="s">
        <v>2308</v>
      </c>
      <c r="P1363" s="4" t="s">
        <v>2308</v>
      </c>
      <c r="Q1363" s="4" t="s">
        <v>2308</v>
      </c>
      <c r="R1363" s="4" t="s">
        <v>2308</v>
      </c>
      <c r="S1363" s="4" t="s">
        <v>2308</v>
      </c>
      <c r="T1363" s="4" t="s">
        <v>2308</v>
      </c>
      <c r="U1363" s="4" t="s">
        <v>2308</v>
      </c>
      <c r="V1363" s="4" t="s">
        <v>2308</v>
      </c>
      <c r="W1363" s="4" t="s">
        <v>2308</v>
      </c>
      <c r="X1363" s="4" t="s">
        <v>2308</v>
      </c>
      <c r="Y1363" s="4" t="s">
        <v>2308</v>
      </c>
      <c r="Z1363" s="4" t="s">
        <v>2308</v>
      </c>
      <c r="AA1363" s="4" t="s">
        <v>2308</v>
      </c>
      <c r="AB1363" s="4" t="s">
        <v>2308</v>
      </c>
      <c r="AC1363" s="4"/>
      <c r="AD1363" s="4"/>
    </row>
    <row r="1364" spans="1:30" ht="36" customHeight="1">
      <c r="A1364" s="12" t="s">
        <v>4158</v>
      </c>
      <c r="B1364" s="4" t="s">
        <v>4169</v>
      </c>
      <c r="C1364" s="4" t="s">
        <v>24</v>
      </c>
      <c r="D1364" s="4" t="s">
        <v>25</v>
      </c>
      <c r="E1364" s="4" t="s">
        <v>5065</v>
      </c>
      <c r="F1364" s="5" t="s">
        <v>55</v>
      </c>
      <c r="G1364" s="4" t="s">
        <v>2308</v>
      </c>
      <c r="H1364" s="4" t="s">
        <v>531</v>
      </c>
      <c r="I1364" s="4"/>
      <c r="J1364" s="4" t="s">
        <v>2308</v>
      </c>
      <c r="K1364" s="4" t="s">
        <v>2308</v>
      </c>
      <c r="L1364" s="4" t="s">
        <v>2308</v>
      </c>
      <c r="M1364" s="4" t="s">
        <v>2308</v>
      </c>
      <c r="N1364" s="4" t="s">
        <v>2308</v>
      </c>
      <c r="O1364" s="4" t="s">
        <v>2308</v>
      </c>
      <c r="P1364" s="4" t="s">
        <v>2308</v>
      </c>
      <c r="Q1364" s="4" t="s">
        <v>2308</v>
      </c>
      <c r="R1364" s="4" t="s">
        <v>2308</v>
      </c>
      <c r="S1364" s="4" t="s">
        <v>2308</v>
      </c>
      <c r="T1364" s="4" t="s">
        <v>2308</v>
      </c>
      <c r="U1364" s="4" t="s">
        <v>2308</v>
      </c>
      <c r="V1364" s="4" t="s">
        <v>2308</v>
      </c>
      <c r="W1364" s="4" t="s">
        <v>2308</v>
      </c>
      <c r="X1364" s="4" t="s">
        <v>2308</v>
      </c>
      <c r="Y1364" s="4" t="s">
        <v>2308</v>
      </c>
      <c r="Z1364" s="4" t="s">
        <v>432</v>
      </c>
      <c r="AA1364" s="4" t="s">
        <v>35</v>
      </c>
      <c r="AB1364" s="4" t="s">
        <v>64</v>
      </c>
      <c r="AC1364" s="4" t="s">
        <v>4166</v>
      </c>
      <c r="AD1364" s="4"/>
    </row>
    <row r="1365" spans="1:30" ht="36.5" customHeight="1">
      <c r="A1365" s="12" t="s">
        <v>4158</v>
      </c>
      <c r="B1365" s="4" t="s">
        <v>4170</v>
      </c>
      <c r="C1365" s="4" t="s">
        <v>24</v>
      </c>
      <c r="D1365" s="4" t="s">
        <v>25</v>
      </c>
      <c r="E1365" s="4" t="s">
        <v>45</v>
      </c>
      <c r="F1365" s="5" t="s">
        <v>55</v>
      </c>
      <c r="G1365" s="4" t="s">
        <v>2308</v>
      </c>
      <c r="H1365" s="4" t="s">
        <v>531</v>
      </c>
      <c r="I1365" s="4"/>
      <c r="J1365" s="4" t="s">
        <v>2308</v>
      </c>
      <c r="K1365" s="4" t="s">
        <v>2308</v>
      </c>
      <c r="L1365" s="4" t="s">
        <v>2308</v>
      </c>
      <c r="M1365" s="4" t="s">
        <v>2308</v>
      </c>
      <c r="N1365" s="4" t="s">
        <v>2308</v>
      </c>
      <c r="O1365" s="4" t="s">
        <v>2308</v>
      </c>
      <c r="P1365" s="4" t="s">
        <v>2308</v>
      </c>
      <c r="Q1365" s="4" t="s">
        <v>2308</v>
      </c>
      <c r="R1365" s="4" t="s">
        <v>2308</v>
      </c>
      <c r="S1365" s="4" t="s">
        <v>2308</v>
      </c>
      <c r="T1365" s="4" t="s">
        <v>2308</v>
      </c>
      <c r="U1365" s="4" t="s">
        <v>2308</v>
      </c>
      <c r="V1365" s="4" t="s">
        <v>2308</v>
      </c>
      <c r="W1365" s="4" t="s">
        <v>2308</v>
      </c>
      <c r="X1365" s="4" t="s">
        <v>2308</v>
      </c>
      <c r="Y1365" s="4" t="s">
        <v>2308</v>
      </c>
      <c r="Z1365" s="4" t="s">
        <v>432</v>
      </c>
      <c r="AA1365" s="4" t="s">
        <v>35</v>
      </c>
      <c r="AB1365" s="4" t="s">
        <v>64</v>
      </c>
      <c r="AC1365" s="4" t="s">
        <v>4166</v>
      </c>
      <c r="AD1365" s="4"/>
    </row>
    <row r="1366" spans="1:30" ht="73.5" customHeight="1">
      <c r="A1366" s="12" t="s">
        <v>4178</v>
      </c>
      <c r="B1366" s="12" t="s">
        <v>4182</v>
      </c>
      <c r="C1366" s="4" t="s">
        <v>24</v>
      </c>
      <c r="D1366" s="4" t="s">
        <v>2837</v>
      </c>
      <c r="E1366" s="4" t="s">
        <v>5065</v>
      </c>
      <c r="F1366" s="5" t="s">
        <v>2695</v>
      </c>
      <c r="G1366" s="4" t="s">
        <v>2308</v>
      </c>
      <c r="H1366" s="4" t="s">
        <v>531</v>
      </c>
      <c r="I1366" s="4"/>
      <c r="J1366" s="4" t="s">
        <v>2308</v>
      </c>
      <c r="K1366" s="4" t="s">
        <v>2308</v>
      </c>
      <c r="L1366" s="4" t="s">
        <v>2308</v>
      </c>
      <c r="M1366" s="4" t="s">
        <v>2308</v>
      </c>
      <c r="N1366" s="4" t="s">
        <v>2308</v>
      </c>
      <c r="O1366" s="4" t="s">
        <v>2308</v>
      </c>
      <c r="P1366" s="4" t="s">
        <v>2308</v>
      </c>
      <c r="Q1366" s="4" t="s">
        <v>2308</v>
      </c>
      <c r="R1366" s="4" t="s">
        <v>2308</v>
      </c>
      <c r="S1366" s="4" t="s">
        <v>2308</v>
      </c>
      <c r="T1366" s="4" t="s">
        <v>2308</v>
      </c>
      <c r="U1366" s="4" t="s">
        <v>2308</v>
      </c>
      <c r="V1366" s="4" t="s">
        <v>2308</v>
      </c>
      <c r="W1366" s="4" t="s">
        <v>2308</v>
      </c>
      <c r="X1366" s="4" t="s">
        <v>2308</v>
      </c>
      <c r="Y1366" s="4" t="s">
        <v>2308</v>
      </c>
      <c r="Z1366" s="4" t="s">
        <v>2308</v>
      </c>
      <c r="AA1366" s="4" t="s">
        <v>2308</v>
      </c>
      <c r="AB1366" s="4" t="s">
        <v>2308</v>
      </c>
      <c r="AC1366" s="5" t="s">
        <v>4184</v>
      </c>
      <c r="AD1366" s="4"/>
    </row>
    <row r="1367" spans="1:30" ht="98.5" customHeight="1">
      <c r="A1367" s="12" t="s">
        <v>4178</v>
      </c>
      <c r="B1367" s="12" t="s">
        <v>4183</v>
      </c>
      <c r="C1367" s="4" t="s">
        <v>24</v>
      </c>
      <c r="D1367" s="4" t="s">
        <v>2837</v>
      </c>
      <c r="E1367" s="4" t="s">
        <v>45</v>
      </c>
      <c r="F1367" s="5" t="s">
        <v>2695</v>
      </c>
      <c r="G1367" s="4" t="s">
        <v>2308</v>
      </c>
      <c r="H1367" s="4" t="s">
        <v>531</v>
      </c>
      <c r="I1367" s="4"/>
      <c r="J1367" s="4" t="s">
        <v>2308</v>
      </c>
      <c r="K1367" s="4" t="s">
        <v>2308</v>
      </c>
      <c r="L1367" s="4" t="s">
        <v>2308</v>
      </c>
      <c r="M1367" s="4" t="s">
        <v>2308</v>
      </c>
      <c r="N1367" s="4" t="s">
        <v>2308</v>
      </c>
      <c r="O1367" s="4" t="s">
        <v>2308</v>
      </c>
      <c r="P1367" s="4" t="s">
        <v>2308</v>
      </c>
      <c r="Q1367" s="4" t="s">
        <v>2308</v>
      </c>
      <c r="R1367" s="4" t="s">
        <v>2308</v>
      </c>
      <c r="S1367" s="4" t="s">
        <v>2308</v>
      </c>
      <c r="T1367" s="4" t="s">
        <v>2308</v>
      </c>
      <c r="U1367" s="4" t="s">
        <v>2308</v>
      </c>
      <c r="V1367" s="4" t="s">
        <v>2308</v>
      </c>
      <c r="W1367" s="4" t="s">
        <v>2308</v>
      </c>
      <c r="X1367" s="4" t="s">
        <v>2308</v>
      </c>
      <c r="Y1367" s="4" t="s">
        <v>2308</v>
      </c>
      <c r="Z1367" s="4" t="s">
        <v>2308</v>
      </c>
      <c r="AA1367" s="4" t="s">
        <v>2308</v>
      </c>
      <c r="AB1367" s="4" t="s">
        <v>2308</v>
      </c>
      <c r="AC1367" s="5" t="s">
        <v>4184</v>
      </c>
      <c r="AD1367" s="4"/>
    </row>
    <row r="1368" spans="1:30" ht="40" customHeight="1">
      <c r="A1368" s="4" t="s">
        <v>4187</v>
      </c>
      <c r="B1368" s="4" t="s">
        <v>4192</v>
      </c>
      <c r="C1368" s="4" t="s">
        <v>24</v>
      </c>
      <c r="D1368" s="4" t="s">
        <v>149</v>
      </c>
      <c r="E1368" s="4" t="s">
        <v>5065</v>
      </c>
      <c r="F1368" s="5" t="s">
        <v>74</v>
      </c>
      <c r="G1368" s="4" t="s">
        <v>2308</v>
      </c>
      <c r="H1368" s="4" t="s">
        <v>531</v>
      </c>
      <c r="I1368" s="4"/>
      <c r="J1368" s="4" t="s">
        <v>2308</v>
      </c>
      <c r="K1368" s="4" t="s">
        <v>2308</v>
      </c>
      <c r="L1368" s="4" t="s">
        <v>2308</v>
      </c>
      <c r="M1368" s="4" t="s">
        <v>2308</v>
      </c>
      <c r="N1368" s="4" t="s">
        <v>2308</v>
      </c>
      <c r="O1368" s="4" t="s">
        <v>2308</v>
      </c>
      <c r="P1368" s="4" t="s">
        <v>2308</v>
      </c>
      <c r="Q1368" s="4" t="s">
        <v>2308</v>
      </c>
      <c r="R1368" s="4" t="s">
        <v>2308</v>
      </c>
      <c r="S1368" s="4" t="s">
        <v>2308</v>
      </c>
      <c r="T1368" s="4" t="s">
        <v>2308</v>
      </c>
      <c r="U1368" s="4" t="s">
        <v>2308</v>
      </c>
      <c r="V1368" s="4" t="s">
        <v>2308</v>
      </c>
      <c r="W1368" s="4" t="s">
        <v>2308</v>
      </c>
      <c r="X1368" s="4" t="s">
        <v>2308</v>
      </c>
      <c r="Y1368" s="4" t="s">
        <v>2308</v>
      </c>
      <c r="Z1368" s="4" t="s">
        <v>2308</v>
      </c>
      <c r="AA1368" s="4" t="s">
        <v>2308</v>
      </c>
      <c r="AB1368" s="4" t="s">
        <v>2308</v>
      </c>
      <c r="AC1368" s="5" t="s">
        <v>4194</v>
      </c>
      <c r="AD1368" s="4"/>
    </row>
    <row r="1369" spans="1:30" ht="40" customHeight="1">
      <c r="A1369" s="4" t="s">
        <v>4187</v>
      </c>
      <c r="B1369" s="4" t="s">
        <v>4193</v>
      </c>
      <c r="C1369" s="4" t="s">
        <v>24</v>
      </c>
      <c r="D1369" s="4" t="s">
        <v>149</v>
      </c>
      <c r="E1369" s="4" t="s">
        <v>45</v>
      </c>
      <c r="F1369" s="5" t="s">
        <v>74</v>
      </c>
      <c r="G1369" s="4" t="s">
        <v>2308</v>
      </c>
      <c r="H1369" s="4" t="s">
        <v>531</v>
      </c>
      <c r="I1369" s="4"/>
      <c r="J1369" s="4" t="s">
        <v>2308</v>
      </c>
      <c r="K1369" s="4" t="s">
        <v>2308</v>
      </c>
      <c r="L1369" s="4" t="s">
        <v>2308</v>
      </c>
      <c r="M1369" s="4" t="s">
        <v>2308</v>
      </c>
      <c r="N1369" s="4" t="s">
        <v>2308</v>
      </c>
      <c r="O1369" s="4" t="s">
        <v>2308</v>
      </c>
      <c r="P1369" s="4" t="s">
        <v>2308</v>
      </c>
      <c r="Q1369" s="4" t="s">
        <v>2308</v>
      </c>
      <c r="R1369" s="4" t="s">
        <v>2308</v>
      </c>
      <c r="S1369" s="4" t="s">
        <v>2308</v>
      </c>
      <c r="T1369" s="4" t="s">
        <v>2308</v>
      </c>
      <c r="U1369" s="4" t="s">
        <v>2308</v>
      </c>
      <c r="V1369" s="4" t="s">
        <v>2308</v>
      </c>
      <c r="W1369" s="4" t="s">
        <v>2308</v>
      </c>
      <c r="X1369" s="4" t="s">
        <v>2308</v>
      </c>
      <c r="Y1369" s="4" t="s">
        <v>2308</v>
      </c>
      <c r="Z1369" s="4" t="s">
        <v>2308</v>
      </c>
      <c r="AA1369" s="4" t="s">
        <v>2308</v>
      </c>
      <c r="AB1369" s="4" t="s">
        <v>2308</v>
      </c>
      <c r="AC1369" s="5" t="s">
        <v>4194</v>
      </c>
      <c r="AD1369" s="4"/>
    </row>
    <row r="1370" spans="1:30" ht="47.5" customHeight="1">
      <c r="A1370" s="12" t="s">
        <v>4195</v>
      </c>
      <c r="B1370" s="12" t="s">
        <v>4203</v>
      </c>
      <c r="C1370" s="4" t="s">
        <v>24</v>
      </c>
      <c r="D1370" s="4" t="s">
        <v>27</v>
      </c>
      <c r="E1370" s="5" t="s">
        <v>3903</v>
      </c>
      <c r="F1370" s="5" t="s">
        <v>2695</v>
      </c>
      <c r="G1370" s="4" t="s">
        <v>2308</v>
      </c>
      <c r="H1370" s="4" t="s">
        <v>531</v>
      </c>
      <c r="I1370" s="4"/>
      <c r="J1370" s="4" t="s">
        <v>2308</v>
      </c>
      <c r="K1370" s="4" t="s">
        <v>2308</v>
      </c>
      <c r="L1370" s="4" t="s">
        <v>2308</v>
      </c>
      <c r="M1370" s="4" t="s">
        <v>2308</v>
      </c>
      <c r="N1370" s="4" t="s">
        <v>2308</v>
      </c>
      <c r="O1370" s="4" t="s">
        <v>2308</v>
      </c>
      <c r="P1370" s="4" t="s">
        <v>2308</v>
      </c>
      <c r="Q1370" s="4" t="s">
        <v>2308</v>
      </c>
      <c r="R1370" s="4" t="s">
        <v>2308</v>
      </c>
      <c r="S1370" s="4" t="s">
        <v>2308</v>
      </c>
      <c r="T1370" s="4" t="s">
        <v>2308</v>
      </c>
      <c r="U1370" s="4" t="s">
        <v>2308</v>
      </c>
      <c r="V1370" s="4" t="s">
        <v>2308</v>
      </c>
      <c r="W1370" s="4" t="s">
        <v>2308</v>
      </c>
      <c r="X1370" s="4" t="s">
        <v>2308</v>
      </c>
      <c r="Y1370" s="4" t="s">
        <v>2308</v>
      </c>
      <c r="Z1370" s="4" t="s">
        <v>412</v>
      </c>
      <c r="AA1370" s="4" t="s">
        <v>68</v>
      </c>
      <c r="AB1370" s="4" t="s">
        <v>64</v>
      </c>
      <c r="AC1370" s="5" t="s">
        <v>4234</v>
      </c>
      <c r="AD1370" s="4"/>
    </row>
    <row r="1371" spans="1:30" ht="49.5" customHeight="1">
      <c r="A1371" s="12" t="s">
        <v>4195</v>
      </c>
      <c r="B1371" s="12" t="s">
        <v>4204</v>
      </c>
      <c r="C1371" s="4" t="s">
        <v>24</v>
      </c>
      <c r="D1371" s="4" t="s">
        <v>25</v>
      </c>
      <c r="E1371" s="5" t="s">
        <v>3903</v>
      </c>
      <c r="F1371" s="5" t="s">
        <v>2695</v>
      </c>
      <c r="G1371" s="4" t="s">
        <v>2308</v>
      </c>
      <c r="H1371" s="4" t="s">
        <v>531</v>
      </c>
      <c r="I1371" s="4"/>
      <c r="J1371" s="4" t="s">
        <v>2308</v>
      </c>
      <c r="K1371" s="4" t="s">
        <v>2308</v>
      </c>
      <c r="L1371" s="4" t="s">
        <v>2308</v>
      </c>
      <c r="M1371" s="4" t="s">
        <v>2308</v>
      </c>
      <c r="N1371" s="4" t="s">
        <v>2308</v>
      </c>
      <c r="O1371" s="4" t="s">
        <v>2308</v>
      </c>
      <c r="P1371" s="4" t="s">
        <v>2308</v>
      </c>
      <c r="Q1371" s="4" t="s">
        <v>2308</v>
      </c>
      <c r="R1371" s="4" t="s">
        <v>2308</v>
      </c>
      <c r="S1371" s="4" t="s">
        <v>2308</v>
      </c>
      <c r="T1371" s="4" t="s">
        <v>2308</v>
      </c>
      <c r="U1371" s="4" t="s">
        <v>2308</v>
      </c>
      <c r="V1371" s="4" t="s">
        <v>2308</v>
      </c>
      <c r="W1371" s="4" t="s">
        <v>2308</v>
      </c>
      <c r="X1371" s="4" t="s">
        <v>2308</v>
      </c>
      <c r="Y1371" s="4" t="s">
        <v>2308</v>
      </c>
      <c r="Z1371" s="4" t="s">
        <v>86</v>
      </c>
      <c r="AA1371" s="4" t="s">
        <v>432</v>
      </c>
      <c r="AB1371" s="4" t="s">
        <v>76</v>
      </c>
      <c r="AC1371" s="5" t="s">
        <v>4234</v>
      </c>
      <c r="AD1371" s="4"/>
    </row>
    <row r="1372" spans="1:30" ht="52.5" customHeight="1">
      <c r="A1372" s="12" t="s">
        <v>4195</v>
      </c>
      <c r="B1372" s="12" t="s">
        <v>4205</v>
      </c>
      <c r="C1372" s="4" t="s">
        <v>24</v>
      </c>
      <c r="D1372" s="4" t="s">
        <v>26</v>
      </c>
      <c r="E1372" s="5" t="s">
        <v>3903</v>
      </c>
      <c r="F1372" s="5" t="s">
        <v>2695</v>
      </c>
      <c r="G1372" s="4" t="s">
        <v>2308</v>
      </c>
      <c r="H1372" s="4" t="s">
        <v>531</v>
      </c>
      <c r="I1372" s="4"/>
      <c r="J1372" s="4" t="s">
        <v>2308</v>
      </c>
      <c r="K1372" s="4" t="s">
        <v>2308</v>
      </c>
      <c r="L1372" s="4" t="s">
        <v>2308</v>
      </c>
      <c r="M1372" s="4" t="s">
        <v>2308</v>
      </c>
      <c r="N1372" s="4" t="s">
        <v>2308</v>
      </c>
      <c r="O1372" s="4" t="s">
        <v>2308</v>
      </c>
      <c r="P1372" s="4" t="s">
        <v>2308</v>
      </c>
      <c r="Q1372" s="4" t="s">
        <v>2308</v>
      </c>
      <c r="R1372" s="4" t="s">
        <v>2308</v>
      </c>
      <c r="S1372" s="4" t="s">
        <v>2308</v>
      </c>
      <c r="T1372" s="4" t="s">
        <v>2308</v>
      </c>
      <c r="U1372" s="4" t="s">
        <v>2308</v>
      </c>
      <c r="V1372" s="4" t="s">
        <v>2308</v>
      </c>
      <c r="W1372" s="4" t="s">
        <v>2308</v>
      </c>
      <c r="X1372" s="4" t="s">
        <v>2308</v>
      </c>
      <c r="Y1372" s="4" t="s">
        <v>2308</v>
      </c>
      <c r="Z1372" s="4" t="s">
        <v>86</v>
      </c>
      <c r="AA1372" s="4" t="s">
        <v>68</v>
      </c>
      <c r="AB1372" s="4" t="s">
        <v>64</v>
      </c>
      <c r="AC1372" s="5" t="s">
        <v>4238</v>
      </c>
      <c r="AD1372" s="4"/>
    </row>
    <row r="1373" spans="1:30" ht="52.5" customHeight="1">
      <c r="A1373" s="12" t="s">
        <v>4195</v>
      </c>
      <c r="B1373" s="12" t="s">
        <v>4206</v>
      </c>
      <c r="C1373" s="4" t="s">
        <v>24</v>
      </c>
      <c r="D1373" s="4" t="s">
        <v>2692</v>
      </c>
      <c r="E1373" s="5" t="s">
        <v>3903</v>
      </c>
      <c r="F1373" s="5" t="s">
        <v>28</v>
      </c>
      <c r="G1373" s="4" t="s">
        <v>2308</v>
      </c>
      <c r="H1373" s="4" t="s">
        <v>531</v>
      </c>
      <c r="I1373" s="4"/>
      <c r="J1373" s="4" t="s">
        <v>2308</v>
      </c>
      <c r="K1373" s="4" t="s">
        <v>2308</v>
      </c>
      <c r="L1373" s="4" t="s">
        <v>2308</v>
      </c>
      <c r="M1373" s="4" t="s">
        <v>2308</v>
      </c>
      <c r="N1373" s="4" t="s">
        <v>2308</v>
      </c>
      <c r="O1373" s="4" t="s">
        <v>2308</v>
      </c>
      <c r="P1373" s="4" t="s">
        <v>2308</v>
      </c>
      <c r="Q1373" s="4" t="s">
        <v>2308</v>
      </c>
      <c r="R1373" s="4" t="s">
        <v>2308</v>
      </c>
      <c r="S1373" s="4" t="s">
        <v>2308</v>
      </c>
      <c r="T1373" s="4" t="s">
        <v>2308</v>
      </c>
      <c r="U1373" s="4" t="s">
        <v>2308</v>
      </c>
      <c r="V1373" s="4" t="s">
        <v>2308</v>
      </c>
      <c r="W1373" s="4" t="s">
        <v>2308</v>
      </c>
      <c r="X1373" s="4" t="s">
        <v>2308</v>
      </c>
      <c r="Y1373" s="4" t="s">
        <v>2308</v>
      </c>
      <c r="Z1373" s="4" t="s">
        <v>432</v>
      </c>
      <c r="AA1373" s="4" t="s">
        <v>68</v>
      </c>
      <c r="AB1373" s="4" t="s">
        <v>64</v>
      </c>
      <c r="AC1373" s="5" t="s">
        <v>4234</v>
      </c>
      <c r="AD1373" s="4"/>
    </row>
    <row r="1374" spans="1:30" ht="58.5" customHeight="1">
      <c r="A1374" s="12" t="s">
        <v>4195</v>
      </c>
      <c r="B1374" s="12" t="s">
        <v>4207</v>
      </c>
      <c r="C1374" s="4" t="s">
        <v>24</v>
      </c>
      <c r="D1374" s="4" t="s">
        <v>149</v>
      </c>
      <c r="E1374" s="5" t="s">
        <v>3903</v>
      </c>
      <c r="F1374" s="5" t="s">
        <v>74</v>
      </c>
      <c r="G1374" s="4" t="s">
        <v>2308</v>
      </c>
      <c r="H1374" s="4" t="s">
        <v>531</v>
      </c>
      <c r="I1374" s="4"/>
      <c r="J1374" s="4" t="s">
        <v>2308</v>
      </c>
      <c r="K1374" s="4" t="s">
        <v>2308</v>
      </c>
      <c r="L1374" s="4" t="s">
        <v>2308</v>
      </c>
      <c r="M1374" s="4" t="s">
        <v>2308</v>
      </c>
      <c r="N1374" s="4" t="s">
        <v>2308</v>
      </c>
      <c r="O1374" s="4" t="s">
        <v>2308</v>
      </c>
      <c r="P1374" s="4" t="s">
        <v>2308</v>
      </c>
      <c r="Q1374" s="4" t="s">
        <v>2308</v>
      </c>
      <c r="R1374" s="4" t="s">
        <v>2308</v>
      </c>
      <c r="S1374" s="4" t="s">
        <v>2308</v>
      </c>
      <c r="T1374" s="4" t="s">
        <v>2308</v>
      </c>
      <c r="U1374" s="4" t="s">
        <v>2308</v>
      </c>
      <c r="V1374" s="4" t="s">
        <v>2308</v>
      </c>
      <c r="W1374" s="4" t="s">
        <v>2308</v>
      </c>
      <c r="X1374" s="4" t="s">
        <v>2308</v>
      </c>
      <c r="Y1374" s="4" t="s">
        <v>2308</v>
      </c>
      <c r="Z1374" s="4" t="s">
        <v>411</v>
      </c>
      <c r="AA1374" s="4" t="s">
        <v>68</v>
      </c>
      <c r="AB1374" s="4" t="s">
        <v>64</v>
      </c>
      <c r="AC1374" s="5" t="s">
        <v>4239</v>
      </c>
      <c r="AD1374" s="4"/>
    </row>
    <row r="1375" spans="1:30" ht="53.5" customHeight="1">
      <c r="A1375" s="12" t="s">
        <v>4195</v>
      </c>
      <c r="B1375" s="12" t="s">
        <v>4208</v>
      </c>
      <c r="C1375" s="4" t="s">
        <v>24</v>
      </c>
      <c r="D1375" s="4" t="s">
        <v>1267</v>
      </c>
      <c r="E1375" s="5" t="s">
        <v>3903</v>
      </c>
      <c r="F1375" s="5" t="s">
        <v>2695</v>
      </c>
      <c r="G1375" s="4" t="s">
        <v>2308</v>
      </c>
      <c r="H1375" s="4" t="s">
        <v>531</v>
      </c>
      <c r="I1375" s="4"/>
      <c r="J1375" s="4" t="s">
        <v>2308</v>
      </c>
      <c r="K1375" s="4" t="s">
        <v>2308</v>
      </c>
      <c r="L1375" s="4" t="s">
        <v>2308</v>
      </c>
      <c r="M1375" s="4" t="s">
        <v>2308</v>
      </c>
      <c r="N1375" s="4" t="s">
        <v>2308</v>
      </c>
      <c r="O1375" s="4" t="s">
        <v>2308</v>
      </c>
      <c r="P1375" s="4" t="s">
        <v>2308</v>
      </c>
      <c r="Q1375" s="4" t="s">
        <v>2308</v>
      </c>
      <c r="R1375" s="4" t="s">
        <v>2308</v>
      </c>
      <c r="S1375" s="4" t="s">
        <v>2308</v>
      </c>
      <c r="T1375" s="4" t="s">
        <v>2308</v>
      </c>
      <c r="U1375" s="4" t="s">
        <v>2308</v>
      </c>
      <c r="V1375" s="4" t="s">
        <v>2308</v>
      </c>
      <c r="W1375" s="4" t="s">
        <v>2308</v>
      </c>
      <c r="X1375" s="4" t="s">
        <v>2308</v>
      </c>
      <c r="Y1375" s="4" t="s">
        <v>2308</v>
      </c>
      <c r="Z1375" s="4" t="s">
        <v>411</v>
      </c>
      <c r="AA1375" s="4" t="s">
        <v>68</v>
      </c>
      <c r="AB1375" s="4" t="s">
        <v>76</v>
      </c>
      <c r="AC1375" s="5" t="s">
        <v>4240</v>
      </c>
      <c r="AD1375" s="4"/>
    </row>
    <row r="1376" spans="1:30" ht="53.5" customHeight="1">
      <c r="A1376" s="12" t="s">
        <v>4195</v>
      </c>
      <c r="B1376" s="12" t="s">
        <v>4209</v>
      </c>
      <c r="C1376" s="4" t="s">
        <v>24</v>
      </c>
      <c r="D1376" s="4" t="s">
        <v>3525</v>
      </c>
      <c r="E1376" s="20" t="s">
        <v>877</v>
      </c>
      <c r="F1376" s="5" t="s">
        <v>2695</v>
      </c>
      <c r="G1376" s="4" t="s">
        <v>2308</v>
      </c>
      <c r="H1376" s="4" t="s">
        <v>531</v>
      </c>
      <c r="I1376" s="4"/>
      <c r="J1376" s="4" t="s">
        <v>2308</v>
      </c>
      <c r="K1376" s="4" t="s">
        <v>2308</v>
      </c>
      <c r="L1376" s="4" t="s">
        <v>2308</v>
      </c>
      <c r="M1376" s="4" t="s">
        <v>2308</v>
      </c>
      <c r="N1376" s="4" t="s">
        <v>2308</v>
      </c>
      <c r="O1376" s="4" t="s">
        <v>2308</v>
      </c>
      <c r="P1376" s="4" t="s">
        <v>2308</v>
      </c>
      <c r="Q1376" s="4" t="s">
        <v>2308</v>
      </c>
      <c r="R1376" s="4" t="s">
        <v>2308</v>
      </c>
      <c r="S1376" s="4" t="s">
        <v>2308</v>
      </c>
      <c r="T1376" s="4" t="s">
        <v>2308</v>
      </c>
      <c r="U1376" s="4" t="s">
        <v>2308</v>
      </c>
      <c r="V1376" s="4" t="s">
        <v>2308</v>
      </c>
      <c r="W1376" s="4" t="s">
        <v>2308</v>
      </c>
      <c r="X1376" s="4" t="s">
        <v>2308</v>
      </c>
      <c r="Y1376" s="4" t="s">
        <v>2308</v>
      </c>
      <c r="Z1376" s="4" t="s">
        <v>34</v>
      </c>
      <c r="AA1376" s="4" t="s">
        <v>432</v>
      </c>
      <c r="AB1376" s="4" t="s">
        <v>64</v>
      </c>
      <c r="AC1376" s="5" t="s">
        <v>4234</v>
      </c>
      <c r="AD1376" s="4"/>
    </row>
    <row r="1377" spans="1:30" ht="41.5" customHeight="1">
      <c r="A1377" s="12" t="s">
        <v>4195</v>
      </c>
      <c r="B1377" s="12" t="s">
        <v>4210</v>
      </c>
      <c r="C1377" s="4" t="s">
        <v>2491</v>
      </c>
      <c r="D1377" s="4" t="s">
        <v>3525</v>
      </c>
      <c r="E1377" s="20" t="s">
        <v>877</v>
      </c>
      <c r="F1377" s="5" t="s">
        <v>2695</v>
      </c>
      <c r="G1377" s="4" t="s">
        <v>2308</v>
      </c>
      <c r="H1377" s="4" t="s">
        <v>531</v>
      </c>
      <c r="I1377" s="4"/>
      <c r="J1377" s="4" t="s">
        <v>2308</v>
      </c>
      <c r="K1377" s="4" t="s">
        <v>2308</v>
      </c>
      <c r="L1377" s="4" t="s">
        <v>2308</v>
      </c>
      <c r="M1377" s="4" t="s">
        <v>2308</v>
      </c>
      <c r="N1377" s="4" t="s">
        <v>2308</v>
      </c>
      <c r="O1377" s="4" t="s">
        <v>2308</v>
      </c>
      <c r="P1377" s="4" t="s">
        <v>2308</v>
      </c>
      <c r="Q1377" s="4" t="s">
        <v>2308</v>
      </c>
      <c r="R1377" s="4" t="s">
        <v>2308</v>
      </c>
      <c r="S1377" s="4" t="s">
        <v>2308</v>
      </c>
      <c r="T1377" s="4" t="s">
        <v>2308</v>
      </c>
      <c r="U1377" s="4" t="s">
        <v>2308</v>
      </c>
      <c r="V1377" s="4" t="s">
        <v>2308</v>
      </c>
      <c r="W1377" s="4" t="s">
        <v>2308</v>
      </c>
      <c r="X1377" s="4" t="s">
        <v>2308</v>
      </c>
      <c r="Y1377" s="4" t="s">
        <v>2308</v>
      </c>
      <c r="Z1377" s="4" t="s">
        <v>34</v>
      </c>
      <c r="AA1377" s="4" t="s">
        <v>432</v>
      </c>
      <c r="AB1377" s="4" t="s">
        <v>64</v>
      </c>
      <c r="AC1377" s="4"/>
      <c r="AD1377" s="4"/>
    </row>
    <row r="1378" spans="1:30" ht="41.5" customHeight="1">
      <c r="A1378" s="12" t="s">
        <v>4195</v>
      </c>
      <c r="B1378" s="12" t="s">
        <v>4212</v>
      </c>
      <c r="C1378" s="4" t="s">
        <v>24</v>
      </c>
      <c r="D1378" s="4" t="s">
        <v>4211</v>
      </c>
      <c r="E1378" s="20" t="s">
        <v>877</v>
      </c>
      <c r="F1378" s="5" t="s">
        <v>2695</v>
      </c>
      <c r="G1378" s="4" t="s">
        <v>2308</v>
      </c>
      <c r="H1378" s="4" t="s">
        <v>531</v>
      </c>
      <c r="I1378" s="4"/>
      <c r="J1378" s="4" t="s">
        <v>2308</v>
      </c>
      <c r="K1378" s="4" t="s">
        <v>2308</v>
      </c>
      <c r="L1378" s="4" t="s">
        <v>2308</v>
      </c>
      <c r="M1378" s="4" t="s">
        <v>2308</v>
      </c>
      <c r="N1378" s="4" t="s">
        <v>2308</v>
      </c>
      <c r="O1378" s="4" t="s">
        <v>2308</v>
      </c>
      <c r="P1378" s="4" t="s">
        <v>2308</v>
      </c>
      <c r="Q1378" s="4" t="s">
        <v>2308</v>
      </c>
      <c r="R1378" s="4" t="s">
        <v>2308</v>
      </c>
      <c r="S1378" s="4" t="s">
        <v>2308</v>
      </c>
      <c r="T1378" s="4" t="s">
        <v>2308</v>
      </c>
      <c r="U1378" s="4" t="s">
        <v>2308</v>
      </c>
      <c r="V1378" s="4" t="s">
        <v>2308</v>
      </c>
      <c r="W1378" s="4" t="s">
        <v>2308</v>
      </c>
      <c r="X1378" s="4" t="s">
        <v>2308</v>
      </c>
      <c r="Y1378" s="4" t="s">
        <v>2308</v>
      </c>
      <c r="Z1378" s="4" t="s">
        <v>34</v>
      </c>
      <c r="AA1378" s="4" t="s">
        <v>68</v>
      </c>
      <c r="AB1378" s="4" t="s">
        <v>76</v>
      </c>
      <c r="AC1378" s="5" t="s">
        <v>4238</v>
      </c>
      <c r="AD1378" s="4"/>
    </row>
    <row r="1379" spans="1:30" ht="53" customHeight="1">
      <c r="A1379" s="12" t="s">
        <v>4195</v>
      </c>
      <c r="B1379" s="12" t="s">
        <v>4215</v>
      </c>
      <c r="C1379" s="4" t="s">
        <v>24</v>
      </c>
      <c r="D1379" s="4" t="s">
        <v>2373</v>
      </c>
      <c r="E1379" s="5" t="s">
        <v>3903</v>
      </c>
      <c r="F1379" s="5" t="s">
        <v>2695</v>
      </c>
      <c r="G1379" s="4" t="s">
        <v>2308</v>
      </c>
      <c r="H1379" s="4" t="s">
        <v>531</v>
      </c>
      <c r="I1379" s="4"/>
      <c r="J1379" s="4" t="s">
        <v>2308</v>
      </c>
      <c r="K1379" s="4" t="s">
        <v>2308</v>
      </c>
      <c r="L1379" s="4" t="s">
        <v>2308</v>
      </c>
      <c r="M1379" s="4" t="s">
        <v>2308</v>
      </c>
      <c r="N1379" s="4" t="s">
        <v>2308</v>
      </c>
      <c r="O1379" s="4" t="s">
        <v>2308</v>
      </c>
      <c r="P1379" s="4" t="s">
        <v>2308</v>
      </c>
      <c r="Q1379" s="4" t="s">
        <v>2308</v>
      </c>
      <c r="R1379" s="4" t="s">
        <v>2308</v>
      </c>
      <c r="S1379" s="4" t="s">
        <v>2308</v>
      </c>
      <c r="T1379" s="4" t="s">
        <v>2308</v>
      </c>
      <c r="U1379" s="4" t="s">
        <v>2308</v>
      </c>
      <c r="V1379" s="4" t="s">
        <v>2308</v>
      </c>
      <c r="W1379" s="4" t="s">
        <v>2308</v>
      </c>
      <c r="X1379" s="4" t="s">
        <v>2308</v>
      </c>
      <c r="Y1379" s="4" t="s">
        <v>2308</v>
      </c>
      <c r="Z1379" s="4" t="s">
        <v>86</v>
      </c>
      <c r="AA1379" s="4" t="s">
        <v>68</v>
      </c>
      <c r="AB1379" s="4" t="s">
        <v>64</v>
      </c>
      <c r="AC1379" s="5" t="s">
        <v>4242</v>
      </c>
      <c r="AD1379" s="4"/>
    </row>
    <row r="1380" spans="1:30" ht="40.5" customHeight="1">
      <c r="A1380" s="12" t="s">
        <v>4195</v>
      </c>
      <c r="B1380" s="12" t="s">
        <v>4226</v>
      </c>
      <c r="C1380" s="4" t="s">
        <v>24</v>
      </c>
      <c r="D1380" s="4" t="s">
        <v>3529</v>
      </c>
      <c r="E1380" s="20" t="s">
        <v>877</v>
      </c>
      <c r="F1380" s="5" t="s">
        <v>74</v>
      </c>
      <c r="G1380" s="4" t="s">
        <v>2308</v>
      </c>
      <c r="H1380" s="4" t="s">
        <v>531</v>
      </c>
      <c r="I1380" s="4"/>
      <c r="J1380" s="4" t="s">
        <v>2308</v>
      </c>
      <c r="K1380" s="4" t="s">
        <v>2308</v>
      </c>
      <c r="L1380" s="4" t="s">
        <v>2308</v>
      </c>
      <c r="M1380" s="4" t="s">
        <v>2308</v>
      </c>
      <c r="N1380" s="4" t="s">
        <v>2308</v>
      </c>
      <c r="O1380" s="4" t="s">
        <v>2308</v>
      </c>
      <c r="P1380" s="4" t="s">
        <v>2308</v>
      </c>
      <c r="Q1380" s="4" t="s">
        <v>2308</v>
      </c>
      <c r="R1380" s="4" t="s">
        <v>2308</v>
      </c>
      <c r="S1380" s="4" t="s">
        <v>2308</v>
      </c>
      <c r="T1380" s="4" t="s">
        <v>2308</v>
      </c>
      <c r="U1380" s="4" t="s">
        <v>2308</v>
      </c>
      <c r="V1380" s="4" t="s">
        <v>2308</v>
      </c>
      <c r="W1380" s="4" t="s">
        <v>2308</v>
      </c>
      <c r="X1380" s="4" t="s">
        <v>2308</v>
      </c>
      <c r="Y1380" s="4" t="s">
        <v>2308</v>
      </c>
      <c r="Z1380" s="4" t="s">
        <v>86</v>
      </c>
      <c r="AA1380" s="4" t="s">
        <v>34</v>
      </c>
      <c r="AB1380" s="4" t="s">
        <v>64</v>
      </c>
      <c r="AC1380" s="5" t="s">
        <v>4241</v>
      </c>
      <c r="AD1380" s="4"/>
    </row>
    <row r="1381" spans="1:30" ht="59" customHeight="1">
      <c r="A1381" s="12" t="s">
        <v>4195</v>
      </c>
      <c r="B1381" s="12" t="s">
        <v>4229</v>
      </c>
      <c r="C1381" s="4" t="s">
        <v>24</v>
      </c>
      <c r="D1381" s="4" t="s">
        <v>2378</v>
      </c>
      <c r="E1381" s="20" t="s">
        <v>3903</v>
      </c>
      <c r="F1381" s="5" t="s">
        <v>74</v>
      </c>
      <c r="G1381" s="4" t="s">
        <v>2308</v>
      </c>
      <c r="H1381" s="4" t="s">
        <v>531</v>
      </c>
      <c r="I1381" s="4"/>
      <c r="J1381" s="4" t="s">
        <v>2308</v>
      </c>
      <c r="K1381" s="4" t="s">
        <v>2308</v>
      </c>
      <c r="L1381" s="4" t="s">
        <v>2308</v>
      </c>
      <c r="M1381" s="4" t="s">
        <v>2308</v>
      </c>
      <c r="N1381" s="4" t="s">
        <v>2308</v>
      </c>
      <c r="O1381" s="4" t="s">
        <v>2308</v>
      </c>
      <c r="P1381" s="4" t="s">
        <v>2308</v>
      </c>
      <c r="Q1381" s="4" t="s">
        <v>2308</v>
      </c>
      <c r="R1381" s="4" t="s">
        <v>2308</v>
      </c>
      <c r="S1381" s="4" t="s">
        <v>2308</v>
      </c>
      <c r="T1381" s="4" t="s">
        <v>2308</v>
      </c>
      <c r="U1381" s="4" t="s">
        <v>2308</v>
      </c>
      <c r="V1381" s="4" t="s">
        <v>2308</v>
      </c>
      <c r="W1381" s="4" t="s">
        <v>2308</v>
      </c>
      <c r="X1381" s="4" t="s">
        <v>2308</v>
      </c>
      <c r="Y1381" s="4" t="s">
        <v>2308</v>
      </c>
      <c r="Z1381" s="4" t="s">
        <v>2308</v>
      </c>
      <c r="AA1381" s="4" t="s">
        <v>2308</v>
      </c>
      <c r="AB1381" s="4" t="s">
        <v>2308</v>
      </c>
      <c r="AC1381" s="5" t="s">
        <v>4237</v>
      </c>
      <c r="AD1381" s="4"/>
    </row>
    <row r="1382" spans="1:30" ht="53" customHeight="1">
      <c r="A1382" s="12" t="s">
        <v>4195</v>
      </c>
      <c r="B1382" s="12" t="s">
        <v>4232</v>
      </c>
      <c r="C1382" s="4" t="s">
        <v>2491</v>
      </c>
      <c r="D1382" s="4" t="s">
        <v>3027</v>
      </c>
      <c r="E1382" s="20" t="s">
        <v>3903</v>
      </c>
      <c r="F1382" s="5" t="s">
        <v>2308</v>
      </c>
      <c r="G1382" s="4" t="s">
        <v>2308</v>
      </c>
      <c r="H1382" s="4" t="s">
        <v>531</v>
      </c>
      <c r="I1382" s="4"/>
      <c r="J1382" s="4" t="s">
        <v>2308</v>
      </c>
      <c r="K1382" s="4" t="s">
        <v>2308</v>
      </c>
      <c r="L1382" s="4" t="s">
        <v>2308</v>
      </c>
      <c r="M1382" s="4" t="s">
        <v>2308</v>
      </c>
      <c r="N1382" s="4" t="s">
        <v>2308</v>
      </c>
      <c r="O1382" s="4" t="s">
        <v>2308</v>
      </c>
      <c r="P1382" s="4" t="s">
        <v>2308</v>
      </c>
      <c r="Q1382" s="4" t="s">
        <v>2308</v>
      </c>
      <c r="R1382" s="4" t="s">
        <v>2308</v>
      </c>
      <c r="S1382" s="4" t="s">
        <v>2308</v>
      </c>
      <c r="T1382" s="4" t="s">
        <v>2308</v>
      </c>
      <c r="U1382" s="4" t="s">
        <v>2308</v>
      </c>
      <c r="V1382" s="4" t="s">
        <v>2308</v>
      </c>
      <c r="W1382" s="4" t="s">
        <v>2308</v>
      </c>
      <c r="X1382" s="4" t="s">
        <v>2308</v>
      </c>
      <c r="Y1382" s="4" t="s">
        <v>2308</v>
      </c>
      <c r="Z1382" s="4" t="s">
        <v>406</v>
      </c>
      <c r="AA1382" s="4" t="s">
        <v>133</v>
      </c>
      <c r="AB1382" s="4" t="s">
        <v>2344</v>
      </c>
      <c r="AC1382" s="5" t="s">
        <v>4235</v>
      </c>
      <c r="AD1382" s="4"/>
    </row>
    <row r="1383" spans="1:30" ht="51" customHeight="1">
      <c r="A1383" s="12" t="s">
        <v>4195</v>
      </c>
      <c r="B1383" s="12" t="s">
        <v>4233</v>
      </c>
      <c r="C1383" s="4" t="s">
        <v>2491</v>
      </c>
      <c r="D1383" s="4" t="s">
        <v>3027</v>
      </c>
      <c r="E1383" s="20" t="s">
        <v>877</v>
      </c>
      <c r="F1383" s="5" t="s">
        <v>2308</v>
      </c>
      <c r="G1383" s="4" t="s">
        <v>2308</v>
      </c>
      <c r="H1383" s="4" t="s">
        <v>531</v>
      </c>
      <c r="I1383" s="4"/>
      <c r="J1383" s="4" t="s">
        <v>2308</v>
      </c>
      <c r="K1383" s="4" t="s">
        <v>2308</v>
      </c>
      <c r="L1383" s="4" t="s">
        <v>2308</v>
      </c>
      <c r="M1383" s="4" t="s">
        <v>2308</v>
      </c>
      <c r="N1383" s="4" t="s">
        <v>2308</v>
      </c>
      <c r="O1383" s="4" t="s">
        <v>2308</v>
      </c>
      <c r="P1383" s="4" t="s">
        <v>2308</v>
      </c>
      <c r="Q1383" s="4" t="s">
        <v>2308</v>
      </c>
      <c r="R1383" s="4" t="s">
        <v>2308</v>
      </c>
      <c r="S1383" s="4" t="s">
        <v>2308</v>
      </c>
      <c r="T1383" s="4" t="s">
        <v>2308</v>
      </c>
      <c r="U1383" s="4" t="s">
        <v>2308</v>
      </c>
      <c r="V1383" s="4" t="s">
        <v>2308</v>
      </c>
      <c r="W1383" s="4" t="s">
        <v>2308</v>
      </c>
      <c r="X1383" s="4" t="s">
        <v>2308</v>
      </c>
      <c r="Y1383" s="4" t="s">
        <v>2308</v>
      </c>
      <c r="Z1383" s="4" t="s">
        <v>406</v>
      </c>
      <c r="AA1383" s="4" t="s">
        <v>133</v>
      </c>
      <c r="AB1383" s="4" t="s">
        <v>2344</v>
      </c>
      <c r="AC1383" s="5" t="s">
        <v>4235</v>
      </c>
      <c r="AD1383" s="4"/>
    </row>
    <row r="1384" spans="1:30" ht="40" customHeight="1">
      <c r="A1384" s="12" t="s">
        <v>4196</v>
      </c>
      <c r="B1384" s="12" t="s">
        <v>4213</v>
      </c>
      <c r="C1384" s="4" t="s">
        <v>24</v>
      </c>
      <c r="D1384" s="4" t="s">
        <v>25</v>
      </c>
      <c r="E1384" s="20" t="s">
        <v>5065</v>
      </c>
      <c r="F1384" s="5" t="s">
        <v>2695</v>
      </c>
      <c r="G1384" s="4" t="s">
        <v>2308</v>
      </c>
      <c r="H1384" s="4" t="s">
        <v>531</v>
      </c>
      <c r="I1384" s="4"/>
      <c r="J1384" s="4" t="s">
        <v>2308</v>
      </c>
      <c r="K1384" s="4" t="s">
        <v>2308</v>
      </c>
      <c r="L1384" s="4" t="s">
        <v>2308</v>
      </c>
      <c r="M1384" s="4" t="s">
        <v>2308</v>
      </c>
      <c r="N1384" s="4" t="s">
        <v>2308</v>
      </c>
      <c r="O1384" s="4" t="s">
        <v>2308</v>
      </c>
      <c r="P1384" s="4" t="s">
        <v>2308</v>
      </c>
      <c r="Q1384" s="4" t="s">
        <v>2308</v>
      </c>
      <c r="R1384" s="4" t="s">
        <v>2308</v>
      </c>
      <c r="S1384" s="4" t="s">
        <v>2308</v>
      </c>
      <c r="T1384" s="4" t="s">
        <v>2308</v>
      </c>
      <c r="U1384" s="4" t="s">
        <v>2308</v>
      </c>
      <c r="V1384" s="4" t="s">
        <v>2308</v>
      </c>
      <c r="W1384" s="4" t="s">
        <v>2308</v>
      </c>
      <c r="X1384" s="4" t="s">
        <v>2308</v>
      </c>
      <c r="Y1384" s="4" t="s">
        <v>2308</v>
      </c>
      <c r="Z1384" s="4" t="s">
        <v>411</v>
      </c>
      <c r="AA1384" s="4" t="s">
        <v>432</v>
      </c>
      <c r="AB1384" s="4" t="s">
        <v>64</v>
      </c>
      <c r="AC1384" s="5" t="s">
        <v>4234</v>
      </c>
      <c r="AD1384" s="4"/>
    </row>
    <row r="1385" spans="1:30" ht="40" customHeight="1">
      <c r="A1385" s="12" t="s">
        <v>4196</v>
      </c>
      <c r="B1385" s="12" t="s">
        <v>4214</v>
      </c>
      <c r="C1385" s="4" t="s">
        <v>24</v>
      </c>
      <c r="D1385" s="4" t="s">
        <v>25</v>
      </c>
      <c r="E1385" s="4" t="s">
        <v>45</v>
      </c>
      <c r="F1385" s="5" t="s">
        <v>2695</v>
      </c>
      <c r="G1385" s="4" t="s">
        <v>2308</v>
      </c>
      <c r="H1385" s="4" t="s">
        <v>531</v>
      </c>
      <c r="I1385" s="4"/>
      <c r="J1385" s="4" t="s">
        <v>2308</v>
      </c>
      <c r="K1385" s="4" t="s">
        <v>2308</v>
      </c>
      <c r="L1385" s="4" t="s">
        <v>2308</v>
      </c>
      <c r="M1385" s="4" t="s">
        <v>2308</v>
      </c>
      <c r="N1385" s="4" t="s">
        <v>2308</v>
      </c>
      <c r="O1385" s="4" t="s">
        <v>2308</v>
      </c>
      <c r="P1385" s="4" t="s">
        <v>2308</v>
      </c>
      <c r="Q1385" s="4" t="s">
        <v>2308</v>
      </c>
      <c r="R1385" s="4" t="s">
        <v>2308</v>
      </c>
      <c r="S1385" s="4" t="s">
        <v>2308</v>
      </c>
      <c r="T1385" s="4" t="s">
        <v>2308</v>
      </c>
      <c r="U1385" s="4" t="s">
        <v>2308</v>
      </c>
      <c r="V1385" s="4" t="s">
        <v>2308</v>
      </c>
      <c r="W1385" s="4" t="s">
        <v>2308</v>
      </c>
      <c r="X1385" s="4" t="s">
        <v>2308</v>
      </c>
      <c r="Y1385" s="4" t="s">
        <v>2308</v>
      </c>
      <c r="Z1385" s="4" t="s">
        <v>411</v>
      </c>
      <c r="AA1385" s="4" t="s">
        <v>432</v>
      </c>
      <c r="AB1385" s="4" t="s">
        <v>64</v>
      </c>
      <c r="AC1385" s="5" t="s">
        <v>4234</v>
      </c>
      <c r="AD1385" s="4"/>
    </row>
    <row r="1386" spans="1:30" ht="40" customHeight="1">
      <c r="A1386" s="12" t="s">
        <v>4196</v>
      </c>
      <c r="B1386" s="12" t="s">
        <v>4216</v>
      </c>
      <c r="C1386" s="4" t="s">
        <v>24</v>
      </c>
      <c r="D1386" s="4" t="s">
        <v>26</v>
      </c>
      <c r="E1386" s="20" t="s">
        <v>5065</v>
      </c>
      <c r="F1386" s="5" t="s">
        <v>2695</v>
      </c>
      <c r="G1386" s="4" t="s">
        <v>2308</v>
      </c>
      <c r="H1386" s="4" t="s">
        <v>531</v>
      </c>
      <c r="I1386" s="4"/>
      <c r="J1386" s="4" t="s">
        <v>2308</v>
      </c>
      <c r="K1386" s="4" t="s">
        <v>2308</v>
      </c>
      <c r="L1386" s="4" t="s">
        <v>2308</v>
      </c>
      <c r="M1386" s="4" t="s">
        <v>2308</v>
      </c>
      <c r="N1386" s="4" t="s">
        <v>2308</v>
      </c>
      <c r="O1386" s="4" t="s">
        <v>2308</v>
      </c>
      <c r="P1386" s="4" t="s">
        <v>2308</v>
      </c>
      <c r="Q1386" s="4" t="s">
        <v>2308</v>
      </c>
      <c r="R1386" s="4" t="s">
        <v>2308</v>
      </c>
      <c r="S1386" s="4" t="s">
        <v>2308</v>
      </c>
      <c r="T1386" s="4" t="s">
        <v>2308</v>
      </c>
      <c r="U1386" s="4" t="s">
        <v>2308</v>
      </c>
      <c r="V1386" s="4" t="s">
        <v>2308</v>
      </c>
      <c r="W1386" s="4" t="s">
        <v>2308</v>
      </c>
      <c r="X1386" s="4" t="s">
        <v>2308</v>
      </c>
      <c r="Y1386" s="4" t="s">
        <v>2308</v>
      </c>
      <c r="Z1386" s="4" t="s">
        <v>86</v>
      </c>
      <c r="AA1386" s="4" t="s">
        <v>68</v>
      </c>
      <c r="AB1386" s="4" t="s">
        <v>64</v>
      </c>
      <c r="AC1386" s="5" t="s">
        <v>4234</v>
      </c>
      <c r="AD1386" s="4"/>
    </row>
    <row r="1387" spans="1:30" ht="40" customHeight="1">
      <c r="A1387" s="12" t="s">
        <v>4196</v>
      </c>
      <c r="B1387" s="12" t="s">
        <v>4217</v>
      </c>
      <c r="C1387" s="4" t="s">
        <v>24</v>
      </c>
      <c r="D1387" s="4" t="s">
        <v>26</v>
      </c>
      <c r="E1387" s="4" t="s">
        <v>45</v>
      </c>
      <c r="F1387" s="5" t="s">
        <v>2695</v>
      </c>
      <c r="G1387" s="4" t="s">
        <v>2308</v>
      </c>
      <c r="H1387" s="4" t="s">
        <v>531</v>
      </c>
      <c r="I1387" s="4"/>
      <c r="J1387" s="4" t="s">
        <v>2308</v>
      </c>
      <c r="K1387" s="4" t="s">
        <v>2308</v>
      </c>
      <c r="L1387" s="4" t="s">
        <v>2308</v>
      </c>
      <c r="M1387" s="4" t="s">
        <v>2308</v>
      </c>
      <c r="N1387" s="4" t="s">
        <v>2308</v>
      </c>
      <c r="O1387" s="4" t="s">
        <v>2308</v>
      </c>
      <c r="P1387" s="4" t="s">
        <v>2308</v>
      </c>
      <c r="Q1387" s="4" t="s">
        <v>2308</v>
      </c>
      <c r="R1387" s="4" t="s">
        <v>2308</v>
      </c>
      <c r="S1387" s="4" t="s">
        <v>2308</v>
      </c>
      <c r="T1387" s="4" t="s">
        <v>2308</v>
      </c>
      <c r="U1387" s="4" t="s">
        <v>2308</v>
      </c>
      <c r="V1387" s="4" t="s">
        <v>2308</v>
      </c>
      <c r="W1387" s="4" t="s">
        <v>2308</v>
      </c>
      <c r="X1387" s="4" t="s">
        <v>2308</v>
      </c>
      <c r="Y1387" s="4" t="s">
        <v>2308</v>
      </c>
      <c r="Z1387" s="4" t="s">
        <v>86</v>
      </c>
      <c r="AA1387" s="4" t="s">
        <v>68</v>
      </c>
      <c r="AB1387" s="4" t="s">
        <v>64</v>
      </c>
      <c r="AC1387" s="5" t="s">
        <v>4234</v>
      </c>
      <c r="AD1387" s="4"/>
    </row>
    <row r="1388" spans="1:30" ht="51" customHeight="1">
      <c r="A1388" s="12" t="s">
        <v>4196</v>
      </c>
      <c r="B1388" s="12" t="s">
        <v>4218</v>
      </c>
      <c r="C1388" s="4" t="s">
        <v>24</v>
      </c>
      <c r="D1388" s="4" t="s">
        <v>3529</v>
      </c>
      <c r="E1388" s="20" t="s">
        <v>5065</v>
      </c>
      <c r="F1388" s="5" t="s">
        <v>74</v>
      </c>
      <c r="G1388" s="4" t="s">
        <v>2308</v>
      </c>
      <c r="H1388" s="4" t="s">
        <v>531</v>
      </c>
      <c r="I1388" s="4"/>
      <c r="J1388" s="4" t="s">
        <v>2308</v>
      </c>
      <c r="K1388" s="4" t="s">
        <v>2308</v>
      </c>
      <c r="L1388" s="4" t="s">
        <v>2308</v>
      </c>
      <c r="M1388" s="4" t="s">
        <v>2308</v>
      </c>
      <c r="N1388" s="4" t="s">
        <v>2308</v>
      </c>
      <c r="O1388" s="4" t="s">
        <v>2308</v>
      </c>
      <c r="P1388" s="4" t="s">
        <v>2308</v>
      </c>
      <c r="Q1388" s="4" t="s">
        <v>2308</v>
      </c>
      <c r="R1388" s="4" t="s">
        <v>2308</v>
      </c>
      <c r="S1388" s="4" t="s">
        <v>2308</v>
      </c>
      <c r="T1388" s="4" t="s">
        <v>2308</v>
      </c>
      <c r="U1388" s="4" t="s">
        <v>2308</v>
      </c>
      <c r="V1388" s="4" t="s">
        <v>2308</v>
      </c>
      <c r="W1388" s="4" t="s">
        <v>2308</v>
      </c>
      <c r="X1388" s="4" t="s">
        <v>2308</v>
      </c>
      <c r="Y1388" s="4" t="s">
        <v>2308</v>
      </c>
      <c r="Z1388" s="4" t="s">
        <v>86</v>
      </c>
      <c r="AA1388" s="4" t="s">
        <v>411</v>
      </c>
      <c r="AB1388" s="4" t="s">
        <v>64</v>
      </c>
      <c r="AC1388" s="5" t="s">
        <v>4243</v>
      </c>
      <c r="AD1388" s="4"/>
    </row>
    <row r="1389" spans="1:30" ht="52" customHeight="1">
      <c r="A1389" s="12" t="s">
        <v>4196</v>
      </c>
      <c r="B1389" s="12" t="s">
        <v>4219</v>
      </c>
      <c r="C1389" s="4" t="s">
        <v>24</v>
      </c>
      <c r="D1389" s="4" t="s">
        <v>3529</v>
      </c>
      <c r="E1389" s="4" t="s">
        <v>45</v>
      </c>
      <c r="F1389" s="5" t="s">
        <v>74</v>
      </c>
      <c r="G1389" s="4" t="s">
        <v>2308</v>
      </c>
      <c r="H1389" s="4" t="s">
        <v>531</v>
      </c>
      <c r="I1389" s="4"/>
      <c r="J1389" s="4" t="s">
        <v>2308</v>
      </c>
      <c r="K1389" s="4" t="s">
        <v>2308</v>
      </c>
      <c r="L1389" s="4" t="s">
        <v>2308</v>
      </c>
      <c r="M1389" s="4" t="s">
        <v>2308</v>
      </c>
      <c r="N1389" s="4" t="s">
        <v>2308</v>
      </c>
      <c r="O1389" s="4" t="s">
        <v>2308</v>
      </c>
      <c r="P1389" s="4" t="s">
        <v>2308</v>
      </c>
      <c r="Q1389" s="4" t="s">
        <v>2308</v>
      </c>
      <c r="R1389" s="4" t="s">
        <v>2308</v>
      </c>
      <c r="S1389" s="4" t="s">
        <v>2308</v>
      </c>
      <c r="T1389" s="4" t="s">
        <v>2308</v>
      </c>
      <c r="U1389" s="4" t="s">
        <v>2308</v>
      </c>
      <c r="V1389" s="4" t="s">
        <v>2308</v>
      </c>
      <c r="W1389" s="4" t="s">
        <v>2308</v>
      </c>
      <c r="X1389" s="4" t="s">
        <v>2308</v>
      </c>
      <c r="Y1389" s="4" t="s">
        <v>2308</v>
      </c>
      <c r="Z1389" s="4" t="s">
        <v>86</v>
      </c>
      <c r="AA1389" s="4" t="s">
        <v>411</v>
      </c>
      <c r="AB1389" s="4" t="s">
        <v>64</v>
      </c>
      <c r="AC1389" s="5" t="s">
        <v>4243</v>
      </c>
      <c r="AD1389" s="4"/>
    </row>
    <row r="1390" spans="1:30" ht="40" customHeight="1">
      <c r="A1390" s="12" t="s">
        <v>4196</v>
      </c>
      <c r="B1390" s="12" t="s">
        <v>4220</v>
      </c>
      <c r="C1390" s="4" t="s">
        <v>24</v>
      </c>
      <c r="D1390" s="4" t="s">
        <v>4211</v>
      </c>
      <c r="E1390" s="20" t="s">
        <v>5065</v>
      </c>
      <c r="F1390" s="5" t="s">
        <v>74</v>
      </c>
      <c r="G1390" s="4" t="s">
        <v>2308</v>
      </c>
      <c r="H1390" s="4" t="s">
        <v>531</v>
      </c>
      <c r="I1390" s="4"/>
      <c r="J1390" s="4" t="s">
        <v>2308</v>
      </c>
      <c r="K1390" s="4" t="s">
        <v>2308</v>
      </c>
      <c r="L1390" s="4" t="s">
        <v>2308</v>
      </c>
      <c r="M1390" s="4" t="s">
        <v>2308</v>
      </c>
      <c r="N1390" s="4" t="s">
        <v>2308</v>
      </c>
      <c r="O1390" s="4" t="s">
        <v>2308</v>
      </c>
      <c r="P1390" s="4" t="s">
        <v>2308</v>
      </c>
      <c r="Q1390" s="4" t="s">
        <v>2308</v>
      </c>
      <c r="R1390" s="4" t="s">
        <v>2308</v>
      </c>
      <c r="S1390" s="4" t="s">
        <v>2308</v>
      </c>
      <c r="T1390" s="4" t="s">
        <v>2308</v>
      </c>
      <c r="U1390" s="4" t="s">
        <v>2308</v>
      </c>
      <c r="V1390" s="4" t="s">
        <v>2308</v>
      </c>
      <c r="W1390" s="4" t="s">
        <v>2308</v>
      </c>
      <c r="X1390" s="4" t="s">
        <v>2308</v>
      </c>
      <c r="Y1390" s="4" t="s">
        <v>2308</v>
      </c>
      <c r="Z1390" s="4" t="s">
        <v>432</v>
      </c>
      <c r="AA1390" s="4" t="s">
        <v>68</v>
      </c>
      <c r="AB1390" s="4" t="s">
        <v>64</v>
      </c>
      <c r="AC1390" s="5" t="s">
        <v>4244</v>
      </c>
      <c r="AD1390" s="4"/>
    </row>
    <row r="1391" spans="1:30" ht="40" customHeight="1">
      <c r="A1391" s="12" t="s">
        <v>4196</v>
      </c>
      <c r="B1391" s="12" t="s">
        <v>4221</v>
      </c>
      <c r="C1391" s="4" t="s">
        <v>24</v>
      </c>
      <c r="D1391" s="4" t="s">
        <v>4211</v>
      </c>
      <c r="E1391" s="4" t="s">
        <v>45</v>
      </c>
      <c r="F1391" s="5" t="s">
        <v>74</v>
      </c>
      <c r="G1391" s="4" t="s">
        <v>2308</v>
      </c>
      <c r="H1391" s="4" t="s">
        <v>531</v>
      </c>
      <c r="I1391" s="4"/>
      <c r="J1391" s="4" t="s">
        <v>2308</v>
      </c>
      <c r="K1391" s="4" t="s">
        <v>2308</v>
      </c>
      <c r="L1391" s="4" t="s">
        <v>2308</v>
      </c>
      <c r="M1391" s="4" t="s">
        <v>2308</v>
      </c>
      <c r="N1391" s="4" t="s">
        <v>2308</v>
      </c>
      <c r="O1391" s="4" t="s">
        <v>2308</v>
      </c>
      <c r="P1391" s="4" t="s">
        <v>2308</v>
      </c>
      <c r="Q1391" s="4" t="s">
        <v>2308</v>
      </c>
      <c r="R1391" s="4" t="s">
        <v>2308</v>
      </c>
      <c r="S1391" s="4" t="s">
        <v>2308</v>
      </c>
      <c r="T1391" s="4" t="s">
        <v>2308</v>
      </c>
      <c r="U1391" s="4" t="s">
        <v>2308</v>
      </c>
      <c r="V1391" s="4" t="s">
        <v>2308</v>
      </c>
      <c r="W1391" s="4" t="s">
        <v>2308</v>
      </c>
      <c r="X1391" s="4" t="s">
        <v>2308</v>
      </c>
      <c r="Y1391" s="4" t="s">
        <v>2308</v>
      </c>
      <c r="Z1391" s="4" t="s">
        <v>432</v>
      </c>
      <c r="AA1391" s="4" t="s">
        <v>68</v>
      </c>
      <c r="AB1391" s="4" t="s">
        <v>64</v>
      </c>
      <c r="AC1391" s="5" t="s">
        <v>4244</v>
      </c>
      <c r="AD1391" s="4"/>
    </row>
    <row r="1392" spans="1:30" ht="40" customHeight="1">
      <c r="A1392" s="12" t="s">
        <v>4196</v>
      </c>
      <c r="B1392" s="12" t="s">
        <v>4222</v>
      </c>
      <c r="C1392" s="4" t="s">
        <v>24</v>
      </c>
      <c r="D1392" s="4" t="s">
        <v>2373</v>
      </c>
      <c r="E1392" s="20" t="s">
        <v>5065</v>
      </c>
      <c r="F1392" s="5" t="s">
        <v>2695</v>
      </c>
      <c r="G1392" s="4" t="s">
        <v>2308</v>
      </c>
      <c r="H1392" s="4" t="s">
        <v>531</v>
      </c>
      <c r="I1392" s="4"/>
      <c r="J1392" s="4" t="s">
        <v>2308</v>
      </c>
      <c r="K1392" s="4" t="s">
        <v>2308</v>
      </c>
      <c r="L1392" s="4" t="s">
        <v>2308</v>
      </c>
      <c r="M1392" s="4" t="s">
        <v>2308</v>
      </c>
      <c r="N1392" s="4" t="s">
        <v>2308</v>
      </c>
      <c r="O1392" s="4" t="s">
        <v>2308</v>
      </c>
      <c r="P1392" s="4" t="s">
        <v>2308</v>
      </c>
      <c r="Q1392" s="4" t="s">
        <v>2308</v>
      </c>
      <c r="R1392" s="4" t="s">
        <v>2308</v>
      </c>
      <c r="S1392" s="4" t="s">
        <v>2308</v>
      </c>
      <c r="T1392" s="4" t="s">
        <v>2308</v>
      </c>
      <c r="U1392" s="4" t="s">
        <v>2308</v>
      </c>
      <c r="V1392" s="4" t="s">
        <v>2308</v>
      </c>
      <c r="W1392" s="4" t="s">
        <v>2308</v>
      </c>
      <c r="X1392" s="4" t="s">
        <v>2308</v>
      </c>
      <c r="Y1392" s="4" t="s">
        <v>2308</v>
      </c>
      <c r="Z1392" s="4" t="s">
        <v>86</v>
      </c>
      <c r="AA1392" s="4" t="s">
        <v>68</v>
      </c>
      <c r="AB1392" s="4" t="s">
        <v>64</v>
      </c>
      <c r="AC1392" s="20" t="s">
        <v>4236</v>
      </c>
      <c r="AD1392" s="4"/>
    </row>
    <row r="1393" spans="1:30" ht="40" customHeight="1">
      <c r="A1393" s="12" t="s">
        <v>4196</v>
      </c>
      <c r="B1393" s="12" t="s">
        <v>4223</v>
      </c>
      <c r="C1393" s="4" t="s">
        <v>24</v>
      </c>
      <c r="D1393" s="4" t="s">
        <v>2373</v>
      </c>
      <c r="E1393" s="4" t="s">
        <v>45</v>
      </c>
      <c r="F1393" s="5" t="s">
        <v>2695</v>
      </c>
      <c r="G1393" s="4" t="s">
        <v>2308</v>
      </c>
      <c r="H1393" s="4" t="s">
        <v>531</v>
      </c>
      <c r="I1393" s="4"/>
      <c r="J1393" s="4" t="s">
        <v>2308</v>
      </c>
      <c r="K1393" s="4" t="s">
        <v>2308</v>
      </c>
      <c r="L1393" s="4" t="s">
        <v>2308</v>
      </c>
      <c r="M1393" s="4" t="s">
        <v>2308</v>
      </c>
      <c r="N1393" s="4" t="s">
        <v>2308</v>
      </c>
      <c r="O1393" s="4" t="s">
        <v>2308</v>
      </c>
      <c r="P1393" s="4" t="s">
        <v>2308</v>
      </c>
      <c r="Q1393" s="4" t="s">
        <v>2308</v>
      </c>
      <c r="R1393" s="4" t="s">
        <v>2308</v>
      </c>
      <c r="S1393" s="4" t="s">
        <v>2308</v>
      </c>
      <c r="T1393" s="4" t="s">
        <v>2308</v>
      </c>
      <c r="U1393" s="4" t="s">
        <v>2308</v>
      </c>
      <c r="V1393" s="4" t="s">
        <v>2308</v>
      </c>
      <c r="W1393" s="4" t="s">
        <v>2308</v>
      </c>
      <c r="X1393" s="4" t="s">
        <v>2308</v>
      </c>
      <c r="Y1393" s="4" t="s">
        <v>2308</v>
      </c>
      <c r="Z1393" s="4" t="s">
        <v>86</v>
      </c>
      <c r="AA1393" s="4" t="s">
        <v>68</v>
      </c>
      <c r="AB1393" s="4" t="s">
        <v>64</v>
      </c>
      <c r="AC1393" s="20" t="s">
        <v>4236</v>
      </c>
      <c r="AD1393" s="4"/>
    </row>
    <row r="1394" spans="1:30" ht="46.5" customHeight="1">
      <c r="A1394" s="12" t="s">
        <v>4196</v>
      </c>
      <c r="B1394" s="12" t="s">
        <v>4230</v>
      </c>
      <c r="C1394" s="4" t="s">
        <v>2491</v>
      </c>
      <c r="D1394" s="4" t="s">
        <v>3027</v>
      </c>
      <c r="E1394" s="4" t="s">
        <v>5065</v>
      </c>
      <c r="F1394" s="5" t="s">
        <v>2308</v>
      </c>
      <c r="G1394" s="4" t="s">
        <v>2308</v>
      </c>
      <c r="H1394" s="4" t="s">
        <v>531</v>
      </c>
      <c r="I1394" s="4"/>
      <c r="J1394" s="4" t="s">
        <v>2308</v>
      </c>
      <c r="K1394" s="4" t="s">
        <v>2308</v>
      </c>
      <c r="L1394" s="4" t="s">
        <v>2308</v>
      </c>
      <c r="M1394" s="4" t="s">
        <v>2308</v>
      </c>
      <c r="N1394" s="4" t="s">
        <v>2308</v>
      </c>
      <c r="O1394" s="4" t="s">
        <v>2308</v>
      </c>
      <c r="P1394" s="4" t="s">
        <v>2308</v>
      </c>
      <c r="Q1394" s="4" t="s">
        <v>2308</v>
      </c>
      <c r="R1394" s="4" t="s">
        <v>2308</v>
      </c>
      <c r="S1394" s="4" t="s">
        <v>2308</v>
      </c>
      <c r="T1394" s="4" t="s">
        <v>2308</v>
      </c>
      <c r="U1394" s="4" t="s">
        <v>2308</v>
      </c>
      <c r="V1394" s="4" t="s">
        <v>2308</v>
      </c>
      <c r="W1394" s="4" t="s">
        <v>2308</v>
      </c>
      <c r="X1394" s="4" t="s">
        <v>2308</v>
      </c>
      <c r="Y1394" s="4" t="s">
        <v>2308</v>
      </c>
      <c r="Z1394" s="4" t="s">
        <v>406</v>
      </c>
      <c r="AA1394" s="4" t="s">
        <v>133</v>
      </c>
      <c r="AB1394" s="4" t="s">
        <v>2344</v>
      </c>
      <c r="AC1394" s="5" t="s">
        <v>4235</v>
      </c>
      <c r="AD1394" s="4"/>
    </row>
    <row r="1395" spans="1:30" ht="41" customHeight="1">
      <c r="A1395" s="12" t="s">
        <v>4196</v>
      </c>
      <c r="B1395" s="12" t="s">
        <v>4231</v>
      </c>
      <c r="C1395" s="4" t="s">
        <v>2491</v>
      </c>
      <c r="D1395" s="4" t="s">
        <v>3027</v>
      </c>
      <c r="E1395" s="4" t="s">
        <v>45</v>
      </c>
      <c r="F1395" s="5" t="s">
        <v>2308</v>
      </c>
      <c r="G1395" s="4" t="s">
        <v>2308</v>
      </c>
      <c r="H1395" s="4" t="s">
        <v>531</v>
      </c>
      <c r="I1395" s="4"/>
      <c r="J1395" s="4" t="s">
        <v>2308</v>
      </c>
      <c r="K1395" s="4" t="s">
        <v>2308</v>
      </c>
      <c r="L1395" s="4" t="s">
        <v>2308</v>
      </c>
      <c r="M1395" s="4" t="s">
        <v>2308</v>
      </c>
      <c r="N1395" s="4" t="s">
        <v>2308</v>
      </c>
      <c r="O1395" s="4" t="s">
        <v>2308</v>
      </c>
      <c r="P1395" s="4" t="s">
        <v>2308</v>
      </c>
      <c r="Q1395" s="4" t="s">
        <v>2308</v>
      </c>
      <c r="R1395" s="4" t="s">
        <v>2308</v>
      </c>
      <c r="S1395" s="4" t="s">
        <v>2308</v>
      </c>
      <c r="T1395" s="4" t="s">
        <v>2308</v>
      </c>
      <c r="U1395" s="4" t="s">
        <v>2308</v>
      </c>
      <c r="V1395" s="4" t="s">
        <v>2308</v>
      </c>
      <c r="W1395" s="4" t="s">
        <v>2308</v>
      </c>
      <c r="X1395" s="4" t="s">
        <v>2308</v>
      </c>
      <c r="Y1395" s="4" t="s">
        <v>2308</v>
      </c>
      <c r="Z1395" s="4" t="s">
        <v>406</v>
      </c>
      <c r="AA1395" s="4" t="s">
        <v>133</v>
      </c>
      <c r="AB1395" s="4" t="s">
        <v>2344</v>
      </c>
      <c r="AC1395" s="5" t="s">
        <v>4235</v>
      </c>
      <c r="AD1395" s="4"/>
    </row>
    <row r="1396" spans="1:30" ht="42" customHeight="1">
      <c r="A1396" s="12" t="s">
        <v>4246</v>
      </c>
      <c r="B1396" s="12" t="s">
        <v>4250</v>
      </c>
      <c r="C1396" s="4" t="s">
        <v>24</v>
      </c>
      <c r="D1396" s="4" t="s">
        <v>25</v>
      </c>
      <c r="E1396" s="4" t="s">
        <v>84</v>
      </c>
      <c r="F1396" s="5" t="s">
        <v>55</v>
      </c>
      <c r="G1396" s="4" t="s">
        <v>2308</v>
      </c>
      <c r="H1396" s="4" t="s">
        <v>532</v>
      </c>
      <c r="I1396" s="4"/>
      <c r="J1396" s="22">
        <v>0</v>
      </c>
      <c r="K1396" s="22">
        <v>0</v>
      </c>
      <c r="L1396" s="22">
        <v>0</v>
      </c>
      <c r="M1396" s="22">
        <v>0</v>
      </c>
      <c r="N1396" s="22">
        <v>0</v>
      </c>
      <c r="O1396" s="22">
        <v>0</v>
      </c>
      <c r="P1396" s="22">
        <v>0</v>
      </c>
      <c r="Q1396" s="22">
        <v>0</v>
      </c>
      <c r="R1396" s="22">
        <v>0</v>
      </c>
      <c r="S1396" s="22">
        <v>0</v>
      </c>
      <c r="T1396" s="22">
        <v>0</v>
      </c>
      <c r="U1396" s="22">
        <v>0</v>
      </c>
      <c r="V1396" s="22">
        <v>0</v>
      </c>
      <c r="W1396" s="22">
        <v>0</v>
      </c>
      <c r="X1396" s="22">
        <v>0</v>
      </c>
      <c r="Y1396" s="4" t="s">
        <v>2308</v>
      </c>
      <c r="Z1396" s="4" t="s">
        <v>2308</v>
      </c>
      <c r="AA1396" s="4" t="s">
        <v>2308</v>
      </c>
      <c r="AB1396" s="4" t="s">
        <v>2308</v>
      </c>
      <c r="AC1396" s="5" t="s">
        <v>4252</v>
      </c>
      <c r="AD1396" s="4"/>
    </row>
    <row r="1397" spans="1:30" ht="43.5" customHeight="1">
      <c r="A1397" s="12" t="s">
        <v>4247</v>
      </c>
      <c r="B1397" s="12" t="s">
        <v>4251</v>
      </c>
      <c r="C1397" s="4" t="s">
        <v>24</v>
      </c>
      <c r="D1397" s="4" t="s">
        <v>25</v>
      </c>
      <c r="E1397" s="4" t="s">
        <v>45</v>
      </c>
      <c r="F1397" s="5" t="s">
        <v>55</v>
      </c>
      <c r="G1397" s="4" t="s">
        <v>55</v>
      </c>
      <c r="H1397" s="4" t="s">
        <v>531</v>
      </c>
      <c r="I1397" s="4"/>
      <c r="J1397" s="4" t="s">
        <v>2308</v>
      </c>
      <c r="K1397" s="4" t="s">
        <v>2308</v>
      </c>
      <c r="L1397" s="4" t="s">
        <v>2308</v>
      </c>
      <c r="M1397" s="4" t="s">
        <v>2308</v>
      </c>
      <c r="N1397" s="4" t="s">
        <v>2308</v>
      </c>
      <c r="O1397" s="4" t="s">
        <v>2308</v>
      </c>
      <c r="P1397" s="4" t="s">
        <v>2308</v>
      </c>
      <c r="Q1397" s="4" t="s">
        <v>2308</v>
      </c>
      <c r="R1397" s="4" t="s">
        <v>2308</v>
      </c>
      <c r="S1397" s="4" t="s">
        <v>2308</v>
      </c>
      <c r="T1397" s="4" t="s">
        <v>2308</v>
      </c>
      <c r="U1397" s="4" t="s">
        <v>2308</v>
      </c>
      <c r="V1397" s="4" t="s">
        <v>2308</v>
      </c>
      <c r="W1397" s="4" t="s">
        <v>2308</v>
      </c>
      <c r="X1397" s="4" t="s">
        <v>2308</v>
      </c>
      <c r="Y1397" s="4" t="s">
        <v>2308</v>
      </c>
      <c r="Z1397" s="4" t="s">
        <v>2308</v>
      </c>
      <c r="AA1397" s="4" t="s">
        <v>2308</v>
      </c>
      <c r="AB1397" s="4" t="s">
        <v>2308</v>
      </c>
      <c r="AC1397" s="5" t="s">
        <v>4253</v>
      </c>
      <c r="AD1397" s="4"/>
    </row>
    <row r="1398" spans="1:30" ht="35.5" customHeight="1">
      <c r="A1398" s="12" t="s">
        <v>4247</v>
      </c>
      <c r="B1398" s="12" t="s">
        <v>4254</v>
      </c>
      <c r="C1398" s="4" t="s">
        <v>1125</v>
      </c>
      <c r="D1398" s="4" t="s">
        <v>2308</v>
      </c>
      <c r="E1398" s="4" t="s">
        <v>45</v>
      </c>
      <c r="F1398" s="5" t="s">
        <v>2308</v>
      </c>
      <c r="G1398" s="4" t="s">
        <v>55</v>
      </c>
      <c r="H1398" s="4" t="s">
        <v>531</v>
      </c>
      <c r="I1398" s="4">
        <v>2002</v>
      </c>
      <c r="J1398" s="4" t="s">
        <v>2308</v>
      </c>
      <c r="K1398" s="4" t="s">
        <v>2308</v>
      </c>
      <c r="L1398" s="4" t="s">
        <v>2308</v>
      </c>
      <c r="M1398" s="4" t="s">
        <v>2308</v>
      </c>
      <c r="N1398" s="4" t="s">
        <v>2308</v>
      </c>
      <c r="O1398" s="4" t="s">
        <v>2308</v>
      </c>
      <c r="P1398" s="4" t="s">
        <v>2308</v>
      </c>
      <c r="Q1398" s="4" t="s">
        <v>2308</v>
      </c>
      <c r="R1398" s="4" t="s">
        <v>2308</v>
      </c>
      <c r="S1398" s="4" t="s">
        <v>2308</v>
      </c>
      <c r="T1398" s="4" t="s">
        <v>2308</v>
      </c>
      <c r="U1398" s="4" t="s">
        <v>2308</v>
      </c>
      <c r="V1398" s="22">
        <f>100*(6626+6432)/(191976*'Land use'!$O$697/100)</f>
        <v>11.081067890384245</v>
      </c>
      <c r="W1398" s="4" t="s">
        <v>2308</v>
      </c>
      <c r="X1398" s="22">
        <f>100*(6626+6432)/191976</f>
        <v>6.8018919031545613</v>
      </c>
      <c r="Y1398" s="4" t="s">
        <v>2308</v>
      </c>
      <c r="Z1398" s="4" t="s">
        <v>2308</v>
      </c>
      <c r="AA1398" s="4" t="s">
        <v>2308</v>
      </c>
      <c r="AB1398" s="4" t="s">
        <v>2308</v>
      </c>
      <c r="AC1398" s="4"/>
      <c r="AD1398" s="4"/>
    </row>
    <row r="1399" spans="1:30" ht="35.5" customHeight="1">
      <c r="A1399" s="12" t="s">
        <v>4247</v>
      </c>
      <c r="B1399" s="12" t="s">
        <v>4255</v>
      </c>
      <c r="C1399" s="4" t="s">
        <v>1125</v>
      </c>
      <c r="D1399" s="4" t="s">
        <v>2308</v>
      </c>
      <c r="E1399" s="4" t="s">
        <v>45</v>
      </c>
      <c r="F1399" s="5" t="s">
        <v>2308</v>
      </c>
      <c r="G1399" s="4" t="s">
        <v>55</v>
      </c>
      <c r="H1399" s="4" t="s">
        <v>531</v>
      </c>
      <c r="I1399" s="4">
        <v>2005</v>
      </c>
      <c r="J1399" s="4" t="s">
        <v>2308</v>
      </c>
      <c r="K1399" s="4" t="s">
        <v>2308</v>
      </c>
      <c r="L1399" s="4" t="s">
        <v>2308</v>
      </c>
      <c r="M1399" s="4" t="s">
        <v>2308</v>
      </c>
      <c r="N1399" s="4" t="s">
        <v>2308</v>
      </c>
      <c r="O1399" s="4" t="s">
        <v>2308</v>
      </c>
      <c r="P1399" s="4" t="s">
        <v>2308</v>
      </c>
      <c r="Q1399" s="4" t="s">
        <v>2308</v>
      </c>
      <c r="R1399" s="4" t="s">
        <v>2308</v>
      </c>
      <c r="S1399" s="4" t="s">
        <v>2308</v>
      </c>
      <c r="T1399" s="4" t="s">
        <v>2308</v>
      </c>
      <c r="U1399" s="4" t="s">
        <v>2308</v>
      </c>
      <c r="V1399" s="22">
        <f>100 * (4283+1392+6432) / (191976*'Land use'!$O$697/100)</f>
        <v>10.27404571518472</v>
      </c>
      <c r="W1399" s="4" t="s">
        <v>2308</v>
      </c>
      <c r="X1399" s="22">
        <f>100 * (4283+1392+6432) / 191976</f>
        <v>6.3065174813518352</v>
      </c>
      <c r="Y1399" s="4" t="s">
        <v>2308</v>
      </c>
      <c r="Z1399" s="4" t="s">
        <v>2308</v>
      </c>
      <c r="AA1399" s="4" t="s">
        <v>2308</v>
      </c>
      <c r="AB1399" s="4" t="s">
        <v>2308</v>
      </c>
      <c r="AC1399" s="4"/>
      <c r="AD1399" s="4"/>
    </row>
    <row r="1400" spans="1:30" ht="92.5" customHeight="1">
      <c r="A1400" s="12" t="s">
        <v>4260</v>
      </c>
      <c r="B1400" s="12" t="s">
        <v>4264</v>
      </c>
      <c r="C1400" s="4" t="s">
        <v>24</v>
      </c>
      <c r="D1400" s="4" t="s">
        <v>2837</v>
      </c>
      <c r="E1400" s="4" t="s">
        <v>45</v>
      </c>
      <c r="F1400" s="5" t="s">
        <v>2695</v>
      </c>
      <c r="G1400" s="4" t="s">
        <v>2308</v>
      </c>
      <c r="H1400" s="4" t="s">
        <v>531</v>
      </c>
      <c r="I1400" s="4"/>
      <c r="J1400" s="4" t="s">
        <v>2308</v>
      </c>
      <c r="K1400" s="4" t="s">
        <v>2308</v>
      </c>
      <c r="L1400" s="4" t="s">
        <v>2308</v>
      </c>
      <c r="M1400" s="4" t="s">
        <v>2308</v>
      </c>
      <c r="N1400" s="4" t="s">
        <v>2308</v>
      </c>
      <c r="O1400" s="4" t="s">
        <v>2308</v>
      </c>
      <c r="P1400" s="4" t="s">
        <v>2308</v>
      </c>
      <c r="Q1400" s="4" t="s">
        <v>2308</v>
      </c>
      <c r="R1400" s="4" t="s">
        <v>2308</v>
      </c>
      <c r="S1400" s="4" t="s">
        <v>2308</v>
      </c>
      <c r="T1400" s="4" t="s">
        <v>2308</v>
      </c>
      <c r="U1400" s="4" t="s">
        <v>2308</v>
      </c>
      <c r="V1400" s="4" t="s">
        <v>2308</v>
      </c>
      <c r="W1400" s="4" t="s">
        <v>2308</v>
      </c>
      <c r="X1400" s="4" t="s">
        <v>2308</v>
      </c>
      <c r="Y1400" s="4" t="s">
        <v>2308</v>
      </c>
      <c r="Z1400" s="4" t="s">
        <v>2308</v>
      </c>
      <c r="AA1400" s="4" t="s">
        <v>2308</v>
      </c>
      <c r="AB1400" s="4" t="s">
        <v>2308</v>
      </c>
      <c r="AC1400" s="5" t="s">
        <v>4265</v>
      </c>
      <c r="AD1400" s="4"/>
    </row>
    <row r="1401" spans="1:30" ht="41" customHeight="1">
      <c r="A1401" s="12" t="s">
        <v>4270</v>
      </c>
      <c r="B1401" s="12" t="s">
        <v>4274</v>
      </c>
      <c r="C1401" s="4" t="s">
        <v>24</v>
      </c>
      <c r="D1401" s="4" t="s">
        <v>1264</v>
      </c>
      <c r="E1401" s="4" t="s">
        <v>143</v>
      </c>
      <c r="F1401" s="5" t="s">
        <v>2695</v>
      </c>
      <c r="G1401" s="4" t="s">
        <v>2308</v>
      </c>
      <c r="H1401" s="4" t="s">
        <v>531</v>
      </c>
      <c r="I1401" s="4"/>
      <c r="J1401" s="4" t="s">
        <v>2308</v>
      </c>
      <c r="K1401" s="4" t="s">
        <v>2308</v>
      </c>
      <c r="L1401" s="4" t="s">
        <v>2308</v>
      </c>
      <c r="M1401" s="4" t="s">
        <v>2308</v>
      </c>
      <c r="N1401" s="4" t="s">
        <v>2308</v>
      </c>
      <c r="O1401" s="4" t="s">
        <v>2308</v>
      </c>
      <c r="P1401" s="4" t="s">
        <v>2308</v>
      </c>
      <c r="Q1401" s="4" t="s">
        <v>2308</v>
      </c>
      <c r="R1401" s="4" t="s">
        <v>2308</v>
      </c>
      <c r="S1401" s="4" t="s">
        <v>2308</v>
      </c>
      <c r="T1401" s="4" t="s">
        <v>2308</v>
      </c>
      <c r="U1401" s="4" t="s">
        <v>2308</v>
      </c>
      <c r="V1401" s="4" t="s">
        <v>2308</v>
      </c>
      <c r="W1401" s="4" t="s">
        <v>2308</v>
      </c>
      <c r="X1401" s="4" t="s">
        <v>2308</v>
      </c>
      <c r="Y1401" s="4" t="s">
        <v>2308</v>
      </c>
      <c r="Z1401" s="4" t="s">
        <v>86</v>
      </c>
      <c r="AA1401" s="4" t="s">
        <v>411</v>
      </c>
      <c r="AB1401" s="4" t="s">
        <v>2688</v>
      </c>
      <c r="AC1401" s="5" t="s">
        <v>4277</v>
      </c>
      <c r="AD1401" s="4"/>
    </row>
    <row r="1402" spans="1:30" ht="42" customHeight="1">
      <c r="A1402" s="12" t="s">
        <v>4270</v>
      </c>
      <c r="B1402" s="12" t="s">
        <v>4275</v>
      </c>
      <c r="C1402" s="4" t="s">
        <v>24</v>
      </c>
      <c r="D1402" s="4" t="s">
        <v>1267</v>
      </c>
      <c r="E1402" s="4" t="s">
        <v>2685</v>
      </c>
      <c r="F1402" s="5" t="s">
        <v>2695</v>
      </c>
      <c r="G1402" s="4" t="s">
        <v>2308</v>
      </c>
      <c r="H1402" s="4" t="s">
        <v>531</v>
      </c>
      <c r="I1402" s="4"/>
      <c r="J1402" s="4" t="s">
        <v>2308</v>
      </c>
      <c r="K1402" s="4" t="s">
        <v>2308</v>
      </c>
      <c r="L1402" s="4" t="s">
        <v>2308</v>
      </c>
      <c r="M1402" s="4" t="s">
        <v>2308</v>
      </c>
      <c r="N1402" s="4" t="s">
        <v>2308</v>
      </c>
      <c r="O1402" s="4" t="s">
        <v>2308</v>
      </c>
      <c r="P1402" s="4" t="s">
        <v>2308</v>
      </c>
      <c r="Q1402" s="4" t="s">
        <v>2308</v>
      </c>
      <c r="R1402" s="4" t="s">
        <v>2308</v>
      </c>
      <c r="S1402" s="4" t="s">
        <v>2308</v>
      </c>
      <c r="T1402" s="4" t="s">
        <v>2308</v>
      </c>
      <c r="U1402" s="4" t="s">
        <v>2308</v>
      </c>
      <c r="V1402" s="4" t="s">
        <v>2308</v>
      </c>
      <c r="W1402" s="4" t="s">
        <v>2308</v>
      </c>
      <c r="X1402" s="4" t="s">
        <v>2308</v>
      </c>
      <c r="Y1402" s="4" t="s">
        <v>2308</v>
      </c>
      <c r="Z1402" s="4" t="s">
        <v>86</v>
      </c>
      <c r="AA1402" s="4" t="s">
        <v>411</v>
      </c>
      <c r="AB1402" s="4" t="s">
        <v>2688</v>
      </c>
      <c r="AC1402" s="5" t="s">
        <v>4276</v>
      </c>
      <c r="AD1402" s="4"/>
    </row>
    <row r="1403" spans="1:30" ht="44.5" customHeight="1">
      <c r="A1403" s="12" t="s">
        <v>4270</v>
      </c>
      <c r="B1403" s="12" t="s">
        <v>4278</v>
      </c>
      <c r="C1403" s="4" t="s">
        <v>2491</v>
      </c>
      <c r="D1403" s="4" t="s">
        <v>1267</v>
      </c>
      <c r="E1403" s="4" t="s">
        <v>116</v>
      </c>
      <c r="F1403" s="5" t="s">
        <v>74</v>
      </c>
      <c r="G1403" s="4" t="s">
        <v>2308</v>
      </c>
      <c r="H1403" s="4" t="s">
        <v>531</v>
      </c>
      <c r="I1403" s="4"/>
      <c r="J1403" s="4" t="s">
        <v>2308</v>
      </c>
      <c r="K1403" s="4" t="s">
        <v>2308</v>
      </c>
      <c r="L1403" s="4" t="s">
        <v>2308</v>
      </c>
      <c r="M1403" s="4" t="s">
        <v>2308</v>
      </c>
      <c r="N1403" s="4" t="s">
        <v>2308</v>
      </c>
      <c r="O1403" s="4" t="s">
        <v>2308</v>
      </c>
      <c r="P1403" s="4" t="s">
        <v>2308</v>
      </c>
      <c r="Q1403" s="4" t="s">
        <v>2308</v>
      </c>
      <c r="R1403" s="4" t="s">
        <v>2308</v>
      </c>
      <c r="S1403" s="4" t="s">
        <v>2308</v>
      </c>
      <c r="T1403" s="4" t="s">
        <v>2308</v>
      </c>
      <c r="U1403" s="4" t="s">
        <v>2308</v>
      </c>
      <c r="V1403" s="4" t="s">
        <v>2308</v>
      </c>
      <c r="W1403" s="4" t="s">
        <v>2308</v>
      </c>
      <c r="X1403" s="4" t="s">
        <v>2308</v>
      </c>
      <c r="Y1403" s="4" t="s">
        <v>2308</v>
      </c>
      <c r="Z1403" s="4" t="s">
        <v>412</v>
      </c>
      <c r="AA1403" s="4" t="s">
        <v>68</v>
      </c>
      <c r="AB1403" s="4" t="s">
        <v>76</v>
      </c>
      <c r="AC1403" s="5" t="s">
        <v>4280</v>
      </c>
      <c r="AD1403" s="4"/>
    </row>
    <row r="1404" spans="1:30" ht="45.5" customHeight="1">
      <c r="A1404" s="12" t="s">
        <v>4270</v>
      </c>
      <c r="B1404" s="12" t="s">
        <v>4279</v>
      </c>
      <c r="C1404" s="4" t="s">
        <v>2491</v>
      </c>
      <c r="D1404" s="4" t="s">
        <v>2308</v>
      </c>
      <c r="E1404" s="4" t="s">
        <v>2308</v>
      </c>
      <c r="F1404" s="5" t="s">
        <v>2695</v>
      </c>
      <c r="G1404" s="4" t="s">
        <v>2308</v>
      </c>
      <c r="H1404" s="4" t="s">
        <v>531</v>
      </c>
      <c r="I1404" s="4"/>
      <c r="J1404" s="4" t="s">
        <v>2308</v>
      </c>
      <c r="K1404" s="4" t="s">
        <v>2308</v>
      </c>
      <c r="L1404" s="4" t="s">
        <v>2308</v>
      </c>
      <c r="M1404" s="4" t="s">
        <v>2308</v>
      </c>
      <c r="N1404" s="4" t="s">
        <v>2308</v>
      </c>
      <c r="O1404" s="4" t="s">
        <v>2308</v>
      </c>
      <c r="P1404" s="4" t="s">
        <v>2308</v>
      </c>
      <c r="Q1404" s="4" t="s">
        <v>2308</v>
      </c>
      <c r="R1404" s="4" t="s">
        <v>2308</v>
      </c>
      <c r="S1404" s="4" t="s">
        <v>2308</v>
      </c>
      <c r="T1404" s="4" t="s">
        <v>2308</v>
      </c>
      <c r="U1404" s="4" t="s">
        <v>2308</v>
      </c>
      <c r="V1404" s="4" t="s">
        <v>2308</v>
      </c>
      <c r="W1404" s="4" t="s">
        <v>2308</v>
      </c>
      <c r="X1404" s="4" t="s">
        <v>2308</v>
      </c>
      <c r="Y1404" s="4" t="s">
        <v>2308</v>
      </c>
      <c r="Z1404" s="4" t="s">
        <v>412</v>
      </c>
      <c r="AA1404" s="4" t="s">
        <v>68</v>
      </c>
      <c r="AB1404" s="4" t="s">
        <v>76</v>
      </c>
      <c r="AC1404" s="5" t="s">
        <v>4281</v>
      </c>
      <c r="AD1404" s="4"/>
    </row>
    <row r="1405" spans="1:30" ht="69.5" customHeight="1">
      <c r="A1405" s="12" t="s">
        <v>4271</v>
      </c>
      <c r="B1405" s="12" t="s">
        <v>4282</v>
      </c>
      <c r="C1405" s="4" t="s">
        <v>24</v>
      </c>
      <c r="D1405" s="4" t="s">
        <v>1264</v>
      </c>
      <c r="E1405" s="5" t="s">
        <v>3903</v>
      </c>
      <c r="F1405" s="5" t="s">
        <v>2695</v>
      </c>
      <c r="G1405" s="4" t="s">
        <v>2308</v>
      </c>
      <c r="H1405" s="4" t="s">
        <v>531</v>
      </c>
      <c r="I1405" s="4"/>
      <c r="J1405" s="4" t="s">
        <v>2308</v>
      </c>
      <c r="K1405" s="4" t="s">
        <v>2308</v>
      </c>
      <c r="L1405" s="4" t="s">
        <v>2308</v>
      </c>
      <c r="M1405" s="4" t="s">
        <v>2308</v>
      </c>
      <c r="N1405" s="4" t="s">
        <v>2308</v>
      </c>
      <c r="O1405" s="4" t="s">
        <v>2308</v>
      </c>
      <c r="P1405" s="4" t="s">
        <v>2308</v>
      </c>
      <c r="Q1405" s="4" t="s">
        <v>2308</v>
      </c>
      <c r="R1405" s="4" t="s">
        <v>2308</v>
      </c>
      <c r="S1405" s="4" t="s">
        <v>2308</v>
      </c>
      <c r="T1405" s="4" t="s">
        <v>2308</v>
      </c>
      <c r="U1405" s="4" t="s">
        <v>2308</v>
      </c>
      <c r="V1405" s="4" t="s">
        <v>2308</v>
      </c>
      <c r="W1405" s="4" t="s">
        <v>2308</v>
      </c>
      <c r="X1405" s="4" t="s">
        <v>2308</v>
      </c>
      <c r="Y1405" s="4" t="s">
        <v>2308</v>
      </c>
      <c r="Z1405" s="4" t="s">
        <v>86</v>
      </c>
      <c r="AA1405" s="4" t="s">
        <v>412</v>
      </c>
      <c r="AB1405" s="4" t="s">
        <v>64</v>
      </c>
      <c r="AC1405" s="5" t="s">
        <v>4298</v>
      </c>
      <c r="AD1405" s="5" t="s">
        <v>4299</v>
      </c>
    </row>
    <row r="1406" spans="1:30" ht="41" customHeight="1">
      <c r="A1406" s="12" t="s">
        <v>4271</v>
      </c>
      <c r="B1406" s="12" t="s">
        <v>4283</v>
      </c>
      <c r="C1406" s="4" t="s">
        <v>24</v>
      </c>
      <c r="D1406" s="4" t="s">
        <v>27</v>
      </c>
      <c r="E1406" s="4" t="s">
        <v>136</v>
      </c>
      <c r="F1406" s="5" t="s">
        <v>2695</v>
      </c>
      <c r="G1406" s="4" t="s">
        <v>2308</v>
      </c>
      <c r="H1406" s="4" t="s">
        <v>531</v>
      </c>
      <c r="I1406" s="4"/>
      <c r="J1406" s="4" t="s">
        <v>2308</v>
      </c>
      <c r="K1406" s="22">
        <v>1E-3</v>
      </c>
      <c r="L1406" s="4" t="s">
        <v>2308</v>
      </c>
      <c r="M1406" s="22">
        <v>4.0000000000000001E-3</v>
      </c>
      <c r="N1406" s="4" t="s">
        <v>2308</v>
      </c>
      <c r="O1406" s="4" t="s">
        <v>2308</v>
      </c>
      <c r="P1406" s="4" t="s">
        <v>2308</v>
      </c>
      <c r="Q1406" s="4" t="s">
        <v>2308</v>
      </c>
      <c r="R1406" s="4" t="s">
        <v>2308</v>
      </c>
      <c r="S1406" s="4" t="s">
        <v>2308</v>
      </c>
      <c r="T1406" s="4" t="s">
        <v>2308</v>
      </c>
      <c r="U1406" s="4" t="s">
        <v>2308</v>
      </c>
      <c r="V1406" s="4" t="s">
        <v>2308</v>
      </c>
      <c r="W1406" s="4" t="s">
        <v>2308</v>
      </c>
      <c r="X1406" s="4" t="s">
        <v>2308</v>
      </c>
      <c r="Y1406" s="4" t="s">
        <v>2308</v>
      </c>
      <c r="Z1406" s="4" t="s">
        <v>68</v>
      </c>
      <c r="AA1406" s="4" t="s">
        <v>35</v>
      </c>
      <c r="AB1406" s="4" t="s">
        <v>64</v>
      </c>
      <c r="AC1406" s="5" t="s">
        <v>4291</v>
      </c>
      <c r="AD1406" s="4"/>
    </row>
    <row r="1407" spans="1:30" ht="37" customHeight="1">
      <c r="A1407" s="12" t="s">
        <v>4271</v>
      </c>
      <c r="B1407" s="12" t="s">
        <v>4284</v>
      </c>
      <c r="C1407" s="4" t="s">
        <v>24</v>
      </c>
      <c r="D1407" s="4" t="s">
        <v>3529</v>
      </c>
      <c r="E1407" s="4" t="s">
        <v>116</v>
      </c>
      <c r="F1407" s="5" t="s">
        <v>2695</v>
      </c>
      <c r="G1407" s="4" t="s">
        <v>2308</v>
      </c>
      <c r="H1407" s="4" t="s">
        <v>531</v>
      </c>
      <c r="I1407" s="4"/>
      <c r="J1407" s="4" t="s">
        <v>2308</v>
      </c>
      <c r="K1407" s="4" t="s">
        <v>2308</v>
      </c>
      <c r="L1407" s="4" t="s">
        <v>2308</v>
      </c>
      <c r="M1407" s="4" t="s">
        <v>2308</v>
      </c>
      <c r="N1407" s="4" t="s">
        <v>2308</v>
      </c>
      <c r="O1407" s="4" t="s">
        <v>2308</v>
      </c>
      <c r="P1407" s="4" t="s">
        <v>2308</v>
      </c>
      <c r="Q1407" s="4" t="s">
        <v>2308</v>
      </c>
      <c r="R1407" s="4" t="s">
        <v>2308</v>
      </c>
      <c r="S1407" s="4" t="s">
        <v>2308</v>
      </c>
      <c r="T1407" s="4" t="s">
        <v>2308</v>
      </c>
      <c r="U1407" s="4" t="s">
        <v>2308</v>
      </c>
      <c r="V1407" s="4" t="s">
        <v>2308</v>
      </c>
      <c r="W1407" s="4" t="s">
        <v>2308</v>
      </c>
      <c r="X1407" s="4" t="s">
        <v>2308</v>
      </c>
      <c r="Y1407" s="4" t="s">
        <v>2308</v>
      </c>
      <c r="Z1407" s="4" t="s">
        <v>34</v>
      </c>
      <c r="AA1407" s="4" t="s">
        <v>432</v>
      </c>
      <c r="AB1407" s="4" t="s">
        <v>64</v>
      </c>
      <c r="AC1407" s="5" t="s">
        <v>4286</v>
      </c>
      <c r="AD1407" s="4"/>
    </row>
    <row r="1408" spans="1:30" ht="38" customHeight="1">
      <c r="A1408" s="12" t="s">
        <v>4271</v>
      </c>
      <c r="B1408" s="12" t="s">
        <v>4287</v>
      </c>
      <c r="C1408" s="4" t="s">
        <v>24</v>
      </c>
      <c r="D1408" s="4" t="s">
        <v>3529</v>
      </c>
      <c r="E1408" s="4" t="s">
        <v>116</v>
      </c>
      <c r="F1408" s="5" t="s">
        <v>2695</v>
      </c>
      <c r="G1408" s="4" t="s">
        <v>2308</v>
      </c>
      <c r="H1408" s="4" t="s">
        <v>531</v>
      </c>
      <c r="I1408" s="4"/>
      <c r="J1408" s="4" t="s">
        <v>2308</v>
      </c>
      <c r="K1408" s="4" t="s">
        <v>2308</v>
      </c>
      <c r="L1408" s="4" t="s">
        <v>2308</v>
      </c>
      <c r="M1408" s="4" t="s">
        <v>2308</v>
      </c>
      <c r="N1408" s="4" t="s">
        <v>2308</v>
      </c>
      <c r="O1408" s="4" t="s">
        <v>2308</v>
      </c>
      <c r="P1408" s="4" t="s">
        <v>2308</v>
      </c>
      <c r="Q1408" s="4" t="s">
        <v>2308</v>
      </c>
      <c r="R1408" s="4" t="s">
        <v>2308</v>
      </c>
      <c r="S1408" s="4" t="s">
        <v>2308</v>
      </c>
      <c r="T1408" s="4" t="s">
        <v>2308</v>
      </c>
      <c r="U1408" s="4" t="s">
        <v>2308</v>
      </c>
      <c r="V1408" s="4" t="s">
        <v>2308</v>
      </c>
      <c r="W1408" s="4" t="s">
        <v>2308</v>
      </c>
      <c r="X1408" s="4" t="s">
        <v>2308</v>
      </c>
      <c r="Y1408" s="4" t="s">
        <v>2308</v>
      </c>
      <c r="Z1408" s="4" t="s">
        <v>412</v>
      </c>
      <c r="AA1408" s="4" t="s">
        <v>432</v>
      </c>
      <c r="AB1408" s="4" t="s">
        <v>64</v>
      </c>
      <c r="AC1408" s="5" t="s">
        <v>4290</v>
      </c>
      <c r="AD1408" s="4"/>
    </row>
    <row r="1409" spans="1:30" ht="34.5" customHeight="1">
      <c r="A1409" s="12" t="s">
        <v>4271</v>
      </c>
      <c r="B1409" s="12" t="s">
        <v>4288</v>
      </c>
      <c r="C1409" s="4" t="s">
        <v>24</v>
      </c>
      <c r="D1409" s="4" t="s">
        <v>3525</v>
      </c>
      <c r="E1409" s="4" t="s">
        <v>877</v>
      </c>
      <c r="F1409" s="5" t="s">
        <v>2695</v>
      </c>
      <c r="G1409" s="4" t="s">
        <v>2308</v>
      </c>
      <c r="H1409" s="4" t="s">
        <v>531</v>
      </c>
      <c r="I1409" s="4"/>
      <c r="J1409" s="4" t="s">
        <v>2308</v>
      </c>
      <c r="K1409" s="4" t="s">
        <v>2308</v>
      </c>
      <c r="L1409" s="4" t="s">
        <v>2308</v>
      </c>
      <c r="M1409" s="4" t="s">
        <v>2308</v>
      </c>
      <c r="N1409" s="4" t="s">
        <v>2308</v>
      </c>
      <c r="O1409" s="4" t="s">
        <v>2308</v>
      </c>
      <c r="P1409" s="4" t="s">
        <v>2308</v>
      </c>
      <c r="Q1409" s="4" t="s">
        <v>2308</v>
      </c>
      <c r="R1409" s="4" t="s">
        <v>2308</v>
      </c>
      <c r="S1409" s="4" t="s">
        <v>2308</v>
      </c>
      <c r="T1409" s="4" t="s">
        <v>2308</v>
      </c>
      <c r="U1409" s="4" t="s">
        <v>2308</v>
      </c>
      <c r="V1409" s="4" t="s">
        <v>2308</v>
      </c>
      <c r="W1409" s="4" t="s">
        <v>2308</v>
      </c>
      <c r="X1409" s="4" t="s">
        <v>2308</v>
      </c>
      <c r="Y1409" s="4" t="s">
        <v>2308</v>
      </c>
      <c r="Z1409" s="4" t="s">
        <v>194</v>
      </c>
      <c r="AA1409" s="4" t="s">
        <v>35</v>
      </c>
      <c r="AB1409" s="4" t="s">
        <v>64</v>
      </c>
      <c r="AC1409" s="4" t="s">
        <v>4293</v>
      </c>
      <c r="AD1409" s="4"/>
    </row>
    <row r="1410" spans="1:30" ht="39" customHeight="1">
      <c r="A1410" s="12" t="s">
        <v>4271</v>
      </c>
      <c r="B1410" s="12" t="s">
        <v>4289</v>
      </c>
      <c r="C1410" s="4" t="s">
        <v>24</v>
      </c>
      <c r="D1410" s="4" t="s">
        <v>26</v>
      </c>
      <c r="E1410" s="4" t="s">
        <v>2308</v>
      </c>
      <c r="F1410" s="5" t="s">
        <v>2695</v>
      </c>
      <c r="G1410" s="4" t="s">
        <v>2308</v>
      </c>
      <c r="H1410" s="4" t="s">
        <v>531</v>
      </c>
      <c r="I1410" s="4"/>
      <c r="J1410" s="4" t="s">
        <v>2308</v>
      </c>
      <c r="K1410" s="4" t="s">
        <v>2308</v>
      </c>
      <c r="L1410" s="4" t="s">
        <v>2308</v>
      </c>
      <c r="M1410" s="4" t="s">
        <v>2308</v>
      </c>
      <c r="N1410" s="4" t="s">
        <v>2308</v>
      </c>
      <c r="O1410" s="4" t="s">
        <v>2308</v>
      </c>
      <c r="P1410" s="4" t="s">
        <v>2308</v>
      </c>
      <c r="Q1410" s="4" t="s">
        <v>2308</v>
      </c>
      <c r="R1410" s="4" t="s">
        <v>2308</v>
      </c>
      <c r="S1410" s="4" t="s">
        <v>2308</v>
      </c>
      <c r="T1410" s="4" t="s">
        <v>2308</v>
      </c>
      <c r="U1410" s="4" t="s">
        <v>2308</v>
      </c>
      <c r="V1410" s="4" t="s">
        <v>2308</v>
      </c>
      <c r="W1410" s="4" t="s">
        <v>2308</v>
      </c>
      <c r="X1410" s="4" t="s">
        <v>2308</v>
      </c>
      <c r="Y1410" s="4" t="s">
        <v>2308</v>
      </c>
      <c r="Z1410" s="4" t="s">
        <v>412</v>
      </c>
      <c r="AA1410" s="4" t="s">
        <v>68</v>
      </c>
      <c r="AB1410" s="4" t="s">
        <v>64</v>
      </c>
      <c r="AC1410" s="5" t="s">
        <v>4292</v>
      </c>
      <c r="AD1410" s="4"/>
    </row>
    <row r="1411" spans="1:30" ht="40" customHeight="1">
      <c r="A1411" s="12" t="s">
        <v>4271</v>
      </c>
      <c r="B1411" s="12" t="s">
        <v>4294</v>
      </c>
      <c r="C1411" s="4" t="s">
        <v>24</v>
      </c>
      <c r="D1411" s="4" t="s">
        <v>1267</v>
      </c>
      <c r="E1411" s="4" t="s">
        <v>116</v>
      </c>
      <c r="F1411" s="5" t="s">
        <v>2695</v>
      </c>
      <c r="G1411" s="4" t="s">
        <v>2308</v>
      </c>
      <c r="H1411" s="4" t="s">
        <v>531</v>
      </c>
      <c r="I1411" s="4"/>
      <c r="J1411" s="4" t="s">
        <v>2308</v>
      </c>
      <c r="K1411" s="4" t="s">
        <v>2308</v>
      </c>
      <c r="L1411" s="4" t="s">
        <v>2308</v>
      </c>
      <c r="M1411" s="4" t="s">
        <v>2308</v>
      </c>
      <c r="N1411" s="4" t="s">
        <v>2308</v>
      </c>
      <c r="O1411" s="4" t="s">
        <v>2308</v>
      </c>
      <c r="P1411" s="4" t="s">
        <v>2308</v>
      </c>
      <c r="Q1411" s="4" t="s">
        <v>2308</v>
      </c>
      <c r="R1411" s="4" t="s">
        <v>2308</v>
      </c>
      <c r="S1411" s="4" t="s">
        <v>2308</v>
      </c>
      <c r="T1411" s="4" t="s">
        <v>2308</v>
      </c>
      <c r="U1411" s="4" t="s">
        <v>2308</v>
      </c>
      <c r="V1411" s="4" t="s">
        <v>2308</v>
      </c>
      <c r="W1411" s="4" t="s">
        <v>2308</v>
      </c>
      <c r="X1411" s="4" t="s">
        <v>2308</v>
      </c>
      <c r="Y1411" s="4" t="s">
        <v>2308</v>
      </c>
      <c r="Z1411" s="4" t="s">
        <v>194</v>
      </c>
      <c r="AA1411" s="4" t="s">
        <v>35</v>
      </c>
      <c r="AB1411" s="4" t="s">
        <v>64</v>
      </c>
      <c r="AC1411" s="4" t="s">
        <v>4295</v>
      </c>
      <c r="AD1411" s="4"/>
    </row>
    <row r="1412" spans="1:30" ht="50.5" customHeight="1">
      <c r="A1412" s="12" t="s">
        <v>4271</v>
      </c>
      <c r="B1412" s="12" t="s">
        <v>4296</v>
      </c>
      <c r="C1412" s="4" t="s">
        <v>24</v>
      </c>
      <c r="D1412" s="4" t="s">
        <v>25</v>
      </c>
      <c r="E1412" s="5" t="s">
        <v>3903</v>
      </c>
      <c r="F1412" s="5" t="s">
        <v>2695</v>
      </c>
      <c r="G1412" s="4" t="s">
        <v>2308</v>
      </c>
      <c r="H1412" s="4" t="s">
        <v>531</v>
      </c>
      <c r="I1412" s="4"/>
      <c r="J1412" s="4" t="s">
        <v>2308</v>
      </c>
      <c r="K1412" s="4" t="s">
        <v>2308</v>
      </c>
      <c r="L1412" s="4" t="s">
        <v>2308</v>
      </c>
      <c r="M1412" s="4" t="s">
        <v>2308</v>
      </c>
      <c r="N1412" s="4" t="s">
        <v>2308</v>
      </c>
      <c r="O1412" s="4" t="s">
        <v>2308</v>
      </c>
      <c r="P1412" s="4" t="s">
        <v>2308</v>
      </c>
      <c r="Q1412" s="4" t="s">
        <v>2308</v>
      </c>
      <c r="R1412" s="4" t="s">
        <v>2308</v>
      </c>
      <c r="S1412" s="4" t="s">
        <v>2308</v>
      </c>
      <c r="T1412" s="4" t="s">
        <v>2308</v>
      </c>
      <c r="U1412" s="4" t="s">
        <v>2308</v>
      </c>
      <c r="V1412" s="4" t="s">
        <v>2308</v>
      </c>
      <c r="W1412" s="4" t="s">
        <v>2308</v>
      </c>
      <c r="X1412" s="4" t="s">
        <v>2308</v>
      </c>
      <c r="Y1412" s="4" t="s">
        <v>2308</v>
      </c>
      <c r="Z1412" s="4" t="s">
        <v>2308</v>
      </c>
      <c r="AA1412" s="4" t="s">
        <v>2308</v>
      </c>
      <c r="AB1412" s="4" t="s">
        <v>2308</v>
      </c>
      <c r="AC1412" s="4" t="s">
        <v>4297</v>
      </c>
      <c r="AD1412" s="4"/>
    </row>
    <row r="1413" spans="1:30" ht="54.5" customHeight="1">
      <c r="A1413" s="12" t="s">
        <v>4306</v>
      </c>
      <c r="B1413" s="12" t="s">
        <v>4313</v>
      </c>
      <c r="C1413" s="4" t="s">
        <v>24</v>
      </c>
      <c r="D1413" s="4" t="s">
        <v>25</v>
      </c>
      <c r="E1413" s="5" t="s">
        <v>3903</v>
      </c>
      <c r="F1413" s="5" t="s">
        <v>2695</v>
      </c>
      <c r="G1413" s="4" t="s">
        <v>2308</v>
      </c>
      <c r="H1413" s="4" t="s">
        <v>531</v>
      </c>
      <c r="I1413" s="4"/>
      <c r="J1413" s="4" t="s">
        <v>2308</v>
      </c>
      <c r="K1413" s="4" t="s">
        <v>2308</v>
      </c>
      <c r="L1413" s="4" t="s">
        <v>2308</v>
      </c>
      <c r="M1413" s="4" t="s">
        <v>2308</v>
      </c>
      <c r="N1413" s="4" t="s">
        <v>2308</v>
      </c>
      <c r="O1413" s="4" t="s">
        <v>2308</v>
      </c>
      <c r="P1413" s="4" t="s">
        <v>2308</v>
      </c>
      <c r="Q1413" s="4" t="s">
        <v>2308</v>
      </c>
      <c r="R1413" s="4" t="s">
        <v>2308</v>
      </c>
      <c r="S1413" s="4" t="s">
        <v>2308</v>
      </c>
      <c r="T1413" s="4" t="s">
        <v>2308</v>
      </c>
      <c r="U1413" s="4" t="s">
        <v>2308</v>
      </c>
      <c r="V1413" s="4" t="s">
        <v>2308</v>
      </c>
      <c r="W1413" s="4" t="s">
        <v>2308</v>
      </c>
      <c r="X1413" s="4" t="s">
        <v>2308</v>
      </c>
      <c r="Y1413" s="4" t="s">
        <v>2308</v>
      </c>
      <c r="Z1413" s="4" t="s">
        <v>2308</v>
      </c>
      <c r="AA1413" s="4" t="s">
        <v>2308</v>
      </c>
      <c r="AB1413" s="4" t="s">
        <v>2308</v>
      </c>
      <c r="AC1413" s="4" t="s">
        <v>4323</v>
      </c>
      <c r="AD1413" s="5" t="s">
        <v>4329</v>
      </c>
    </row>
    <row r="1414" spans="1:30" ht="60" customHeight="1">
      <c r="A1414" s="12" t="s">
        <v>4306</v>
      </c>
      <c r="B1414" s="12" t="s">
        <v>4314</v>
      </c>
      <c r="C1414" s="4" t="s">
        <v>2491</v>
      </c>
      <c r="D1414" s="4" t="s">
        <v>25</v>
      </c>
      <c r="E1414" s="5" t="s">
        <v>3903</v>
      </c>
      <c r="F1414" s="5" t="s">
        <v>74</v>
      </c>
      <c r="G1414" s="4" t="s">
        <v>2308</v>
      </c>
      <c r="H1414" s="4" t="s">
        <v>531</v>
      </c>
      <c r="I1414" s="4"/>
      <c r="J1414" s="4" t="s">
        <v>2308</v>
      </c>
      <c r="K1414" s="4" t="s">
        <v>2308</v>
      </c>
      <c r="L1414" s="4" t="s">
        <v>2308</v>
      </c>
      <c r="M1414" s="4" t="s">
        <v>2308</v>
      </c>
      <c r="N1414" s="4" t="s">
        <v>2308</v>
      </c>
      <c r="O1414" s="4" t="s">
        <v>2308</v>
      </c>
      <c r="P1414" s="4" t="s">
        <v>2308</v>
      </c>
      <c r="Q1414" s="4" t="s">
        <v>2308</v>
      </c>
      <c r="R1414" s="4" t="s">
        <v>2308</v>
      </c>
      <c r="S1414" s="4" t="s">
        <v>2308</v>
      </c>
      <c r="T1414" s="4" t="s">
        <v>2308</v>
      </c>
      <c r="U1414" s="4" t="s">
        <v>2308</v>
      </c>
      <c r="V1414" s="4" t="s">
        <v>2308</v>
      </c>
      <c r="W1414" s="4" t="s">
        <v>2308</v>
      </c>
      <c r="X1414" s="4" t="s">
        <v>2308</v>
      </c>
      <c r="Y1414" s="4" t="s">
        <v>2308</v>
      </c>
      <c r="Z1414" s="4" t="s">
        <v>2308</v>
      </c>
      <c r="AA1414" s="4" t="s">
        <v>2308</v>
      </c>
      <c r="AB1414" s="4" t="s">
        <v>2308</v>
      </c>
      <c r="AC1414" s="4" t="s">
        <v>2308</v>
      </c>
      <c r="AD1414" s="5" t="s">
        <v>4329</v>
      </c>
    </row>
    <row r="1415" spans="1:30" ht="54.5" customHeight="1">
      <c r="A1415" s="12" t="s">
        <v>4306</v>
      </c>
      <c r="B1415" s="12" t="s">
        <v>4315</v>
      </c>
      <c r="C1415" s="4" t="s">
        <v>24</v>
      </c>
      <c r="D1415" s="4" t="s">
        <v>3027</v>
      </c>
      <c r="E1415" s="5" t="s">
        <v>1125</v>
      </c>
      <c r="F1415" s="5" t="s">
        <v>2308</v>
      </c>
      <c r="G1415" s="4" t="s">
        <v>2308</v>
      </c>
      <c r="H1415" s="4" t="s">
        <v>531</v>
      </c>
      <c r="I1415" s="4"/>
      <c r="J1415" s="4" t="s">
        <v>2308</v>
      </c>
      <c r="K1415" s="4" t="s">
        <v>2308</v>
      </c>
      <c r="L1415" s="4" t="s">
        <v>2308</v>
      </c>
      <c r="M1415" s="4" t="s">
        <v>2308</v>
      </c>
      <c r="N1415" s="4" t="s">
        <v>2308</v>
      </c>
      <c r="O1415" s="4" t="s">
        <v>2308</v>
      </c>
      <c r="P1415" s="4" t="s">
        <v>2308</v>
      </c>
      <c r="Q1415" s="4" t="s">
        <v>2308</v>
      </c>
      <c r="R1415" s="4" t="s">
        <v>2308</v>
      </c>
      <c r="S1415" s="4" t="s">
        <v>2308</v>
      </c>
      <c r="T1415" s="4" t="s">
        <v>2308</v>
      </c>
      <c r="U1415" s="4" t="s">
        <v>2308</v>
      </c>
      <c r="V1415" s="4" t="s">
        <v>2308</v>
      </c>
      <c r="W1415" s="4" t="s">
        <v>2308</v>
      </c>
      <c r="X1415" s="4" t="s">
        <v>2308</v>
      </c>
      <c r="Y1415" s="4" t="s">
        <v>2308</v>
      </c>
      <c r="Z1415" s="4" t="s">
        <v>2308</v>
      </c>
      <c r="AA1415" s="4" t="s">
        <v>2308</v>
      </c>
      <c r="AB1415" s="4" t="s">
        <v>2308</v>
      </c>
      <c r="AC1415" s="4" t="s">
        <v>4328</v>
      </c>
      <c r="AD1415" s="5" t="s">
        <v>4329</v>
      </c>
    </row>
    <row r="1416" spans="1:30" ht="48" customHeight="1">
      <c r="A1416" s="12" t="s">
        <v>4306</v>
      </c>
      <c r="B1416" s="12" t="s">
        <v>4316</v>
      </c>
      <c r="C1416" s="4" t="s">
        <v>2491</v>
      </c>
      <c r="D1416" s="4" t="s">
        <v>3027</v>
      </c>
      <c r="E1416" s="5" t="s">
        <v>1125</v>
      </c>
      <c r="F1416" s="5" t="s">
        <v>2308</v>
      </c>
      <c r="G1416" s="4" t="s">
        <v>2308</v>
      </c>
      <c r="H1416" s="4" t="s">
        <v>531</v>
      </c>
      <c r="I1416" s="4"/>
      <c r="J1416" s="4" t="s">
        <v>2308</v>
      </c>
      <c r="K1416" s="4" t="s">
        <v>2308</v>
      </c>
      <c r="L1416" s="4" t="s">
        <v>2308</v>
      </c>
      <c r="M1416" s="4" t="s">
        <v>2308</v>
      </c>
      <c r="N1416" s="4" t="s">
        <v>2308</v>
      </c>
      <c r="O1416" s="4" t="s">
        <v>2308</v>
      </c>
      <c r="P1416" s="4" t="s">
        <v>2308</v>
      </c>
      <c r="Q1416" s="4" t="s">
        <v>2308</v>
      </c>
      <c r="R1416" s="4" t="s">
        <v>2308</v>
      </c>
      <c r="S1416" s="4" t="s">
        <v>2308</v>
      </c>
      <c r="T1416" s="4" t="s">
        <v>2308</v>
      </c>
      <c r="U1416" s="4" t="s">
        <v>2308</v>
      </c>
      <c r="V1416" s="4" t="s">
        <v>2308</v>
      </c>
      <c r="W1416" s="4" t="s">
        <v>2308</v>
      </c>
      <c r="X1416" s="4" t="s">
        <v>2308</v>
      </c>
      <c r="Y1416" s="4" t="s">
        <v>2308</v>
      </c>
      <c r="Z1416" s="4" t="s">
        <v>2308</v>
      </c>
      <c r="AA1416" s="4" t="s">
        <v>2308</v>
      </c>
      <c r="AB1416" s="4" t="s">
        <v>2308</v>
      </c>
      <c r="AC1416" s="4" t="s">
        <v>2308</v>
      </c>
      <c r="AD1416" s="5" t="s">
        <v>4329</v>
      </c>
    </row>
    <row r="1417" spans="1:30" ht="42" customHeight="1">
      <c r="A1417" s="12" t="s">
        <v>4306</v>
      </c>
      <c r="B1417" s="12" t="s">
        <v>4317</v>
      </c>
      <c r="C1417" s="4" t="s">
        <v>31</v>
      </c>
      <c r="D1417" s="4" t="s">
        <v>30</v>
      </c>
      <c r="E1417" s="4" t="s">
        <v>1125</v>
      </c>
      <c r="F1417" s="5" t="s">
        <v>2308</v>
      </c>
      <c r="G1417" s="4" t="s">
        <v>2308</v>
      </c>
      <c r="H1417" s="4" t="s">
        <v>531</v>
      </c>
      <c r="I1417" s="4"/>
      <c r="J1417" s="4" t="s">
        <v>2308</v>
      </c>
      <c r="K1417" s="4" t="s">
        <v>2308</v>
      </c>
      <c r="L1417" s="4" t="s">
        <v>2308</v>
      </c>
      <c r="M1417" s="4" t="s">
        <v>2308</v>
      </c>
      <c r="N1417" s="4" t="s">
        <v>2308</v>
      </c>
      <c r="O1417" s="4" t="s">
        <v>2308</v>
      </c>
      <c r="P1417" s="4" t="s">
        <v>2308</v>
      </c>
      <c r="Q1417" s="4" t="s">
        <v>2308</v>
      </c>
      <c r="R1417" s="4" t="s">
        <v>2308</v>
      </c>
      <c r="S1417" s="4" t="s">
        <v>2308</v>
      </c>
      <c r="T1417" s="4" t="s">
        <v>2308</v>
      </c>
      <c r="U1417" s="4" t="s">
        <v>2308</v>
      </c>
      <c r="V1417" s="4" t="s">
        <v>2308</v>
      </c>
      <c r="W1417" s="4" t="s">
        <v>2308</v>
      </c>
      <c r="X1417" s="4" t="s">
        <v>2308</v>
      </c>
      <c r="Y1417" s="4" t="s">
        <v>2308</v>
      </c>
      <c r="Z1417" s="4" t="s">
        <v>2308</v>
      </c>
      <c r="AA1417" s="4" t="s">
        <v>2308</v>
      </c>
      <c r="AB1417" s="4" t="s">
        <v>2308</v>
      </c>
      <c r="AC1417" s="5" t="s">
        <v>4325</v>
      </c>
      <c r="AD1417" s="5" t="s">
        <v>4329</v>
      </c>
    </row>
    <row r="1418" spans="1:30" ht="48" customHeight="1">
      <c r="A1418" s="12" t="s">
        <v>4306</v>
      </c>
      <c r="B1418" s="12" t="s">
        <v>4318</v>
      </c>
      <c r="C1418" s="4" t="s">
        <v>31</v>
      </c>
      <c r="D1418" s="4" t="s">
        <v>30</v>
      </c>
      <c r="E1418" s="4" t="s">
        <v>2685</v>
      </c>
      <c r="F1418" s="5" t="s">
        <v>2308</v>
      </c>
      <c r="G1418" s="4" t="s">
        <v>2308</v>
      </c>
      <c r="H1418" s="4" t="s">
        <v>531</v>
      </c>
      <c r="I1418" s="4"/>
      <c r="J1418" s="4" t="s">
        <v>2308</v>
      </c>
      <c r="K1418" s="4" t="s">
        <v>2308</v>
      </c>
      <c r="L1418" s="4" t="s">
        <v>2308</v>
      </c>
      <c r="M1418" s="4" t="s">
        <v>2308</v>
      </c>
      <c r="N1418" s="4" t="s">
        <v>2308</v>
      </c>
      <c r="O1418" s="4" t="s">
        <v>2308</v>
      </c>
      <c r="P1418" s="4" t="s">
        <v>2308</v>
      </c>
      <c r="Q1418" s="4" t="s">
        <v>2308</v>
      </c>
      <c r="R1418" s="4" t="s">
        <v>2308</v>
      </c>
      <c r="S1418" s="4" t="s">
        <v>2308</v>
      </c>
      <c r="T1418" s="4" t="s">
        <v>2308</v>
      </c>
      <c r="U1418" s="4" t="s">
        <v>2308</v>
      </c>
      <c r="V1418" s="4" t="s">
        <v>2308</v>
      </c>
      <c r="W1418" s="4" t="s">
        <v>2308</v>
      </c>
      <c r="X1418" s="4" t="s">
        <v>2308</v>
      </c>
      <c r="Y1418" s="4" t="s">
        <v>2308</v>
      </c>
      <c r="Z1418" s="4" t="s">
        <v>2308</v>
      </c>
      <c r="AA1418" s="4" t="s">
        <v>2308</v>
      </c>
      <c r="AB1418" s="4" t="s">
        <v>2308</v>
      </c>
      <c r="AC1418" s="5" t="s">
        <v>4324</v>
      </c>
      <c r="AD1418" s="5" t="s">
        <v>4329</v>
      </c>
    </row>
    <row r="1419" spans="1:30" ht="60" customHeight="1">
      <c r="A1419" s="12" t="s">
        <v>4306</v>
      </c>
      <c r="B1419" s="12" t="s">
        <v>4319</v>
      </c>
      <c r="C1419" s="4" t="s">
        <v>24</v>
      </c>
      <c r="D1419" s="4" t="s">
        <v>2263</v>
      </c>
      <c r="E1419" s="5" t="s">
        <v>3903</v>
      </c>
      <c r="F1419" s="5" t="s">
        <v>2308</v>
      </c>
      <c r="G1419" s="4" t="s">
        <v>2308</v>
      </c>
      <c r="H1419" s="4" t="s">
        <v>531</v>
      </c>
      <c r="I1419" s="4"/>
      <c r="J1419" s="4" t="s">
        <v>2308</v>
      </c>
      <c r="K1419" s="4" t="s">
        <v>2308</v>
      </c>
      <c r="L1419" s="4" t="s">
        <v>2308</v>
      </c>
      <c r="M1419" s="4" t="s">
        <v>2308</v>
      </c>
      <c r="N1419" s="4" t="s">
        <v>2308</v>
      </c>
      <c r="O1419" s="4" t="s">
        <v>2308</v>
      </c>
      <c r="P1419" s="4" t="s">
        <v>2308</v>
      </c>
      <c r="Q1419" s="4" t="s">
        <v>2308</v>
      </c>
      <c r="R1419" s="4" t="s">
        <v>2308</v>
      </c>
      <c r="S1419" s="4" t="s">
        <v>2308</v>
      </c>
      <c r="T1419" s="4" t="s">
        <v>2308</v>
      </c>
      <c r="U1419" s="4" t="s">
        <v>2308</v>
      </c>
      <c r="V1419" s="4" t="s">
        <v>2308</v>
      </c>
      <c r="W1419" s="4" t="s">
        <v>2308</v>
      </c>
      <c r="X1419" s="4" t="s">
        <v>2308</v>
      </c>
      <c r="Y1419" s="4" t="s">
        <v>2308</v>
      </c>
      <c r="Z1419" s="4" t="s">
        <v>2308</v>
      </c>
      <c r="AA1419" s="4" t="s">
        <v>2308</v>
      </c>
      <c r="AB1419" s="4" t="s">
        <v>2308</v>
      </c>
      <c r="AC1419" s="4" t="s">
        <v>4326</v>
      </c>
      <c r="AD1419" s="5" t="s">
        <v>4329</v>
      </c>
    </row>
    <row r="1420" spans="1:30" ht="54.5" customHeight="1">
      <c r="A1420" s="12" t="s">
        <v>4306</v>
      </c>
      <c r="B1420" s="12" t="s">
        <v>4320</v>
      </c>
      <c r="C1420" s="4" t="s">
        <v>24</v>
      </c>
      <c r="D1420" s="4" t="s">
        <v>2692</v>
      </c>
      <c r="E1420" s="5" t="s">
        <v>3903</v>
      </c>
      <c r="F1420" s="5" t="s">
        <v>2308</v>
      </c>
      <c r="G1420" s="4" t="s">
        <v>2308</v>
      </c>
      <c r="H1420" s="4" t="s">
        <v>531</v>
      </c>
      <c r="I1420" s="4"/>
      <c r="J1420" s="4" t="s">
        <v>2308</v>
      </c>
      <c r="K1420" s="4" t="s">
        <v>2308</v>
      </c>
      <c r="L1420" s="4" t="s">
        <v>2308</v>
      </c>
      <c r="M1420" s="4" t="s">
        <v>2308</v>
      </c>
      <c r="N1420" s="4" t="s">
        <v>2308</v>
      </c>
      <c r="O1420" s="4" t="s">
        <v>2308</v>
      </c>
      <c r="P1420" s="4" t="s">
        <v>2308</v>
      </c>
      <c r="Q1420" s="4" t="s">
        <v>2308</v>
      </c>
      <c r="R1420" s="4" t="s">
        <v>2308</v>
      </c>
      <c r="S1420" s="4" t="s">
        <v>2308</v>
      </c>
      <c r="T1420" s="4" t="s">
        <v>2308</v>
      </c>
      <c r="U1420" s="4" t="s">
        <v>2308</v>
      </c>
      <c r="V1420" s="4" t="s">
        <v>2308</v>
      </c>
      <c r="W1420" s="4" t="s">
        <v>2308</v>
      </c>
      <c r="X1420" s="4" t="s">
        <v>2308</v>
      </c>
      <c r="Y1420" s="4" t="s">
        <v>2308</v>
      </c>
      <c r="Z1420" s="4" t="s">
        <v>2308</v>
      </c>
      <c r="AA1420" s="4" t="s">
        <v>2308</v>
      </c>
      <c r="AB1420" s="4" t="s">
        <v>2308</v>
      </c>
      <c r="AC1420" s="4" t="s">
        <v>4327</v>
      </c>
      <c r="AD1420" s="5" t="s">
        <v>4329</v>
      </c>
    </row>
    <row r="1421" spans="1:30" ht="50" customHeight="1">
      <c r="A1421" s="12" t="s">
        <v>4306</v>
      </c>
      <c r="B1421" s="12" t="s">
        <v>4321</v>
      </c>
      <c r="C1421" s="4" t="s">
        <v>24</v>
      </c>
      <c r="D1421" s="4" t="s">
        <v>2378</v>
      </c>
      <c r="E1421" s="5" t="s">
        <v>2308</v>
      </c>
      <c r="F1421" s="5" t="s">
        <v>2308</v>
      </c>
      <c r="G1421" s="4" t="s">
        <v>2308</v>
      </c>
      <c r="H1421" s="4" t="s">
        <v>531</v>
      </c>
      <c r="I1421" s="4"/>
      <c r="J1421" s="4" t="s">
        <v>2308</v>
      </c>
      <c r="K1421" s="4" t="s">
        <v>2308</v>
      </c>
      <c r="L1421" s="4" t="s">
        <v>2308</v>
      </c>
      <c r="M1421" s="4" t="s">
        <v>2308</v>
      </c>
      <c r="N1421" s="4" t="s">
        <v>2308</v>
      </c>
      <c r="O1421" s="4" t="s">
        <v>2308</v>
      </c>
      <c r="P1421" s="4" t="s">
        <v>2308</v>
      </c>
      <c r="Q1421" s="4" t="s">
        <v>2308</v>
      </c>
      <c r="R1421" s="4" t="s">
        <v>2308</v>
      </c>
      <c r="S1421" s="4" t="s">
        <v>2308</v>
      </c>
      <c r="T1421" s="4" t="s">
        <v>2308</v>
      </c>
      <c r="U1421" s="4" t="s">
        <v>2308</v>
      </c>
      <c r="V1421" s="4" t="s">
        <v>2308</v>
      </c>
      <c r="W1421" s="4" t="s">
        <v>2308</v>
      </c>
      <c r="X1421" s="4" t="s">
        <v>2308</v>
      </c>
      <c r="Y1421" s="4" t="s">
        <v>2308</v>
      </c>
      <c r="Z1421" s="4" t="s">
        <v>2308</v>
      </c>
      <c r="AA1421" s="4" t="s">
        <v>2308</v>
      </c>
      <c r="AB1421" s="4" t="s">
        <v>2308</v>
      </c>
      <c r="AC1421" s="178" t="s">
        <v>4330</v>
      </c>
      <c r="AD1421" s="5" t="s">
        <v>4329</v>
      </c>
    </row>
    <row r="1422" spans="1:30" ht="27" customHeight="1">
      <c r="A1422" s="12" t="s">
        <v>4307</v>
      </c>
      <c r="B1422" s="12" t="s">
        <v>4331</v>
      </c>
      <c r="C1422" s="4" t="s">
        <v>24</v>
      </c>
      <c r="D1422" s="4" t="s">
        <v>25</v>
      </c>
      <c r="E1422" s="5" t="s">
        <v>3903</v>
      </c>
      <c r="F1422" s="5" t="s">
        <v>2695</v>
      </c>
      <c r="G1422" s="4" t="s">
        <v>2308</v>
      </c>
      <c r="H1422" s="4" t="s">
        <v>531</v>
      </c>
      <c r="I1422" s="4"/>
      <c r="J1422" s="4" t="s">
        <v>2308</v>
      </c>
      <c r="K1422" s="4" t="s">
        <v>2308</v>
      </c>
      <c r="L1422" s="4" t="s">
        <v>2308</v>
      </c>
      <c r="M1422" s="4" t="s">
        <v>2308</v>
      </c>
      <c r="N1422" s="4" t="s">
        <v>2308</v>
      </c>
      <c r="O1422" s="4" t="s">
        <v>2308</v>
      </c>
      <c r="P1422" s="4" t="s">
        <v>2308</v>
      </c>
      <c r="Q1422" s="4" t="s">
        <v>2308</v>
      </c>
      <c r="R1422" s="4" t="s">
        <v>2308</v>
      </c>
      <c r="S1422" s="4" t="s">
        <v>2308</v>
      </c>
      <c r="T1422" s="4" t="s">
        <v>2308</v>
      </c>
      <c r="U1422" s="4" t="s">
        <v>2308</v>
      </c>
      <c r="V1422" s="4" t="s">
        <v>2308</v>
      </c>
      <c r="W1422" s="4" t="s">
        <v>2308</v>
      </c>
      <c r="X1422" s="4" t="s">
        <v>2308</v>
      </c>
      <c r="Y1422" s="4" t="s">
        <v>2308</v>
      </c>
      <c r="Z1422" s="4" t="s">
        <v>2308</v>
      </c>
      <c r="AA1422" s="4" t="s">
        <v>2308</v>
      </c>
      <c r="AB1422" s="4" t="s">
        <v>2308</v>
      </c>
      <c r="AC1422" s="4" t="s">
        <v>4323</v>
      </c>
      <c r="AD1422" s="5" t="s">
        <v>4329</v>
      </c>
    </row>
    <row r="1423" spans="1:30" ht="29">
      <c r="A1423" s="12" t="s">
        <v>4307</v>
      </c>
      <c r="B1423" s="12" t="s">
        <v>4332</v>
      </c>
      <c r="C1423" s="4" t="s">
        <v>2491</v>
      </c>
      <c r="D1423" s="4" t="s">
        <v>25</v>
      </c>
      <c r="E1423" s="5" t="s">
        <v>3903</v>
      </c>
      <c r="F1423" s="5" t="s">
        <v>74</v>
      </c>
      <c r="G1423" s="4" t="s">
        <v>2308</v>
      </c>
      <c r="H1423" s="4" t="s">
        <v>531</v>
      </c>
      <c r="I1423" s="4"/>
      <c r="J1423" s="4" t="s">
        <v>2308</v>
      </c>
      <c r="K1423" s="4" t="s">
        <v>2308</v>
      </c>
      <c r="L1423" s="4" t="s">
        <v>2308</v>
      </c>
      <c r="M1423" s="4" t="s">
        <v>2308</v>
      </c>
      <c r="N1423" s="4" t="s">
        <v>2308</v>
      </c>
      <c r="O1423" s="4" t="s">
        <v>2308</v>
      </c>
      <c r="P1423" s="4" t="s">
        <v>2308</v>
      </c>
      <c r="Q1423" s="4" t="s">
        <v>2308</v>
      </c>
      <c r="R1423" s="4" t="s">
        <v>2308</v>
      </c>
      <c r="S1423" s="4" t="s">
        <v>2308</v>
      </c>
      <c r="T1423" s="4" t="s">
        <v>2308</v>
      </c>
      <c r="U1423" s="4" t="s">
        <v>2308</v>
      </c>
      <c r="V1423" s="4" t="s">
        <v>2308</v>
      </c>
      <c r="W1423" s="4" t="s">
        <v>2308</v>
      </c>
      <c r="X1423" s="4" t="s">
        <v>2308</v>
      </c>
      <c r="Y1423" s="4" t="s">
        <v>2308</v>
      </c>
      <c r="Z1423" s="4" t="s">
        <v>2308</v>
      </c>
      <c r="AA1423" s="4" t="s">
        <v>2308</v>
      </c>
      <c r="AB1423" s="4" t="s">
        <v>2308</v>
      </c>
      <c r="AC1423" s="4" t="s">
        <v>2308</v>
      </c>
      <c r="AD1423" s="5" t="s">
        <v>4329</v>
      </c>
    </row>
    <row r="1424" spans="1:30" ht="29">
      <c r="A1424" s="12" t="s">
        <v>4307</v>
      </c>
      <c r="B1424" s="12" t="s">
        <v>4333</v>
      </c>
      <c r="C1424" s="4" t="s">
        <v>24</v>
      </c>
      <c r="D1424" s="4" t="s">
        <v>3027</v>
      </c>
      <c r="E1424" s="5" t="s">
        <v>1125</v>
      </c>
      <c r="F1424" s="5" t="s">
        <v>2308</v>
      </c>
      <c r="G1424" s="4" t="s">
        <v>2308</v>
      </c>
      <c r="H1424" s="4" t="s">
        <v>531</v>
      </c>
      <c r="I1424" s="4"/>
      <c r="J1424" s="4" t="s">
        <v>2308</v>
      </c>
      <c r="K1424" s="4" t="s">
        <v>2308</v>
      </c>
      <c r="L1424" s="4" t="s">
        <v>2308</v>
      </c>
      <c r="M1424" s="4" t="s">
        <v>2308</v>
      </c>
      <c r="N1424" s="4" t="s">
        <v>2308</v>
      </c>
      <c r="O1424" s="4" t="s">
        <v>2308</v>
      </c>
      <c r="P1424" s="4" t="s">
        <v>2308</v>
      </c>
      <c r="Q1424" s="4" t="s">
        <v>2308</v>
      </c>
      <c r="R1424" s="4" t="s">
        <v>2308</v>
      </c>
      <c r="S1424" s="4" t="s">
        <v>2308</v>
      </c>
      <c r="T1424" s="4" t="s">
        <v>2308</v>
      </c>
      <c r="U1424" s="4" t="s">
        <v>2308</v>
      </c>
      <c r="V1424" s="4" t="s">
        <v>2308</v>
      </c>
      <c r="W1424" s="4" t="s">
        <v>2308</v>
      </c>
      <c r="X1424" s="4" t="s">
        <v>2308</v>
      </c>
      <c r="Y1424" s="4" t="s">
        <v>2308</v>
      </c>
      <c r="Z1424" s="4" t="s">
        <v>2308</v>
      </c>
      <c r="AA1424" s="4" t="s">
        <v>2308</v>
      </c>
      <c r="AB1424" s="4" t="s">
        <v>2308</v>
      </c>
      <c r="AC1424" s="4" t="s">
        <v>4328</v>
      </c>
      <c r="AD1424" s="5" t="s">
        <v>4329</v>
      </c>
    </row>
    <row r="1425" spans="1:30" ht="29">
      <c r="A1425" s="12" t="s">
        <v>4307</v>
      </c>
      <c r="B1425" s="12" t="s">
        <v>4334</v>
      </c>
      <c r="C1425" s="4" t="s">
        <v>2491</v>
      </c>
      <c r="D1425" s="4" t="s">
        <v>3027</v>
      </c>
      <c r="E1425" s="5" t="s">
        <v>1125</v>
      </c>
      <c r="F1425" s="5" t="s">
        <v>2308</v>
      </c>
      <c r="G1425" s="4" t="s">
        <v>2308</v>
      </c>
      <c r="H1425" s="4" t="s">
        <v>531</v>
      </c>
      <c r="I1425" s="4"/>
      <c r="J1425" s="4" t="s">
        <v>2308</v>
      </c>
      <c r="K1425" s="4" t="s">
        <v>2308</v>
      </c>
      <c r="L1425" s="4" t="s">
        <v>2308</v>
      </c>
      <c r="M1425" s="4" t="s">
        <v>2308</v>
      </c>
      <c r="N1425" s="4" t="s">
        <v>2308</v>
      </c>
      <c r="O1425" s="4" t="s">
        <v>2308</v>
      </c>
      <c r="P1425" s="4" t="s">
        <v>2308</v>
      </c>
      <c r="Q1425" s="4" t="s">
        <v>2308</v>
      </c>
      <c r="R1425" s="4" t="s">
        <v>2308</v>
      </c>
      <c r="S1425" s="4" t="s">
        <v>2308</v>
      </c>
      <c r="T1425" s="4" t="s">
        <v>2308</v>
      </c>
      <c r="U1425" s="4" t="s">
        <v>2308</v>
      </c>
      <c r="V1425" s="4" t="s">
        <v>2308</v>
      </c>
      <c r="W1425" s="4" t="s">
        <v>2308</v>
      </c>
      <c r="X1425" s="4" t="s">
        <v>2308</v>
      </c>
      <c r="Y1425" s="4" t="s">
        <v>2308</v>
      </c>
      <c r="Z1425" s="4" t="s">
        <v>2308</v>
      </c>
      <c r="AA1425" s="4" t="s">
        <v>2308</v>
      </c>
      <c r="AB1425" s="4" t="s">
        <v>2308</v>
      </c>
      <c r="AC1425" s="4" t="s">
        <v>2308</v>
      </c>
      <c r="AD1425" s="5" t="s">
        <v>4329</v>
      </c>
    </row>
    <row r="1426" spans="1:30" ht="29">
      <c r="A1426" s="12" t="s">
        <v>4307</v>
      </c>
      <c r="B1426" s="12" t="s">
        <v>4335</v>
      </c>
      <c r="C1426" s="4" t="s">
        <v>31</v>
      </c>
      <c r="D1426" s="4" t="s">
        <v>30</v>
      </c>
      <c r="E1426" s="4" t="s">
        <v>1125</v>
      </c>
      <c r="F1426" s="5" t="s">
        <v>2308</v>
      </c>
      <c r="G1426" s="4" t="s">
        <v>2308</v>
      </c>
      <c r="H1426" s="4" t="s">
        <v>531</v>
      </c>
      <c r="I1426" s="4"/>
      <c r="J1426" s="4" t="s">
        <v>2308</v>
      </c>
      <c r="K1426" s="4" t="s">
        <v>2308</v>
      </c>
      <c r="L1426" s="4" t="s">
        <v>2308</v>
      </c>
      <c r="M1426" s="4" t="s">
        <v>2308</v>
      </c>
      <c r="N1426" s="4" t="s">
        <v>2308</v>
      </c>
      <c r="O1426" s="4" t="s">
        <v>2308</v>
      </c>
      <c r="P1426" s="4" t="s">
        <v>2308</v>
      </c>
      <c r="Q1426" s="4" t="s">
        <v>2308</v>
      </c>
      <c r="R1426" s="4" t="s">
        <v>2308</v>
      </c>
      <c r="S1426" s="4" t="s">
        <v>2308</v>
      </c>
      <c r="T1426" s="4" t="s">
        <v>2308</v>
      </c>
      <c r="U1426" s="4" t="s">
        <v>2308</v>
      </c>
      <c r="V1426" s="4" t="s">
        <v>2308</v>
      </c>
      <c r="W1426" s="4" t="s">
        <v>2308</v>
      </c>
      <c r="X1426" s="4" t="s">
        <v>2308</v>
      </c>
      <c r="Y1426" s="4" t="s">
        <v>2308</v>
      </c>
      <c r="Z1426" s="4" t="s">
        <v>2308</v>
      </c>
      <c r="AA1426" s="4" t="s">
        <v>2308</v>
      </c>
      <c r="AB1426" s="4" t="s">
        <v>2308</v>
      </c>
      <c r="AC1426" s="5" t="s">
        <v>4325</v>
      </c>
      <c r="AD1426" s="5" t="s">
        <v>4329</v>
      </c>
    </row>
    <row r="1427" spans="1:30" ht="29">
      <c r="A1427" s="12" t="s">
        <v>4307</v>
      </c>
      <c r="B1427" s="12" t="s">
        <v>4336</v>
      </c>
      <c r="C1427" s="4" t="s">
        <v>31</v>
      </c>
      <c r="D1427" s="4" t="s">
        <v>30</v>
      </c>
      <c r="E1427" s="4" t="s">
        <v>2685</v>
      </c>
      <c r="F1427" s="5" t="s">
        <v>2308</v>
      </c>
      <c r="G1427" s="4" t="s">
        <v>2308</v>
      </c>
      <c r="H1427" s="4" t="s">
        <v>531</v>
      </c>
      <c r="I1427" s="4"/>
      <c r="J1427" s="4" t="s">
        <v>2308</v>
      </c>
      <c r="K1427" s="4" t="s">
        <v>2308</v>
      </c>
      <c r="L1427" s="4" t="s">
        <v>2308</v>
      </c>
      <c r="M1427" s="4" t="s">
        <v>2308</v>
      </c>
      <c r="N1427" s="4" t="s">
        <v>2308</v>
      </c>
      <c r="O1427" s="4" t="s">
        <v>2308</v>
      </c>
      <c r="P1427" s="4" t="s">
        <v>2308</v>
      </c>
      <c r="Q1427" s="4" t="s">
        <v>2308</v>
      </c>
      <c r="R1427" s="4" t="s">
        <v>2308</v>
      </c>
      <c r="S1427" s="4" t="s">
        <v>2308</v>
      </c>
      <c r="T1427" s="4" t="s">
        <v>2308</v>
      </c>
      <c r="U1427" s="4" t="s">
        <v>2308</v>
      </c>
      <c r="V1427" s="4" t="s">
        <v>2308</v>
      </c>
      <c r="W1427" s="4" t="s">
        <v>2308</v>
      </c>
      <c r="X1427" s="4" t="s">
        <v>2308</v>
      </c>
      <c r="Y1427" s="4" t="s">
        <v>2308</v>
      </c>
      <c r="Z1427" s="4" t="s">
        <v>2308</v>
      </c>
      <c r="AA1427" s="4" t="s">
        <v>2308</v>
      </c>
      <c r="AB1427" s="4" t="s">
        <v>2308</v>
      </c>
      <c r="AC1427" s="5" t="s">
        <v>4324</v>
      </c>
      <c r="AD1427" s="5" t="s">
        <v>4329</v>
      </c>
    </row>
    <row r="1428" spans="1:30" ht="29">
      <c r="A1428" s="12" t="s">
        <v>4307</v>
      </c>
      <c r="B1428" s="12" t="s">
        <v>4337</v>
      </c>
      <c r="C1428" s="4" t="s">
        <v>24</v>
      </c>
      <c r="D1428" s="4" t="s">
        <v>2263</v>
      </c>
      <c r="E1428" s="5" t="s">
        <v>3903</v>
      </c>
      <c r="F1428" s="5" t="s">
        <v>2308</v>
      </c>
      <c r="G1428" s="4" t="s">
        <v>2308</v>
      </c>
      <c r="H1428" s="4" t="s">
        <v>531</v>
      </c>
      <c r="I1428" s="4"/>
      <c r="J1428" s="4" t="s">
        <v>2308</v>
      </c>
      <c r="K1428" s="4" t="s">
        <v>2308</v>
      </c>
      <c r="L1428" s="4" t="s">
        <v>2308</v>
      </c>
      <c r="M1428" s="4" t="s">
        <v>2308</v>
      </c>
      <c r="N1428" s="4" t="s">
        <v>2308</v>
      </c>
      <c r="O1428" s="4" t="s">
        <v>2308</v>
      </c>
      <c r="P1428" s="4" t="s">
        <v>2308</v>
      </c>
      <c r="Q1428" s="4" t="s">
        <v>2308</v>
      </c>
      <c r="R1428" s="4" t="s">
        <v>2308</v>
      </c>
      <c r="S1428" s="4" t="s">
        <v>2308</v>
      </c>
      <c r="T1428" s="4" t="s">
        <v>2308</v>
      </c>
      <c r="U1428" s="4" t="s">
        <v>2308</v>
      </c>
      <c r="V1428" s="4" t="s">
        <v>2308</v>
      </c>
      <c r="W1428" s="4" t="s">
        <v>2308</v>
      </c>
      <c r="X1428" s="4" t="s">
        <v>2308</v>
      </c>
      <c r="Y1428" s="4" t="s">
        <v>2308</v>
      </c>
      <c r="Z1428" s="4" t="s">
        <v>2308</v>
      </c>
      <c r="AA1428" s="4" t="s">
        <v>2308</v>
      </c>
      <c r="AB1428" s="4" t="s">
        <v>2308</v>
      </c>
      <c r="AC1428" s="4" t="s">
        <v>4326</v>
      </c>
      <c r="AD1428" s="5" t="s">
        <v>4329</v>
      </c>
    </row>
    <row r="1429" spans="1:30" ht="29">
      <c r="A1429" s="12" t="s">
        <v>4307</v>
      </c>
      <c r="B1429" s="12" t="s">
        <v>4338</v>
      </c>
      <c r="C1429" s="4" t="s">
        <v>24</v>
      </c>
      <c r="D1429" s="4" t="s">
        <v>2692</v>
      </c>
      <c r="E1429" s="5" t="s">
        <v>3903</v>
      </c>
      <c r="F1429" s="5" t="s">
        <v>2308</v>
      </c>
      <c r="G1429" s="4" t="s">
        <v>2308</v>
      </c>
      <c r="H1429" s="4" t="s">
        <v>531</v>
      </c>
      <c r="I1429" s="4"/>
      <c r="J1429" s="4" t="s">
        <v>2308</v>
      </c>
      <c r="K1429" s="4" t="s">
        <v>2308</v>
      </c>
      <c r="L1429" s="4" t="s">
        <v>2308</v>
      </c>
      <c r="M1429" s="4" t="s">
        <v>2308</v>
      </c>
      <c r="N1429" s="4" t="s">
        <v>2308</v>
      </c>
      <c r="O1429" s="4" t="s">
        <v>2308</v>
      </c>
      <c r="P1429" s="4" t="s">
        <v>2308</v>
      </c>
      <c r="Q1429" s="4" t="s">
        <v>2308</v>
      </c>
      <c r="R1429" s="4" t="s">
        <v>2308</v>
      </c>
      <c r="S1429" s="4" t="s">
        <v>2308</v>
      </c>
      <c r="T1429" s="4" t="s">
        <v>2308</v>
      </c>
      <c r="U1429" s="4" t="s">
        <v>2308</v>
      </c>
      <c r="V1429" s="4" t="s">
        <v>2308</v>
      </c>
      <c r="W1429" s="4" t="s">
        <v>2308</v>
      </c>
      <c r="X1429" s="4" t="s">
        <v>2308</v>
      </c>
      <c r="Y1429" s="4" t="s">
        <v>2308</v>
      </c>
      <c r="Z1429" s="4" t="s">
        <v>2308</v>
      </c>
      <c r="AA1429" s="4" t="s">
        <v>2308</v>
      </c>
      <c r="AB1429" s="4" t="s">
        <v>2308</v>
      </c>
      <c r="AC1429" s="4" t="s">
        <v>4327</v>
      </c>
      <c r="AD1429" s="5" t="s">
        <v>4329</v>
      </c>
    </row>
    <row r="1430" spans="1:30" ht="43.5">
      <c r="A1430" s="12" t="s">
        <v>4307</v>
      </c>
      <c r="B1430" s="12" t="s">
        <v>4339</v>
      </c>
      <c r="C1430" s="4" t="s">
        <v>24</v>
      </c>
      <c r="D1430" s="4" t="s">
        <v>2378</v>
      </c>
      <c r="E1430" s="5" t="s">
        <v>2308</v>
      </c>
      <c r="F1430" s="5" t="s">
        <v>2308</v>
      </c>
      <c r="G1430" s="4" t="s">
        <v>2308</v>
      </c>
      <c r="H1430" s="4" t="s">
        <v>531</v>
      </c>
      <c r="I1430" s="4"/>
      <c r="J1430" s="4" t="s">
        <v>2308</v>
      </c>
      <c r="K1430" s="4" t="s">
        <v>2308</v>
      </c>
      <c r="L1430" s="4" t="s">
        <v>2308</v>
      </c>
      <c r="M1430" s="4" t="s">
        <v>2308</v>
      </c>
      <c r="N1430" s="4" t="s">
        <v>2308</v>
      </c>
      <c r="O1430" s="4" t="s">
        <v>2308</v>
      </c>
      <c r="P1430" s="4" t="s">
        <v>2308</v>
      </c>
      <c r="Q1430" s="4" t="s">
        <v>2308</v>
      </c>
      <c r="R1430" s="4" t="s">
        <v>2308</v>
      </c>
      <c r="S1430" s="4" t="s">
        <v>2308</v>
      </c>
      <c r="T1430" s="4" t="s">
        <v>2308</v>
      </c>
      <c r="U1430" s="4" t="s">
        <v>2308</v>
      </c>
      <c r="V1430" s="4" t="s">
        <v>2308</v>
      </c>
      <c r="W1430" s="4" t="s">
        <v>2308</v>
      </c>
      <c r="X1430" s="4" t="s">
        <v>2308</v>
      </c>
      <c r="Y1430" s="4" t="s">
        <v>2308</v>
      </c>
      <c r="Z1430" s="4" t="s">
        <v>2308</v>
      </c>
      <c r="AA1430" s="4" t="s">
        <v>2308</v>
      </c>
      <c r="AB1430" s="4" t="s">
        <v>2308</v>
      </c>
      <c r="AC1430" s="178" t="s">
        <v>4330</v>
      </c>
      <c r="AD1430" s="5" t="s">
        <v>4329</v>
      </c>
    </row>
    <row r="1431" spans="1:30" ht="29">
      <c r="A1431" s="12" t="s">
        <v>4114</v>
      </c>
      <c r="B1431" s="12" t="s">
        <v>4340</v>
      </c>
      <c r="C1431" s="4" t="s">
        <v>24</v>
      </c>
      <c r="D1431" s="4" t="s">
        <v>25</v>
      </c>
      <c r="E1431" s="5" t="s">
        <v>3903</v>
      </c>
      <c r="F1431" s="5" t="s">
        <v>2695</v>
      </c>
      <c r="G1431" s="4" t="s">
        <v>2308</v>
      </c>
      <c r="H1431" s="4" t="s">
        <v>531</v>
      </c>
      <c r="I1431" s="4"/>
      <c r="J1431" s="4" t="s">
        <v>2308</v>
      </c>
      <c r="K1431" s="4" t="s">
        <v>2308</v>
      </c>
      <c r="L1431" s="4" t="s">
        <v>2308</v>
      </c>
      <c r="M1431" s="4" t="s">
        <v>2308</v>
      </c>
      <c r="N1431" s="4" t="s">
        <v>2308</v>
      </c>
      <c r="O1431" s="4" t="s">
        <v>2308</v>
      </c>
      <c r="P1431" s="4" t="s">
        <v>2308</v>
      </c>
      <c r="Q1431" s="4" t="s">
        <v>2308</v>
      </c>
      <c r="R1431" s="4" t="s">
        <v>2308</v>
      </c>
      <c r="S1431" s="4" t="s">
        <v>2308</v>
      </c>
      <c r="T1431" s="4" t="s">
        <v>2308</v>
      </c>
      <c r="U1431" s="4" t="s">
        <v>2308</v>
      </c>
      <c r="V1431" s="4" t="s">
        <v>2308</v>
      </c>
      <c r="W1431" s="4" t="s">
        <v>2308</v>
      </c>
      <c r="X1431" s="4" t="s">
        <v>2308</v>
      </c>
      <c r="Y1431" s="4" t="s">
        <v>2308</v>
      </c>
      <c r="Z1431" s="4" t="s">
        <v>2308</v>
      </c>
      <c r="AA1431" s="4" t="s">
        <v>2308</v>
      </c>
      <c r="AB1431" s="4" t="s">
        <v>2308</v>
      </c>
      <c r="AC1431" s="4" t="s">
        <v>4323</v>
      </c>
      <c r="AD1431" s="5" t="s">
        <v>4329</v>
      </c>
    </row>
    <row r="1432" spans="1:30" ht="29">
      <c r="A1432" s="12" t="s">
        <v>4114</v>
      </c>
      <c r="B1432" s="12" t="s">
        <v>4341</v>
      </c>
      <c r="C1432" s="4" t="s">
        <v>2491</v>
      </c>
      <c r="D1432" s="4" t="s">
        <v>25</v>
      </c>
      <c r="E1432" s="5" t="s">
        <v>3903</v>
      </c>
      <c r="F1432" s="5" t="s">
        <v>74</v>
      </c>
      <c r="G1432" s="4" t="s">
        <v>2308</v>
      </c>
      <c r="H1432" s="4" t="s">
        <v>531</v>
      </c>
      <c r="I1432" s="4"/>
      <c r="J1432" s="4" t="s">
        <v>2308</v>
      </c>
      <c r="K1432" s="4" t="s">
        <v>2308</v>
      </c>
      <c r="L1432" s="4" t="s">
        <v>2308</v>
      </c>
      <c r="M1432" s="4" t="s">
        <v>2308</v>
      </c>
      <c r="N1432" s="4" t="s">
        <v>2308</v>
      </c>
      <c r="O1432" s="4" t="s">
        <v>2308</v>
      </c>
      <c r="P1432" s="4" t="s">
        <v>2308</v>
      </c>
      <c r="Q1432" s="4" t="s">
        <v>2308</v>
      </c>
      <c r="R1432" s="4" t="s">
        <v>2308</v>
      </c>
      <c r="S1432" s="4" t="s">
        <v>2308</v>
      </c>
      <c r="T1432" s="4" t="s">
        <v>2308</v>
      </c>
      <c r="U1432" s="4" t="s">
        <v>2308</v>
      </c>
      <c r="V1432" s="4" t="s">
        <v>2308</v>
      </c>
      <c r="W1432" s="4" t="s">
        <v>2308</v>
      </c>
      <c r="X1432" s="4" t="s">
        <v>2308</v>
      </c>
      <c r="Y1432" s="4" t="s">
        <v>2308</v>
      </c>
      <c r="Z1432" s="4" t="s">
        <v>2308</v>
      </c>
      <c r="AA1432" s="4" t="s">
        <v>2308</v>
      </c>
      <c r="AB1432" s="4" t="s">
        <v>2308</v>
      </c>
      <c r="AC1432" s="4" t="s">
        <v>2308</v>
      </c>
      <c r="AD1432" s="5" t="s">
        <v>4329</v>
      </c>
    </row>
    <row r="1433" spans="1:30" ht="29">
      <c r="A1433" s="12" t="s">
        <v>4114</v>
      </c>
      <c r="B1433" s="12" t="s">
        <v>4342</v>
      </c>
      <c r="C1433" s="4" t="s">
        <v>24</v>
      </c>
      <c r="D1433" s="4" t="s">
        <v>3027</v>
      </c>
      <c r="E1433" s="5" t="s">
        <v>1125</v>
      </c>
      <c r="F1433" s="5" t="s">
        <v>2308</v>
      </c>
      <c r="G1433" s="4" t="s">
        <v>2308</v>
      </c>
      <c r="H1433" s="4" t="s">
        <v>531</v>
      </c>
      <c r="I1433" s="4"/>
      <c r="J1433" s="4" t="s">
        <v>2308</v>
      </c>
      <c r="K1433" s="4" t="s">
        <v>2308</v>
      </c>
      <c r="L1433" s="4" t="s">
        <v>2308</v>
      </c>
      <c r="M1433" s="4" t="s">
        <v>2308</v>
      </c>
      <c r="N1433" s="4" t="s">
        <v>2308</v>
      </c>
      <c r="O1433" s="4" t="s">
        <v>2308</v>
      </c>
      <c r="P1433" s="4" t="s">
        <v>2308</v>
      </c>
      <c r="Q1433" s="4" t="s">
        <v>2308</v>
      </c>
      <c r="R1433" s="4" t="s">
        <v>2308</v>
      </c>
      <c r="S1433" s="4" t="s">
        <v>2308</v>
      </c>
      <c r="T1433" s="4" t="s">
        <v>2308</v>
      </c>
      <c r="U1433" s="4" t="s">
        <v>2308</v>
      </c>
      <c r="V1433" s="4" t="s">
        <v>2308</v>
      </c>
      <c r="W1433" s="4" t="s">
        <v>2308</v>
      </c>
      <c r="X1433" s="4" t="s">
        <v>2308</v>
      </c>
      <c r="Y1433" s="4" t="s">
        <v>2308</v>
      </c>
      <c r="Z1433" s="4" t="s">
        <v>2308</v>
      </c>
      <c r="AA1433" s="4" t="s">
        <v>2308</v>
      </c>
      <c r="AB1433" s="4" t="s">
        <v>2308</v>
      </c>
      <c r="AC1433" s="4" t="s">
        <v>4328</v>
      </c>
      <c r="AD1433" s="5" t="s">
        <v>4329</v>
      </c>
    </row>
    <row r="1434" spans="1:30" ht="29">
      <c r="A1434" s="12" t="s">
        <v>4114</v>
      </c>
      <c r="B1434" s="12" t="s">
        <v>4343</v>
      </c>
      <c r="C1434" s="4" t="s">
        <v>2491</v>
      </c>
      <c r="D1434" s="4" t="s">
        <v>3027</v>
      </c>
      <c r="E1434" s="5" t="s">
        <v>1125</v>
      </c>
      <c r="F1434" s="5" t="s">
        <v>2308</v>
      </c>
      <c r="G1434" s="4" t="s">
        <v>2308</v>
      </c>
      <c r="H1434" s="4" t="s">
        <v>531</v>
      </c>
      <c r="I1434" s="4"/>
      <c r="J1434" s="4" t="s">
        <v>2308</v>
      </c>
      <c r="K1434" s="4" t="s">
        <v>2308</v>
      </c>
      <c r="L1434" s="4" t="s">
        <v>2308</v>
      </c>
      <c r="M1434" s="4" t="s">
        <v>2308</v>
      </c>
      <c r="N1434" s="4" t="s">
        <v>2308</v>
      </c>
      <c r="O1434" s="4" t="s">
        <v>2308</v>
      </c>
      <c r="P1434" s="4" t="s">
        <v>2308</v>
      </c>
      <c r="Q1434" s="4" t="s">
        <v>2308</v>
      </c>
      <c r="R1434" s="4" t="s">
        <v>2308</v>
      </c>
      <c r="S1434" s="4" t="s">
        <v>2308</v>
      </c>
      <c r="T1434" s="4" t="s">
        <v>2308</v>
      </c>
      <c r="U1434" s="4" t="s">
        <v>2308</v>
      </c>
      <c r="V1434" s="4" t="s">
        <v>2308</v>
      </c>
      <c r="W1434" s="4" t="s">
        <v>2308</v>
      </c>
      <c r="X1434" s="4" t="s">
        <v>2308</v>
      </c>
      <c r="Y1434" s="4" t="s">
        <v>2308</v>
      </c>
      <c r="Z1434" s="4" t="s">
        <v>2308</v>
      </c>
      <c r="AA1434" s="4" t="s">
        <v>2308</v>
      </c>
      <c r="AB1434" s="4" t="s">
        <v>2308</v>
      </c>
      <c r="AC1434" s="4" t="s">
        <v>2308</v>
      </c>
      <c r="AD1434" s="5" t="s">
        <v>4329</v>
      </c>
    </row>
    <row r="1435" spans="1:30" ht="29">
      <c r="A1435" s="12" t="s">
        <v>4114</v>
      </c>
      <c r="B1435" s="12" t="s">
        <v>4344</v>
      </c>
      <c r="C1435" s="4" t="s">
        <v>31</v>
      </c>
      <c r="D1435" s="4" t="s">
        <v>30</v>
      </c>
      <c r="E1435" s="4" t="s">
        <v>1125</v>
      </c>
      <c r="F1435" s="5" t="s">
        <v>2308</v>
      </c>
      <c r="G1435" s="4" t="s">
        <v>2308</v>
      </c>
      <c r="H1435" s="4" t="s">
        <v>531</v>
      </c>
      <c r="I1435" s="4"/>
      <c r="J1435" s="4" t="s">
        <v>2308</v>
      </c>
      <c r="K1435" s="4" t="s">
        <v>2308</v>
      </c>
      <c r="L1435" s="4" t="s">
        <v>2308</v>
      </c>
      <c r="M1435" s="4" t="s">
        <v>2308</v>
      </c>
      <c r="N1435" s="4" t="s">
        <v>2308</v>
      </c>
      <c r="O1435" s="4" t="s">
        <v>2308</v>
      </c>
      <c r="P1435" s="4" t="s">
        <v>2308</v>
      </c>
      <c r="Q1435" s="4" t="s">
        <v>2308</v>
      </c>
      <c r="R1435" s="4" t="s">
        <v>2308</v>
      </c>
      <c r="S1435" s="4" t="s">
        <v>2308</v>
      </c>
      <c r="T1435" s="4" t="s">
        <v>2308</v>
      </c>
      <c r="U1435" s="4" t="s">
        <v>2308</v>
      </c>
      <c r="V1435" s="4" t="s">
        <v>2308</v>
      </c>
      <c r="W1435" s="4" t="s">
        <v>2308</v>
      </c>
      <c r="X1435" s="4" t="s">
        <v>2308</v>
      </c>
      <c r="Y1435" s="4" t="s">
        <v>2308</v>
      </c>
      <c r="Z1435" s="4" t="s">
        <v>2308</v>
      </c>
      <c r="AA1435" s="4" t="s">
        <v>2308</v>
      </c>
      <c r="AB1435" s="4" t="s">
        <v>2308</v>
      </c>
      <c r="AC1435" s="5" t="s">
        <v>4325</v>
      </c>
      <c r="AD1435" s="5" t="s">
        <v>4329</v>
      </c>
    </row>
    <row r="1436" spans="1:30" ht="29">
      <c r="A1436" s="12" t="s">
        <v>4114</v>
      </c>
      <c r="B1436" s="12" t="s">
        <v>4345</v>
      </c>
      <c r="C1436" s="4" t="s">
        <v>31</v>
      </c>
      <c r="D1436" s="4" t="s">
        <v>30</v>
      </c>
      <c r="E1436" s="4" t="s">
        <v>2685</v>
      </c>
      <c r="F1436" s="5" t="s">
        <v>2308</v>
      </c>
      <c r="G1436" s="4" t="s">
        <v>2308</v>
      </c>
      <c r="H1436" s="4" t="s">
        <v>531</v>
      </c>
      <c r="I1436" s="4"/>
      <c r="J1436" s="4" t="s">
        <v>2308</v>
      </c>
      <c r="K1436" s="4" t="s">
        <v>2308</v>
      </c>
      <c r="L1436" s="4" t="s">
        <v>2308</v>
      </c>
      <c r="M1436" s="4" t="s">
        <v>2308</v>
      </c>
      <c r="N1436" s="4" t="s">
        <v>2308</v>
      </c>
      <c r="O1436" s="4" t="s">
        <v>2308</v>
      </c>
      <c r="P1436" s="4" t="s">
        <v>2308</v>
      </c>
      <c r="Q1436" s="4" t="s">
        <v>2308</v>
      </c>
      <c r="R1436" s="4" t="s">
        <v>2308</v>
      </c>
      <c r="S1436" s="4" t="s">
        <v>2308</v>
      </c>
      <c r="T1436" s="4" t="s">
        <v>2308</v>
      </c>
      <c r="U1436" s="4" t="s">
        <v>2308</v>
      </c>
      <c r="V1436" s="4" t="s">
        <v>2308</v>
      </c>
      <c r="W1436" s="4" t="s">
        <v>2308</v>
      </c>
      <c r="X1436" s="4" t="s">
        <v>2308</v>
      </c>
      <c r="Y1436" s="4" t="s">
        <v>2308</v>
      </c>
      <c r="Z1436" s="4" t="s">
        <v>2308</v>
      </c>
      <c r="AA1436" s="4" t="s">
        <v>2308</v>
      </c>
      <c r="AB1436" s="4" t="s">
        <v>2308</v>
      </c>
      <c r="AC1436" s="5" t="s">
        <v>4324</v>
      </c>
      <c r="AD1436" s="5" t="s">
        <v>4329</v>
      </c>
    </row>
    <row r="1437" spans="1:30" ht="29">
      <c r="A1437" s="12" t="s">
        <v>4114</v>
      </c>
      <c r="B1437" s="12" t="s">
        <v>4346</v>
      </c>
      <c r="C1437" s="4" t="s">
        <v>24</v>
      </c>
      <c r="D1437" s="4" t="s">
        <v>2263</v>
      </c>
      <c r="E1437" s="5" t="s">
        <v>3903</v>
      </c>
      <c r="F1437" s="5" t="s">
        <v>2308</v>
      </c>
      <c r="G1437" s="4" t="s">
        <v>2308</v>
      </c>
      <c r="H1437" s="4" t="s">
        <v>531</v>
      </c>
      <c r="I1437" s="4"/>
      <c r="J1437" s="4" t="s">
        <v>2308</v>
      </c>
      <c r="K1437" s="4" t="s">
        <v>2308</v>
      </c>
      <c r="L1437" s="4" t="s">
        <v>2308</v>
      </c>
      <c r="M1437" s="4" t="s">
        <v>2308</v>
      </c>
      <c r="N1437" s="4" t="s">
        <v>2308</v>
      </c>
      <c r="O1437" s="4" t="s">
        <v>2308</v>
      </c>
      <c r="P1437" s="4" t="s">
        <v>2308</v>
      </c>
      <c r="Q1437" s="4" t="s">
        <v>2308</v>
      </c>
      <c r="R1437" s="4" t="s">
        <v>2308</v>
      </c>
      <c r="S1437" s="4" t="s">
        <v>2308</v>
      </c>
      <c r="T1437" s="4" t="s">
        <v>2308</v>
      </c>
      <c r="U1437" s="4" t="s">
        <v>2308</v>
      </c>
      <c r="V1437" s="4" t="s">
        <v>2308</v>
      </c>
      <c r="W1437" s="4" t="s">
        <v>2308</v>
      </c>
      <c r="X1437" s="4" t="s">
        <v>2308</v>
      </c>
      <c r="Y1437" s="4" t="s">
        <v>2308</v>
      </c>
      <c r="Z1437" s="4" t="s">
        <v>2308</v>
      </c>
      <c r="AA1437" s="4" t="s">
        <v>2308</v>
      </c>
      <c r="AB1437" s="4" t="s">
        <v>2308</v>
      </c>
      <c r="AC1437" s="4" t="s">
        <v>4326</v>
      </c>
      <c r="AD1437" s="5" t="s">
        <v>4329</v>
      </c>
    </row>
    <row r="1438" spans="1:30" ht="29">
      <c r="A1438" s="12" t="s">
        <v>4114</v>
      </c>
      <c r="B1438" s="12" t="s">
        <v>4347</v>
      </c>
      <c r="C1438" s="4" t="s">
        <v>24</v>
      </c>
      <c r="D1438" s="4" t="s">
        <v>2692</v>
      </c>
      <c r="E1438" s="5" t="s">
        <v>3903</v>
      </c>
      <c r="F1438" s="5" t="s">
        <v>2308</v>
      </c>
      <c r="G1438" s="4" t="s">
        <v>2308</v>
      </c>
      <c r="H1438" s="4" t="s">
        <v>531</v>
      </c>
      <c r="I1438" s="4"/>
      <c r="J1438" s="4" t="s">
        <v>2308</v>
      </c>
      <c r="K1438" s="4" t="s">
        <v>2308</v>
      </c>
      <c r="L1438" s="4" t="s">
        <v>2308</v>
      </c>
      <c r="M1438" s="4" t="s">
        <v>2308</v>
      </c>
      <c r="N1438" s="4" t="s">
        <v>2308</v>
      </c>
      <c r="O1438" s="4" t="s">
        <v>2308</v>
      </c>
      <c r="P1438" s="4" t="s">
        <v>2308</v>
      </c>
      <c r="Q1438" s="4" t="s">
        <v>2308</v>
      </c>
      <c r="R1438" s="4" t="s">
        <v>2308</v>
      </c>
      <c r="S1438" s="4" t="s">
        <v>2308</v>
      </c>
      <c r="T1438" s="4" t="s">
        <v>2308</v>
      </c>
      <c r="U1438" s="4" t="s">
        <v>2308</v>
      </c>
      <c r="V1438" s="4" t="s">
        <v>2308</v>
      </c>
      <c r="W1438" s="4" t="s">
        <v>2308</v>
      </c>
      <c r="X1438" s="4" t="s">
        <v>2308</v>
      </c>
      <c r="Y1438" s="4" t="s">
        <v>2308</v>
      </c>
      <c r="Z1438" s="4" t="s">
        <v>2308</v>
      </c>
      <c r="AA1438" s="4" t="s">
        <v>2308</v>
      </c>
      <c r="AB1438" s="4" t="s">
        <v>2308</v>
      </c>
      <c r="AC1438" s="4" t="s">
        <v>4327</v>
      </c>
      <c r="AD1438" s="5" t="s">
        <v>4329</v>
      </c>
    </row>
    <row r="1439" spans="1:30" ht="43.5">
      <c r="A1439" s="12" t="s">
        <v>4114</v>
      </c>
      <c r="B1439" s="12" t="s">
        <v>4348</v>
      </c>
      <c r="C1439" s="4" t="s">
        <v>24</v>
      </c>
      <c r="D1439" s="4" t="s">
        <v>2378</v>
      </c>
      <c r="E1439" s="5" t="s">
        <v>2308</v>
      </c>
      <c r="F1439" s="5" t="s">
        <v>2308</v>
      </c>
      <c r="G1439" s="4" t="s">
        <v>2308</v>
      </c>
      <c r="H1439" s="4" t="s">
        <v>531</v>
      </c>
      <c r="I1439" s="4"/>
      <c r="J1439" s="4" t="s">
        <v>2308</v>
      </c>
      <c r="K1439" s="4" t="s">
        <v>2308</v>
      </c>
      <c r="L1439" s="4" t="s">
        <v>2308</v>
      </c>
      <c r="M1439" s="4" t="s">
        <v>2308</v>
      </c>
      <c r="N1439" s="4" t="s">
        <v>2308</v>
      </c>
      <c r="O1439" s="4" t="s">
        <v>2308</v>
      </c>
      <c r="P1439" s="4" t="s">
        <v>2308</v>
      </c>
      <c r="Q1439" s="4" t="s">
        <v>2308</v>
      </c>
      <c r="R1439" s="4" t="s">
        <v>2308</v>
      </c>
      <c r="S1439" s="4" t="s">
        <v>2308</v>
      </c>
      <c r="T1439" s="4" t="s">
        <v>2308</v>
      </c>
      <c r="U1439" s="4" t="s">
        <v>2308</v>
      </c>
      <c r="V1439" s="4" t="s">
        <v>2308</v>
      </c>
      <c r="W1439" s="4" t="s">
        <v>2308</v>
      </c>
      <c r="X1439" s="4" t="s">
        <v>2308</v>
      </c>
      <c r="Y1439" s="4" t="s">
        <v>2308</v>
      </c>
      <c r="Z1439" s="4" t="s">
        <v>2308</v>
      </c>
      <c r="AA1439" s="4" t="s">
        <v>2308</v>
      </c>
      <c r="AB1439" s="4" t="s">
        <v>2308</v>
      </c>
      <c r="AC1439" s="178" t="s">
        <v>4330</v>
      </c>
      <c r="AD1439" s="5" t="s">
        <v>4329</v>
      </c>
    </row>
    <row r="1440" spans="1:30" ht="48.5" customHeight="1">
      <c r="A1440" s="12" t="s">
        <v>4306</v>
      </c>
      <c r="B1440" s="12" t="s">
        <v>4322</v>
      </c>
      <c r="C1440" s="4" t="s">
        <v>24</v>
      </c>
      <c r="D1440" s="4" t="s">
        <v>2308</v>
      </c>
      <c r="E1440" s="4" t="s">
        <v>2308</v>
      </c>
      <c r="F1440" s="5" t="s">
        <v>2308</v>
      </c>
      <c r="G1440" s="4" t="s">
        <v>74</v>
      </c>
      <c r="H1440" s="4" t="s">
        <v>531</v>
      </c>
      <c r="I1440" s="4"/>
      <c r="J1440" s="77">
        <f>0.5295*182/25/'Record info'!K$703</f>
        <v>6.6645228215767641E-2</v>
      </c>
      <c r="K1440" s="9" t="s">
        <v>2308</v>
      </c>
      <c r="L1440" s="9" t="s">
        <v>2308</v>
      </c>
      <c r="M1440" s="9" t="s">
        <v>2308</v>
      </c>
      <c r="N1440" s="9" t="s">
        <v>2308</v>
      </c>
      <c r="O1440" s="9" t="s">
        <v>2308</v>
      </c>
      <c r="P1440" s="9" t="s">
        <v>2308</v>
      </c>
      <c r="Q1440" s="9" t="s">
        <v>2308</v>
      </c>
      <c r="R1440" s="9" t="s">
        <v>2308</v>
      </c>
      <c r="S1440" s="9" t="s">
        <v>2308</v>
      </c>
      <c r="T1440" s="77">
        <f>286/25*0.5295</f>
        <v>6.0574799999999991</v>
      </c>
      <c r="U1440" s="9" t="s">
        <v>2308</v>
      </c>
      <c r="V1440" s="77">
        <f>3.06/25*0.5295</f>
        <v>6.4810800000000002E-2</v>
      </c>
      <c r="W1440" s="4" t="s">
        <v>2308</v>
      </c>
      <c r="X1440" s="4" t="s">
        <v>2308</v>
      </c>
      <c r="Y1440" s="4" t="s">
        <v>2308</v>
      </c>
      <c r="Z1440" s="4" t="s">
        <v>2308</v>
      </c>
      <c r="AA1440" s="4" t="s">
        <v>2308</v>
      </c>
      <c r="AB1440" s="4" t="s">
        <v>2308</v>
      </c>
      <c r="AC1440" s="5" t="s">
        <v>4352</v>
      </c>
      <c r="AD1440" s="5" t="s">
        <v>4353</v>
      </c>
    </row>
    <row r="1441" spans="1:30" ht="48.5" customHeight="1">
      <c r="A1441" s="12" t="s">
        <v>4306</v>
      </c>
      <c r="B1441" s="12" t="s">
        <v>4349</v>
      </c>
      <c r="C1441" s="4" t="s">
        <v>2689</v>
      </c>
      <c r="D1441" s="4" t="s">
        <v>2308</v>
      </c>
      <c r="E1441" s="4" t="s">
        <v>2308</v>
      </c>
      <c r="F1441" s="5" t="s">
        <v>2308</v>
      </c>
      <c r="G1441" s="4" t="s">
        <v>74</v>
      </c>
      <c r="H1441" s="4" t="s">
        <v>531</v>
      </c>
      <c r="I1441" s="4"/>
      <c r="J1441" s="77">
        <f>0.0074*182/25/'Record info'!K$703</f>
        <v>9.3139695712309825E-4</v>
      </c>
      <c r="K1441" s="9" t="s">
        <v>2308</v>
      </c>
      <c r="L1441" s="9" t="s">
        <v>2308</v>
      </c>
      <c r="M1441" s="9" t="s">
        <v>2308</v>
      </c>
      <c r="N1441" s="9" t="s">
        <v>2308</v>
      </c>
      <c r="O1441" s="9" t="s">
        <v>2308</v>
      </c>
      <c r="P1441" s="9" t="s">
        <v>2308</v>
      </c>
      <c r="Q1441" s="9" t="s">
        <v>2308</v>
      </c>
      <c r="R1441" s="9" t="s">
        <v>2308</v>
      </c>
      <c r="S1441" s="9" t="s">
        <v>2308</v>
      </c>
      <c r="T1441" s="77">
        <f>286/25*0.0074</f>
        <v>8.4655999999999995E-2</v>
      </c>
      <c r="U1441" s="9" t="s">
        <v>2308</v>
      </c>
      <c r="V1441" s="77">
        <f>3.06/25*0.0074</f>
        <v>9.0576000000000014E-4</v>
      </c>
      <c r="W1441" s="4" t="s">
        <v>2308</v>
      </c>
      <c r="X1441" s="4" t="s">
        <v>2308</v>
      </c>
      <c r="Y1441" s="4" t="s">
        <v>2308</v>
      </c>
      <c r="Z1441" s="4" t="s">
        <v>2308</v>
      </c>
      <c r="AA1441" s="4" t="s">
        <v>2308</v>
      </c>
      <c r="AB1441" s="4" t="s">
        <v>2308</v>
      </c>
      <c r="AC1441" s="5" t="s">
        <v>4352</v>
      </c>
      <c r="AD1441" s="5" t="s">
        <v>4353</v>
      </c>
    </row>
    <row r="1442" spans="1:30" ht="48.5" customHeight="1">
      <c r="A1442" s="12" t="s">
        <v>4306</v>
      </c>
      <c r="B1442" s="12" t="s">
        <v>4350</v>
      </c>
      <c r="C1442" s="4" t="s">
        <v>2491</v>
      </c>
      <c r="D1442" s="4" t="s">
        <v>2308</v>
      </c>
      <c r="E1442" s="4" t="s">
        <v>2308</v>
      </c>
      <c r="F1442" s="5" t="s">
        <v>2308</v>
      </c>
      <c r="G1442" s="4" t="s">
        <v>74</v>
      </c>
      <c r="H1442" s="4" t="s">
        <v>531</v>
      </c>
      <c r="I1442" s="4"/>
      <c r="J1442" s="77">
        <f>0.4179*182/25/'Record info'!K$703</f>
        <v>5.2598755186721989E-2</v>
      </c>
      <c r="K1442" s="9" t="s">
        <v>2308</v>
      </c>
      <c r="L1442" s="9" t="s">
        <v>2308</v>
      </c>
      <c r="M1442" s="9" t="s">
        <v>2308</v>
      </c>
      <c r="N1442" s="9" t="s">
        <v>2308</v>
      </c>
      <c r="O1442" s="9" t="s">
        <v>2308</v>
      </c>
      <c r="P1442" s="9" t="s">
        <v>2308</v>
      </c>
      <c r="Q1442" s="9" t="s">
        <v>2308</v>
      </c>
      <c r="R1442" s="9" t="s">
        <v>2308</v>
      </c>
      <c r="S1442" s="9" t="s">
        <v>2308</v>
      </c>
      <c r="T1442" s="77">
        <f>286/25*0.4179</f>
        <v>4.7807759999999995</v>
      </c>
      <c r="U1442" s="9" t="s">
        <v>2308</v>
      </c>
      <c r="V1442" s="77">
        <f>3.06/25*0.4179</f>
        <v>5.1150960000000002E-2</v>
      </c>
      <c r="W1442" s="4" t="s">
        <v>2308</v>
      </c>
      <c r="X1442" s="4" t="s">
        <v>2308</v>
      </c>
      <c r="Y1442" s="4" t="s">
        <v>2308</v>
      </c>
      <c r="Z1442" s="4" t="s">
        <v>2308</v>
      </c>
      <c r="AA1442" s="4" t="s">
        <v>2308</v>
      </c>
      <c r="AB1442" s="4" t="s">
        <v>2308</v>
      </c>
      <c r="AC1442" s="5" t="s">
        <v>4352</v>
      </c>
      <c r="AD1442" s="5" t="s">
        <v>4353</v>
      </c>
    </row>
    <row r="1443" spans="1:30" ht="48.5" customHeight="1">
      <c r="A1443" s="12" t="s">
        <v>4306</v>
      </c>
      <c r="B1443" s="12" t="s">
        <v>4351</v>
      </c>
      <c r="C1443" s="4" t="s">
        <v>31</v>
      </c>
      <c r="D1443" s="4" t="s">
        <v>30</v>
      </c>
      <c r="E1443" s="4" t="s">
        <v>2308</v>
      </c>
      <c r="F1443" s="5" t="s">
        <v>2308</v>
      </c>
      <c r="G1443" s="4" t="s">
        <v>74</v>
      </c>
      <c r="H1443" s="4" t="s">
        <v>531</v>
      </c>
      <c r="I1443" s="4"/>
      <c r="J1443" s="77">
        <f>0.0447*182/25/'Record info'!K$703</f>
        <v>5.6261410788381724E-3</v>
      </c>
      <c r="K1443" s="9" t="s">
        <v>2308</v>
      </c>
      <c r="L1443" s="9" t="s">
        <v>2308</v>
      </c>
      <c r="M1443" s="9" t="s">
        <v>2308</v>
      </c>
      <c r="N1443" s="9" t="s">
        <v>2308</v>
      </c>
      <c r="O1443" s="9" t="s">
        <v>2308</v>
      </c>
      <c r="P1443" s="9" t="s">
        <v>2308</v>
      </c>
      <c r="Q1443" s="9" t="s">
        <v>2308</v>
      </c>
      <c r="R1443" s="9" t="s">
        <v>2308</v>
      </c>
      <c r="S1443" s="9" t="s">
        <v>2308</v>
      </c>
      <c r="T1443" s="77">
        <f>286/25*0.0447</f>
        <v>0.51136799999999993</v>
      </c>
      <c r="U1443" s="9" t="s">
        <v>2308</v>
      </c>
      <c r="V1443" s="77">
        <f>3.06/25*0.0447</f>
        <v>5.4712800000000002E-3</v>
      </c>
      <c r="W1443" s="4" t="s">
        <v>2308</v>
      </c>
      <c r="X1443" s="4" t="s">
        <v>2308</v>
      </c>
      <c r="Y1443" s="4" t="s">
        <v>2308</v>
      </c>
      <c r="Z1443" s="4" t="s">
        <v>2308</v>
      </c>
      <c r="AA1443" s="4" t="s">
        <v>2308</v>
      </c>
      <c r="AB1443" s="4" t="s">
        <v>2308</v>
      </c>
      <c r="AC1443" s="5" t="s">
        <v>4352</v>
      </c>
      <c r="AD1443" s="5" t="s">
        <v>4353</v>
      </c>
    </row>
    <row r="1444" spans="1:30" ht="29">
      <c r="A1444" s="12" t="s">
        <v>4307</v>
      </c>
      <c r="B1444" s="12" t="s">
        <v>4354</v>
      </c>
      <c r="C1444" s="4" t="s">
        <v>24</v>
      </c>
      <c r="D1444" s="4" t="s">
        <v>2308</v>
      </c>
      <c r="E1444" s="4" t="s">
        <v>2308</v>
      </c>
      <c r="F1444" s="5" t="s">
        <v>2308</v>
      </c>
      <c r="G1444" s="4" t="s">
        <v>74</v>
      </c>
      <c r="H1444" s="4" t="s">
        <v>531</v>
      </c>
      <c r="I1444" s="4"/>
      <c r="J1444" s="77">
        <f>0.5295*78/25/'Record info'!K$704</f>
        <v>2.9100581292936405E-2</v>
      </c>
      <c r="K1444" s="9" t="s">
        <v>2308</v>
      </c>
      <c r="L1444" s="9" t="s">
        <v>2308</v>
      </c>
      <c r="M1444" s="9" t="s">
        <v>2308</v>
      </c>
      <c r="N1444" s="9" t="s">
        <v>2308</v>
      </c>
      <c r="O1444" s="9" t="s">
        <v>2308</v>
      </c>
      <c r="P1444" s="9" t="s">
        <v>2308</v>
      </c>
      <c r="Q1444" s="9" t="s">
        <v>2308</v>
      </c>
      <c r="R1444" s="9" t="s">
        <v>2308</v>
      </c>
      <c r="S1444" s="9" t="s">
        <v>2308</v>
      </c>
      <c r="T1444" s="77">
        <f>143/25*0.5295</f>
        <v>3.0287399999999995</v>
      </c>
      <c r="U1444" s="9" t="s">
        <v>2308</v>
      </c>
      <c r="V1444" s="77">
        <f>2.13/25*0.5295</f>
        <v>4.5113399999999998E-2</v>
      </c>
      <c r="W1444" s="4" t="s">
        <v>2308</v>
      </c>
      <c r="X1444" s="4" t="s">
        <v>2308</v>
      </c>
      <c r="Y1444" s="4" t="s">
        <v>2308</v>
      </c>
      <c r="Z1444" s="4" t="s">
        <v>2308</v>
      </c>
      <c r="AA1444" s="4" t="s">
        <v>2308</v>
      </c>
      <c r="AB1444" s="4" t="s">
        <v>2308</v>
      </c>
      <c r="AC1444" s="5" t="s">
        <v>4352</v>
      </c>
      <c r="AD1444" s="5" t="s">
        <v>4353</v>
      </c>
    </row>
    <row r="1445" spans="1:30" ht="29">
      <c r="A1445" s="12" t="s">
        <v>4307</v>
      </c>
      <c r="B1445" s="12" t="s">
        <v>4355</v>
      </c>
      <c r="C1445" s="4" t="s">
        <v>2689</v>
      </c>
      <c r="D1445" s="4" t="s">
        <v>2308</v>
      </c>
      <c r="E1445" s="4" t="s">
        <v>2308</v>
      </c>
      <c r="F1445" s="5" t="s">
        <v>2308</v>
      </c>
      <c r="G1445" s="4" t="s">
        <v>74</v>
      </c>
      <c r="H1445" s="4" t="s">
        <v>531</v>
      </c>
      <c r="I1445" s="4"/>
      <c r="J1445" s="77">
        <f>0.0074*78/25/'Record info'!K$704</f>
        <v>4.0669367623744936E-4</v>
      </c>
      <c r="K1445" s="9" t="s">
        <v>2308</v>
      </c>
      <c r="L1445" s="9" t="s">
        <v>2308</v>
      </c>
      <c r="M1445" s="9" t="s">
        <v>2308</v>
      </c>
      <c r="N1445" s="9" t="s">
        <v>2308</v>
      </c>
      <c r="O1445" s="9" t="s">
        <v>2308</v>
      </c>
      <c r="P1445" s="9" t="s">
        <v>2308</v>
      </c>
      <c r="Q1445" s="9" t="s">
        <v>2308</v>
      </c>
      <c r="R1445" s="9" t="s">
        <v>2308</v>
      </c>
      <c r="S1445" s="9" t="s">
        <v>2308</v>
      </c>
      <c r="T1445" s="77">
        <f>143/25*0.0074</f>
        <v>4.2327999999999998E-2</v>
      </c>
      <c r="U1445" s="9" t="s">
        <v>2308</v>
      </c>
      <c r="V1445" s="77">
        <f>2.13/25*0.0074</f>
        <v>6.3047999999999999E-4</v>
      </c>
      <c r="W1445" s="4" t="s">
        <v>2308</v>
      </c>
      <c r="X1445" s="4" t="s">
        <v>2308</v>
      </c>
      <c r="Y1445" s="4" t="s">
        <v>2308</v>
      </c>
      <c r="Z1445" s="4" t="s">
        <v>2308</v>
      </c>
      <c r="AA1445" s="4" t="s">
        <v>2308</v>
      </c>
      <c r="AB1445" s="4" t="s">
        <v>2308</v>
      </c>
      <c r="AC1445" s="5" t="s">
        <v>4352</v>
      </c>
      <c r="AD1445" s="5" t="s">
        <v>4353</v>
      </c>
    </row>
    <row r="1446" spans="1:30" ht="29">
      <c r="A1446" s="12" t="s">
        <v>4307</v>
      </c>
      <c r="B1446" s="12" t="s">
        <v>4356</v>
      </c>
      <c r="C1446" s="4" t="s">
        <v>2491</v>
      </c>
      <c r="D1446" s="4" t="s">
        <v>2308</v>
      </c>
      <c r="E1446" s="4" t="s">
        <v>2308</v>
      </c>
      <c r="F1446" s="5" t="s">
        <v>2308</v>
      </c>
      <c r="G1446" s="4" t="s">
        <v>74</v>
      </c>
      <c r="H1446" s="4" t="s">
        <v>531</v>
      </c>
      <c r="I1446" s="4"/>
      <c r="J1446" s="77">
        <f>0.4179*78/25/'Record info'!K$704</f>
        <v>2.2967200986436495E-2</v>
      </c>
      <c r="K1446" s="9" t="s">
        <v>2308</v>
      </c>
      <c r="L1446" s="9" t="s">
        <v>2308</v>
      </c>
      <c r="M1446" s="9" t="s">
        <v>2308</v>
      </c>
      <c r="N1446" s="9" t="s">
        <v>2308</v>
      </c>
      <c r="O1446" s="9" t="s">
        <v>2308</v>
      </c>
      <c r="P1446" s="9" t="s">
        <v>2308</v>
      </c>
      <c r="Q1446" s="9" t="s">
        <v>2308</v>
      </c>
      <c r="R1446" s="9" t="s">
        <v>2308</v>
      </c>
      <c r="S1446" s="9" t="s">
        <v>2308</v>
      </c>
      <c r="T1446" s="77">
        <f>143/25*0.4179</f>
        <v>2.3903879999999997</v>
      </c>
      <c r="U1446" s="9" t="s">
        <v>2308</v>
      </c>
      <c r="V1446" s="77">
        <f>2.13/25*0.4179</f>
        <v>3.5605079999999997E-2</v>
      </c>
      <c r="W1446" s="4" t="s">
        <v>2308</v>
      </c>
      <c r="X1446" s="4" t="s">
        <v>2308</v>
      </c>
      <c r="Y1446" s="4" t="s">
        <v>2308</v>
      </c>
      <c r="Z1446" s="4" t="s">
        <v>2308</v>
      </c>
      <c r="AA1446" s="4" t="s">
        <v>2308</v>
      </c>
      <c r="AB1446" s="4" t="s">
        <v>2308</v>
      </c>
      <c r="AC1446" s="5" t="s">
        <v>4352</v>
      </c>
      <c r="AD1446" s="5" t="s">
        <v>4353</v>
      </c>
    </row>
    <row r="1447" spans="1:30" ht="29">
      <c r="A1447" s="12" t="s">
        <v>4307</v>
      </c>
      <c r="B1447" s="12" t="s">
        <v>4357</v>
      </c>
      <c r="C1447" s="4" t="s">
        <v>31</v>
      </c>
      <c r="D1447" s="4" t="s">
        <v>30</v>
      </c>
      <c r="E1447" s="4" t="s">
        <v>2308</v>
      </c>
      <c r="F1447" s="5" t="s">
        <v>2308</v>
      </c>
      <c r="G1447" s="4" t="s">
        <v>74</v>
      </c>
      <c r="H1447" s="4" t="s">
        <v>531</v>
      </c>
      <c r="I1447" s="4"/>
      <c r="J1447" s="77">
        <f>0.0447*78/25/'Record info'!K$704</f>
        <v>2.4566496388937812E-3</v>
      </c>
      <c r="K1447" s="9" t="s">
        <v>2308</v>
      </c>
      <c r="L1447" s="9" t="s">
        <v>2308</v>
      </c>
      <c r="M1447" s="9" t="s">
        <v>2308</v>
      </c>
      <c r="N1447" s="9" t="s">
        <v>2308</v>
      </c>
      <c r="O1447" s="9" t="s">
        <v>2308</v>
      </c>
      <c r="P1447" s="9" t="s">
        <v>2308</v>
      </c>
      <c r="Q1447" s="9" t="s">
        <v>2308</v>
      </c>
      <c r="R1447" s="9" t="s">
        <v>2308</v>
      </c>
      <c r="S1447" s="9" t="s">
        <v>2308</v>
      </c>
      <c r="T1447" s="77">
        <f>143/25*0.0447</f>
        <v>0.25568399999999997</v>
      </c>
      <c r="U1447" s="9" t="s">
        <v>2308</v>
      </c>
      <c r="V1447" s="77">
        <f>2.13/25*0.0447</f>
        <v>3.8084399999999997E-3</v>
      </c>
      <c r="W1447" s="4" t="s">
        <v>2308</v>
      </c>
      <c r="X1447" s="4" t="s">
        <v>2308</v>
      </c>
      <c r="Y1447" s="4" t="s">
        <v>2308</v>
      </c>
      <c r="Z1447" s="4" t="s">
        <v>2308</v>
      </c>
      <c r="AA1447" s="4" t="s">
        <v>2308</v>
      </c>
      <c r="AB1447" s="4" t="s">
        <v>2308</v>
      </c>
      <c r="AC1447" s="5" t="s">
        <v>4352</v>
      </c>
      <c r="AD1447" s="5" t="s">
        <v>4353</v>
      </c>
    </row>
    <row r="1448" spans="1:30" ht="29">
      <c r="A1448" s="12" t="s">
        <v>4114</v>
      </c>
      <c r="B1448" s="12" t="s">
        <v>4358</v>
      </c>
      <c r="C1448" s="4" t="s">
        <v>24</v>
      </c>
      <c r="D1448" s="4" t="s">
        <v>2308</v>
      </c>
      <c r="E1448" s="4" t="s">
        <v>2308</v>
      </c>
      <c r="F1448" s="5" t="s">
        <v>2308</v>
      </c>
      <c r="G1448" s="4" t="s">
        <v>74</v>
      </c>
      <c r="H1448" s="4" t="s">
        <v>531</v>
      </c>
      <c r="I1448" s="4"/>
      <c r="J1448" s="77">
        <f>0.5295*208/25/'Record info'!K$705</f>
        <v>4.9499325842696625E-2</v>
      </c>
      <c r="K1448" s="9" t="s">
        <v>2308</v>
      </c>
      <c r="L1448" s="9" t="s">
        <v>2308</v>
      </c>
      <c r="M1448" s="9" t="s">
        <v>2308</v>
      </c>
      <c r="N1448" s="9" t="s">
        <v>2308</v>
      </c>
      <c r="O1448" s="9" t="s">
        <v>2308</v>
      </c>
      <c r="P1448" s="9" t="s">
        <v>2308</v>
      </c>
      <c r="Q1448" s="9" t="s">
        <v>2308</v>
      </c>
      <c r="R1448" s="9" t="s">
        <v>2308</v>
      </c>
      <c r="S1448" s="9" t="s">
        <v>2308</v>
      </c>
      <c r="T1448" s="77">
        <f>104/25*0.5295</f>
        <v>2.2027199999999998</v>
      </c>
      <c r="U1448" s="9" t="s">
        <v>2308</v>
      </c>
      <c r="V1448" s="77">
        <f>0.83/25*0.5295</f>
        <v>1.7579399999999998E-2</v>
      </c>
      <c r="W1448" s="4" t="s">
        <v>2308</v>
      </c>
      <c r="X1448" s="4" t="s">
        <v>2308</v>
      </c>
      <c r="Y1448" s="4" t="s">
        <v>2308</v>
      </c>
      <c r="Z1448" s="4" t="s">
        <v>2308</v>
      </c>
      <c r="AA1448" s="4" t="s">
        <v>2308</v>
      </c>
      <c r="AB1448" s="4" t="s">
        <v>2308</v>
      </c>
      <c r="AC1448" s="5" t="s">
        <v>4352</v>
      </c>
      <c r="AD1448" s="5" t="s">
        <v>4353</v>
      </c>
    </row>
    <row r="1449" spans="1:30" ht="29">
      <c r="A1449" s="12" t="s">
        <v>4114</v>
      </c>
      <c r="B1449" s="12" t="s">
        <v>4359</v>
      </c>
      <c r="C1449" s="4" t="s">
        <v>2689</v>
      </c>
      <c r="D1449" s="4" t="s">
        <v>2308</v>
      </c>
      <c r="E1449" s="4" t="s">
        <v>2308</v>
      </c>
      <c r="F1449" s="5" t="s">
        <v>2308</v>
      </c>
      <c r="G1449" s="4" t="s">
        <v>74</v>
      </c>
      <c r="H1449" s="4" t="s">
        <v>531</v>
      </c>
      <c r="I1449" s="4"/>
      <c r="J1449" s="77">
        <f>0.0074*208/25/'Record info'!K$705</f>
        <v>6.9177528089887648E-4</v>
      </c>
      <c r="K1449" s="9" t="s">
        <v>2308</v>
      </c>
      <c r="L1449" s="9" t="s">
        <v>2308</v>
      </c>
      <c r="M1449" s="9" t="s">
        <v>2308</v>
      </c>
      <c r="N1449" s="9" t="s">
        <v>2308</v>
      </c>
      <c r="O1449" s="9" t="s">
        <v>2308</v>
      </c>
      <c r="P1449" s="9" t="s">
        <v>2308</v>
      </c>
      <c r="Q1449" s="9" t="s">
        <v>2308</v>
      </c>
      <c r="R1449" s="9" t="s">
        <v>2308</v>
      </c>
      <c r="S1449" s="9" t="s">
        <v>2308</v>
      </c>
      <c r="T1449" s="77">
        <f>104/25*0.0074</f>
        <v>3.0784000000000002E-2</v>
      </c>
      <c r="U1449" s="9" t="s">
        <v>2308</v>
      </c>
      <c r="V1449" s="77">
        <f>0.83/25*0.0074</f>
        <v>2.4568000000000002E-4</v>
      </c>
      <c r="W1449" s="4" t="s">
        <v>2308</v>
      </c>
      <c r="X1449" s="4" t="s">
        <v>2308</v>
      </c>
      <c r="Y1449" s="4" t="s">
        <v>2308</v>
      </c>
      <c r="Z1449" s="4" t="s">
        <v>2308</v>
      </c>
      <c r="AA1449" s="4" t="s">
        <v>2308</v>
      </c>
      <c r="AB1449" s="4" t="s">
        <v>2308</v>
      </c>
      <c r="AC1449" s="5" t="s">
        <v>4352</v>
      </c>
      <c r="AD1449" s="5" t="s">
        <v>4353</v>
      </c>
    </row>
    <row r="1450" spans="1:30" ht="29">
      <c r="A1450" s="12" t="s">
        <v>4114</v>
      </c>
      <c r="B1450" s="12" t="s">
        <v>4360</v>
      </c>
      <c r="C1450" s="4" t="s">
        <v>2491</v>
      </c>
      <c r="D1450" s="4" t="s">
        <v>2308</v>
      </c>
      <c r="E1450" s="4" t="s">
        <v>2308</v>
      </c>
      <c r="F1450" s="5" t="s">
        <v>2308</v>
      </c>
      <c r="G1450" s="4" t="s">
        <v>74</v>
      </c>
      <c r="H1450" s="4" t="s">
        <v>531</v>
      </c>
      <c r="I1450" s="4"/>
      <c r="J1450" s="77">
        <f>0.4179*208/25/'Record info'!K$705</f>
        <v>3.9066606741573029E-2</v>
      </c>
      <c r="K1450" s="9" t="s">
        <v>2308</v>
      </c>
      <c r="L1450" s="9" t="s">
        <v>2308</v>
      </c>
      <c r="M1450" s="9" t="s">
        <v>2308</v>
      </c>
      <c r="N1450" s="9" t="s">
        <v>2308</v>
      </c>
      <c r="O1450" s="9" t="s">
        <v>2308</v>
      </c>
      <c r="P1450" s="9" t="s">
        <v>2308</v>
      </c>
      <c r="Q1450" s="9" t="s">
        <v>2308</v>
      </c>
      <c r="R1450" s="9" t="s">
        <v>2308</v>
      </c>
      <c r="S1450" s="9" t="s">
        <v>2308</v>
      </c>
      <c r="T1450" s="77">
        <f>104/25*0.4179</f>
        <v>1.738464</v>
      </c>
      <c r="U1450" s="9" t="s">
        <v>2308</v>
      </c>
      <c r="V1450" s="77">
        <f>0.83/25*0.4179</f>
        <v>1.3874279999999999E-2</v>
      </c>
      <c r="W1450" s="4" t="s">
        <v>2308</v>
      </c>
      <c r="X1450" s="4" t="s">
        <v>2308</v>
      </c>
      <c r="Y1450" s="4" t="s">
        <v>2308</v>
      </c>
      <c r="Z1450" s="4" t="s">
        <v>2308</v>
      </c>
      <c r="AA1450" s="4" t="s">
        <v>2308</v>
      </c>
      <c r="AB1450" s="4" t="s">
        <v>2308</v>
      </c>
      <c r="AC1450" s="5" t="s">
        <v>4352</v>
      </c>
      <c r="AD1450" s="5" t="s">
        <v>4353</v>
      </c>
    </row>
    <row r="1451" spans="1:30" ht="29">
      <c r="A1451" s="12" t="s">
        <v>4114</v>
      </c>
      <c r="B1451" s="12" t="s">
        <v>4361</v>
      </c>
      <c r="C1451" s="4" t="s">
        <v>31</v>
      </c>
      <c r="D1451" s="4" t="s">
        <v>30</v>
      </c>
      <c r="E1451" s="4" t="s">
        <v>2308</v>
      </c>
      <c r="F1451" s="5" t="s">
        <v>2308</v>
      </c>
      <c r="G1451" s="4" t="s">
        <v>74</v>
      </c>
      <c r="H1451" s="4" t="s">
        <v>531</v>
      </c>
      <c r="I1451" s="4"/>
      <c r="J1451" s="77">
        <f>0.0447*208/25/'Record info'!K$705</f>
        <v>4.1786966292134825E-3</v>
      </c>
      <c r="K1451" s="9" t="s">
        <v>2308</v>
      </c>
      <c r="L1451" s="9" t="s">
        <v>2308</v>
      </c>
      <c r="M1451" s="9" t="s">
        <v>2308</v>
      </c>
      <c r="N1451" s="9" t="s">
        <v>2308</v>
      </c>
      <c r="O1451" s="9" t="s">
        <v>2308</v>
      </c>
      <c r="P1451" s="9" t="s">
        <v>2308</v>
      </c>
      <c r="Q1451" s="9" t="s">
        <v>2308</v>
      </c>
      <c r="R1451" s="9" t="s">
        <v>2308</v>
      </c>
      <c r="S1451" s="9" t="s">
        <v>2308</v>
      </c>
      <c r="T1451" s="77">
        <f>104/25*0.0447</f>
        <v>0.18595200000000001</v>
      </c>
      <c r="U1451" s="9" t="s">
        <v>2308</v>
      </c>
      <c r="V1451" s="77">
        <f>0.83/25*0.0447</f>
        <v>1.4840399999999998E-3</v>
      </c>
      <c r="W1451" s="4" t="s">
        <v>2308</v>
      </c>
      <c r="X1451" s="4" t="s">
        <v>2308</v>
      </c>
      <c r="Y1451" s="4" t="s">
        <v>2308</v>
      </c>
      <c r="Z1451" s="4" t="s">
        <v>2308</v>
      </c>
      <c r="AA1451" s="4" t="s">
        <v>2308</v>
      </c>
      <c r="AB1451" s="4" t="s">
        <v>2308</v>
      </c>
      <c r="AC1451" s="5" t="s">
        <v>4352</v>
      </c>
      <c r="AD1451" s="5" t="s">
        <v>4353</v>
      </c>
    </row>
    <row r="1452" spans="1:30" ht="33" customHeight="1">
      <c r="A1452" s="12" t="s">
        <v>4411</v>
      </c>
      <c r="B1452" s="12" t="s">
        <v>4414</v>
      </c>
      <c r="C1452" s="4" t="s">
        <v>24</v>
      </c>
      <c r="D1452" s="4" t="s">
        <v>27</v>
      </c>
      <c r="E1452" s="4" t="s">
        <v>136</v>
      </c>
      <c r="F1452" s="5" t="s">
        <v>2308</v>
      </c>
      <c r="G1452" s="4" t="s">
        <v>2308</v>
      </c>
      <c r="H1452" s="4" t="s">
        <v>531</v>
      </c>
      <c r="I1452" s="4"/>
      <c r="J1452" s="23" t="s">
        <v>2308</v>
      </c>
      <c r="K1452" s="23" t="s">
        <v>2308</v>
      </c>
      <c r="L1452" s="23" t="s">
        <v>2308</v>
      </c>
      <c r="M1452" s="23" t="s">
        <v>2308</v>
      </c>
      <c r="N1452" s="23" t="s">
        <v>2308</v>
      </c>
      <c r="O1452" s="23" t="s">
        <v>2308</v>
      </c>
      <c r="P1452" s="23" t="s">
        <v>2308</v>
      </c>
      <c r="Q1452" s="23" t="s">
        <v>2308</v>
      </c>
      <c r="R1452" s="23" t="s">
        <v>2308</v>
      </c>
      <c r="S1452" s="23" t="s">
        <v>2308</v>
      </c>
      <c r="T1452" s="23" t="s">
        <v>2308</v>
      </c>
      <c r="U1452" s="23" t="s">
        <v>2308</v>
      </c>
      <c r="V1452" s="23" t="s">
        <v>2308</v>
      </c>
      <c r="W1452" s="23" t="s">
        <v>2308</v>
      </c>
      <c r="X1452" s="23" t="s">
        <v>2308</v>
      </c>
      <c r="Y1452" s="23" t="s">
        <v>2308</v>
      </c>
      <c r="Z1452" s="23" t="s">
        <v>2308</v>
      </c>
      <c r="AA1452" s="23" t="s">
        <v>2308</v>
      </c>
      <c r="AB1452" s="23" t="s">
        <v>2308</v>
      </c>
      <c r="AC1452" s="5"/>
      <c r="AD1452" s="4"/>
    </row>
    <row r="1453" spans="1:30" ht="29" customHeight="1">
      <c r="A1453" s="12" t="s">
        <v>4411</v>
      </c>
      <c r="B1453" s="12" t="s">
        <v>4415</v>
      </c>
      <c r="C1453" s="4" t="s">
        <v>24</v>
      </c>
      <c r="D1453" s="4" t="s">
        <v>25</v>
      </c>
      <c r="E1453" s="4" t="s">
        <v>5065</v>
      </c>
      <c r="F1453" s="5" t="s">
        <v>2308</v>
      </c>
      <c r="G1453" s="4" t="s">
        <v>2308</v>
      </c>
      <c r="H1453" s="4" t="s">
        <v>531</v>
      </c>
      <c r="I1453" s="4"/>
      <c r="J1453" s="23" t="s">
        <v>2308</v>
      </c>
      <c r="K1453" s="23" t="s">
        <v>2308</v>
      </c>
      <c r="L1453" s="23" t="s">
        <v>2308</v>
      </c>
      <c r="M1453" s="23" t="s">
        <v>2308</v>
      </c>
      <c r="N1453" s="23" t="s">
        <v>2308</v>
      </c>
      <c r="O1453" s="23" t="s">
        <v>2308</v>
      </c>
      <c r="P1453" s="23" t="s">
        <v>2308</v>
      </c>
      <c r="Q1453" s="23" t="s">
        <v>2308</v>
      </c>
      <c r="R1453" s="23" t="s">
        <v>2308</v>
      </c>
      <c r="S1453" s="23" t="s">
        <v>2308</v>
      </c>
      <c r="T1453" s="23" t="s">
        <v>2308</v>
      </c>
      <c r="U1453" s="23" t="s">
        <v>2308</v>
      </c>
      <c r="V1453" s="23" t="s">
        <v>2308</v>
      </c>
      <c r="W1453" s="23" t="s">
        <v>2308</v>
      </c>
      <c r="X1453" s="23" t="s">
        <v>2308</v>
      </c>
      <c r="Y1453" s="23" t="s">
        <v>2308</v>
      </c>
      <c r="Z1453" s="23" t="s">
        <v>2308</v>
      </c>
      <c r="AA1453" s="23" t="s">
        <v>2308</v>
      </c>
      <c r="AB1453" s="23" t="s">
        <v>2308</v>
      </c>
      <c r="AC1453" s="4"/>
      <c r="AD1453" s="4"/>
    </row>
    <row r="1454" spans="1:30" ht="36.5" customHeight="1">
      <c r="A1454" s="12" t="s">
        <v>4411</v>
      </c>
      <c r="B1454" s="12" t="s">
        <v>4416</v>
      </c>
      <c r="C1454" s="4" t="s">
        <v>24</v>
      </c>
      <c r="D1454" s="4" t="s">
        <v>25</v>
      </c>
      <c r="E1454" s="4" t="s">
        <v>45</v>
      </c>
      <c r="F1454" s="5" t="s">
        <v>2308</v>
      </c>
      <c r="G1454" s="4" t="s">
        <v>2308</v>
      </c>
      <c r="H1454" s="4" t="s">
        <v>531</v>
      </c>
      <c r="I1454" s="4"/>
      <c r="J1454" s="23" t="s">
        <v>2308</v>
      </c>
      <c r="K1454" s="23" t="s">
        <v>2308</v>
      </c>
      <c r="L1454" s="23" t="s">
        <v>2308</v>
      </c>
      <c r="M1454" s="23" t="s">
        <v>2308</v>
      </c>
      <c r="N1454" s="23" t="s">
        <v>2308</v>
      </c>
      <c r="O1454" s="23" t="s">
        <v>2308</v>
      </c>
      <c r="P1454" s="23" t="s">
        <v>2308</v>
      </c>
      <c r="Q1454" s="23" t="s">
        <v>2308</v>
      </c>
      <c r="R1454" s="23" t="s">
        <v>2308</v>
      </c>
      <c r="S1454" s="23" t="s">
        <v>2308</v>
      </c>
      <c r="T1454" s="23" t="s">
        <v>2308</v>
      </c>
      <c r="U1454" s="23" t="s">
        <v>2308</v>
      </c>
      <c r="V1454" s="23" t="s">
        <v>2308</v>
      </c>
      <c r="W1454" s="23" t="s">
        <v>2308</v>
      </c>
      <c r="X1454" s="23" t="s">
        <v>2308</v>
      </c>
      <c r="Y1454" s="23" t="s">
        <v>2308</v>
      </c>
      <c r="Z1454" s="23" t="s">
        <v>2308</v>
      </c>
      <c r="AA1454" s="23" t="s">
        <v>2308</v>
      </c>
      <c r="AB1454" s="23" t="s">
        <v>2308</v>
      </c>
      <c r="AC1454" s="4"/>
      <c r="AD1454" s="4"/>
    </row>
    <row r="1455" spans="1:30" ht="34.5" customHeight="1">
      <c r="A1455" s="12" t="s">
        <v>4413</v>
      </c>
      <c r="B1455" s="12" t="s">
        <v>4417</v>
      </c>
      <c r="C1455" s="4" t="s">
        <v>24</v>
      </c>
      <c r="D1455" s="4" t="s">
        <v>1264</v>
      </c>
      <c r="E1455" s="4" t="s">
        <v>143</v>
      </c>
      <c r="F1455" s="5" t="s">
        <v>74</v>
      </c>
      <c r="G1455" s="4" t="s">
        <v>2308</v>
      </c>
      <c r="H1455" s="4" t="s">
        <v>532</v>
      </c>
      <c r="I1455" s="4"/>
      <c r="J1455" s="22">
        <v>0</v>
      </c>
      <c r="K1455" s="22">
        <v>0</v>
      </c>
      <c r="L1455" s="22">
        <v>0</v>
      </c>
      <c r="M1455" s="22">
        <v>0</v>
      </c>
      <c r="N1455" s="22">
        <v>0</v>
      </c>
      <c r="O1455" s="22">
        <v>0</v>
      </c>
      <c r="P1455" s="22">
        <v>0</v>
      </c>
      <c r="Q1455" s="22">
        <v>0</v>
      </c>
      <c r="R1455" s="22">
        <v>0</v>
      </c>
      <c r="S1455" s="22">
        <v>0</v>
      </c>
      <c r="T1455" s="22">
        <v>0</v>
      </c>
      <c r="U1455" s="22">
        <v>0</v>
      </c>
      <c r="V1455" s="22">
        <v>0</v>
      </c>
      <c r="W1455" s="22">
        <v>0</v>
      </c>
      <c r="X1455" s="22">
        <v>0</v>
      </c>
      <c r="Y1455" s="23" t="s">
        <v>2308</v>
      </c>
      <c r="Z1455" s="23" t="s">
        <v>2308</v>
      </c>
      <c r="AA1455" s="23" t="s">
        <v>2308</v>
      </c>
      <c r="AB1455" s="23" t="s">
        <v>2308</v>
      </c>
      <c r="AC1455" s="4" t="s">
        <v>4426</v>
      </c>
      <c r="AD1455" s="4"/>
    </row>
    <row r="1456" spans="1:30" ht="34.5" customHeight="1">
      <c r="A1456" s="12" t="s">
        <v>4413</v>
      </c>
      <c r="B1456" s="12" t="s">
        <v>4418</v>
      </c>
      <c r="C1456" s="4" t="s">
        <v>24</v>
      </c>
      <c r="D1456" s="4" t="s">
        <v>25</v>
      </c>
      <c r="E1456" s="4" t="s">
        <v>45</v>
      </c>
      <c r="F1456" s="5" t="s">
        <v>74</v>
      </c>
      <c r="G1456" s="4" t="s">
        <v>2308</v>
      </c>
      <c r="H1456" s="4" t="s">
        <v>531</v>
      </c>
      <c r="I1456" s="4"/>
      <c r="J1456" s="23" t="s">
        <v>2308</v>
      </c>
      <c r="K1456" s="23" t="s">
        <v>2308</v>
      </c>
      <c r="L1456" s="23" t="s">
        <v>2308</v>
      </c>
      <c r="M1456" s="23" t="s">
        <v>2308</v>
      </c>
      <c r="N1456" s="23" t="s">
        <v>2308</v>
      </c>
      <c r="O1456" s="23" t="s">
        <v>2308</v>
      </c>
      <c r="P1456" s="23" t="s">
        <v>2308</v>
      </c>
      <c r="Q1456" s="23" t="s">
        <v>2308</v>
      </c>
      <c r="R1456" s="23" t="s">
        <v>2308</v>
      </c>
      <c r="S1456" s="23" t="s">
        <v>2308</v>
      </c>
      <c r="T1456" s="23" t="s">
        <v>2308</v>
      </c>
      <c r="U1456" s="23" t="s">
        <v>2308</v>
      </c>
      <c r="V1456" s="23" t="s">
        <v>2308</v>
      </c>
      <c r="W1456" s="23" t="s">
        <v>2308</v>
      </c>
      <c r="X1456" s="23" t="s">
        <v>2308</v>
      </c>
      <c r="Y1456" s="23" t="s">
        <v>2308</v>
      </c>
      <c r="Z1456" s="23" t="s">
        <v>2308</v>
      </c>
      <c r="AA1456" s="23" t="s">
        <v>2308</v>
      </c>
      <c r="AB1456" s="23" t="s">
        <v>2308</v>
      </c>
      <c r="AC1456" s="4" t="s">
        <v>4421</v>
      </c>
      <c r="AD1456" s="4"/>
    </row>
    <row r="1457" spans="1:30" ht="34.5" customHeight="1">
      <c r="A1457" s="12" t="s">
        <v>4413</v>
      </c>
      <c r="B1457" s="12" t="s">
        <v>4419</v>
      </c>
      <c r="C1457" s="4" t="s">
        <v>24</v>
      </c>
      <c r="D1457" s="4" t="s">
        <v>25</v>
      </c>
      <c r="E1457" s="4" t="s">
        <v>45</v>
      </c>
      <c r="F1457" s="5" t="s">
        <v>55</v>
      </c>
      <c r="G1457" s="4" t="s">
        <v>2308</v>
      </c>
      <c r="H1457" s="4" t="s">
        <v>531</v>
      </c>
      <c r="I1457" s="4"/>
      <c r="J1457" s="23" t="s">
        <v>2308</v>
      </c>
      <c r="K1457" s="23" t="s">
        <v>2308</v>
      </c>
      <c r="L1457" s="23" t="s">
        <v>2308</v>
      </c>
      <c r="M1457" s="23" t="s">
        <v>2308</v>
      </c>
      <c r="N1457" s="23" t="s">
        <v>2308</v>
      </c>
      <c r="O1457" s="23" t="s">
        <v>2308</v>
      </c>
      <c r="P1457" s="23" t="s">
        <v>2308</v>
      </c>
      <c r="Q1457" s="23" t="s">
        <v>2308</v>
      </c>
      <c r="R1457" s="23" t="s">
        <v>2308</v>
      </c>
      <c r="S1457" s="23" t="s">
        <v>2308</v>
      </c>
      <c r="T1457" s="23" t="s">
        <v>2308</v>
      </c>
      <c r="U1457" s="23" t="s">
        <v>2308</v>
      </c>
      <c r="V1457" s="23" t="s">
        <v>2308</v>
      </c>
      <c r="W1457" s="23" t="s">
        <v>2308</v>
      </c>
      <c r="X1457" s="23" t="s">
        <v>2308</v>
      </c>
      <c r="Y1457" s="23" t="s">
        <v>2308</v>
      </c>
      <c r="Z1457" s="23" t="s">
        <v>2308</v>
      </c>
      <c r="AA1457" s="23" t="s">
        <v>2308</v>
      </c>
      <c r="AB1457" s="23" t="s">
        <v>2308</v>
      </c>
      <c r="AC1457" s="4"/>
      <c r="AD1457" s="4"/>
    </row>
    <row r="1458" spans="1:30" ht="40" customHeight="1">
      <c r="A1458" s="12" t="s">
        <v>4413</v>
      </c>
      <c r="B1458" s="12" t="s">
        <v>4420</v>
      </c>
      <c r="C1458" s="4" t="s">
        <v>24</v>
      </c>
      <c r="D1458" s="4" t="s">
        <v>2378</v>
      </c>
      <c r="E1458" s="4" t="s">
        <v>45</v>
      </c>
      <c r="F1458" s="5" t="s">
        <v>2308</v>
      </c>
      <c r="G1458" s="4" t="s">
        <v>2308</v>
      </c>
      <c r="H1458" s="4" t="s">
        <v>531</v>
      </c>
      <c r="I1458" s="4"/>
      <c r="J1458" s="23" t="s">
        <v>2308</v>
      </c>
      <c r="K1458" s="23" t="s">
        <v>2308</v>
      </c>
      <c r="L1458" s="23" t="s">
        <v>2308</v>
      </c>
      <c r="M1458" s="23" t="s">
        <v>2308</v>
      </c>
      <c r="N1458" s="23" t="s">
        <v>2308</v>
      </c>
      <c r="O1458" s="23" t="s">
        <v>2308</v>
      </c>
      <c r="P1458" s="23" t="s">
        <v>2308</v>
      </c>
      <c r="Q1458" s="23" t="s">
        <v>2308</v>
      </c>
      <c r="R1458" s="23" t="s">
        <v>2308</v>
      </c>
      <c r="S1458" s="23" t="s">
        <v>2308</v>
      </c>
      <c r="T1458" s="23" t="s">
        <v>2308</v>
      </c>
      <c r="U1458" s="23" t="s">
        <v>2308</v>
      </c>
      <c r="V1458" s="23" t="s">
        <v>2308</v>
      </c>
      <c r="W1458" s="23" t="s">
        <v>2308</v>
      </c>
      <c r="X1458" s="23" t="s">
        <v>2308</v>
      </c>
      <c r="Y1458" s="23" t="s">
        <v>2308</v>
      </c>
      <c r="Z1458" s="23" t="s">
        <v>2308</v>
      </c>
      <c r="AA1458" s="23" t="s">
        <v>2308</v>
      </c>
      <c r="AB1458" s="23" t="s">
        <v>2308</v>
      </c>
      <c r="AC1458" s="4"/>
      <c r="AD1458" s="4"/>
    </row>
    <row r="1459" spans="1:30" ht="39" customHeight="1">
      <c r="A1459" s="12" t="s">
        <v>4413</v>
      </c>
      <c r="B1459" s="12" t="s">
        <v>4422</v>
      </c>
      <c r="C1459" s="4" t="s">
        <v>2689</v>
      </c>
      <c r="D1459" s="4" t="s">
        <v>2308</v>
      </c>
      <c r="E1459" s="4" t="s">
        <v>2308</v>
      </c>
      <c r="F1459" s="5" t="s">
        <v>2308</v>
      </c>
      <c r="G1459" s="4" t="s">
        <v>2308</v>
      </c>
      <c r="H1459" s="4" t="s">
        <v>531</v>
      </c>
      <c r="I1459" s="4"/>
      <c r="J1459" s="23" t="s">
        <v>2308</v>
      </c>
      <c r="K1459" s="23" t="s">
        <v>2308</v>
      </c>
      <c r="L1459" s="23" t="s">
        <v>2308</v>
      </c>
      <c r="M1459" s="23" t="s">
        <v>2308</v>
      </c>
      <c r="N1459" s="23" t="s">
        <v>2308</v>
      </c>
      <c r="O1459" s="23" t="s">
        <v>2308</v>
      </c>
      <c r="P1459" s="23" t="s">
        <v>2308</v>
      </c>
      <c r="Q1459" s="23" t="s">
        <v>2308</v>
      </c>
      <c r="R1459" s="23" t="s">
        <v>2308</v>
      </c>
      <c r="S1459" s="23" t="s">
        <v>2308</v>
      </c>
      <c r="T1459" s="23" t="s">
        <v>2308</v>
      </c>
      <c r="U1459" s="23" t="s">
        <v>2308</v>
      </c>
      <c r="V1459" s="23" t="s">
        <v>2308</v>
      </c>
      <c r="W1459" s="23" t="s">
        <v>2308</v>
      </c>
      <c r="X1459" s="23" t="s">
        <v>2308</v>
      </c>
      <c r="Y1459" s="23" t="s">
        <v>2308</v>
      </c>
      <c r="Z1459" s="23" t="s">
        <v>2308</v>
      </c>
      <c r="AA1459" s="23" t="s">
        <v>2308</v>
      </c>
      <c r="AB1459" s="23" t="s">
        <v>2308</v>
      </c>
      <c r="AC1459" s="4"/>
      <c r="AD1459" s="4"/>
    </row>
    <row r="1460" spans="1:30" ht="64.5" customHeight="1">
      <c r="A1460" s="12" t="s">
        <v>4413</v>
      </c>
      <c r="B1460" s="12" t="s">
        <v>4423</v>
      </c>
      <c r="C1460" s="4" t="s">
        <v>2691</v>
      </c>
      <c r="D1460" s="4" t="s">
        <v>2308</v>
      </c>
      <c r="E1460" s="4" t="s">
        <v>2308</v>
      </c>
      <c r="F1460" s="5" t="s">
        <v>2308</v>
      </c>
      <c r="G1460" s="4" t="s">
        <v>74</v>
      </c>
      <c r="H1460" s="4" t="s">
        <v>531</v>
      </c>
      <c r="I1460" s="4"/>
      <c r="J1460" s="23" t="s">
        <v>2308</v>
      </c>
      <c r="K1460" s="23" t="s">
        <v>2308</v>
      </c>
      <c r="L1460" s="23" t="s">
        <v>2308</v>
      </c>
      <c r="M1460" s="23" t="s">
        <v>2308</v>
      </c>
      <c r="N1460" s="23" t="s">
        <v>2308</v>
      </c>
      <c r="O1460" s="23" t="s">
        <v>2308</v>
      </c>
      <c r="P1460" s="23" t="s">
        <v>2308</v>
      </c>
      <c r="Q1460" s="23" t="s">
        <v>2308</v>
      </c>
      <c r="R1460" s="23" t="s">
        <v>2308</v>
      </c>
      <c r="S1460" s="23" t="s">
        <v>2308</v>
      </c>
      <c r="T1460" s="22">
        <f>3840-1390</f>
        <v>2450</v>
      </c>
      <c r="U1460" s="23" t="s">
        <v>2308</v>
      </c>
      <c r="V1460" s="23" t="s">
        <v>2308</v>
      </c>
      <c r="W1460" s="23" t="s">
        <v>2308</v>
      </c>
      <c r="X1460" s="23" t="s">
        <v>2308</v>
      </c>
      <c r="Y1460" s="23" t="s">
        <v>2308</v>
      </c>
      <c r="Z1460" s="23" t="s">
        <v>2308</v>
      </c>
      <c r="AA1460" s="23" t="s">
        <v>2308</v>
      </c>
      <c r="AB1460" s="23" t="s">
        <v>2308</v>
      </c>
      <c r="AC1460" s="4"/>
      <c r="AD1460" s="4"/>
    </row>
    <row r="1461" spans="1:30" ht="67" customHeight="1">
      <c r="A1461" s="12" t="s">
        <v>4413</v>
      </c>
      <c r="B1461" s="12" t="s">
        <v>4427</v>
      </c>
      <c r="C1461" s="4" t="s">
        <v>2491</v>
      </c>
      <c r="D1461" s="4" t="s">
        <v>25</v>
      </c>
      <c r="E1461" s="4" t="s">
        <v>84</v>
      </c>
      <c r="F1461" s="5" t="s">
        <v>2308</v>
      </c>
      <c r="G1461" s="4" t="s">
        <v>74</v>
      </c>
      <c r="H1461" s="4" t="s">
        <v>531</v>
      </c>
      <c r="I1461" s="4"/>
      <c r="J1461" s="23" t="s">
        <v>2308</v>
      </c>
      <c r="K1461" s="23" t="s">
        <v>2308</v>
      </c>
      <c r="L1461" s="23" t="s">
        <v>2308</v>
      </c>
      <c r="M1461" s="23" t="s">
        <v>2308</v>
      </c>
      <c r="N1461" s="23" t="s">
        <v>2308</v>
      </c>
      <c r="O1461" s="23" t="s">
        <v>2308</v>
      </c>
      <c r="P1461" s="23" t="s">
        <v>2308</v>
      </c>
      <c r="Q1461" s="23" t="s">
        <v>2308</v>
      </c>
      <c r="R1461" s="23" t="s">
        <v>2308</v>
      </c>
      <c r="S1461" s="23" t="s">
        <v>2308</v>
      </c>
      <c r="T1461" s="22">
        <v>1390</v>
      </c>
      <c r="U1461" s="23" t="s">
        <v>2308</v>
      </c>
      <c r="V1461" s="23" t="s">
        <v>2308</v>
      </c>
      <c r="W1461" s="23" t="s">
        <v>2308</v>
      </c>
      <c r="X1461" s="23" t="s">
        <v>2308</v>
      </c>
      <c r="Y1461" s="23" t="s">
        <v>2308</v>
      </c>
      <c r="Z1461" s="23" t="s">
        <v>2308</v>
      </c>
      <c r="AA1461" s="23" t="s">
        <v>2308</v>
      </c>
      <c r="AB1461" s="23" t="s">
        <v>2308</v>
      </c>
      <c r="AC1461" s="5" t="s">
        <v>4425</v>
      </c>
      <c r="AD1461" s="4"/>
    </row>
    <row r="1462" spans="1:30" ht="49" customHeight="1">
      <c r="A1462" s="12" t="s">
        <v>4438</v>
      </c>
      <c r="B1462" s="4" t="s">
        <v>4456</v>
      </c>
      <c r="C1462" s="4" t="s">
        <v>24</v>
      </c>
      <c r="D1462" s="4" t="s">
        <v>27</v>
      </c>
      <c r="E1462" s="4" t="s">
        <v>136</v>
      </c>
      <c r="F1462" s="5" t="s">
        <v>2308</v>
      </c>
      <c r="G1462" s="4" t="s">
        <v>74</v>
      </c>
      <c r="H1462" s="4" t="s">
        <v>531</v>
      </c>
      <c r="I1462" s="4"/>
      <c r="J1462" s="23" t="s">
        <v>2308</v>
      </c>
      <c r="K1462" s="23" t="s">
        <v>2308</v>
      </c>
      <c r="L1462" s="23" t="s">
        <v>2308</v>
      </c>
      <c r="M1462" s="23" t="s">
        <v>2308</v>
      </c>
      <c r="N1462" s="23" t="s">
        <v>2308</v>
      </c>
      <c r="O1462" s="23" t="s">
        <v>2308</v>
      </c>
      <c r="P1462" s="23" t="s">
        <v>2308</v>
      </c>
      <c r="Q1462" s="23" t="s">
        <v>2308</v>
      </c>
      <c r="R1462" s="23" t="s">
        <v>2308</v>
      </c>
      <c r="S1462" s="23" t="s">
        <v>2308</v>
      </c>
      <c r="T1462" s="23" t="s">
        <v>2308</v>
      </c>
      <c r="U1462" s="23" t="s">
        <v>2308</v>
      </c>
      <c r="V1462" s="23" t="s">
        <v>2308</v>
      </c>
      <c r="W1462" s="23" t="s">
        <v>2308</v>
      </c>
      <c r="X1462" s="23" t="s">
        <v>2308</v>
      </c>
      <c r="Y1462" s="23" t="s">
        <v>2308</v>
      </c>
      <c r="Z1462" s="4" t="s">
        <v>406</v>
      </c>
      <c r="AA1462" s="4" t="s">
        <v>38</v>
      </c>
      <c r="AB1462" s="4" t="s">
        <v>2688</v>
      </c>
      <c r="AC1462" s="4"/>
      <c r="AD1462" s="5" t="s">
        <v>4458</v>
      </c>
    </row>
    <row r="1463" spans="1:30" ht="45.5" customHeight="1">
      <c r="A1463" s="12" t="s">
        <v>4438</v>
      </c>
      <c r="B1463" s="4" t="s">
        <v>4464</v>
      </c>
      <c r="C1463" s="4" t="s">
        <v>24</v>
      </c>
      <c r="D1463" s="4" t="s">
        <v>27</v>
      </c>
      <c r="E1463" s="4" t="s">
        <v>136</v>
      </c>
      <c r="F1463" s="5" t="s">
        <v>2308</v>
      </c>
      <c r="G1463" s="5" t="s">
        <v>167</v>
      </c>
      <c r="H1463" s="4" t="s">
        <v>531</v>
      </c>
      <c r="I1463" s="4"/>
      <c r="J1463" s="23" t="s">
        <v>2308</v>
      </c>
      <c r="K1463" s="23" t="s">
        <v>2308</v>
      </c>
      <c r="L1463" s="23" t="s">
        <v>2308</v>
      </c>
      <c r="M1463" s="23" t="s">
        <v>2308</v>
      </c>
      <c r="N1463" s="23" t="s">
        <v>2308</v>
      </c>
      <c r="O1463" s="23" t="s">
        <v>2308</v>
      </c>
      <c r="P1463" s="23" t="s">
        <v>2308</v>
      </c>
      <c r="Q1463" s="23" t="s">
        <v>2308</v>
      </c>
      <c r="R1463" s="23" t="s">
        <v>2308</v>
      </c>
      <c r="S1463" s="23" t="s">
        <v>2308</v>
      </c>
      <c r="T1463" s="23" t="s">
        <v>2308</v>
      </c>
      <c r="U1463" s="23" t="s">
        <v>2308</v>
      </c>
      <c r="V1463" s="23" t="s">
        <v>2308</v>
      </c>
      <c r="W1463" s="23" t="s">
        <v>2308</v>
      </c>
      <c r="X1463" s="23" t="s">
        <v>2308</v>
      </c>
      <c r="Y1463" s="23" t="s">
        <v>2308</v>
      </c>
      <c r="Z1463" s="4" t="s">
        <v>406</v>
      </c>
      <c r="AA1463" s="4" t="s">
        <v>38</v>
      </c>
      <c r="AB1463" s="4" t="s">
        <v>2688</v>
      </c>
      <c r="AC1463" s="4"/>
      <c r="AD1463" s="5" t="s">
        <v>4458</v>
      </c>
    </row>
    <row r="1464" spans="1:30" ht="49.5" customHeight="1">
      <c r="A1464" s="12" t="s">
        <v>4440</v>
      </c>
      <c r="B1464" s="4" t="s">
        <v>4457</v>
      </c>
      <c r="C1464" s="4" t="s">
        <v>24</v>
      </c>
      <c r="D1464" s="4" t="s">
        <v>2263</v>
      </c>
      <c r="E1464" s="5" t="s">
        <v>404</v>
      </c>
      <c r="F1464" s="5" t="s">
        <v>2308</v>
      </c>
      <c r="G1464" s="4" t="s">
        <v>74</v>
      </c>
      <c r="H1464" s="4" t="s">
        <v>531</v>
      </c>
      <c r="I1464" s="4"/>
      <c r="J1464" s="23" t="s">
        <v>2308</v>
      </c>
      <c r="K1464" s="23" t="s">
        <v>2308</v>
      </c>
      <c r="L1464" s="23" t="s">
        <v>2308</v>
      </c>
      <c r="M1464" s="23" t="s">
        <v>2308</v>
      </c>
      <c r="N1464" s="23" t="s">
        <v>2308</v>
      </c>
      <c r="O1464" s="23" t="s">
        <v>2308</v>
      </c>
      <c r="P1464" s="23" t="s">
        <v>2308</v>
      </c>
      <c r="Q1464" s="23" t="s">
        <v>2308</v>
      </c>
      <c r="R1464" s="23" t="s">
        <v>2308</v>
      </c>
      <c r="S1464" s="23" t="s">
        <v>2308</v>
      </c>
      <c r="T1464" s="23" t="s">
        <v>2308</v>
      </c>
      <c r="U1464" s="23" t="s">
        <v>2308</v>
      </c>
      <c r="V1464" s="23" t="s">
        <v>2308</v>
      </c>
      <c r="W1464" s="23" t="s">
        <v>2308</v>
      </c>
      <c r="X1464" s="23" t="s">
        <v>2308</v>
      </c>
      <c r="Y1464" s="23" t="s">
        <v>2308</v>
      </c>
      <c r="Z1464" s="23" t="s">
        <v>2308</v>
      </c>
      <c r="AA1464" s="23" t="s">
        <v>2308</v>
      </c>
      <c r="AB1464" s="23" t="s">
        <v>2308</v>
      </c>
      <c r="AC1464" s="5" t="s">
        <v>4466</v>
      </c>
      <c r="AD1464" s="5" t="s">
        <v>4458</v>
      </c>
    </row>
    <row r="1465" spans="1:30" ht="43.5" customHeight="1">
      <c r="A1465" s="12" t="s">
        <v>4440</v>
      </c>
      <c r="B1465" s="4" t="s">
        <v>4465</v>
      </c>
      <c r="C1465" s="4" t="s">
        <v>24</v>
      </c>
      <c r="D1465" s="4" t="s">
        <v>2263</v>
      </c>
      <c r="E1465" s="5" t="s">
        <v>404</v>
      </c>
      <c r="F1465" s="5" t="s">
        <v>2308</v>
      </c>
      <c r="G1465" s="5" t="s">
        <v>2695</v>
      </c>
      <c r="H1465" s="4" t="s">
        <v>531</v>
      </c>
      <c r="I1465" s="4"/>
      <c r="J1465" s="23" t="s">
        <v>2308</v>
      </c>
      <c r="K1465" s="23" t="s">
        <v>2308</v>
      </c>
      <c r="L1465" s="23" t="s">
        <v>2308</v>
      </c>
      <c r="M1465" s="23" t="s">
        <v>2308</v>
      </c>
      <c r="N1465" s="23" t="s">
        <v>2308</v>
      </c>
      <c r="O1465" s="23" t="s">
        <v>2308</v>
      </c>
      <c r="P1465" s="23" t="s">
        <v>2308</v>
      </c>
      <c r="Q1465" s="23" t="s">
        <v>2308</v>
      </c>
      <c r="R1465" s="23" t="s">
        <v>2308</v>
      </c>
      <c r="S1465" s="23" t="s">
        <v>2308</v>
      </c>
      <c r="T1465" s="23" t="s">
        <v>2308</v>
      </c>
      <c r="U1465" s="23" t="s">
        <v>2308</v>
      </c>
      <c r="V1465" s="23" t="s">
        <v>2308</v>
      </c>
      <c r="W1465" s="23" t="s">
        <v>2308</v>
      </c>
      <c r="X1465" s="23" t="s">
        <v>2308</v>
      </c>
      <c r="Y1465" s="23" t="s">
        <v>2308</v>
      </c>
      <c r="Z1465" s="23" t="s">
        <v>2308</v>
      </c>
      <c r="AA1465" s="23" t="s">
        <v>2308</v>
      </c>
      <c r="AB1465" s="23" t="s">
        <v>2308</v>
      </c>
      <c r="AC1465" s="5" t="s">
        <v>4466</v>
      </c>
      <c r="AD1465" s="5" t="s">
        <v>4458</v>
      </c>
    </row>
    <row r="1466" spans="1:30" ht="48" customHeight="1">
      <c r="A1466" s="12" t="s">
        <v>4441</v>
      </c>
      <c r="B1466" s="4" t="s">
        <v>4467</v>
      </c>
      <c r="C1466" s="4" t="s">
        <v>24</v>
      </c>
      <c r="D1466" s="4" t="s">
        <v>2263</v>
      </c>
      <c r="E1466" s="5" t="s">
        <v>404</v>
      </c>
      <c r="F1466" s="5" t="s">
        <v>2308</v>
      </c>
      <c r="G1466" s="4" t="s">
        <v>74</v>
      </c>
      <c r="H1466" s="4" t="s">
        <v>531</v>
      </c>
      <c r="I1466" s="4"/>
      <c r="J1466" s="4" t="s">
        <v>2308</v>
      </c>
      <c r="K1466" s="4" t="s">
        <v>2308</v>
      </c>
      <c r="L1466" s="4" t="s">
        <v>2308</v>
      </c>
      <c r="M1466" s="4" t="s">
        <v>2308</v>
      </c>
      <c r="N1466" s="4" t="s">
        <v>2308</v>
      </c>
      <c r="O1466" s="4" t="s">
        <v>2308</v>
      </c>
      <c r="P1466" s="4" t="s">
        <v>2308</v>
      </c>
      <c r="Q1466" s="4" t="s">
        <v>2308</v>
      </c>
      <c r="R1466" s="4" t="s">
        <v>2308</v>
      </c>
      <c r="S1466" s="4" t="s">
        <v>2308</v>
      </c>
      <c r="T1466" s="4" t="s">
        <v>2308</v>
      </c>
      <c r="U1466" s="4" t="s">
        <v>2308</v>
      </c>
      <c r="V1466" s="4" t="s">
        <v>2308</v>
      </c>
      <c r="W1466" s="4" t="s">
        <v>2308</v>
      </c>
      <c r="X1466" s="4" t="s">
        <v>2308</v>
      </c>
      <c r="Y1466" s="4" t="s">
        <v>2308</v>
      </c>
      <c r="Z1466" s="23" t="s">
        <v>2308</v>
      </c>
      <c r="AA1466" s="23" t="s">
        <v>2308</v>
      </c>
      <c r="AB1466" s="23" t="s">
        <v>2308</v>
      </c>
      <c r="AC1466" s="5" t="s">
        <v>4466</v>
      </c>
      <c r="AD1466" s="5" t="s">
        <v>4458</v>
      </c>
    </row>
    <row r="1467" spans="1:30" ht="50.5" customHeight="1">
      <c r="A1467" s="12" t="s">
        <v>4441</v>
      </c>
      <c r="B1467" s="4" t="s">
        <v>4468</v>
      </c>
      <c r="C1467" s="4" t="s">
        <v>24</v>
      </c>
      <c r="D1467" s="4" t="s">
        <v>2263</v>
      </c>
      <c r="E1467" s="5" t="s">
        <v>404</v>
      </c>
      <c r="F1467" s="5" t="s">
        <v>2308</v>
      </c>
      <c r="G1467" s="5" t="s">
        <v>2695</v>
      </c>
      <c r="H1467" s="4" t="s">
        <v>531</v>
      </c>
      <c r="I1467" s="4"/>
      <c r="J1467" s="4" t="s">
        <v>2308</v>
      </c>
      <c r="K1467" s="4" t="s">
        <v>2308</v>
      </c>
      <c r="L1467" s="4" t="s">
        <v>2308</v>
      </c>
      <c r="M1467" s="4" t="s">
        <v>2308</v>
      </c>
      <c r="N1467" s="4" t="s">
        <v>2308</v>
      </c>
      <c r="O1467" s="4" t="s">
        <v>2308</v>
      </c>
      <c r="P1467" s="4" t="s">
        <v>2308</v>
      </c>
      <c r="Q1467" s="4" t="s">
        <v>2308</v>
      </c>
      <c r="R1467" s="4" t="s">
        <v>2308</v>
      </c>
      <c r="S1467" s="4" t="s">
        <v>2308</v>
      </c>
      <c r="T1467" s="4" t="s">
        <v>2308</v>
      </c>
      <c r="U1467" s="4" t="s">
        <v>2308</v>
      </c>
      <c r="V1467" s="4" t="s">
        <v>2308</v>
      </c>
      <c r="W1467" s="4" t="s">
        <v>2308</v>
      </c>
      <c r="X1467" s="4" t="s">
        <v>2308</v>
      </c>
      <c r="Y1467" s="4" t="s">
        <v>2308</v>
      </c>
      <c r="Z1467" s="23" t="s">
        <v>2308</v>
      </c>
      <c r="AA1467" s="23" t="s">
        <v>2308</v>
      </c>
      <c r="AB1467" s="23" t="s">
        <v>2308</v>
      </c>
      <c r="AC1467" s="5" t="s">
        <v>4466</v>
      </c>
      <c r="AD1467" s="5" t="s">
        <v>4458</v>
      </c>
    </row>
    <row r="1468" spans="1:30" ht="43.5" customHeight="1">
      <c r="A1468" s="12" t="s">
        <v>4442</v>
      </c>
      <c r="B1468" s="4" t="s">
        <v>4446</v>
      </c>
      <c r="C1468" s="4" t="s">
        <v>24</v>
      </c>
      <c r="D1468" s="4" t="s">
        <v>25</v>
      </c>
      <c r="E1468" s="4" t="s">
        <v>45</v>
      </c>
      <c r="F1468" s="5" t="s">
        <v>2695</v>
      </c>
      <c r="G1468" s="4" t="s">
        <v>2308</v>
      </c>
      <c r="H1468" s="4" t="s">
        <v>531</v>
      </c>
      <c r="I1468" s="4"/>
      <c r="J1468" s="4" t="s">
        <v>2308</v>
      </c>
      <c r="K1468" s="4" t="s">
        <v>2308</v>
      </c>
      <c r="L1468" s="4" t="s">
        <v>2308</v>
      </c>
      <c r="M1468" s="4" t="s">
        <v>2308</v>
      </c>
      <c r="N1468" s="4" t="s">
        <v>2308</v>
      </c>
      <c r="O1468" s="4" t="s">
        <v>2308</v>
      </c>
      <c r="P1468" s="4" t="s">
        <v>2308</v>
      </c>
      <c r="Q1468" s="4" t="s">
        <v>2308</v>
      </c>
      <c r="R1468" s="4" t="s">
        <v>2308</v>
      </c>
      <c r="S1468" s="4" t="s">
        <v>2308</v>
      </c>
      <c r="T1468" s="4" t="s">
        <v>2308</v>
      </c>
      <c r="U1468" s="4" t="s">
        <v>2308</v>
      </c>
      <c r="V1468" s="4" t="s">
        <v>2308</v>
      </c>
      <c r="W1468" s="4" t="s">
        <v>2308</v>
      </c>
      <c r="X1468" s="4" t="s">
        <v>2308</v>
      </c>
      <c r="Y1468" s="4" t="s">
        <v>2308</v>
      </c>
      <c r="Z1468" s="4" t="s">
        <v>35</v>
      </c>
      <c r="AA1468" s="4" t="s">
        <v>195</v>
      </c>
      <c r="AB1468" s="4" t="s">
        <v>64</v>
      </c>
      <c r="AC1468" s="5" t="s">
        <v>4455</v>
      </c>
      <c r="AD1468" s="5" t="s">
        <v>4458</v>
      </c>
    </row>
    <row r="1469" spans="1:30" ht="48" customHeight="1">
      <c r="A1469" s="12" t="s">
        <v>4442</v>
      </c>
      <c r="B1469" s="4" t="s">
        <v>4447</v>
      </c>
      <c r="C1469" s="4" t="s">
        <v>24</v>
      </c>
      <c r="D1469" s="4" t="s">
        <v>27</v>
      </c>
      <c r="E1469" s="4" t="s">
        <v>136</v>
      </c>
      <c r="F1469" s="5" t="s">
        <v>167</v>
      </c>
      <c r="G1469" s="4" t="s">
        <v>2308</v>
      </c>
      <c r="H1469" s="4" t="s">
        <v>531</v>
      </c>
      <c r="I1469" s="4"/>
      <c r="J1469" s="4" t="s">
        <v>2308</v>
      </c>
      <c r="K1469" s="4" t="s">
        <v>2308</v>
      </c>
      <c r="L1469" s="4" t="s">
        <v>2308</v>
      </c>
      <c r="M1469" s="4" t="s">
        <v>2308</v>
      </c>
      <c r="N1469" s="4" t="s">
        <v>2308</v>
      </c>
      <c r="O1469" s="4" t="s">
        <v>2308</v>
      </c>
      <c r="P1469" s="4" t="s">
        <v>2308</v>
      </c>
      <c r="Q1469" s="4" t="s">
        <v>2308</v>
      </c>
      <c r="R1469" s="4" t="s">
        <v>2308</v>
      </c>
      <c r="S1469" s="4" t="s">
        <v>2308</v>
      </c>
      <c r="T1469" s="4" t="s">
        <v>2308</v>
      </c>
      <c r="U1469" s="4" t="s">
        <v>2308</v>
      </c>
      <c r="V1469" s="4" t="s">
        <v>2308</v>
      </c>
      <c r="W1469" s="4" t="s">
        <v>2308</v>
      </c>
      <c r="X1469" s="4" t="s">
        <v>2308</v>
      </c>
      <c r="Y1469" s="4" t="s">
        <v>2308</v>
      </c>
      <c r="Z1469" s="4" t="s">
        <v>195</v>
      </c>
      <c r="AA1469" s="4" t="s">
        <v>86</v>
      </c>
      <c r="AB1469" s="4" t="s">
        <v>76</v>
      </c>
      <c r="AC1469" s="4"/>
      <c r="AD1469" s="5" t="s">
        <v>4458</v>
      </c>
    </row>
    <row r="1470" spans="1:30" ht="52.5" customHeight="1">
      <c r="A1470" s="12" t="s">
        <v>4442</v>
      </c>
      <c r="B1470" s="4" t="s">
        <v>4451</v>
      </c>
      <c r="C1470" s="4" t="s">
        <v>24</v>
      </c>
      <c r="D1470" s="4" t="s">
        <v>2263</v>
      </c>
      <c r="E1470" s="5" t="s">
        <v>403</v>
      </c>
      <c r="F1470" s="5" t="s">
        <v>74</v>
      </c>
      <c r="G1470" s="4" t="s">
        <v>2308</v>
      </c>
      <c r="H1470" s="4" t="s">
        <v>531</v>
      </c>
      <c r="I1470" s="4"/>
      <c r="J1470" s="4" t="s">
        <v>2308</v>
      </c>
      <c r="K1470" s="4" t="s">
        <v>2308</v>
      </c>
      <c r="L1470" s="4" t="s">
        <v>2308</v>
      </c>
      <c r="M1470" s="4" t="s">
        <v>2308</v>
      </c>
      <c r="N1470" s="4" t="s">
        <v>2308</v>
      </c>
      <c r="O1470" s="4" t="s">
        <v>2308</v>
      </c>
      <c r="P1470" s="4" t="s">
        <v>2308</v>
      </c>
      <c r="Q1470" s="4" t="s">
        <v>2308</v>
      </c>
      <c r="R1470" s="4" t="s">
        <v>2308</v>
      </c>
      <c r="S1470" s="4" t="s">
        <v>2308</v>
      </c>
      <c r="T1470" s="4" t="s">
        <v>2308</v>
      </c>
      <c r="U1470" s="4" t="s">
        <v>2308</v>
      </c>
      <c r="V1470" s="4" t="s">
        <v>2308</v>
      </c>
      <c r="W1470" s="4" t="s">
        <v>2308</v>
      </c>
      <c r="X1470" s="4" t="s">
        <v>2308</v>
      </c>
      <c r="Y1470" s="4" t="s">
        <v>2308</v>
      </c>
      <c r="Z1470" s="4" t="s">
        <v>195</v>
      </c>
      <c r="AA1470" s="4" t="s">
        <v>86</v>
      </c>
      <c r="AB1470" s="4" t="s">
        <v>76</v>
      </c>
      <c r="AC1470" s="5" t="s">
        <v>4455</v>
      </c>
      <c r="AD1470" s="5" t="s">
        <v>4458</v>
      </c>
    </row>
    <row r="1471" spans="1:30" ht="57" customHeight="1">
      <c r="A1471" s="12" t="s">
        <v>4443</v>
      </c>
      <c r="B1471" s="4" t="s">
        <v>4452</v>
      </c>
      <c r="C1471" s="4" t="s">
        <v>24</v>
      </c>
      <c r="D1471" s="4" t="s">
        <v>25</v>
      </c>
      <c r="E1471" s="4" t="s">
        <v>45</v>
      </c>
      <c r="F1471" s="5" t="s">
        <v>2695</v>
      </c>
      <c r="G1471" s="4" t="s">
        <v>2308</v>
      </c>
      <c r="H1471" s="4" t="s">
        <v>531</v>
      </c>
      <c r="I1471" s="4"/>
      <c r="J1471" s="4" t="s">
        <v>2308</v>
      </c>
      <c r="K1471" s="4" t="s">
        <v>2308</v>
      </c>
      <c r="L1471" s="4" t="s">
        <v>2308</v>
      </c>
      <c r="M1471" s="4" t="s">
        <v>2308</v>
      </c>
      <c r="N1471" s="4" t="s">
        <v>2308</v>
      </c>
      <c r="O1471" s="4" t="s">
        <v>2308</v>
      </c>
      <c r="P1471" s="4" t="s">
        <v>2308</v>
      </c>
      <c r="Q1471" s="4" t="s">
        <v>2308</v>
      </c>
      <c r="R1471" s="4" t="s">
        <v>2308</v>
      </c>
      <c r="S1471" s="4" t="s">
        <v>2308</v>
      </c>
      <c r="T1471" s="4" t="s">
        <v>2308</v>
      </c>
      <c r="U1471" s="4" t="s">
        <v>2308</v>
      </c>
      <c r="V1471" s="4" t="s">
        <v>2308</v>
      </c>
      <c r="W1471" s="4" t="s">
        <v>2308</v>
      </c>
      <c r="X1471" s="4" t="s">
        <v>2308</v>
      </c>
      <c r="Y1471" s="4" t="s">
        <v>2308</v>
      </c>
      <c r="Z1471" s="4" t="s">
        <v>35</v>
      </c>
      <c r="AA1471" s="4" t="s">
        <v>194</v>
      </c>
      <c r="AB1471" s="4" t="s">
        <v>64</v>
      </c>
      <c r="AC1471" s="5" t="s">
        <v>4455</v>
      </c>
      <c r="AD1471" s="5" t="s">
        <v>4458</v>
      </c>
    </row>
    <row r="1472" spans="1:30" ht="53.5" customHeight="1">
      <c r="A1472" s="12" t="s">
        <v>4443</v>
      </c>
      <c r="B1472" s="4" t="s">
        <v>4453</v>
      </c>
      <c r="C1472" s="4" t="s">
        <v>24</v>
      </c>
      <c r="D1472" s="4" t="s">
        <v>27</v>
      </c>
      <c r="E1472" s="4" t="s">
        <v>136</v>
      </c>
      <c r="F1472" s="5" t="s">
        <v>167</v>
      </c>
      <c r="G1472" s="4" t="s">
        <v>2308</v>
      </c>
      <c r="H1472" s="4" t="s">
        <v>531</v>
      </c>
      <c r="I1472" s="4"/>
      <c r="J1472" s="4" t="s">
        <v>2308</v>
      </c>
      <c r="K1472" s="4" t="s">
        <v>2308</v>
      </c>
      <c r="L1472" s="4" t="s">
        <v>2308</v>
      </c>
      <c r="M1472" s="4" t="s">
        <v>2308</v>
      </c>
      <c r="N1472" s="4" t="s">
        <v>2308</v>
      </c>
      <c r="O1472" s="4" t="s">
        <v>2308</v>
      </c>
      <c r="P1472" s="4" t="s">
        <v>2308</v>
      </c>
      <c r="Q1472" s="4" t="s">
        <v>2308</v>
      </c>
      <c r="R1472" s="4" t="s">
        <v>2308</v>
      </c>
      <c r="S1472" s="4" t="s">
        <v>2308</v>
      </c>
      <c r="T1472" s="4" t="s">
        <v>2308</v>
      </c>
      <c r="U1472" s="4" t="s">
        <v>2308</v>
      </c>
      <c r="V1472" s="4" t="s">
        <v>2308</v>
      </c>
      <c r="W1472" s="4" t="s">
        <v>2308</v>
      </c>
      <c r="X1472" s="4" t="s">
        <v>2308</v>
      </c>
      <c r="Y1472" s="4" t="s">
        <v>2308</v>
      </c>
      <c r="Z1472" s="4" t="s">
        <v>195</v>
      </c>
      <c r="AA1472" s="4" t="s">
        <v>38</v>
      </c>
      <c r="AB1472" s="4" t="s">
        <v>64</v>
      </c>
      <c r="AC1472" s="4"/>
      <c r="AD1472" s="5" t="s">
        <v>4458</v>
      </c>
    </row>
    <row r="1473" spans="1:30" ht="47" customHeight="1">
      <c r="A1473" s="12" t="s">
        <v>4444</v>
      </c>
      <c r="B1473" s="4" t="s">
        <v>4454</v>
      </c>
      <c r="C1473" s="4" t="s">
        <v>24</v>
      </c>
      <c r="D1473" s="4" t="s">
        <v>25</v>
      </c>
      <c r="E1473" s="4" t="s">
        <v>5065</v>
      </c>
      <c r="F1473" s="5" t="s">
        <v>2695</v>
      </c>
      <c r="G1473" s="4" t="s">
        <v>2308</v>
      </c>
      <c r="H1473" s="4" t="s">
        <v>531</v>
      </c>
      <c r="I1473" s="4"/>
      <c r="J1473" s="4" t="s">
        <v>2308</v>
      </c>
      <c r="K1473" s="4" t="s">
        <v>2308</v>
      </c>
      <c r="L1473" s="4" t="s">
        <v>2308</v>
      </c>
      <c r="M1473" s="4" t="s">
        <v>2308</v>
      </c>
      <c r="N1473" s="4" t="s">
        <v>2308</v>
      </c>
      <c r="O1473" s="4" t="s">
        <v>2308</v>
      </c>
      <c r="P1473" s="4" t="s">
        <v>2308</v>
      </c>
      <c r="Q1473" s="4" t="s">
        <v>2308</v>
      </c>
      <c r="R1473" s="4" t="s">
        <v>2308</v>
      </c>
      <c r="S1473" s="4" t="s">
        <v>2308</v>
      </c>
      <c r="T1473" s="4" t="s">
        <v>2308</v>
      </c>
      <c r="U1473" s="4" t="s">
        <v>2308</v>
      </c>
      <c r="V1473" s="4" t="s">
        <v>2308</v>
      </c>
      <c r="W1473" s="4" t="s">
        <v>2308</v>
      </c>
      <c r="X1473" s="4" t="s">
        <v>2308</v>
      </c>
      <c r="Y1473" s="4" t="s">
        <v>2308</v>
      </c>
      <c r="Z1473" s="4" t="s">
        <v>35</v>
      </c>
      <c r="AA1473" s="4" t="s">
        <v>194</v>
      </c>
      <c r="AB1473" s="4" t="s">
        <v>64</v>
      </c>
      <c r="AC1473" s="5" t="s">
        <v>4455</v>
      </c>
      <c r="AD1473" s="5" t="s">
        <v>4458</v>
      </c>
    </row>
    <row r="1474" spans="1:30" ht="44.5" customHeight="1">
      <c r="A1474" s="12" t="s">
        <v>4444</v>
      </c>
      <c r="B1474" s="4" t="s">
        <v>4460</v>
      </c>
      <c r="C1474" s="4" t="s">
        <v>24</v>
      </c>
      <c r="D1474" s="4" t="s">
        <v>27</v>
      </c>
      <c r="E1474" s="4" t="s">
        <v>136</v>
      </c>
      <c r="F1474" s="5" t="s">
        <v>167</v>
      </c>
      <c r="G1474" s="4" t="s">
        <v>2308</v>
      </c>
      <c r="H1474" s="4" t="s">
        <v>531</v>
      </c>
      <c r="I1474" s="4"/>
      <c r="J1474" s="4" t="s">
        <v>2308</v>
      </c>
      <c r="K1474" s="4" t="s">
        <v>2308</v>
      </c>
      <c r="L1474" s="4" t="s">
        <v>2308</v>
      </c>
      <c r="M1474" s="4" t="s">
        <v>2308</v>
      </c>
      <c r="N1474" s="4" t="s">
        <v>2308</v>
      </c>
      <c r="O1474" s="4" t="s">
        <v>2308</v>
      </c>
      <c r="P1474" s="4" t="s">
        <v>2308</v>
      </c>
      <c r="Q1474" s="4" t="s">
        <v>2308</v>
      </c>
      <c r="R1474" s="4" t="s">
        <v>2308</v>
      </c>
      <c r="S1474" s="4" t="s">
        <v>2308</v>
      </c>
      <c r="T1474" s="4" t="s">
        <v>2308</v>
      </c>
      <c r="U1474" s="4" t="s">
        <v>2308</v>
      </c>
      <c r="V1474" s="4" t="s">
        <v>2308</v>
      </c>
      <c r="W1474" s="4" t="s">
        <v>2308</v>
      </c>
      <c r="X1474" s="4" t="s">
        <v>2308</v>
      </c>
      <c r="Y1474" s="4" t="s">
        <v>2308</v>
      </c>
      <c r="Z1474" s="4" t="s">
        <v>195</v>
      </c>
      <c r="AA1474" s="4" t="s">
        <v>38</v>
      </c>
      <c r="AB1474" s="4" t="s">
        <v>64</v>
      </c>
      <c r="AC1474" s="4"/>
      <c r="AD1474" s="5" t="s">
        <v>4458</v>
      </c>
    </row>
    <row r="1475" spans="1:30" ht="56.5" customHeight="1">
      <c r="A1475" s="12" t="s">
        <v>4469</v>
      </c>
      <c r="B1475" s="12" t="s">
        <v>4479</v>
      </c>
      <c r="C1475" s="4" t="s">
        <v>24</v>
      </c>
      <c r="D1475" s="4" t="s">
        <v>1125</v>
      </c>
      <c r="E1475" s="4" t="s">
        <v>5065</v>
      </c>
      <c r="F1475" s="5" t="s">
        <v>2695</v>
      </c>
      <c r="G1475" s="4" t="s">
        <v>2308</v>
      </c>
      <c r="H1475" s="4" t="s">
        <v>532</v>
      </c>
      <c r="I1475" s="4"/>
      <c r="J1475" s="22">
        <v>0</v>
      </c>
      <c r="K1475" s="22">
        <v>0</v>
      </c>
      <c r="L1475" s="22">
        <v>0</v>
      </c>
      <c r="M1475" s="22">
        <v>0</v>
      </c>
      <c r="N1475" s="22">
        <v>0</v>
      </c>
      <c r="O1475" s="22">
        <v>0</v>
      </c>
      <c r="P1475" s="22">
        <v>0</v>
      </c>
      <c r="Q1475" s="22">
        <v>0</v>
      </c>
      <c r="R1475" s="22">
        <v>0</v>
      </c>
      <c r="S1475" s="22">
        <v>0</v>
      </c>
      <c r="T1475" s="22">
        <v>0</v>
      </c>
      <c r="U1475" s="22">
        <v>0</v>
      </c>
      <c r="V1475" s="22">
        <v>0</v>
      </c>
      <c r="W1475" s="22">
        <v>0</v>
      </c>
      <c r="X1475" s="22">
        <v>0</v>
      </c>
      <c r="Y1475" s="4" t="s">
        <v>2308</v>
      </c>
      <c r="Z1475" s="4" t="s">
        <v>2308</v>
      </c>
      <c r="AA1475" s="4" t="s">
        <v>2308</v>
      </c>
      <c r="AB1475" s="4" t="s">
        <v>2308</v>
      </c>
      <c r="AC1475" s="5" t="s">
        <v>4481</v>
      </c>
      <c r="AD1475" s="4"/>
    </row>
    <row r="1476" spans="1:30" ht="57" customHeight="1">
      <c r="A1476" s="12" t="s">
        <v>4472</v>
      </c>
      <c r="B1476" s="12" t="s">
        <v>4480</v>
      </c>
      <c r="C1476" s="4" t="s">
        <v>24</v>
      </c>
      <c r="D1476" s="4" t="s">
        <v>1125</v>
      </c>
      <c r="E1476" s="4" t="s">
        <v>1125</v>
      </c>
      <c r="F1476" s="5" t="s">
        <v>74</v>
      </c>
      <c r="G1476" s="4" t="s">
        <v>2308</v>
      </c>
      <c r="H1476" s="4" t="s">
        <v>532</v>
      </c>
      <c r="I1476" s="4"/>
      <c r="J1476" s="22">
        <v>0</v>
      </c>
      <c r="K1476" s="22">
        <v>0</v>
      </c>
      <c r="L1476" s="22">
        <v>0</v>
      </c>
      <c r="M1476" s="22">
        <v>0</v>
      </c>
      <c r="N1476" s="22">
        <v>0</v>
      </c>
      <c r="O1476" s="22">
        <v>0</v>
      </c>
      <c r="P1476" s="22">
        <v>0</v>
      </c>
      <c r="Q1476" s="22">
        <v>0</v>
      </c>
      <c r="R1476" s="22">
        <v>0</v>
      </c>
      <c r="S1476" s="22">
        <v>0</v>
      </c>
      <c r="T1476" s="22">
        <v>0</v>
      </c>
      <c r="U1476" s="22">
        <v>0</v>
      </c>
      <c r="V1476" s="22">
        <v>0</v>
      </c>
      <c r="W1476" s="22">
        <v>0</v>
      </c>
      <c r="X1476" s="22">
        <v>0</v>
      </c>
      <c r="Y1476" s="4" t="s">
        <v>2308</v>
      </c>
      <c r="Z1476" s="4" t="s">
        <v>2308</v>
      </c>
      <c r="AA1476" s="4" t="s">
        <v>2308</v>
      </c>
      <c r="AB1476" s="4" t="s">
        <v>2308</v>
      </c>
      <c r="AC1476" s="5" t="s">
        <v>4482</v>
      </c>
      <c r="AD1476" s="4"/>
    </row>
    <row r="1477" spans="1:30" ht="50.5" customHeight="1">
      <c r="A1477" s="12" t="s">
        <v>4472</v>
      </c>
      <c r="B1477" s="12" t="s">
        <v>4484</v>
      </c>
      <c r="C1477" s="4" t="s">
        <v>24</v>
      </c>
      <c r="D1477" s="4" t="s">
        <v>1264</v>
      </c>
      <c r="E1477" s="4" t="s">
        <v>143</v>
      </c>
      <c r="F1477" s="5" t="s">
        <v>74</v>
      </c>
      <c r="G1477" s="4" t="s">
        <v>2308</v>
      </c>
      <c r="H1477" s="4" t="s">
        <v>532</v>
      </c>
      <c r="I1477" s="4"/>
      <c r="J1477" s="22">
        <v>0</v>
      </c>
      <c r="K1477" s="22">
        <v>0</v>
      </c>
      <c r="L1477" s="22">
        <v>0</v>
      </c>
      <c r="M1477" s="22">
        <v>0</v>
      </c>
      <c r="N1477" s="22">
        <v>0</v>
      </c>
      <c r="O1477" s="22">
        <v>0</v>
      </c>
      <c r="P1477" s="22">
        <v>0</v>
      </c>
      <c r="Q1477" s="22">
        <v>0</v>
      </c>
      <c r="R1477" s="22">
        <v>0</v>
      </c>
      <c r="S1477" s="22">
        <v>0</v>
      </c>
      <c r="T1477" s="22">
        <v>0</v>
      </c>
      <c r="U1477" s="22">
        <v>0</v>
      </c>
      <c r="V1477" s="22">
        <v>0</v>
      </c>
      <c r="W1477" s="22">
        <v>0</v>
      </c>
      <c r="X1477" s="22">
        <v>0</v>
      </c>
      <c r="Y1477" s="4" t="s">
        <v>2308</v>
      </c>
      <c r="Z1477" s="4" t="s">
        <v>2308</v>
      </c>
      <c r="AA1477" s="4" t="s">
        <v>2308</v>
      </c>
      <c r="AB1477" s="4" t="s">
        <v>2308</v>
      </c>
      <c r="AC1477" s="20" t="s">
        <v>4485</v>
      </c>
      <c r="AD1477" s="4"/>
    </row>
    <row r="1478" spans="1:30" ht="40" customHeight="1">
      <c r="A1478" s="12" t="s">
        <v>4487</v>
      </c>
      <c r="B1478" s="12" t="s">
        <v>4489</v>
      </c>
      <c r="C1478" s="4" t="s">
        <v>24</v>
      </c>
      <c r="D1478" s="4" t="s">
        <v>25</v>
      </c>
      <c r="E1478" s="4" t="s">
        <v>45</v>
      </c>
      <c r="F1478" s="5" t="s">
        <v>74</v>
      </c>
      <c r="G1478" s="4" t="s">
        <v>2308</v>
      </c>
      <c r="H1478" s="4" t="s">
        <v>532</v>
      </c>
      <c r="I1478" s="4"/>
      <c r="J1478" s="22">
        <v>0</v>
      </c>
      <c r="K1478" s="22">
        <v>0</v>
      </c>
      <c r="L1478" s="22">
        <v>0</v>
      </c>
      <c r="M1478" s="22">
        <v>0</v>
      </c>
      <c r="N1478" s="22">
        <v>0</v>
      </c>
      <c r="O1478" s="22">
        <v>0</v>
      </c>
      <c r="P1478" s="22">
        <v>0</v>
      </c>
      <c r="Q1478" s="22">
        <v>0</v>
      </c>
      <c r="R1478" s="22">
        <v>0</v>
      </c>
      <c r="S1478" s="22">
        <v>0</v>
      </c>
      <c r="T1478" s="22">
        <v>0</v>
      </c>
      <c r="U1478" s="22">
        <v>0</v>
      </c>
      <c r="V1478" s="22">
        <v>0</v>
      </c>
      <c r="W1478" s="22">
        <v>0</v>
      </c>
      <c r="X1478" s="22">
        <v>0</v>
      </c>
      <c r="Y1478" s="4" t="s">
        <v>2308</v>
      </c>
      <c r="Z1478" s="4" t="s">
        <v>2308</v>
      </c>
      <c r="AA1478" s="4" t="s">
        <v>2308</v>
      </c>
      <c r="AB1478" s="4" t="s">
        <v>2308</v>
      </c>
      <c r="AC1478" s="5" t="s">
        <v>4496</v>
      </c>
      <c r="AD1478" s="4"/>
    </row>
    <row r="1479" spans="1:30" ht="40" customHeight="1">
      <c r="A1479" s="12" t="s">
        <v>4491</v>
      </c>
      <c r="B1479" s="12" t="s">
        <v>4492</v>
      </c>
      <c r="C1479" s="4" t="s">
        <v>24</v>
      </c>
      <c r="D1479" s="4" t="s">
        <v>25</v>
      </c>
      <c r="E1479" s="4" t="s">
        <v>5065</v>
      </c>
      <c r="F1479" s="5" t="s">
        <v>74</v>
      </c>
      <c r="G1479" s="4" t="s">
        <v>2308</v>
      </c>
      <c r="H1479" s="4" t="s">
        <v>532</v>
      </c>
      <c r="I1479" s="4"/>
      <c r="J1479" s="22">
        <v>0</v>
      </c>
      <c r="K1479" s="22">
        <v>0</v>
      </c>
      <c r="L1479" s="22">
        <v>0</v>
      </c>
      <c r="M1479" s="22">
        <v>0</v>
      </c>
      <c r="N1479" s="22">
        <v>0</v>
      </c>
      <c r="O1479" s="22">
        <v>0</v>
      </c>
      <c r="P1479" s="22">
        <v>0</v>
      </c>
      <c r="Q1479" s="22">
        <v>0</v>
      </c>
      <c r="R1479" s="22">
        <v>0</v>
      </c>
      <c r="S1479" s="22">
        <v>0</v>
      </c>
      <c r="T1479" s="22">
        <v>0</v>
      </c>
      <c r="U1479" s="22">
        <v>0</v>
      </c>
      <c r="V1479" s="22">
        <v>0</v>
      </c>
      <c r="W1479" s="22">
        <v>0</v>
      </c>
      <c r="X1479" s="22">
        <v>0</v>
      </c>
      <c r="Y1479" s="4" t="s">
        <v>2308</v>
      </c>
      <c r="Z1479" s="4" t="s">
        <v>2308</v>
      </c>
      <c r="AA1479" s="4" t="s">
        <v>2308</v>
      </c>
      <c r="AB1479" s="4" t="s">
        <v>2308</v>
      </c>
      <c r="AC1479" s="5" t="s">
        <v>4496</v>
      </c>
      <c r="AD1479" s="4"/>
    </row>
    <row r="1480" spans="1:30" ht="40" customHeight="1">
      <c r="A1480" s="12" t="s">
        <v>4487</v>
      </c>
      <c r="B1480" s="12" t="s">
        <v>4490</v>
      </c>
      <c r="C1480" s="4" t="s">
        <v>24</v>
      </c>
      <c r="D1480" s="4" t="s">
        <v>25</v>
      </c>
      <c r="E1480" s="4" t="s">
        <v>45</v>
      </c>
      <c r="F1480" s="5" t="s">
        <v>2695</v>
      </c>
      <c r="G1480" s="4" t="s">
        <v>2308</v>
      </c>
      <c r="H1480" s="4" t="s">
        <v>532</v>
      </c>
      <c r="I1480" s="4"/>
      <c r="J1480" s="22">
        <v>0</v>
      </c>
      <c r="K1480" s="22">
        <v>0</v>
      </c>
      <c r="L1480" s="22">
        <v>0</v>
      </c>
      <c r="M1480" s="22">
        <v>0</v>
      </c>
      <c r="N1480" s="22">
        <v>0</v>
      </c>
      <c r="O1480" s="22">
        <v>0</v>
      </c>
      <c r="P1480" s="22">
        <v>0</v>
      </c>
      <c r="Q1480" s="22">
        <v>0</v>
      </c>
      <c r="R1480" s="22">
        <v>0</v>
      </c>
      <c r="S1480" s="22">
        <v>0</v>
      </c>
      <c r="T1480" s="22">
        <v>0</v>
      </c>
      <c r="U1480" s="22">
        <v>0</v>
      </c>
      <c r="V1480" s="22">
        <v>0</v>
      </c>
      <c r="W1480" s="22">
        <v>0</v>
      </c>
      <c r="X1480" s="22">
        <v>0</v>
      </c>
      <c r="Y1480" s="4" t="s">
        <v>2308</v>
      </c>
      <c r="Z1480" s="4" t="s">
        <v>2308</v>
      </c>
      <c r="AA1480" s="4" t="s">
        <v>2308</v>
      </c>
      <c r="AB1480" s="4" t="s">
        <v>2308</v>
      </c>
      <c r="AC1480" s="5" t="s">
        <v>4496</v>
      </c>
      <c r="AD1480" s="4"/>
    </row>
    <row r="1481" spans="1:30" ht="40" customHeight="1">
      <c r="A1481" s="12" t="s">
        <v>4491</v>
      </c>
      <c r="B1481" s="12" t="s">
        <v>4493</v>
      </c>
      <c r="C1481" s="4" t="s">
        <v>24</v>
      </c>
      <c r="D1481" s="4" t="s">
        <v>25</v>
      </c>
      <c r="E1481" s="4" t="s">
        <v>5065</v>
      </c>
      <c r="F1481" s="5" t="s">
        <v>2695</v>
      </c>
      <c r="G1481" s="4" t="s">
        <v>2308</v>
      </c>
      <c r="H1481" s="4" t="s">
        <v>532</v>
      </c>
      <c r="I1481" s="4"/>
      <c r="J1481" s="22">
        <v>0</v>
      </c>
      <c r="K1481" s="22">
        <v>0</v>
      </c>
      <c r="L1481" s="22">
        <v>0</v>
      </c>
      <c r="M1481" s="22">
        <v>0</v>
      </c>
      <c r="N1481" s="22">
        <v>0</v>
      </c>
      <c r="O1481" s="22">
        <v>0</v>
      </c>
      <c r="P1481" s="22">
        <v>0</v>
      </c>
      <c r="Q1481" s="22">
        <v>0</v>
      </c>
      <c r="R1481" s="22">
        <v>0</v>
      </c>
      <c r="S1481" s="22">
        <v>0</v>
      </c>
      <c r="T1481" s="22">
        <v>0</v>
      </c>
      <c r="U1481" s="22">
        <v>0</v>
      </c>
      <c r="V1481" s="22">
        <v>0</v>
      </c>
      <c r="W1481" s="22">
        <v>0</v>
      </c>
      <c r="X1481" s="22">
        <v>0</v>
      </c>
      <c r="Y1481" s="4" t="s">
        <v>2308</v>
      </c>
      <c r="Z1481" s="4" t="s">
        <v>2308</v>
      </c>
      <c r="AA1481" s="4" t="s">
        <v>2308</v>
      </c>
      <c r="AB1481" s="4" t="s">
        <v>2308</v>
      </c>
      <c r="AC1481" s="5" t="s">
        <v>4496</v>
      </c>
      <c r="AD1481" s="4"/>
    </row>
    <row r="1482" spans="1:30" ht="54.5" customHeight="1">
      <c r="A1482" s="12" t="s">
        <v>4487</v>
      </c>
      <c r="B1482" s="12" t="s">
        <v>4494</v>
      </c>
      <c r="C1482" s="4" t="s">
        <v>1125</v>
      </c>
      <c r="D1482" s="4" t="s">
        <v>1125</v>
      </c>
      <c r="E1482" s="4" t="s">
        <v>1125</v>
      </c>
      <c r="F1482" s="5" t="s">
        <v>2308</v>
      </c>
      <c r="G1482" s="5" t="s">
        <v>2695</v>
      </c>
      <c r="H1482" s="4" t="s">
        <v>532</v>
      </c>
      <c r="I1482" s="4"/>
      <c r="J1482" s="22">
        <v>0</v>
      </c>
      <c r="K1482" s="22">
        <v>0</v>
      </c>
      <c r="L1482" s="22">
        <v>0</v>
      </c>
      <c r="M1482" s="22">
        <v>0</v>
      </c>
      <c r="N1482" s="22">
        <v>0</v>
      </c>
      <c r="O1482" s="22">
        <v>0</v>
      </c>
      <c r="P1482" s="22">
        <v>0</v>
      </c>
      <c r="Q1482" s="22">
        <v>0</v>
      </c>
      <c r="R1482" s="22">
        <v>0</v>
      </c>
      <c r="S1482" s="22">
        <v>0</v>
      </c>
      <c r="T1482" s="22">
        <v>0</v>
      </c>
      <c r="U1482" s="22">
        <v>0</v>
      </c>
      <c r="V1482" s="22">
        <v>0</v>
      </c>
      <c r="W1482" s="22">
        <v>0</v>
      </c>
      <c r="X1482" s="22">
        <v>0</v>
      </c>
      <c r="Y1482" s="4" t="s">
        <v>2308</v>
      </c>
      <c r="Z1482" s="4" t="s">
        <v>2308</v>
      </c>
      <c r="AA1482" s="4" t="s">
        <v>2308</v>
      </c>
      <c r="AB1482" s="4" t="s">
        <v>2308</v>
      </c>
      <c r="AC1482" s="5" t="s">
        <v>4497</v>
      </c>
      <c r="AD1482" s="4"/>
    </row>
    <row r="1483" spans="1:30" ht="54.5" customHeight="1">
      <c r="A1483" s="12" t="s">
        <v>4491</v>
      </c>
      <c r="B1483" s="12" t="s">
        <v>4495</v>
      </c>
      <c r="C1483" s="4" t="s">
        <v>1125</v>
      </c>
      <c r="D1483" s="4" t="s">
        <v>1125</v>
      </c>
      <c r="E1483" s="4" t="s">
        <v>1125</v>
      </c>
      <c r="F1483" s="5" t="s">
        <v>2308</v>
      </c>
      <c r="G1483" s="5" t="s">
        <v>2695</v>
      </c>
      <c r="H1483" s="4" t="s">
        <v>532</v>
      </c>
      <c r="I1483" s="4"/>
      <c r="J1483" s="22">
        <v>0</v>
      </c>
      <c r="K1483" s="22">
        <v>0</v>
      </c>
      <c r="L1483" s="22">
        <v>0</v>
      </c>
      <c r="M1483" s="22">
        <v>0</v>
      </c>
      <c r="N1483" s="22">
        <v>0</v>
      </c>
      <c r="O1483" s="22">
        <v>0</v>
      </c>
      <c r="P1483" s="22">
        <v>0</v>
      </c>
      <c r="Q1483" s="22">
        <v>0</v>
      </c>
      <c r="R1483" s="22">
        <v>0</v>
      </c>
      <c r="S1483" s="22">
        <v>0</v>
      </c>
      <c r="T1483" s="22">
        <v>0</v>
      </c>
      <c r="U1483" s="22">
        <v>0</v>
      </c>
      <c r="V1483" s="22">
        <v>0</v>
      </c>
      <c r="W1483" s="22">
        <v>0</v>
      </c>
      <c r="X1483" s="22">
        <v>0</v>
      </c>
      <c r="Y1483" s="4" t="s">
        <v>2308</v>
      </c>
      <c r="Z1483" s="4" t="s">
        <v>2308</v>
      </c>
      <c r="AA1483" s="4" t="s">
        <v>2308</v>
      </c>
      <c r="AB1483" s="4" t="s">
        <v>2308</v>
      </c>
      <c r="AC1483" s="5" t="s">
        <v>4497</v>
      </c>
      <c r="AD1483" s="4"/>
    </row>
    <row r="1484" spans="1:30" ht="40.5" customHeight="1">
      <c r="A1484" s="12" t="s">
        <v>4499</v>
      </c>
      <c r="B1484" s="12" t="s">
        <v>4508</v>
      </c>
      <c r="C1484" s="4" t="s">
        <v>24</v>
      </c>
      <c r="D1484" s="4" t="s">
        <v>27</v>
      </c>
      <c r="E1484" s="4" t="s">
        <v>136</v>
      </c>
      <c r="F1484" s="5" t="s">
        <v>167</v>
      </c>
      <c r="G1484" s="4" t="s">
        <v>2308</v>
      </c>
      <c r="H1484" s="4" t="s">
        <v>531</v>
      </c>
      <c r="I1484" s="4"/>
      <c r="J1484" s="5" t="s">
        <v>2308</v>
      </c>
      <c r="K1484" s="5" t="s">
        <v>2308</v>
      </c>
      <c r="L1484" s="5" t="s">
        <v>2308</v>
      </c>
      <c r="M1484" s="5" t="s">
        <v>2308</v>
      </c>
      <c r="N1484" s="5" t="s">
        <v>2308</v>
      </c>
      <c r="O1484" s="5" t="s">
        <v>2308</v>
      </c>
      <c r="P1484" s="5" t="s">
        <v>2308</v>
      </c>
      <c r="Q1484" s="5" t="s">
        <v>2308</v>
      </c>
      <c r="R1484" s="5" t="s">
        <v>2308</v>
      </c>
      <c r="S1484" s="5" t="s">
        <v>2308</v>
      </c>
      <c r="T1484" s="5" t="s">
        <v>2308</v>
      </c>
      <c r="U1484" s="5" t="s">
        <v>2308</v>
      </c>
      <c r="V1484" s="5" t="s">
        <v>2308</v>
      </c>
      <c r="W1484" s="5" t="s">
        <v>2308</v>
      </c>
      <c r="X1484" s="5" t="s">
        <v>2308</v>
      </c>
      <c r="Y1484" s="5" t="s">
        <v>2308</v>
      </c>
      <c r="Z1484" s="5" t="s">
        <v>2308</v>
      </c>
      <c r="AA1484" s="5" t="s">
        <v>2308</v>
      </c>
      <c r="AB1484" s="4" t="s">
        <v>2308</v>
      </c>
      <c r="AC1484" s="4"/>
      <c r="AD1484" s="5" t="s">
        <v>4510</v>
      </c>
    </row>
    <row r="1485" spans="1:30" ht="43.5" customHeight="1">
      <c r="A1485" s="12" t="s">
        <v>4499</v>
      </c>
      <c r="B1485" s="12" t="s">
        <v>4509</v>
      </c>
      <c r="C1485" s="4" t="s">
        <v>24</v>
      </c>
      <c r="D1485" s="4" t="s">
        <v>1151</v>
      </c>
      <c r="E1485" s="4" t="s">
        <v>136</v>
      </c>
      <c r="F1485" s="5" t="s">
        <v>28</v>
      </c>
      <c r="G1485" s="4" t="s">
        <v>2308</v>
      </c>
      <c r="H1485" s="4" t="s">
        <v>531</v>
      </c>
      <c r="I1485" s="4"/>
      <c r="J1485" s="5" t="s">
        <v>2308</v>
      </c>
      <c r="K1485" s="5" t="s">
        <v>2308</v>
      </c>
      <c r="L1485" s="5" t="s">
        <v>2308</v>
      </c>
      <c r="M1485" s="5" t="s">
        <v>2308</v>
      </c>
      <c r="N1485" s="5" t="s">
        <v>2308</v>
      </c>
      <c r="O1485" s="5" t="s">
        <v>2308</v>
      </c>
      <c r="P1485" s="5" t="s">
        <v>2308</v>
      </c>
      <c r="Q1485" s="5" t="s">
        <v>2308</v>
      </c>
      <c r="R1485" s="5" t="s">
        <v>2308</v>
      </c>
      <c r="S1485" s="5" t="s">
        <v>2308</v>
      </c>
      <c r="T1485" s="5" t="s">
        <v>2308</v>
      </c>
      <c r="U1485" s="5" t="s">
        <v>2308</v>
      </c>
      <c r="V1485" s="5" t="s">
        <v>2308</v>
      </c>
      <c r="W1485" s="5" t="s">
        <v>2308</v>
      </c>
      <c r="X1485" s="5" t="s">
        <v>2308</v>
      </c>
      <c r="Y1485" s="22">
        <v>0.3</v>
      </c>
      <c r="Z1485" s="5" t="s">
        <v>2308</v>
      </c>
      <c r="AA1485" s="5" t="s">
        <v>2308</v>
      </c>
      <c r="AB1485" t="s">
        <v>64</v>
      </c>
      <c r="AC1485" s="5" t="s">
        <v>4514</v>
      </c>
      <c r="AD1485" s="4"/>
    </row>
    <row r="1486" spans="1:30" ht="42" customHeight="1">
      <c r="A1486" s="12" t="s">
        <v>4502</v>
      </c>
      <c r="B1486" s="12" t="s">
        <v>4511</v>
      </c>
      <c r="C1486" s="4" t="s">
        <v>24</v>
      </c>
      <c r="D1486" s="4" t="s">
        <v>27</v>
      </c>
      <c r="E1486" s="4" t="s">
        <v>136</v>
      </c>
      <c r="F1486" s="5" t="s">
        <v>167</v>
      </c>
      <c r="G1486" s="4" t="s">
        <v>2308</v>
      </c>
      <c r="H1486" s="4" t="s">
        <v>531</v>
      </c>
      <c r="I1486" s="4"/>
      <c r="J1486" s="5" t="s">
        <v>2308</v>
      </c>
      <c r="K1486" s="5" t="s">
        <v>2308</v>
      </c>
      <c r="L1486" s="5" t="s">
        <v>2308</v>
      </c>
      <c r="M1486" s="5" t="s">
        <v>2308</v>
      </c>
      <c r="N1486" s="5" t="s">
        <v>2308</v>
      </c>
      <c r="O1486" s="5" t="s">
        <v>2308</v>
      </c>
      <c r="P1486" s="5" t="s">
        <v>2308</v>
      </c>
      <c r="Q1486" s="5" t="s">
        <v>2308</v>
      </c>
      <c r="R1486" s="5" t="s">
        <v>2308</v>
      </c>
      <c r="S1486" s="5" t="s">
        <v>2308</v>
      </c>
      <c r="T1486" s="5" t="s">
        <v>2308</v>
      </c>
      <c r="U1486" s="5" t="s">
        <v>2308</v>
      </c>
      <c r="V1486" s="5" t="s">
        <v>2308</v>
      </c>
      <c r="W1486" s="5" t="s">
        <v>2308</v>
      </c>
      <c r="X1486" s="5" t="s">
        <v>2308</v>
      </c>
      <c r="Y1486" s="5" t="s">
        <v>2308</v>
      </c>
      <c r="Z1486" s="5" t="s">
        <v>2308</v>
      </c>
      <c r="AA1486" s="5" t="s">
        <v>2308</v>
      </c>
      <c r="AB1486" s="4" t="s">
        <v>2308</v>
      </c>
      <c r="AC1486" s="4"/>
      <c r="AD1486" s="5" t="s">
        <v>4513</v>
      </c>
    </row>
    <row r="1487" spans="1:30" ht="44.5" customHeight="1">
      <c r="A1487" s="12" t="s">
        <v>4502</v>
      </c>
      <c r="B1487" s="12" t="s">
        <v>4512</v>
      </c>
      <c r="C1487" s="4" t="s">
        <v>24</v>
      </c>
      <c r="D1487" s="4" t="s">
        <v>2692</v>
      </c>
      <c r="E1487" s="4" t="s">
        <v>136</v>
      </c>
      <c r="F1487" s="5" t="s">
        <v>28</v>
      </c>
      <c r="G1487" s="4" t="s">
        <v>2308</v>
      </c>
      <c r="H1487" s="4" t="s">
        <v>531</v>
      </c>
      <c r="I1487" s="4"/>
      <c r="J1487" s="5" t="s">
        <v>2308</v>
      </c>
      <c r="K1487" s="5" t="s">
        <v>2308</v>
      </c>
      <c r="L1487" s="5" t="s">
        <v>2308</v>
      </c>
      <c r="M1487" s="5" t="s">
        <v>2308</v>
      </c>
      <c r="N1487" s="5" t="s">
        <v>2308</v>
      </c>
      <c r="O1487" s="5" t="s">
        <v>2308</v>
      </c>
      <c r="P1487" s="5" t="s">
        <v>2308</v>
      </c>
      <c r="Q1487" s="5" t="s">
        <v>2308</v>
      </c>
      <c r="R1487" s="5" t="s">
        <v>2308</v>
      </c>
      <c r="S1487" s="5" t="s">
        <v>2308</v>
      </c>
      <c r="T1487" s="5" t="s">
        <v>2308</v>
      </c>
      <c r="U1487" s="5" t="s">
        <v>2308</v>
      </c>
      <c r="V1487" s="5" t="s">
        <v>2308</v>
      </c>
      <c r="W1487" s="5" t="s">
        <v>2308</v>
      </c>
      <c r="X1487" s="5" t="s">
        <v>2308</v>
      </c>
      <c r="Y1487" s="22">
        <v>1</v>
      </c>
      <c r="Z1487" s="5" t="s">
        <v>2308</v>
      </c>
      <c r="AA1487" s="5" t="s">
        <v>2308</v>
      </c>
      <c r="AB1487" t="s">
        <v>64</v>
      </c>
      <c r="AC1487" s="4" t="s">
        <v>4517</v>
      </c>
      <c r="AD1487" s="4"/>
    </row>
    <row r="1488" spans="1:30" ht="41" customHeight="1">
      <c r="A1488" s="12" t="s">
        <v>4502</v>
      </c>
      <c r="B1488" s="12" t="s">
        <v>4515</v>
      </c>
      <c r="C1488" s="4" t="s">
        <v>24</v>
      </c>
      <c r="D1488" s="4" t="s">
        <v>1151</v>
      </c>
      <c r="E1488" s="4" t="s">
        <v>136</v>
      </c>
      <c r="F1488" s="5" t="s">
        <v>28</v>
      </c>
      <c r="G1488" s="4" t="s">
        <v>2308</v>
      </c>
      <c r="H1488" s="4" t="s">
        <v>532</v>
      </c>
      <c r="I1488" s="4"/>
      <c r="J1488" s="22">
        <v>0</v>
      </c>
      <c r="K1488" s="22">
        <v>0</v>
      </c>
      <c r="L1488" s="22">
        <v>0</v>
      </c>
      <c r="M1488" s="22">
        <v>0</v>
      </c>
      <c r="N1488" s="22">
        <v>0</v>
      </c>
      <c r="O1488" s="22">
        <v>0</v>
      </c>
      <c r="P1488" s="22">
        <v>0</v>
      </c>
      <c r="Q1488" s="22">
        <v>0</v>
      </c>
      <c r="R1488" s="22">
        <v>0</v>
      </c>
      <c r="S1488" s="22">
        <v>0</v>
      </c>
      <c r="T1488" s="22">
        <v>0</v>
      </c>
      <c r="U1488" s="22">
        <v>0</v>
      </c>
      <c r="V1488" s="22">
        <v>0</v>
      </c>
      <c r="W1488" s="22">
        <v>0</v>
      </c>
      <c r="X1488" s="22">
        <v>0</v>
      </c>
      <c r="Y1488" s="4" t="s">
        <v>2308</v>
      </c>
      <c r="Z1488" s="4" t="s">
        <v>2308</v>
      </c>
      <c r="AA1488" s="4" t="s">
        <v>2308</v>
      </c>
      <c r="AB1488" s="4" t="s">
        <v>2308</v>
      </c>
      <c r="AC1488" s="20" t="s">
        <v>4516</v>
      </c>
      <c r="AD1488" s="4"/>
    </row>
    <row r="1489" spans="1:30" ht="43.5" customHeight="1">
      <c r="A1489" s="12" t="s">
        <v>4504</v>
      </c>
      <c r="B1489" s="12" t="s">
        <v>4518</v>
      </c>
      <c r="C1489" s="4" t="s">
        <v>24</v>
      </c>
      <c r="D1489" s="4" t="s">
        <v>27</v>
      </c>
      <c r="E1489" s="4" t="s">
        <v>136</v>
      </c>
      <c r="F1489" s="5" t="s">
        <v>167</v>
      </c>
      <c r="G1489" s="4" t="s">
        <v>2308</v>
      </c>
      <c r="H1489" s="4" t="s">
        <v>531</v>
      </c>
      <c r="I1489" s="4"/>
      <c r="J1489" s="5" t="s">
        <v>2308</v>
      </c>
      <c r="K1489" s="5" t="s">
        <v>2308</v>
      </c>
      <c r="L1489" s="5" t="s">
        <v>2308</v>
      </c>
      <c r="M1489" s="5" t="s">
        <v>2308</v>
      </c>
      <c r="N1489" s="5" t="s">
        <v>2308</v>
      </c>
      <c r="O1489" s="5" t="s">
        <v>2308</v>
      </c>
      <c r="P1489" s="5" t="s">
        <v>2308</v>
      </c>
      <c r="Q1489" s="22">
        <v>1</v>
      </c>
      <c r="R1489" s="5" t="s">
        <v>2308</v>
      </c>
      <c r="S1489" s="5" t="s">
        <v>2308</v>
      </c>
      <c r="T1489" s="5" t="s">
        <v>2308</v>
      </c>
      <c r="U1489" s="5" t="s">
        <v>2308</v>
      </c>
      <c r="V1489" s="5" t="s">
        <v>2308</v>
      </c>
      <c r="W1489" s="5" t="s">
        <v>2308</v>
      </c>
      <c r="X1489" s="5" t="s">
        <v>2308</v>
      </c>
      <c r="Y1489" s="5" t="s">
        <v>2308</v>
      </c>
      <c r="Z1489" s="5" t="s">
        <v>2308</v>
      </c>
      <c r="AA1489" s="5" t="s">
        <v>2308</v>
      </c>
      <c r="AB1489" s="5" t="s">
        <v>2308</v>
      </c>
      <c r="AC1489" s="4"/>
      <c r="AD1489" s="4" t="s">
        <v>4520</v>
      </c>
    </row>
    <row r="1490" spans="1:30" ht="45.5" customHeight="1">
      <c r="A1490" s="4" t="s">
        <v>4524</v>
      </c>
      <c r="B1490" s="12" t="s">
        <v>4526</v>
      </c>
      <c r="C1490" s="4" t="s">
        <v>24</v>
      </c>
      <c r="D1490" s="4" t="s">
        <v>2837</v>
      </c>
      <c r="E1490" s="4" t="s">
        <v>5065</v>
      </c>
      <c r="F1490" s="5" t="s">
        <v>2695</v>
      </c>
      <c r="G1490" s="4" t="s">
        <v>2308</v>
      </c>
      <c r="H1490" s="4" t="s">
        <v>531</v>
      </c>
      <c r="I1490" s="4"/>
      <c r="J1490" s="5" t="s">
        <v>2308</v>
      </c>
      <c r="K1490" s="5" t="s">
        <v>2308</v>
      </c>
      <c r="L1490" s="5" t="s">
        <v>2308</v>
      </c>
      <c r="M1490" s="5" t="s">
        <v>2308</v>
      </c>
      <c r="N1490" s="5" t="s">
        <v>2308</v>
      </c>
      <c r="O1490" s="5" t="s">
        <v>2308</v>
      </c>
      <c r="P1490" s="5" t="s">
        <v>2308</v>
      </c>
      <c r="Q1490" s="22">
        <v>2</v>
      </c>
      <c r="R1490" s="5" t="s">
        <v>2308</v>
      </c>
      <c r="S1490" s="5" t="s">
        <v>2308</v>
      </c>
      <c r="T1490" s="5" t="s">
        <v>2308</v>
      </c>
      <c r="U1490" s="5" t="s">
        <v>2308</v>
      </c>
      <c r="V1490" s="5" t="s">
        <v>2308</v>
      </c>
      <c r="W1490" s="5" t="s">
        <v>2308</v>
      </c>
      <c r="X1490" s="5" t="s">
        <v>2308</v>
      </c>
      <c r="Y1490" s="5" t="s">
        <v>2308</v>
      </c>
      <c r="Z1490" s="5" t="s">
        <v>2308</v>
      </c>
      <c r="AA1490" s="5" t="s">
        <v>2308</v>
      </c>
      <c r="AB1490" s="5" t="s">
        <v>2308</v>
      </c>
      <c r="AC1490" s="4"/>
      <c r="AD1490" s="4"/>
    </row>
    <row r="1491" spans="1:30" ht="60" customHeight="1">
      <c r="A1491" s="39" t="s">
        <v>4524</v>
      </c>
      <c r="B1491" s="36" t="s">
        <v>4527</v>
      </c>
      <c r="C1491" s="39" t="s">
        <v>24</v>
      </c>
      <c r="D1491" s="39" t="s">
        <v>2263</v>
      </c>
      <c r="E1491" s="39" t="s">
        <v>5065</v>
      </c>
      <c r="F1491" s="177" t="s">
        <v>2695</v>
      </c>
      <c r="G1491" s="4" t="s">
        <v>2308</v>
      </c>
      <c r="H1491" s="4" t="s">
        <v>531</v>
      </c>
      <c r="I1491" s="39"/>
      <c r="J1491" s="5" t="s">
        <v>2308</v>
      </c>
      <c r="K1491" s="5" t="s">
        <v>2308</v>
      </c>
      <c r="L1491" s="5" t="s">
        <v>2308</v>
      </c>
      <c r="M1491" s="5" t="s">
        <v>2308</v>
      </c>
      <c r="N1491" s="5" t="s">
        <v>2308</v>
      </c>
      <c r="O1491" s="5" t="s">
        <v>2308</v>
      </c>
      <c r="P1491" s="5" t="s">
        <v>2308</v>
      </c>
      <c r="Q1491" s="22">
        <v>3</v>
      </c>
      <c r="R1491" s="5" t="s">
        <v>2308</v>
      </c>
      <c r="S1491" s="5" t="s">
        <v>2308</v>
      </c>
      <c r="T1491" s="5" t="s">
        <v>2308</v>
      </c>
      <c r="U1491" s="5" t="s">
        <v>2308</v>
      </c>
      <c r="V1491" s="5" t="s">
        <v>2308</v>
      </c>
      <c r="W1491" s="5" t="s">
        <v>2308</v>
      </c>
      <c r="X1491" s="5" t="s">
        <v>2308</v>
      </c>
      <c r="Y1491" s="5" t="s">
        <v>2308</v>
      </c>
      <c r="Z1491" s="5" t="s">
        <v>2308</v>
      </c>
      <c r="AA1491" s="5" t="s">
        <v>2308</v>
      </c>
      <c r="AB1491" s="5" t="s">
        <v>2308</v>
      </c>
      <c r="AC1491" s="182" t="s">
        <v>4531</v>
      </c>
      <c r="AD1491" s="39"/>
    </row>
    <row r="1492" spans="1:30" ht="57.5" customHeight="1">
      <c r="A1492" s="4" t="s">
        <v>4524</v>
      </c>
      <c r="B1492" s="12" t="s">
        <v>4528</v>
      </c>
      <c r="C1492" s="4" t="s">
        <v>24</v>
      </c>
      <c r="D1492" s="4" t="s">
        <v>2373</v>
      </c>
      <c r="E1492" s="4" t="s">
        <v>5065</v>
      </c>
      <c r="F1492" s="5" t="s">
        <v>2695</v>
      </c>
      <c r="G1492" s="4" t="s">
        <v>2308</v>
      </c>
      <c r="H1492" s="4" t="s">
        <v>531</v>
      </c>
      <c r="I1492" s="4"/>
      <c r="J1492" s="5" t="s">
        <v>2308</v>
      </c>
      <c r="K1492" s="5" t="s">
        <v>2308</v>
      </c>
      <c r="L1492" s="5" t="s">
        <v>2308</v>
      </c>
      <c r="M1492" s="5" t="s">
        <v>2308</v>
      </c>
      <c r="N1492" s="5" t="s">
        <v>2308</v>
      </c>
      <c r="O1492" s="5" t="s">
        <v>2308</v>
      </c>
      <c r="P1492" s="5" t="s">
        <v>2308</v>
      </c>
      <c r="Q1492" s="22">
        <v>4</v>
      </c>
      <c r="R1492" s="5" t="s">
        <v>2308</v>
      </c>
      <c r="S1492" s="5" t="s">
        <v>2308</v>
      </c>
      <c r="T1492" s="5" t="s">
        <v>2308</v>
      </c>
      <c r="U1492" s="5" t="s">
        <v>2308</v>
      </c>
      <c r="V1492" s="5" t="s">
        <v>2308</v>
      </c>
      <c r="W1492" s="5" t="s">
        <v>2308</v>
      </c>
      <c r="X1492" s="5" t="s">
        <v>2308</v>
      </c>
      <c r="Y1492" s="5" t="s">
        <v>2308</v>
      </c>
      <c r="Z1492" s="5" t="s">
        <v>2308</v>
      </c>
      <c r="AA1492" s="5" t="s">
        <v>2308</v>
      </c>
      <c r="AB1492" s="5" t="s">
        <v>2308</v>
      </c>
      <c r="AC1492" s="120" t="s">
        <v>4531</v>
      </c>
      <c r="AD1492" s="4"/>
    </row>
    <row r="1493" spans="1:30" ht="52.5" customHeight="1">
      <c r="A1493" s="4" t="s">
        <v>4524</v>
      </c>
      <c r="B1493" s="12" t="s">
        <v>4529</v>
      </c>
      <c r="C1493" s="4" t="s">
        <v>24</v>
      </c>
      <c r="D1493" s="4" t="s">
        <v>2263</v>
      </c>
      <c r="E1493" s="4" t="s">
        <v>5065</v>
      </c>
      <c r="F1493" s="5" t="s">
        <v>74</v>
      </c>
      <c r="G1493" s="4" t="s">
        <v>2308</v>
      </c>
      <c r="H1493" s="4" t="s">
        <v>531</v>
      </c>
      <c r="I1493" s="4"/>
      <c r="J1493" s="5" t="s">
        <v>2308</v>
      </c>
      <c r="K1493" s="5" t="s">
        <v>2308</v>
      </c>
      <c r="L1493" s="5" t="s">
        <v>2308</v>
      </c>
      <c r="M1493" s="5" t="s">
        <v>2308</v>
      </c>
      <c r="N1493" s="5" t="s">
        <v>2308</v>
      </c>
      <c r="O1493" s="5" t="s">
        <v>2308</v>
      </c>
      <c r="P1493" s="5" t="s">
        <v>2308</v>
      </c>
      <c r="Q1493" s="22">
        <v>5</v>
      </c>
      <c r="R1493" s="5" t="s">
        <v>2308</v>
      </c>
      <c r="S1493" s="5" t="s">
        <v>2308</v>
      </c>
      <c r="T1493" s="5" t="s">
        <v>2308</v>
      </c>
      <c r="U1493" s="5" t="s">
        <v>2308</v>
      </c>
      <c r="V1493" s="5" t="s">
        <v>2308</v>
      </c>
      <c r="W1493" s="5" t="s">
        <v>2308</v>
      </c>
      <c r="X1493" s="5" t="s">
        <v>2308</v>
      </c>
      <c r="Y1493" s="5" t="s">
        <v>2308</v>
      </c>
      <c r="Z1493" s="5" t="s">
        <v>2308</v>
      </c>
      <c r="AA1493" s="5" t="s">
        <v>2308</v>
      </c>
      <c r="AB1493" s="5" t="s">
        <v>2308</v>
      </c>
      <c r="AC1493" s="120" t="s">
        <v>4531</v>
      </c>
      <c r="AD1493" s="4"/>
    </row>
    <row r="1494" spans="1:30" ht="60" customHeight="1">
      <c r="A1494" s="4" t="s">
        <v>4524</v>
      </c>
      <c r="B1494" s="12" t="s">
        <v>4530</v>
      </c>
      <c r="C1494" s="4" t="s">
        <v>24</v>
      </c>
      <c r="D1494" s="4" t="s">
        <v>2373</v>
      </c>
      <c r="E1494" s="4" t="s">
        <v>5065</v>
      </c>
      <c r="F1494" s="5" t="s">
        <v>74</v>
      </c>
      <c r="G1494" s="4" t="s">
        <v>2308</v>
      </c>
      <c r="H1494" s="4" t="s">
        <v>531</v>
      </c>
      <c r="I1494" s="4"/>
      <c r="J1494" s="5" t="s">
        <v>2308</v>
      </c>
      <c r="K1494" s="5" t="s">
        <v>2308</v>
      </c>
      <c r="L1494" s="5" t="s">
        <v>2308</v>
      </c>
      <c r="M1494" s="5" t="s">
        <v>2308</v>
      </c>
      <c r="N1494" s="5" t="s">
        <v>2308</v>
      </c>
      <c r="O1494" s="5" t="s">
        <v>2308</v>
      </c>
      <c r="P1494" s="5" t="s">
        <v>2308</v>
      </c>
      <c r="Q1494" s="22">
        <v>6</v>
      </c>
      <c r="R1494" s="5" t="s">
        <v>2308</v>
      </c>
      <c r="S1494" s="5" t="s">
        <v>2308</v>
      </c>
      <c r="T1494" s="5" t="s">
        <v>2308</v>
      </c>
      <c r="U1494" s="5" t="s">
        <v>2308</v>
      </c>
      <c r="V1494" s="5" t="s">
        <v>2308</v>
      </c>
      <c r="W1494" s="5" t="s">
        <v>2308</v>
      </c>
      <c r="X1494" s="5" t="s">
        <v>2308</v>
      </c>
      <c r="Y1494" s="5" t="s">
        <v>2308</v>
      </c>
      <c r="Z1494" s="5" t="s">
        <v>2308</v>
      </c>
      <c r="AA1494" s="5" t="s">
        <v>2308</v>
      </c>
      <c r="AB1494" s="5" t="s">
        <v>2308</v>
      </c>
      <c r="AC1494" s="120" t="s">
        <v>4531</v>
      </c>
      <c r="AD1494" s="4"/>
    </row>
    <row r="1495" spans="1:30" ht="46.5" customHeight="1">
      <c r="A1495" s="4" t="s">
        <v>4524</v>
      </c>
      <c r="B1495" s="12" t="s">
        <v>4532</v>
      </c>
      <c r="C1495" s="4" t="s">
        <v>2491</v>
      </c>
      <c r="D1495" s="4" t="s">
        <v>1125</v>
      </c>
      <c r="E1495" s="4" t="s">
        <v>5065</v>
      </c>
      <c r="F1495" s="5" t="s">
        <v>2308</v>
      </c>
      <c r="G1495" s="4" t="s">
        <v>74</v>
      </c>
      <c r="H1495" s="4" t="s">
        <v>531</v>
      </c>
      <c r="I1495" s="4"/>
      <c r="J1495" s="5" t="s">
        <v>2308</v>
      </c>
      <c r="K1495" s="5" t="s">
        <v>2308</v>
      </c>
      <c r="L1495" s="5" t="s">
        <v>2308</v>
      </c>
      <c r="M1495" s="5" t="s">
        <v>2308</v>
      </c>
      <c r="N1495" s="5" t="s">
        <v>2308</v>
      </c>
      <c r="O1495" s="5" t="s">
        <v>2308</v>
      </c>
      <c r="P1495" s="5" t="s">
        <v>2308</v>
      </c>
      <c r="Q1495" s="5" t="s">
        <v>2308</v>
      </c>
      <c r="R1495" s="5" t="s">
        <v>2308</v>
      </c>
      <c r="S1495" s="5" t="s">
        <v>2308</v>
      </c>
      <c r="T1495" s="5" t="s">
        <v>2308</v>
      </c>
      <c r="U1495" s="5" t="s">
        <v>2308</v>
      </c>
      <c r="V1495" s="5" t="s">
        <v>2308</v>
      </c>
      <c r="W1495" s="5" t="s">
        <v>2308</v>
      </c>
      <c r="X1495" s="5" t="s">
        <v>2308</v>
      </c>
      <c r="Y1495" s="5" t="s">
        <v>2308</v>
      </c>
      <c r="Z1495" s="5" t="s">
        <v>2308</v>
      </c>
      <c r="AA1495" s="5" t="s">
        <v>2308</v>
      </c>
      <c r="AB1495" s="5" t="s">
        <v>2308</v>
      </c>
      <c r="AC1495" s="4"/>
      <c r="AD1495" s="5" t="s">
        <v>4534</v>
      </c>
    </row>
    <row r="1496" spans="1:30" ht="45.5" customHeight="1">
      <c r="A1496" s="4" t="s">
        <v>4524</v>
      </c>
      <c r="B1496" s="12" t="s">
        <v>4533</v>
      </c>
      <c r="C1496" s="4" t="s">
        <v>2691</v>
      </c>
      <c r="D1496" s="4" t="s">
        <v>2308</v>
      </c>
      <c r="E1496" s="4" t="s">
        <v>2308</v>
      </c>
      <c r="F1496" s="5" t="s">
        <v>2308</v>
      </c>
      <c r="G1496" s="4" t="s">
        <v>74</v>
      </c>
      <c r="H1496" s="4" t="s">
        <v>531</v>
      </c>
      <c r="I1496" s="4"/>
      <c r="J1496" s="5" t="s">
        <v>2308</v>
      </c>
      <c r="K1496" s="5" t="s">
        <v>2308</v>
      </c>
      <c r="L1496" s="5" t="s">
        <v>2308</v>
      </c>
      <c r="M1496" s="5" t="s">
        <v>2308</v>
      </c>
      <c r="N1496" s="5" t="s">
        <v>2308</v>
      </c>
      <c r="O1496" s="5" t="s">
        <v>2308</v>
      </c>
      <c r="P1496" s="5" t="s">
        <v>2308</v>
      </c>
      <c r="Q1496" s="5" t="s">
        <v>2308</v>
      </c>
      <c r="R1496" s="5" t="s">
        <v>2308</v>
      </c>
      <c r="S1496" s="5" t="s">
        <v>2308</v>
      </c>
      <c r="T1496" s="22">
        <v>40</v>
      </c>
      <c r="U1496" s="5" t="s">
        <v>2308</v>
      </c>
      <c r="V1496" s="5" t="s">
        <v>2308</v>
      </c>
      <c r="W1496" s="5" t="s">
        <v>2308</v>
      </c>
      <c r="X1496" s="5" t="s">
        <v>2308</v>
      </c>
      <c r="Y1496" s="5" t="s">
        <v>2308</v>
      </c>
      <c r="Z1496" s="4" t="s">
        <v>38</v>
      </c>
      <c r="AA1496" s="4" t="s">
        <v>38</v>
      </c>
      <c r="AB1496" s="4" t="s">
        <v>2308</v>
      </c>
      <c r="AC1496" s="4"/>
      <c r="AD1496" s="4"/>
    </row>
    <row r="1497" spans="1:30" ht="57" customHeight="1">
      <c r="A1497" s="12" t="s">
        <v>4536</v>
      </c>
      <c r="B1497" s="12" t="s">
        <v>4541</v>
      </c>
      <c r="C1497" s="4" t="s">
        <v>24</v>
      </c>
      <c r="D1497" s="4" t="s">
        <v>26</v>
      </c>
      <c r="E1497" s="4" t="s">
        <v>5065</v>
      </c>
      <c r="F1497" s="5" t="s">
        <v>74</v>
      </c>
      <c r="G1497" s="4" t="s">
        <v>74</v>
      </c>
      <c r="H1497" s="4" t="s">
        <v>531</v>
      </c>
      <c r="I1497" s="4"/>
      <c r="J1497" s="5" t="s">
        <v>2308</v>
      </c>
      <c r="K1497" s="5" t="s">
        <v>2308</v>
      </c>
      <c r="L1497" s="5" t="s">
        <v>2308</v>
      </c>
      <c r="M1497" s="5" t="s">
        <v>2308</v>
      </c>
      <c r="N1497" s="5" t="s">
        <v>2308</v>
      </c>
      <c r="O1497" s="5" t="s">
        <v>2308</v>
      </c>
      <c r="P1497" s="5" t="s">
        <v>2308</v>
      </c>
      <c r="Q1497" s="5" t="s">
        <v>2308</v>
      </c>
      <c r="R1497" s="5" t="s">
        <v>2308</v>
      </c>
      <c r="S1497" s="5" t="s">
        <v>2308</v>
      </c>
      <c r="T1497" s="5" t="s">
        <v>2308</v>
      </c>
      <c r="U1497" s="5" t="s">
        <v>2308</v>
      </c>
      <c r="V1497" s="5" t="s">
        <v>2308</v>
      </c>
      <c r="W1497" s="5" t="s">
        <v>2308</v>
      </c>
      <c r="X1497" s="5" t="s">
        <v>2308</v>
      </c>
      <c r="Y1497" s="5" t="s">
        <v>2308</v>
      </c>
      <c r="Z1497" s="5" t="s">
        <v>2308</v>
      </c>
      <c r="AA1497" s="5" t="s">
        <v>2308</v>
      </c>
      <c r="AB1497" s="5" t="s">
        <v>2308</v>
      </c>
      <c r="AC1497" s="5" t="s">
        <v>4545</v>
      </c>
      <c r="AD1497" s="4"/>
    </row>
    <row r="1498" spans="1:30" ht="51.5" customHeight="1">
      <c r="A1498" s="12" t="s">
        <v>4536</v>
      </c>
      <c r="B1498" s="12" t="s">
        <v>4542</v>
      </c>
      <c r="C1498" s="4" t="s">
        <v>24</v>
      </c>
      <c r="D1498" s="4" t="s">
        <v>149</v>
      </c>
      <c r="E1498" s="4" t="s">
        <v>5065</v>
      </c>
      <c r="F1498" s="5" t="s">
        <v>74</v>
      </c>
      <c r="G1498" s="4" t="s">
        <v>74</v>
      </c>
      <c r="H1498" s="4" t="s">
        <v>531</v>
      </c>
      <c r="I1498" s="4"/>
      <c r="J1498" s="5" t="s">
        <v>2308</v>
      </c>
      <c r="K1498" s="5" t="s">
        <v>2308</v>
      </c>
      <c r="L1498" s="5" t="s">
        <v>2308</v>
      </c>
      <c r="M1498" s="5" t="s">
        <v>2308</v>
      </c>
      <c r="N1498" s="5" t="s">
        <v>2308</v>
      </c>
      <c r="O1498" s="5" t="s">
        <v>2308</v>
      </c>
      <c r="P1498" s="5" t="s">
        <v>2308</v>
      </c>
      <c r="Q1498" s="5" t="s">
        <v>2308</v>
      </c>
      <c r="R1498" s="5" t="s">
        <v>2308</v>
      </c>
      <c r="S1498" s="5" t="s">
        <v>2308</v>
      </c>
      <c r="T1498" s="5" t="s">
        <v>2308</v>
      </c>
      <c r="U1498" s="5" t="s">
        <v>2308</v>
      </c>
      <c r="V1498" s="5" t="s">
        <v>2308</v>
      </c>
      <c r="W1498" s="5" t="s">
        <v>2308</v>
      </c>
      <c r="X1498" s="5" t="s">
        <v>2308</v>
      </c>
      <c r="Y1498" s="5" t="s">
        <v>2308</v>
      </c>
      <c r="Z1498" s="5" t="s">
        <v>2308</v>
      </c>
      <c r="AA1498" s="5" t="s">
        <v>2308</v>
      </c>
      <c r="AB1498" s="5" t="s">
        <v>2308</v>
      </c>
      <c r="AC1498" s="5" t="s">
        <v>4545</v>
      </c>
      <c r="AD1498" s="4"/>
    </row>
    <row r="1499" spans="1:30" ht="47" customHeight="1">
      <c r="A1499" s="12" t="s">
        <v>4538</v>
      </c>
      <c r="B1499" s="12" t="s">
        <v>4543</v>
      </c>
      <c r="C1499" s="4" t="s">
        <v>24</v>
      </c>
      <c r="D1499" s="4" t="s">
        <v>26</v>
      </c>
      <c r="E1499" s="4" t="s">
        <v>5065</v>
      </c>
      <c r="F1499" s="5" t="s">
        <v>2695</v>
      </c>
      <c r="G1499" s="4" t="s">
        <v>2308</v>
      </c>
      <c r="H1499" s="4" t="s">
        <v>531</v>
      </c>
      <c r="I1499" s="4"/>
      <c r="J1499" s="5" t="s">
        <v>2308</v>
      </c>
      <c r="K1499" s="5" t="s">
        <v>2308</v>
      </c>
      <c r="L1499" s="5" t="s">
        <v>2308</v>
      </c>
      <c r="M1499" s="5" t="s">
        <v>2308</v>
      </c>
      <c r="N1499" s="5" t="s">
        <v>2308</v>
      </c>
      <c r="O1499" s="5" t="s">
        <v>2308</v>
      </c>
      <c r="P1499" s="5" t="s">
        <v>2308</v>
      </c>
      <c r="Q1499" s="5" t="s">
        <v>2308</v>
      </c>
      <c r="R1499" s="5" t="s">
        <v>2308</v>
      </c>
      <c r="S1499" s="5" t="s">
        <v>2308</v>
      </c>
      <c r="T1499" s="5" t="s">
        <v>2308</v>
      </c>
      <c r="U1499" s="5" t="s">
        <v>2308</v>
      </c>
      <c r="V1499" s="5" t="s">
        <v>2308</v>
      </c>
      <c r="W1499" s="5" t="s">
        <v>2308</v>
      </c>
      <c r="X1499" s="5" t="s">
        <v>2308</v>
      </c>
      <c r="Y1499" s="5" t="s">
        <v>2308</v>
      </c>
      <c r="Z1499" s="5" t="s">
        <v>2308</v>
      </c>
      <c r="AA1499" s="5" t="s">
        <v>2308</v>
      </c>
      <c r="AB1499" s="5" t="s">
        <v>2308</v>
      </c>
      <c r="AC1499" s="5" t="s">
        <v>4545</v>
      </c>
      <c r="AD1499" s="4"/>
    </row>
    <row r="1500" spans="1:30" ht="57.5" customHeight="1">
      <c r="A1500" s="12" t="s">
        <v>4538</v>
      </c>
      <c r="B1500" s="12" t="s">
        <v>4544</v>
      </c>
      <c r="C1500" s="4" t="s">
        <v>24</v>
      </c>
      <c r="D1500" s="4" t="s">
        <v>25</v>
      </c>
      <c r="E1500" s="4" t="s">
        <v>5065</v>
      </c>
      <c r="F1500" s="5" t="s">
        <v>55</v>
      </c>
      <c r="G1500" s="4" t="s">
        <v>2308</v>
      </c>
      <c r="H1500" s="4" t="s">
        <v>531</v>
      </c>
      <c r="I1500" s="4"/>
      <c r="J1500" s="5" t="s">
        <v>2308</v>
      </c>
      <c r="K1500" s="5" t="s">
        <v>2308</v>
      </c>
      <c r="L1500" s="5" t="s">
        <v>2308</v>
      </c>
      <c r="M1500" s="5" t="s">
        <v>2308</v>
      </c>
      <c r="N1500" s="5" t="s">
        <v>2308</v>
      </c>
      <c r="O1500" s="5" t="s">
        <v>2308</v>
      </c>
      <c r="P1500" s="5" t="s">
        <v>2308</v>
      </c>
      <c r="Q1500" s="5" t="s">
        <v>2308</v>
      </c>
      <c r="R1500" s="5" t="s">
        <v>2308</v>
      </c>
      <c r="S1500" s="5" t="s">
        <v>2308</v>
      </c>
      <c r="T1500" s="5" t="s">
        <v>2308</v>
      </c>
      <c r="U1500" s="5" t="s">
        <v>2308</v>
      </c>
      <c r="V1500" s="5" t="s">
        <v>2308</v>
      </c>
      <c r="W1500" s="5" t="s">
        <v>2308</v>
      </c>
      <c r="X1500" s="5" t="s">
        <v>2308</v>
      </c>
      <c r="Y1500" s="5" t="s">
        <v>2308</v>
      </c>
      <c r="Z1500" s="5" t="s">
        <v>2308</v>
      </c>
      <c r="AA1500" s="5" t="s">
        <v>2308</v>
      </c>
      <c r="AB1500" s="5" t="s">
        <v>2308</v>
      </c>
      <c r="AC1500" s="5" t="s">
        <v>4546</v>
      </c>
      <c r="AD1500" s="4"/>
    </row>
    <row r="1501" spans="1:30" ht="47" customHeight="1">
      <c r="A1501" s="20" t="s">
        <v>4539</v>
      </c>
      <c r="B1501" s="20" t="s">
        <v>4547</v>
      </c>
      <c r="C1501" s="5" t="s">
        <v>24</v>
      </c>
      <c r="D1501" s="5" t="s">
        <v>3027</v>
      </c>
      <c r="E1501" s="5" t="s">
        <v>5065</v>
      </c>
      <c r="F1501" s="5" t="s">
        <v>2308</v>
      </c>
      <c r="G1501" s="4" t="s">
        <v>2308</v>
      </c>
      <c r="H1501" s="4" t="s">
        <v>531</v>
      </c>
      <c r="I1501" s="5"/>
      <c r="J1501" s="5" t="s">
        <v>2308</v>
      </c>
      <c r="K1501" s="5" t="s">
        <v>2308</v>
      </c>
      <c r="L1501" s="5" t="s">
        <v>2308</v>
      </c>
      <c r="M1501" s="5" t="s">
        <v>2308</v>
      </c>
      <c r="N1501" s="5" t="s">
        <v>2308</v>
      </c>
      <c r="O1501" s="5" t="s">
        <v>2308</v>
      </c>
      <c r="P1501" s="5" t="s">
        <v>2308</v>
      </c>
      <c r="Q1501" s="5" t="s">
        <v>2308</v>
      </c>
      <c r="R1501" s="5" t="s">
        <v>2308</v>
      </c>
      <c r="S1501" s="5" t="s">
        <v>2308</v>
      </c>
      <c r="T1501" s="5" t="s">
        <v>2308</v>
      </c>
      <c r="U1501" s="5" t="s">
        <v>2308</v>
      </c>
      <c r="V1501" s="5" t="s">
        <v>2308</v>
      </c>
      <c r="W1501" s="5" t="s">
        <v>2308</v>
      </c>
      <c r="X1501" s="5" t="s">
        <v>2308</v>
      </c>
      <c r="Y1501" s="5" t="s">
        <v>2308</v>
      </c>
      <c r="Z1501" s="5" t="s">
        <v>2308</v>
      </c>
      <c r="AA1501" s="5" t="s">
        <v>2308</v>
      </c>
      <c r="AB1501" s="5" t="s">
        <v>2308</v>
      </c>
      <c r="AC1501" s="5" t="s">
        <v>4549</v>
      </c>
      <c r="AD1501" s="5"/>
    </row>
    <row r="1502" spans="1:30" ht="49.5" customHeight="1">
      <c r="A1502" s="20" t="s">
        <v>4540</v>
      </c>
      <c r="B1502" s="20" t="s">
        <v>4548</v>
      </c>
      <c r="C1502" s="5" t="s">
        <v>24</v>
      </c>
      <c r="D1502" s="5" t="s">
        <v>3027</v>
      </c>
      <c r="E1502" s="5" t="s">
        <v>5065</v>
      </c>
      <c r="F1502" s="5" t="s">
        <v>2308</v>
      </c>
      <c r="G1502" s="4" t="s">
        <v>2308</v>
      </c>
      <c r="H1502" s="4" t="s">
        <v>531</v>
      </c>
      <c r="I1502" s="5"/>
      <c r="J1502" s="5" t="s">
        <v>2308</v>
      </c>
      <c r="K1502" s="5" t="s">
        <v>2308</v>
      </c>
      <c r="L1502" s="5" t="s">
        <v>2308</v>
      </c>
      <c r="M1502" s="5" t="s">
        <v>2308</v>
      </c>
      <c r="N1502" s="5" t="s">
        <v>2308</v>
      </c>
      <c r="O1502" s="5" t="s">
        <v>2308</v>
      </c>
      <c r="P1502" s="5" t="s">
        <v>2308</v>
      </c>
      <c r="Q1502" s="5" t="s">
        <v>2308</v>
      </c>
      <c r="R1502" s="5" t="s">
        <v>2308</v>
      </c>
      <c r="S1502" s="5" t="s">
        <v>2308</v>
      </c>
      <c r="T1502" s="5" t="s">
        <v>2308</v>
      </c>
      <c r="U1502" s="5" t="s">
        <v>2308</v>
      </c>
      <c r="V1502" s="5" t="s">
        <v>2308</v>
      </c>
      <c r="W1502" s="5" t="s">
        <v>2308</v>
      </c>
      <c r="X1502" s="5" t="s">
        <v>2308</v>
      </c>
      <c r="Y1502" s="5" t="s">
        <v>2308</v>
      </c>
      <c r="Z1502" s="5" t="s">
        <v>2308</v>
      </c>
      <c r="AA1502" s="5" t="s">
        <v>2308</v>
      </c>
      <c r="AB1502" s="5" t="s">
        <v>2308</v>
      </c>
      <c r="AC1502" s="5" t="s">
        <v>4549</v>
      </c>
      <c r="AD1502" s="5"/>
    </row>
    <row r="1503" spans="1:30" ht="39" customHeight="1">
      <c r="A1503" s="12" t="s">
        <v>4553</v>
      </c>
      <c r="B1503" s="12" t="s">
        <v>4559</v>
      </c>
      <c r="C1503" s="4" t="s">
        <v>1125</v>
      </c>
      <c r="D1503" s="4" t="s">
        <v>1125</v>
      </c>
      <c r="E1503" s="4" t="s">
        <v>1125</v>
      </c>
      <c r="F1503" s="5" t="s">
        <v>1125</v>
      </c>
      <c r="G1503" s="4" t="s">
        <v>1125</v>
      </c>
      <c r="H1503" s="4" t="s">
        <v>532</v>
      </c>
      <c r="I1503" s="4"/>
      <c r="J1503" s="22">
        <v>0</v>
      </c>
      <c r="K1503" s="22">
        <v>0</v>
      </c>
      <c r="L1503" s="22">
        <v>0</v>
      </c>
      <c r="M1503" s="22">
        <v>0</v>
      </c>
      <c r="N1503" s="22">
        <v>0</v>
      </c>
      <c r="O1503" s="22">
        <v>0</v>
      </c>
      <c r="P1503" s="22">
        <v>0</v>
      </c>
      <c r="Q1503" s="22">
        <v>0</v>
      </c>
      <c r="R1503" s="22">
        <v>0</v>
      </c>
      <c r="S1503" s="22">
        <v>0</v>
      </c>
      <c r="T1503" s="22">
        <v>0</v>
      </c>
      <c r="U1503" s="22">
        <v>0</v>
      </c>
      <c r="V1503" s="22">
        <v>0</v>
      </c>
      <c r="W1503" s="22">
        <v>0</v>
      </c>
      <c r="X1503" s="22">
        <v>0</v>
      </c>
      <c r="Y1503" s="5" t="s">
        <v>2308</v>
      </c>
      <c r="Z1503" s="5" t="s">
        <v>2308</v>
      </c>
      <c r="AA1503" s="5" t="s">
        <v>2308</v>
      </c>
      <c r="AB1503" s="5" t="s">
        <v>2308</v>
      </c>
      <c r="AC1503" s="184" t="s">
        <v>4560</v>
      </c>
      <c r="AD1503" s="4"/>
    </row>
    <row r="1504" spans="1:30" ht="34.5" customHeight="1">
      <c r="A1504" s="12" t="s">
        <v>4557</v>
      </c>
      <c r="B1504" s="12" t="s">
        <v>4563</v>
      </c>
      <c r="C1504" s="4" t="s">
        <v>24</v>
      </c>
      <c r="D1504" s="4" t="s">
        <v>1125</v>
      </c>
      <c r="E1504" s="4" t="s">
        <v>2680</v>
      </c>
      <c r="F1504" s="5" t="s">
        <v>1125</v>
      </c>
      <c r="G1504" s="4" t="s">
        <v>1125</v>
      </c>
      <c r="H1504" s="4" t="s">
        <v>532</v>
      </c>
      <c r="I1504" s="4"/>
      <c r="J1504" s="22">
        <v>0</v>
      </c>
      <c r="K1504" s="22">
        <v>0</v>
      </c>
      <c r="L1504" s="22">
        <v>0</v>
      </c>
      <c r="M1504" s="22">
        <v>0</v>
      </c>
      <c r="N1504" s="22">
        <v>0</v>
      </c>
      <c r="O1504" s="22">
        <v>0</v>
      </c>
      <c r="P1504" s="22">
        <v>0</v>
      </c>
      <c r="Q1504" s="22">
        <v>0</v>
      </c>
      <c r="R1504" s="22">
        <v>0</v>
      </c>
      <c r="S1504" s="22">
        <v>0</v>
      </c>
      <c r="T1504" s="22">
        <v>0</v>
      </c>
      <c r="U1504" s="22">
        <v>0</v>
      </c>
      <c r="V1504" s="22">
        <v>0</v>
      </c>
      <c r="W1504" s="22">
        <v>0</v>
      </c>
      <c r="X1504" s="22">
        <v>0</v>
      </c>
      <c r="Y1504" s="5" t="s">
        <v>2308</v>
      </c>
      <c r="Z1504" s="5" t="s">
        <v>2308</v>
      </c>
      <c r="AA1504" s="5" t="s">
        <v>2308</v>
      </c>
      <c r="AB1504" s="5" t="s">
        <v>2308</v>
      </c>
      <c r="AC1504" s="185" t="s">
        <v>4562</v>
      </c>
      <c r="AD1504" s="4"/>
    </row>
    <row r="1505" spans="1:30" ht="41" customHeight="1">
      <c r="A1505" s="12" t="s">
        <v>4557</v>
      </c>
      <c r="B1505" s="12" t="s">
        <v>4564</v>
      </c>
      <c r="C1505" s="4" t="s">
        <v>24</v>
      </c>
      <c r="D1505" s="4" t="s">
        <v>1125</v>
      </c>
      <c r="E1505" s="4" t="s">
        <v>45</v>
      </c>
      <c r="F1505" s="5" t="s">
        <v>1125</v>
      </c>
      <c r="G1505" s="4" t="s">
        <v>1125</v>
      </c>
      <c r="H1505" s="4" t="s">
        <v>532</v>
      </c>
      <c r="I1505" s="4"/>
      <c r="J1505" s="22">
        <v>0</v>
      </c>
      <c r="K1505" s="22">
        <v>0</v>
      </c>
      <c r="L1505" s="22">
        <v>0</v>
      </c>
      <c r="M1505" s="22">
        <v>0</v>
      </c>
      <c r="N1505" s="22">
        <v>0</v>
      </c>
      <c r="O1505" s="22">
        <v>0</v>
      </c>
      <c r="P1505" s="22">
        <v>0</v>
      </c>
      <c r="Q1505" s="22">
        <v>0</v>
      </c>
      <c r="R1505" s="22">
        <v>0</v>
      </c>
      <c r="S1505" s="22">
        <v>0</v>
      </c>
      <c r="T1505" s="22">
        <v>0</v>
      </c>
      <c r="U1505" s="22">
        <v>0</v>
      </c>
      <c r="V1505" s="22">
        <v>0</v>
      </c>
      <c r="W1505" s="22">
        <v>0</v>
      </c>
      <c r="X1505" s="22">
        <v>0</v>
      </c>
      <c r="Y1505" s="5" t="s">
        <v>2308</v>
      </c>
      <c r="Z1505" s="5" t="s">
        <v>2308</v>
      </c>
      <c r="AA1505" s="5" t="s">
        <v>2308</v>
      </c>
      <c r="AB1505" s="5" t="s">
        <v>2308</v>
      </c>
      <c r="AC1505" s="185" t="s">
        <v>4562</v>
      </c>
      <c r="AD1505" s="4"/>
    </row>
    <row r="1506" spans="1:30" ht="45.5" customHeight="1">
      <c r="A1506" s="12" t="s">
        <v>4569</v>
      </c>
      <c r="B1506" s="12" t="s">
        <v>4579</v>
      </c>
      <c r="C1506" s="4" t="s">
        <v>1125</v>
      </c>
      <c r="D1506" s="4" t="s">
        <v>1125</v>
      </c>
      <c r="E1506" s="4" t="s">
        <v>1125</v>
      </c>
      <c r="F1506" s="5" t="s">
        <v>1125</v>
      </c>
      <c r="G1506" s="4" t="s">
        <v>1125</v>
      </c>
      <c r="H1506" s="4" t="s">
        <v>531</v>
      </c>
      <c r="I1506" s="4"/>
      <c r="J1506" s="5" t="s">
        <v>2308</v>
      </c>
      <c r="K1506" s="5" t="s">
        <v>2308</v>
      </c>
      <c r="L1506" s="5" t="s">
        <v>2308</v>
      </c>
      <c r="M1506" s="5" t="s">
        <v>2308</v>
      </c>
      <c r="N1506" s="5" t="s">
        <v>2308</v>
      </c>
      <c r="O1506" s="5" t="s">
        <v>2308</v>
      </c>
      <c r="P1506" s="5" t="s">
        <v>2308</v>
      </c>
      <c r="Q1506" s="5" t="s">
        <v>2308</v>
      </c>
      <c r="R1506" s="5" t="s">
        <v>2308</v>
      </c>
      <c r="S1506" s="5" t="s">
        <v>2308</v>
      </c>
      <c r="T1506" s="5" t="s">
        <v>2308</v>
      </c>
      <c r="U1506" s="5" t="s">
        <v>2308</v>
      </c>
      <c r="V1506" s="5" t="s">
        <v>2308</v>
      </c>
      <c r="W1506" s="5" t="s">
        <v>2308</v>
      </c>
      <c r="X1506" s="5" t="s">
        <v>2308</v>
      </c>
      <c r="Y1506" s="22">
        <v>2</v>
      </c>
      <c r="Z1506" s="5" t="s">
        <v>2308</v>
      </c>
      <c r="AA1506" s="5" t="s">
        <v>2308</v>
      </c>
      <c r="AB1506" s="5" t="s">
        <v>2308</v>
      </c>
      <c r="AC1506" s="5" t="s">
        <v>4589</v>
      </c>
      <c r="AD1506" s="4" t="s">
        <v>4588</v>
      </c>
    </row>
    <row r="1507" spans="1:30" ht="41" customHeight="1">
      <c r="A1507" s="12" t="s">
        <v>4570</v>
      </c>
      <c r="B1507" s="12" t="s">
        <v>4580</v>
      </c>
      <c r="C1507" s="4" t="s">
        <v>1125</v>
      </c>
      <c r="D1507" s="4" t="s">
        <v>1125</v>
      </c>
      <c r="E1507" s="4" t="s">
        <v>1125</v>
      </c>
      <c r="F1507" s="5" t="s">
        <v>1125</v>
      </c>
      <c r="G1507" s="4" t="s">
        <v>1125</v>
      </c>
      <c r="H1507" s="4" t="s">
        <v>531</v>
      </c>
      <c r="I1507" s="4">
        <v>1967</v>
      </c>
      <c r="J1507" s="5" t="s">
        <v>2308</v>
      </c>
      <c r="K1507" s="5" t="s">
        <v>2308</v>
      </c>
      <c r="L1507" s="5" t="s">
        <v>2308</v>
      </c>
      <c r="M1507" s="5" t="s">
        <v>2308</v>
      </c>
      <c r="N1507" s="5" t="s">
        <v>2308</v>
      </c>
      <c r="O1507" s="5" t="s">
        <v>2308</v>
      </c>
      <c r="P1507" s="5" t="s">
        <v>2308</v>
      </c>
      <c r="Q1507" s="5" t="s">
        <v>2308</v>
      </c>
      <c r="R1507" s="5" t="s">
        <v>2308</v>
      </c>
      <c r="S1507" s="5" t="s">
        <v>2308</v>
      </c>
      <c r="T1507" s="5" t="s">
        <v>2308</v>
      </c>
      <c r="U1507" s="5" t="s">
        <v>2308</v>
      </c>
      <c r="V1507" s="5" t="s">
        <v>2308</v>
      </c>
      <c r="W1507" s="5" t="s">
        <v>2308</v>
      </c>
      <c r="X1507" s="5" t="s">
        <v>2308</v>
      </c>
      <c r="Y1507" s="22">
        <v>3</v>
      </c>
      <c r="Z1507" s="5" t="s">
        <v>2308</v>
      </c>
      <c r="AA1507" s="5" t="s">
        <v>2308</v>
      </c>
      <c r="AB1507" s="5" t="s">
        <v>2308</v>
      </c>
      <c r="AC1507" s="4"/>
      <c r="AD1507" s="4"/>
    </row>
    <row r="1508" spans="1:30" ht="41" customHeight="1">
      <c r="A1508" s="12" t="s">
        <v>4571</v>
      </c>
      <c r="B1508" s="12" t="s">
        <v>4581</v>
      </c>
      <c r="C1508" s="4" t="s">
        <v>1125</v>
      </c>
      <c r="D1508" s="4" t="s">
        <v>1125</v>
      </c>
      <c r="E1508" s="4" t="s">
        <v>1125</v>
      </c>
      <c r="F1508" s="5" t="s">
        <v>1125</v>
      </c>
      <c r="G1508" s="4" t="s">
        <v>1125</v>
      </c>
      <c r="H1508" s="4" t="s">
        <v>531</v>
      </c>
      <c r="I1508" s="4">
        <v>1967</v>
      </c>
      <c r="J1508" s="5" t="s">
        <v>2308</v>
      </c>
      <c r="K1508" s="5" t="s">
        <v>2308</v>
      </c>
      <c r="L1508" s="5" t="s">
        <v>2308</v>
      </c>
      <c r="M1508" s="5" t="s">
        <v>2308</v>
      </c>
      <c r="N1508" s="5" t="s">
        <v>2308</v>
      </c>
      <c r="O1508" s="5" t="s">
        <v>2308</v>
      </c>
      <c r="P1508" s="5" t="s">
        <v>2308</v>
      </c>
      <c r="Q1508" s="5" t="s">
        <v>2308</v>
      </c>
      <c r="R1508" s="5" t="s">
        <v>2308</v>
      </c>
      <c r="S1508" s="5" t="s">
        <v>2308</v>
      </c>
      <c r="T1508" s="5" t="s">
        <v>2308</v>
      </c>
      <c r="U1508" s="5" t="s">
        <v>2308</v>
      </c>
      <c r="V1508" s="5" t="s">
        <v>2308</v>
      </c>
      <c r="W1508" s="5" t="s">
        <v>2308</v>
      </c>
      <c r="X1508" s="5" t="s">
        <v>2308</v>
      </c>
      <c r="Y1508" s="22">
        <v>3</v>
      </c>
      <c r="Z1508" s="5" t="s">
        <v>2308</v>
      </c>
      <c r="AA1508" s="5" t="s">
        <v>2308</v>
      </c>
      <c r="AB1508" s="5" t="s">
        <v>2308</v>
      </c>
      <c r="AC1508" s="4"/>
      <c r="AD1508" s="4"/>
    </row>
    <row r="1509" spans="1:30" ht="41" customHeight="1">
      <c r="A1509" s="12" t="s">
        <v>4572</v>
      </c>
      <c r="B1509" s="12" t="s">
        <v>4582</v>
      </c>
      <c r="C1509" s="4" t="s">
        <v>1125</v>
      </c>
      <c r="D1509" s="4" t="s">
        <v>1125</v>
      </c>
      <c r="E1509" s="4" t="s">
        <v>1125</v>
      </c>
      <c r="F1509" s="5" t="s">
        <v>1125</v>
      </c>
      <c r="G1509" s="4" t="s">
        <v>1125</v>
      </c>
      <c r="H1509" s="4" t="s">
        <v>531</v>
      </c>
      <c r="I1509" s="4">
        <v>1967</v>
      </c>
      <c r="J1509" s="5" t="s">
        <v>2308</v>
      </c>
      <c r="K1509" s="5" t="s">
        <v>2308</v>
      </c>
      <c r="L1509" s="5" t="s">
        <v>2308</v>
      </c>
      <c r="M1509" s="5" t="s">
        <v>2308</v>
      </c>
      <c r="N1509" s="5" t="s">
        <v>2308</v>
      </c>
      <c r="O1509" s="5" t="s">
        <v>2308</v>
      </c>
      <c r="P1509" s="5" t="s">
        <v>2308</v>
      </c>
      <c r="Q1509" s="5" t="s">
        <v>2308</v>
      </c>
      <c r="R1509" s="5" t="s">
        <v>2308</v>
      </c>
      <c r="S1509" s="5" t="s">
        <v>2308</v>
      </c>
      <c r="T1509" s="5" t="s">
        <v>2308</v>
      </c>
      <c r="U1509" s="5" t="s">
        <v>2308</v>
      </c>
      <c r="V1509" s="5" t="s">
        <v>2308</v>
      </c>
      <c r="W1509" s="5" t="s">
        <v>2308</v>
      </c>
      <c r="X1509" s="5" t="s">
        <v>2308</v>
      </c>
      <c r="Y1509" s="22">
        <v>3</v>
      </c>
      <c r="Z1509" s="5" t="s">
        <v>2308</v>
      </c>
      <c r="AA1509" s="5" t="s">
        <v>2308</v>
      </c>
      <c r="AB1509" s="5" t="s">
        <v>2308</v>
      </c>
      <c r="AC1509" s="4"/>
      <c r="AD1509" s="4"/>
    </row>
    <row r="1510" spans="1:30" ht="41" customHeight="1">
      <c r="A1510" s="12" t="s">
        <v>4573</v>
      </c>
      <c r="B1510" s="12" t="s">
        <v>4583</v>
      </c>
      <c r="C1510" s="4" t="s">
        <v>1125</v>
      </c>
      <c r="D1510" s="4" t="s">
        <v>1125</v>
      </c>
      <c r="E1510" s="4" t="s">
        <v>1125</v>
      </c>
      <c r="F1510" s="5" t="s">
        <v>1125</v>
      </c>
      <c r="G1510" s="4" t="s">
        <v>1125</v>
      </c>
      <c r="H1510" s="4" t="s">
        <v>531</v>
      </c>
      <c r="I1510" s="4">
        <v>1967</v>
      </c>
      <c r="J1510" s="5" t="s">
        <v>2308</v>
      </c>
      <c r="K1510" s="5" t="s">
        <v>2308</v>
      </c>
      <c r="L1510" s="5" t="s">
        <v>2308</v>
      </c>
      <c r="M1510" s="5" t="s">
        <v>2308</v>
      </c>
      <c r="N1510" s="5" t="s">
        <v>2308</v>
      </c>
      <c r="O1510" s="5" t="s">
        <v>2308</v>
      </c>
      <c r="P1510" s="5" t="s">
        <v>2308</v>
      </c>
      <c r="Q1510" s="5" t="s">
        <v>2308</v>
      </c>
      <c r="R1510" s="5" t="s">
        <v>2308</v>
      </c>
      <c r="S1510" s="5" t="s">
        <v>2308</v>
      </c>
      <c r="T1510" s="5" t="s">
        <v>2308</v>
      </c>
      <c r="U1510" s="5" t="s">
        <v>2308</v>
      </c>
      <c r="V1510" s="5" t="s">
        <v>2308</v>
      </c>
      <c r="W1510" s="5" t="s">
        <v>2308</v>
      </c>
      <c r="X1510" s="5" t="s">
        <v>2308</v>
      </c>
      <c r="Y1510" s="22">
        <v>3</v>
      </c>
      <c r="Z1510" s="5" t="s">
        <v>2308</v>
      </c>
      <c r="AA1510" s="5" t="s">
        <v>2308</v>
      </c>
      <c r="AB1510" s="5" t="s">
        <v>2308</v>
      </c>
      <c r="AC1510" s="4"/>
      <c r="AD1510" s="4"/>
    </row>
    <row r="1511" spans="1:30" ht="50" customHeight="1">
      <c r="A1511" s="12" t="s">
        <v>4570</v>
      </c>
      <c r="B1511" s="12" t="s">
        <v>4584</v>
      </c>
      <c r="C1511" s="4" t="s">
        <v>1125</v>
      </c>
      <c r="D1511" s="4" t="s">
        <v>1125</v>
      </c>
      <c r="E1511" s="4" t="s">
        <v>1125</v>
      </c>
      <c r="F1511" s="5" t="s">
        <v>1125</v>
      </c>
      <c r="G1511" s="4" t="s">
        <v>1125</v>
      </c>
      <c r="H1511" s="4" t="s">
        <v>531</v>
      </c>
      <c r="I1511" s="12">
        <v>1973</v>
      </c>
      <c r="J1511" s="5" t="s">
        <v>2308</v>
      </c>
      <c r="K1511" s="5" t="s">
        <v>2308</v>
      </c>
      <c r="L1511" s="5" t="s">
        <v>2308</v>
      </c>
      <c r="M1511" s="5" t="s">
        <v>2308</v>
      </c>
      <c r="N1511" s="5" t="s">
        <v>2308</v>
      </c>
      <c r="O1511" s="5" t="s">
        <v>2308</v>
      </c>
      <c r="P1511" s="5" t="s">
        <v>2308</v>
      </c>
      <c r="Q1511" s="5" t="s">
        <v>2308</v>
      </c>
      <c r="R1511" s="5" t="s">
        <v>2308</v>
      </c>
      <c r="S1511" s="5" t="s">
        <v>2308</v>
      </c>
      <c r="T1511" s="5" t="s">
        <v>2308</v>
      </c>
      <c r="U1511" s="5" t="s">
        <v>2308</v>
      </c>
      <c r="V1511" s="5" t="s">
        <v>2308</v>
      </c>
      <c r="W1511" s="5" t="s">
        <v>2308</v>
      </c>
      <c r="X1511" s="5" t="s">
        <v>2308</v>
      </c>
      <c r="Y1511" s="5" t="s">
        <v>2308</v>
      </c>
      <c r="Z1511" s="5" t="s">
        <v>2308</v>
      </c>
      <c r="AA1511" s="5" t="s">
        <v>2308</v>
      </c>
      <c r="AB1511" s="5" t="s">
        <v>2308</v>
      </c>
      <c r="AC1511" s="5" t="s">
        <v>4590</v>
      </c>
      <c r="AD1511" s="4"/>
    </row>
    <row r="1512" spans="1:30" ht="50" customHeight="1">
      <c r="A1512" s="12" t="s">
        <v>4571</v>
      </c>
      <c r="B1512" s="12" t="s">
        <v>4585</v>
      </c>
      <c r="C1512" s="4" t="s">
        <v>1125</v>
      </c>
      <c r="D1512" s="4" t="s">
        <v>1125</v>
      </c>
      <c r="E1512" s="4" t="s">
        <v>1125</v>
      </c>
      <c r="F1512" s="5" t="s">
        <v>1125</v>
      </c>
      <c r="G1512" s="4" t="s">
        <v>1125</v>
      </c>
      <c r="H1512" s="4" t="s">
        <v>531</v>
      </c>
      <c r="I1512" s="12">
        <v>1973</v>
      </c>
      <c r="J1512" s="5" t="s">
        <v>2308</v>
      </c>
      <c r="K1512" s="5" t="s">
        <v>2308</v>
      </c>
      <c r="L1512" s="5" t="s">
        <v>2308</v>
      </c>
      <c r="M1512" s="5" t="s">
        <v>2308</v>
      </c>
      <c r="N1512" s="5" t="s">
        <v>2308</v>
      </c>
      <c r="O1512" s="5" t="s">
        <v>2308</v>
      </c>
      <c r="P1512" s="5" t="s">
        <v>2308</v>
      </c>
      <c r="Q1512" s="5" t="s">
        <v>2308</v>
      </c>
      <c r="R1512" s="5" t="s">
        <v>2308</v>
      </c>
      <c r="S1512" s="5" t="s">
        <v>2308</v>
      </c>
      <c r="T1512" s="5" t="s">
        <v>2308</v>
      </c>
      <c r="U1512" s="5" t="s">
        <v>2308</v>
      </c>
      <c r="V1512" s="5" t="s">
        <v>2308</v>
      </c>
      <c r="W1512" s="5" t="s">
        <v>2308</v>
      </c>
      <c r="X1512" s="5" t="s">
        <v>2308</v>
      </c>
      <c r="Y1512" s="5" t="s">
        <v>2308</v>
      </c>
      <c r="Z1512" s="5" t="s">
        <v>2308</v>
      </c>
      <c r="AA1512" s="5" t="s">
        <v>2308</v>
      </c>
      <c r="AB1512" s="5" t="s">
        <v>2308</v>
      </c>
      <c r="AC1512" s="5" t="s">
        <v>4590</v>
      </c>
      <c r="AD1512" s="4"/>
    </row>
    <row r="1513" spans="1:30" ht="50" customHeight="1">
      <c r="A1513" s="12" t="s">
        <v>4572</v>
      </c>
      <c r="B1513" s="12" t="s">
        <v>4586</v>
      </c>
      <c r="C1513" s="4" t="s">
        <v>1125</v>
      </c>
      <c r="D1513" s="4" t="s">
        <v>1125</v>
      </c>
      <c r="E1513" s="4" t="s">
        <v>1125</v>
      </c>
      <c r="F1513" s="5" t="s">
        <v>1125</v>
      </c>
      <c r="G1513" s="4" t="s">
        <v>1125</v>
      </c>
      <c r="H1513" s="4" t="s">
        <v>531</v>
      </c>
      <c r="I1513" s="12">
        <v>1973</v>
      </c>
      <c r="J1513" s="5" t="s">
        <v>2308</v>
      </c>
      <c r="K1513" s="5" t="s">
        <v>2308</v>
      </c>
      <c r="L1513" s="5" t="s">
        <v>2308</v>
      </c>
      <c r="M1513" s="5" t="s">
        <v>2308</v>
      </c>
      <c r="N1513" s="5" t="s">
        <v>2308</v>
      </c>
      <c r="O1513" s="5" t="s">
        <v>2308</v>
      </c>
      <c r="P1513" s="5" t="s">
        <v>2308</v>
      </c>
      <c r="Q1513" s="5" t="s">
        <v>2308</v>
      </c>
      <c r="R1513" s="5" t="s">
        <v>2308</v>
      </c>
      <c r="S1513" s="5" t="s">
        <v>2308</v>
      </c>
      <c r="T1513" s="5" t="s">
        <v>2308</v>
      </c>
      <c r="U1513" s="5" t="s">
        <v>2308</v>
      </c>
      <c r="V1513" s="5" t="s">
        <v>2308</v>
      </c>
      <c r="W1513" s="5" t="s">
        <v>2308</v>
      </c>
      <c r="X1513" s="5" t="s">
        <v>2308</v>
      </c>
      <c r="Y1513" s="5" t="s">
        <v>2308</v>
      </c>
      <c r="Z1513" s="5" t="s">
        <v>2308</v>
      </c>
      <c r="AA1513" s="5" t="s">
        <v>2308</v>
      </c>
      <c r="AB1513" s="5" t="s">
        <v>2308</v>
      </c>
      <c r="AC1513" s="5" t="s">
        <v>4590</v>
      </c>
      <c r="AD1513" s="4"/>
    </row>
    <row r="1514" spans="1:30" ht="50" customHeight="1">
      <c r="A1514" s="12" t="s">
        <v>4573</v>
      </c>
      <c r="B1514" s="12" t="s">
        <v>4587</v>
      </c>
      <c r="C1514" s="4" t="s">
        <v>1125</v>
      </c>
      <c r="D1514" s="4" t="s">
        <v>1125</v>
      </c>
      <c r="E1514" s="4" t="s">
        <v>1125</v>
      </c>
      <c r="F1514" s="5" t="s">
        <v>1125</v>
      </c>
      <c r="G1514" s="4" t="s">
        <v>1125</v>
      </c>
      <c r="H1514" s="4" t="s">
        <v>532</v>
      </c>
      <c r="I1514" s="12">
        <v>1992</v>
      </c>
      <c r="J1514" s="22">
        <v>0</v>
      </c>
      <c r="K1514" s="22">
        <v>0</v>
      </c>
      <c r="L1514" s="22">
        <v>0</v>
      </c>
      <c r="M1514" s="22">
        <v>0</v>
      </c>
      <c r="N1514" s="22">
        <v>0</v>
      </c>
      <c r="O1514" s="22">
        <v>0</v>
      </c>
      <c r="P1514" s="22">
        <v>0</v>
      </c>
      <c r="Q1514" s="22">
        <v>0</v>
      </c>
      <c r="R1514" s="22">
        <v>0</v>
      </c>
      <c r="S1514" s="22">
        <v>0</v>
      </c>
      <c r="T1514" s="22">
        <v>0</v>
      </c>
      <c r="U1514" s="22">
        <v>0</v>
      </c>
      <c r="V1514" s="22">
        <v>0</v>
      </c>
      <c r="W1514" s="22">
        <v>0</v>
      </c>
      <c r="X1514" s="22">
        <v>0</v>
      </c>
      <c r="Y1514" s="5" t="s">
        <v>2308</v>
      </c>
      <c r="Z1514" s="5" t="s">
        <v>2308</v>
      </c>
      <c r="AA1514" s="5" t="s">
        <v>2308</v>
      </c>
      <c r="AB1514" s="5" t="s">
        <v>2308</v>
      </c>
      <c r="AC1514" s="5" t="s">
        <v>4591</v>
      </c>
      <c r="AD1514" s="4"/>
    </row>
    <row r="1515" spans="1:30" ht="42" customHeight="1">
      <c r="A1515" s="12" t="s">
        <v>4594</v>
      </c>
      <c r="B1515" s="12" t="s">
        <v>4600</v>
      </c>
      <c r="C1515" s="4" t="s">
        <v>24</v>
      </c>
      <c r="D1515" s="4" t="s">
        <v>25</v>
      </c>
      <c r="E1515" s="4" t="s">
        <v>5065</v>
      </c>
      <c r="F1515" s="5" t="s">
        <v>2695</v>
      </c>
      <c r="G1515" s="4" t="s">
        <v>1125</v>
      </c>
      <c r="H1515" s="4" t="s">
        <v>531</v>
      </c>
      <c r="I1515" s="4"/>
      <c r="J1515" s="5" t="s">
        <v>2308</v>
      </c>
      <c r="K1515" s="5" t="s">
        <v>2308</v>
      </c>
      <c r="L1515" s="5" t="s">
        <v>2308</v>
      </c>
      <c r="M1515" s="5" t="s">
        <v>2308</v>
      </c>
      <c r="N1515" s="5" t="s">
        <v>2308</v>
      </c>
      <c r="O1515" s="5" t="s">
        <v>2308</v>
      </c>
      <c r="P1515" s="5" t="s">
        <v>2308</v>
      </c>
      <c r="Q1515" s="5" t="s">
        <v>2308</v>
      </c>
      <c r="R1515" s="5" t="s">
        <v>2308</v>
      </c>
      <c r="S1515" s="5" t="s">
        <v>2308</v>
      </c>
      <c r="T1515" s="5" t="s">
        <v>2308</v>
      </c>
      <c r="U1515" s="5" t="s">
        <v>2308</v>
      </c>
      <c r="V1515" s="5" t="s">
        <v>2308</v>
      </c>
      <c r="W1515" s="5" t="s">
        <v>2308</v>
      </c>
      <c r="X1515" s="5" t="s">
        <v>2308</v>
      </c>
      <c r="Y1515" s="5" t="s">
        <v>2308</v>
      </c>
      <c r="Z1515" s="5" t="s">
        <v>2308</v>
      </c>
      <c r="AA1515" s="5" t="s">
        <v>2308</v>
      </c>
      <c r="AB1515" s="5" t="s">
        <v>2308</v>
      </c>
      <c r="AC1515" s="4"/>
      <c r="AD1515" s="4"/>
    </row>
    <row r="1516" spans="1:30" ht="42" customHeight="1">
      <c r="A1516" s="12" t="s">
        <v>4594</v>
      </c>
      <c r="B1516" s="12" t="s">
        <v>4601</v>
      </c>
      <c r="C1516" s="4" t="s">
        <v>24</v>
      </c>
      <c r="D1516" s="4" t="s">
        <v>1151</v>
      </c>
      <c r="E1516" s="4" t="s">
        <v>136</v>
      </c>
      <c r="F1516" s="5" t="s">
        <v>2695</v>
      </c>
      <c r="G1516" s="4" t="s">
        <v>1125</v>
      </c>
      <c r="H1516" s="4" t="s">
        <v>531</v>
      </c>
      <c r="I1516" s="4"/>
      <c r="J1516" s="5" t="s">
        <v>2308</v>
      </c>
      <c r="K1516" s="5" t="s">
        <v>2308</v>
      </c>
      <c r="L1516" s="5" t="s">
        <v>2308</v>
      </c>
      <c r="M1516" s="5" t="s">
        <v>2308</v>
      </c>
      <c r="N1516" s="5" t="s">
        <v>2308</v>
      </c>
      <c r="O1516" s="5" t="s">
        <v>2308</v>
      </c>
      <c r="P1516" s="5" t="s">
        <v>2308</v>
      </c>
      <c r="Q1516" s="5" t="s">
        <v>2308</v>
      </c>
      <c r="R1516" s="5" t="s">
        <v>2308</v>
      </c>
      <c r="S1516" s="5" t="s">
        <v>2308</v>
      </c>
      <c r="T1516" s="5" t="s">
        <v>2308</v>
      </c>
      <c r="U1516" s="5" t="s">
        <v>2308</v>
      </c>
      <c r="V1516" s="5" t="s">
        <v>2308</v>
      </c>
      <c r="W1516" s="5" t="s">
        <v>2308</v>
      </c>
      <c r="X1516" s="5" t="s">
        <v>2308</v>
      </c>
      <c r="Y1516" s="5" t="s">
        <v>2308</v>
      </c>
      <c r="Z1516" s="5" t="s">
        <v>2308</v>
      </c>
      <c r="AA1516" s="5" t="s">
        <v>2308</v>
      </c>
      <c r="AB1516" s="5" t="s">
        <v>2308</v>
      </c>
      <c r="AC1516" s="4"/>
      <c r="AD1516" s="4"/>
    </row>
    <row r="1517" spans="1:30" ht="42" customHeight="1">
      <c r="A1517" s="12" t="s">
        <v>4594</v>
      </c>
      <c r="B1517" s="12" t="s">
        <v>4602</v>
      </c>
      <c r="C1517" s="4" t="s">
        <v>24</v>
      </c>
      <c r="D1517" s="4" t="s">
        <v>1151</v>
      </c>
      <c r="E1517" s="4" t="s">
        <v>5065</v>
      </c>
      <c r="F1517" s="5" t="s">
        <v>2695</v>
      </c>
      <c r="G1517" s="4" t="s">
        <v>1125</v>
      </c>
      <c r="H1517" s="4" t="s">
        <v>531</v>
      </c>
      <c r="I1517" s="4"/>
      <c r="J1517" s="5" t="s">
        <v>2308</v>
      </c>
      <c r="K1517" s="5" t="s">
        <v>2308</v>
      </c>
      <c r="L1517" s="5" t="s">
        <v>2308</v>
      </c>
      <c r="M1517" s="5" t="s">
        <v>2308</v>
      </c>
      <c r="N1517" s="5" t="s">
        <v>2308</v>
      </c>
      <c r="O1517" s="5" t="s">
        <v>2308</v>
      </c>
      <c r="P1517" s="5" t="s">
        <v>2308</v>
      </c>
      <c r="Q1517" s="5" t="s">
        <v>2308</v>
      </c>
      <c r="R1517" s="5" t="s">
        <v>2308</v>
      </c>
      <c r="S1517" s="5" t="s">
        <v>2308</v>
      </c>
      <c r="T1517" s="5" t="s">
        <v>2308</v>
      </c>
      <c r="U1517" s="5" t="s">
        <v>2308</v>
      </c>
      <c r="V1517" s="5" t="s">
        <v>2308</v>
      </c>
      <c r="W1517" s="5" t="s">
        <v>2308</v>
      </c>
      <c r="X1517" s="5" t="s">
        <v>2308</v>
      </c>
      <c r="Y1517" s="5" t="s">
        <v>2308</v>
      </c>
      <c r="Z1517" s="5" t="s">
        <v>2308</v>
      </c>
      <c r="AA1517" s="5" t="s">
        <v>2308</v>
      </c>
      <c r="AB1517" s="5" t="s">
        <v>2308</v>
      </c>
      <c r="AC1517" s="4"/>
      <c r="AD1517" s="4"/>
    </row>
    <row r="1518" spans="1:30" ht="42" customHeight="1">
      <c r="A1518" s="12" t="s">
        <v>4594</v>
      </c>
      <c r="B1518" s="12" t="s">
        <v>4603</v>
      </c>
      <c r="C1518" s="4" t="s">
        <v>24</v>
      </c>
      <c r="D1518" s="4" t="s">
        <v>1151</v>
      </c>
      <c r="E1518" s="4" t="s">
        <v>116</v>
      </c>
      <c r="F1518" s="5" t="s">
        <v>2695</v>
      </c>
      <c r="G1518" s="4" t="s">
        <v>1125</v>
      </c>
      <c r="H1518" s="4" t="s">
        <v>531</v>
      </c>
      <c r="I1518" s="4"/>
      <c r="J1518" s="5" t="s">
        <v>2308</v>
      </c>
      <c r="K1518" s="5" t="s">
        <v>2308</v>
      </c>
      <c r="L1518" s="5" t="s">
        <v>2308</v>
      </c>
      <c r="M1518" s="5" t="s">
        <v>2308</v>
      </c>
      <c r="N1518" s="5" t="s">
        <v>2308</v>
      </c>
      <c r="O1518" s="5" t="s">
        <v>2308</v>
      </c>
      <c r="P1518" s="5" t="s">
        <v>2308</v>
      </c>
      <c r="Q1518" s="5" t="s">
        <v>2308</v>
      </c>
      <c r="R1518" s="5" t="s">
        <v>2308</v>
      </c>
      <c r="S1518" s="5" t="s">
        <v>2308</v>
      </c>
      <c r="T1518" s="5" t="s">
        <v>2308</v>
      </c>
      <c r="U1518" s="5" t="s">
        <v>2308</v>
      </c>
      <c r="V1518" s="5" t="s">
        <v>2308</v>
      </c>
      <c r="W1518" s="5" t="s">
        <v>2308</v>
      </c>
      <c r="X1518" s="5" t="s">
        <v>2308</v>
      </c>
      <c r="Y1518" s="5" t="s">
        <v>2308</v>
      </c>
      <c r="Z1518" s="5" t="s">
        <v>2308</v>
      </c>
      <c r="AA1518" s="5" t="s">
        <v>2308</v>
      </c>
      <c r="AB1518" s="5" t="s">
        <v>2308</v>
      </c>
      <c r="AC1518" s="4"/>
      <c r="AD1518" s="4"/>
    </row>
    <row r="1519" spans="1:30" ht="42" customHeight="1">
      <c r="A1519" s="12" t="s">
        <v>4594</v>
      </c>
      <c r="B1519" s="12" t="s">
        <v>4604</v>
      </c>
      <c r="C1519" s="4" t="s">
        <v>24</v>
      </c>
      <c r="D1519" s="4" t="s">
        <v>2337</v>
      </c>
      <c r="E1519" s="4" t="s">
        <v>5065</v>
      </c>
      <c r="F1519" s="5" t="s">
        <v>2695</v>
      </c>
      <c r="G1519" s="4" t="s">
        <v>1125</v>
      </c>
      <c r="H1519" s="4" t="s">
        <v>531</v>
      </c>
      <c r="I1519" s="4"/>
      <c r="J1519" s="5" t="s">
        <v>2308</v>
      </c>
      <c r="K1519" s="5" t="s">
        <v>2308</v>
      </c>
      <c r="L1519" s="5" t="s">
        <v>2308</v>
      </c>
      <c r="M1519" s="5" t="s">
        <v>2308</v>
      </c>
      <c r="N1519" s="5" t="s">
        <v>2308</v>
      </c>
      <c r="O1519" s="5" t="s">
        <v>2308</v>
      </c>
      <c r="P1519" s="5" t="s">
        <v>2308</v>
      </c>
      <c r="Q1519" s="5" t="s">
        <v>2308</v>
      </c>
      <c r="R1519" s="5" t="s">
        <v>2308</v>
      </c>
      <c r="S1519" s="5" t="s">
        <v>2308</v>
      </c>
      <c r="T1519" s="5" t="s">
        <v>2308</v>
      </c>
      <c r="U1519" s="5" t="s">
        <v>2308</v>
      </c>
      <c r="V1519" s="5" t="s">
        <v>2308</v>
      </c>
      <c r="W1519" s="5" t="s">
        <v>2308</v>
      </c>
      <c r="X1519" s="5" t="s">
        <v>2308</v>
      </c>
      <c r="Y1519" s="5" t="s">
        <v>2308</v>
      </c>
      <c r="Z1519" s="5" t="s">
        <v>2308</v>
      </c>
      <c r="AA1519" s="5" t="s">
        <v>2308</v>
      </c>
      <c r="AB1519" s="5" t="s">
        <v>2308</v>
      </c>
      <c r="AC1519" s="4"/>
      <c r="AD1519" s="4"/>
    </row>
    <row r="1520" spans="1:30" ht="42" customHeight="1">
      <c r="A1520" s="12" t="s">
        <v>4594</v>
      </c>
      <c r="B1520" s="12" t="s">
        <v>4605</v>
      </c>
      <c r="C1520" s="4" t="s">
        <v>24</v>
      </c>
      <c r="D1520" s="4" t="s">
        <v>2373</v>
      </c>
      <c r="E1520" s="4" t="s">
        <v>116</v>
      </c>
      <c r="F1520" s="5" t="s">
        <v>2695</v>
      </c>
      <c r="G1520" s="4" t="s">
        <v>1125</v>
      </c>
      <c r="H1520" s="4" t="s">
        <v>531</v>
      </c>
      <c r="I1520" s="4"/>
      <c r="J1520" s="5" t="s">
        <v>2308</v>
      </c>
      <c r="K1520" s="5" t="s">
        <v>2308</v>
      </c>
      <c r="L1520" s="5" t="s">
        <v>2308</v>
      </c>
      <c r="M1520" s="5" t="s">
        <v>2308</v>
      </c>
      <c r="N1520" s="5" t="s">
        <v>2308</v>
      </c>
      <c r="O1520" s="5" t="s">
        <v>2308</v>
      </c>
      <c r="P1520" s="5" t="s">
        <v>2308</v>
      </c>
      <c r="Q1520" s="5" t="s">
        <v>2308</v>
      </c>
      <c r="R1520" s="5" t="s">
        <v>2308</v>
      </c>
      <c r="S1520" s="5" t="s">
        <v>2308</v>
      </c>
      <c r="T1520" s="5" t="s">
        <v>2308</v>
      </c>
      <c r="U1520" s="5" t="s">
        <v>2308</v>
      </c>
      <c r="V1520" s="5" t="s">
        <v>2308</v>
      </c>
      <c r="W1520" s="5" t="s">
        <v>2308</v>
      </c>
      <c r="X1520" s="5" t="s">
        <v>2308</v>
      </c>
      <c r="Y1520" s="5" t="s">
        <v>2308</v>
      </c>
      <c r="Z1520" s="5" t="s">
        <v>2308</v>
      </c>
      <c r="AA1520" s="5" t="s">
        <v>2308</v>
      </c>
      <c r="AB1520" s="5" t="s">
        <v>2308</v>
      </c>
      <c r="AC1520" s="4"/>
      <c r="AD1520" s="4"/>
    </row>
    <row r="1521" spans="1:30" ht="42" customHeight="1">
      <c r="A1521" s="12" t="s">
        <v>4594</v>
      </c>
      <c r="B1521" s="12" t="s">
        <v>4606</v>
      </c>
      <c r="C1521" s="4" t="s">
        <v>24</v>
      </c>
      <c r="D1521" s="4" t="s">
        <v>27</v>
      </c>
      <c r="E1521" s="4" t="s">
        <v>136</v>
      </c>
      <c r="F1521" s="5" t="s">
        <v>2695</v>
      </c>
      <c r="G1521" s="4" t="s">
        <v>1125</v>
      </c>
      <c r="H1521" s="4" t="s">
        <v>531</v>
      </c>
      <c r="I1521" s="4"/>
      <c r="J1521" s="5" t="s">
        <v>2308</v>
      </c>
      <c r="K1521" s="5" t="s">
        <v>2308</v>
      </c>
      <c r="L1521" s="5" t="s">
        <v>2308</v>
      </c>
      <c r="M1521" s="5" t="s">
        <v>2308</v>
      </c>
      <c r="N1521" s="5" t="s">
        <v>2308</v>
      </c>
      <c r="O1521" s="5" t="s">
        <v>2308</v>
      </c>
      <c r="P1521" s="5" t="s">
        <v>2308</v>
      </c>
      <c r="Q1521" s="5" t="s">
        <v>2308</v>
      </c>
      <c r="R1521" s="5" t="s">
        <v>2308</v>
      </c>
      <c r="S1521" s="5" t="s">
        <v>2308</v>
      </c>
      <c r="T1521" s="5" t="s">
        <v>2308</v>
      </c>
      <c r="U1521" s="5" t="s">
        <v>2308</v>
      </c>
      <c r="V1521" s="5" t="s">
        <v>2308</v>
      </c>
      <c r="W1521" s="5" t="s">
        <v>2308</v>
      </c>
      <c r="X1521" s="5" t="s">
        <v>2308</v>
      </c>
      <c r="Y1521" s="5" t="s">
        <v>2308</v>
      </c>
      <c r="Z1521" s="5" t="s">
        <v>2308</v>
      </c>
      <c r="AA1521" s="5" t="s">
        <v>2308</v>
      </c>
      <c r="AB1521" s="5" t="s">
        <v>2308</v>
      </c>
      <c r="AC1521" s="4"/>
      <c r="AD1521" s="4"/>
    </row>
    <row r="1522" spans="1:30" ht="42" customHeight="1">
      <c r="A1522" s="12" t="s">
        <v>4594</v>
      </c>
      <c r="B1522" s="12" t="s">
        <v>4607</v>
      </c>
      <c r="C1522" s="4" t="s">
        <v>24</v>
      </c>
      <c r="D1522" s="4" t="s">
        <v>2263</v>
      </c>
      <c r="E1522" s="4" t="s">
        <v>136</v>
      </c>
      <c r="F1522" s="5" t="s">
        <v>2695</v>
      </c>
      <c r="G1522" s="4" t="s">
        <v>1125</v>
      </c>
      <c r="H1522" s="4" t="s">
        <v>531</v>
      </c>
      <c r="I1522" s="4"/>
      <c r="J1522" s="5" t="s">
        <v>2308</v>
      </c>
      <c r="K1522" s="5" t="s">
        <v>2308</v>
      </c>
      <c r="L1522" s="5" t="s">
        <v>2308</v>
      </c>
      <c r="M1522" s="5" t="s">
        <v>2308</v>
      </c>
      <c r="N1522" s="5" t="s">
        <v>2308</v>
      </c>
      <c r="O1522" s="5" t="s">
        <v>2308</v>
      </c>
      <c r="P1522" s="5" t="s">
        <v>2308</v>
      </c>
      <c r="Q1522" s="5" t="s">
        <v>2308</v>
      </c>
      <c r="R1522" s="5" t="s">
        <v>2308</v>
      </c>
      <c r="S1522" s="5" t="s">
        <v>2308</v>
      </c>
      <c r="T1522" s="5" t="s">
        <v>2308</v>
      </c>
      <c r="U1522" s="5" t="s">
        <v>2308</v>
      </c>
      <c r="V1522" s="5" t="s">
        <v>2308</v>
      </c>
      <c r="W1522" s="5" t="s">
        <v>2308</v>
      </c>
      <c r="X1522" s="5" t="s">
        <v>2308</v>
      </c>
      <c r="Y1522" s="5" t="s">
        <v>2308</v>
      </c>
      <c r="Z1522" s="5" t="s">
        <v>2308</v>
      </c>
      <c r="AA1522" s="5" t="s">
        <v>2308</v>
      </c>
      <c r="AB1522" s="5" t="s">
        <v>2308</v>
      </c>
      <c r="AC1522" s="4"/>
      <c r="AD1522" s="4"/>
    </row>
    <row r="1523" spans="1:30" ht="42" customHeight="1">
      <c r="A1523" s="12" t="s">
        <v>4594</v>
      </c>
      <c r="B1523" s="12" t="s">
        <v>4608</v>
      </c>
      <c r="C1523" s="4" t="s">
        <v>24</v>
      </c>
      <c r="D1523" s="4" t="s">
        <v>3529</v>
      </c>
      <c r="E1523" s="4" t="s">
        <v>116</v>
      </c>
      <c r="F1523" s="5" t="s">
        <v>2695</v>
      </c>
      <c r="G1523" s="4" t="s">
        <v>1125</v>
      </c>
      <c r="H1523" s="4" t="s">
        <v>531</v>
      </c>
      <c r="I1523" s="4"/>
      <c r="J1523" s="5" t="s">
        <v>2308</v>
      </c>
      <c r="K1523" s="5" t="s">
        <v>2308</v>
      </c>
      <c r="L1523" s="5" t="s">
        <v>2308</v>
      </c>
      <c r="M1523" s="5" t="s">
        <v>2308</v>
      </c>
      <c r="N1523" s="5" t="s">
        <v>2308</v>
      </c>
      <c r="O1523" s="5" t="s">
        <v>2308</v>
      </c>
      <c r="P1523" s="5" t="s">
        <v>2308</v>
      </c>
      <c r="Q1523" s="5" t="s">
        <v>2308</v>
      </c>
      <c r="R1523" s="5" t="s">
        <v>2308</v>
      </c>
      <c r="S1523" s="5" t="s">
        <v>2308</v>
      </c>
      <c r="T1523" s="5" t="s">
        <v>2308</v>
      </c>
      <c r="U1523" s="5" t="s">
        <v>2308</v>
      </c>
      <c r="V1523" s="5" t="s">
        <v>2308</v>
      </c>
      <c r="W1523" s="5" t="s">
        <v>2308</v>
      </c>
      <c r="X1523" s="5" t="s">
        <v>2308</v>
      </c>
      <c r="Y1523" s="5" t="s">
        <v>2308</v>
      </c>
      <c r="Z1523" s="5" t="s">
        <v>2308</v>
      </c>
      <c r="AA1523" s="5" t="s">
        <v>2308</v>
      </c>
      <c r="AB1523" s="5" t="s">
        <v>2308</v>
      </c>
      <c r="AC1523" s="5" t="s">
        <v>4610</v>
      </c>
      <c r="AD1523" s="4"/>
    </row>
    <row r="1524" spans="1:30" ht="45" customHeight="1">
      <c r="A1524" s="12" t="s">
        <v>4594</v>
      </c>
      <c r="B1524" s="12" t="s">
        <v>4609</v>
      </c>
      <c r="C1524" s="4" t="s">
        <v>24</v>
      </c>
      <c r="D1524" s="4" t="s">
        <v>26</v>
      </c>
      <c r="E1524" s="4" t="s">
        <v>5065</v>
      </c>
      <c r="F1524" s="5" t="s">
        <v>2695</v>
      </c>
      <c r="G1524" s="4" t="s">
        <v>1125</v>
      </c>
      <c r="H1524" s="4" t="s">
        <v>531</v>
      </c>
      <c r="I1524" s="4"/>
      <c r="J1524" s="5" t="s">
        <v>2308</v>
      </c>
      <c r="K1524" s="5" t="s">
        <v>2308</v>
      </c>
      <c r="L1524" s="5" t="s">
        <v>2308</v>
      </c>
      <c r="M1524" s="5" t="s">
        <v>2308</v>
      </c>
      <c r="N1524" s="5" t="s">
        <v>2308</v>
      </c>
      <c r="O1524" s="5" t="s">
        <v>2308</v>
      </c>
      <c r="P1524" s="5" t="s">
        <v>2308</v>
      </c>
      <c r="Q1524" s="5" t="s">
        <v>2308</v>
      </c>
      <c r="R1524" s="5" t="s">
        <v>2308</v>
      </c>
      <c r="S1524" s="5" t="s">
        <v>2308</v>
      </c>
      <c r="T1524" s="5" t="s">
        <v>2308</v>
      </c>
      <c r="U1524" s="5" t="s">
        <v>2308</v>
      </c>
      <c r="V1524" s="5" t="s">
        <v>2308</v>
      </c>
      <c r="W1524" s="5" t="s">
        <v>2308</v>
      </c>
      <c r="X1524" s="5" t="s">
        <v>2308</v>
      </c>
      <c r="Y1524" s="5" t="s">
        <v>2308</v>
      </c>
      <c r="Z1524" s="5" t="s">
        <v>2308</v>
      </c>
      <c r="AA1524" s="5" t="s">
        <v>2308</v>
      </c>
      <c r="AB1524" s="5" t="s">
        <v>2308</v>
      </c>
      <c r="AC1524" s="4"/>
      <c r="AD1524" s="4"/>
    </row>
    <row r="1525" spans="1:30" ht="64.5" customHeight="1">
      <c r="A1525" s="12" t="s">
        <v>4594</v>
      </c>
      <c r="B1525" s="12" t="s">
        <v>4630</v>
      </c>
      <c r="C1525" s="4" t="s">
        <v>24</v>
      </c>
      <c r="D1525" s="4" t="s">
        <v>1125</v>
      </c>
      <c r="E1525" s="4" t="s">
        <v>5065</v>
      </c>
      <c r="F1525" s="5" t="s">
        <v>2695</v>
      </c>
      <c r="G1525" s="4" t="s">
        <v>1125</v>
      </c>
      <c r="H1525" s="4" t="s">
        <v>531</v>
      </c>
      <c r="I1525" s="4"/>
      <c r="J1525" s="5" t="s">
        <v>2308</v>
      </c>
      <c r="K1525" s="5" t="s">
        <v>2308</v>
      </c>
      <c r="L1525" s="5" t="s">
        <v>2308</v>
      </c>
      <c r="M1525" s="5" t="s">
        <v>2308</v>
      </c>
      <c r="N1525" s="5" t="s">
        <v>2308</v>
      </c>
      <c r="O1525" s="5" t="s">
        <v>2308</v>
      </c>
      <c r="P1525" s="5" t="s">
        <v>2308</v>
      </c>
      <c r="Q1525" s="5" t="s">
        <v>2308</v>
      </c>
      <c r="R1525" s="5" t="s">
        <v>2308</v>
      </c>
      <c r="S1525" s="5" t="s">
        <v>2308</v>
      </c>
      <c r="T1525" s="5" t="s">
        <v>2308</v>
      </c>
      <c r="U1525" s="5" t="s">
        <v>2308</v>
      </c>
      <c r="V1525" s="5" t="s">
        <v>2308</v>
      </c>
      <c r="W1525" s="5" t="s">
        <v>2308</v>
      </c>
      <c r="X1525" s="5" t="s">
        <v>2308</v>
      </c>
      <c r="Y1525" s="5" t="s">
        <v>2308</v>
      </c>
      <c r="Z1525" s="4" t="s">
        <v>38</v>
      </c>
      <c r="AA1525" s="4" t="s">
        <v>432</v>
      </c>
      <c r="AB1525" s="4" t="s">
        <v>76</v>
      </c>
      <c r="AC1525" s="5" t="s">
        <v>4631</v>
      </c>
      <c r="AD1525" s="4"/>
    </row>
    <row r="1526" spans="1:30" ht="29">
      <c r="A1526" s="12" t="s">
        <v>4597</v>
      </c>
      <c r="B1526" s="12" t="s">
        <v>4611</v>
      </c>
      <c r="C1526" s="4" t="s">
        <v>24</v>
      </c>
      <c r="D1526" s="4" t="s">
        <v>25</v>
      </c>
      <c r="E1526" s="4" t="s">
        <v>5065</v>
      </c>
      <c r="F1526" s="5" t="s">
        <v>2695</v>
      </c>
      <c r="G1526" s="4" t="s">
        <v>1125</v>
      </c>
      <c r="H1526" s="4" t="s">
        <v>531</v>
      </c>
      <c r="I1526" s="4"/>
      <c r="J1526" s="5" t="s">
        <v>2308</v>
      </c>
      <c r="K1526" s="5" t="s">
        <v>2308</v>
      </c>
      <c r="L1526" s="5" t="s">
        <v>2308</v>
      </c>
      <c r="M1526" s="5" t="s">
        <v>2308</v>
      </c>
      <c r="N1526" s="5" t="s">
        <v>2308</v>
      </c>
      <c r="O1526" s="5" t="s">
        <v>2308</v>
      </c>
      <c r="P1526" s="5" t="s">
        <v>2308</v>
      </c>
      <c r="Q1526" s="5" t="s">
        <v>2308</v>
      </c>
      <c r="R1526" s="5" t="s">
        <v>2308</v>
      </c>
      <c r="S1526" s="5" t="s">
        <v>2308</v>
      </c>
      <c r="T1526" s="5" t="s">
        <v>2308</v>
      </c>
      <c r="U1526" s="5" t="s">
        <v>2308</v>
      </c>
      <c r="V1526" s="5" t="s">
        <v>2308</v>
      </c>
      <c r="W1526" s="5" t="s">
        <v>2308</v>
      </c>
      <c r="X1526" s="5" t="s">
        <v>2308</v>
      </c>
      <c r="Y1526" s="5" t="s">
        <v>2308</v>
      </c>
      <c r="Z1526" s="5" t="s">
        <v>2308</v>
      </c>
      <c r="AA1526" s="5" t="s">
        <v>2308</v>
      </c>
      <c r="AB1526" s="5" t="s">
        <v>2308</v>
      </c>
      <c r="AC1526" s="4"/>
      <c r="AD1526" s="4"/>
    </row>
    <row r="1527" spans="1:30" ht="29">
      <c r="A1527" s="12" t="s">
        <v>4597</v>
      </c>
      <c r="B1527" s="12" t="s">
        <v>4612</v>
      </c>
      <c r="C1527" s="4" t="s">
        <v>24</v>
      </c>
      <c r="D1527" s="4" t="s">
        <v>1151</v>
      </c>
      <c r="E1527" s="4" t="s">
        <v>136</v>
      </c>
      <c r="F1527" s="5" t="s">
        <v>2695</v>
      </c>
      <c r="G1527" s="4" t="s">
        <v>1125</v>
      </c>
      <c r="H1527" s="4" t="s">
        <v>531</v>
      </c>
      <c r="I1527" s="4"/>
      <c r="J1527" s="5" t="s">
        <v>2308</v>
      </c>
      <c r="K1527" s="5" t="s">
        <v>2308</v>
      </c>
      <c r="L1527" s="5" t="s">
        <v>2308</v>
      </c>
      <c r="M1527" s="5" t="s">
        <v>2308</v>
      </c>
      <c r="N1527" s="5" t="s">
        <v>2308</v>
      </c>
      <c r="O1527" s="5" t="s">
        <v>2308</v>
      </c>
      <c r="P1527" s="5" t="s">
        <v>2308</v>
      </c>
      <c r="Q1527" s="5" t="s">
        <v>2308</v>
      </c>
      <c r="R1527" s="5" t="s">
        <v>2308</v>
      </c>
      <c r="S1527" s="5" t="s">
        <v>2308</v>
      </c>
      <c r="T1527" s="5" t="s">
        <v>2308</v>
      </c>
      <c r="U1527" s="5" t="s">
        <v>2308</v>
      </c>
      <c r="V1527" s="5" t="s">
        <v>2308</v>
      </c>
      <c r="W1527" s="5" t="s">
        <v>2308</v>
      </c>
      <c r="X1527" s="5" t="s">
        <v>2308</v>
      </c>
      <c r="Y1527" s="5" t="s">
        <v>2308</v>
      </c>
      <c r="Z1527" s="5" t="s">
        <v>2308</v>
      </c>
      <c r="AA1527" s="5" t="s">
        <v>2308</v>
      </c>
      <c r="AB1527" s="5" t="s">
        <v>2308</v>
      </c>
      <c r="AC1527" s="4"/>
      <c r="AD1527" s="4"/>
    </row>
    <row r="1528" spans="1:30" ht="29">
      <c r="A1528" s="12" t="s">
        <v>4597</v>
      </c>
      <c r="B1528" s="12" t="s">
        <v>4613</v>
      </c>
      <c r="C1528" s="4" t="s">
        <v>24</v>
      </c>
      <c r="D1528" s="4" t="s">
        <v>1151</v>
      </c>
      <c r="E1528" s="4" t="s">
        <v>5065</v>
      </c>
      <c r="F1528" s="5" t="s">
        <v>2695</v>
      </c>
      <c r="G1528" s="4" t="s">
        <v>1125</v>
      </c>
      <c r="H1528" s="4" t="s">
        <v>531</v>
      </c>
      <c r="I1528" s="4"/>
      <c r="J1528" s="5" t="s">
        <v>2308</v>
      </c>
      <c r="K1528" s="5" t="s">
        <v>2308</v>
      </c>
      <c r="L1528" s="5" t="s">
        <v>2308</v>
      </c>
      <c r="M1528" s="5" t="s">
        <v>2308</v>
      </c>
      <c r="N1528" s="5" t="s">
        <v>2308</v>
      </c>
      <c r="O1528" s="5" t="s">
        <v>2308</v>
      </c>
      <c r="P1528" s="5" t="s">
        <v>2308</v>
      </c>
      <c r="Q1528" s="5" t="s">
        <v>2308</v>
      </c>
      <c r="R1528" s="5" t="s">
        <v>2308</v>
      </c>
      <c r="S1528" s="5" t="s">
        <v>2308</v>
      </c>
      <c r="T1528" s="5" t="s">
        <v>2308</v>
      </c>
      <c r="U1528" s="5" t="s">
        <v>2308</v>
      </c>
      <c r="V1528" s="5" t="s">
        <v>2308</v>
      </c>
      <c r="W1528" s="5" t="s">
        <v>2308</v>
      </c>
      <c r="X1528" s="5" t="s">
        <v>2308</v>
      </c>
      <c r="Y1528" s="5" t="s">
        <v>2308</v>
      </c>
      <c r="Z1528" s="5" t="s">
        <v>2308</v>
      </c>
      <c r="AA1528" s="5" t="s">
        <v>2308</v>
      </c>
      <c r="AB1528" s="5" t="s">
        <v>2308</v>
      </c>
      <c r="AC1528" s="4"/>
      <c r="AD1528" s="4"/>
    </row>
    <row r="1529" spans="1:30" ht="29">
      <c r="A1529" s="12" t="s">
        <v>4597</v>
      </c>
      <c r="B1529" s="12" t="s">
        <v>4614</v>
      </c>
      <c r="C1529" s="4" t="s">
        <v>24</v>
      </c>
      <c r="D1529" s="4" t="s">
        <v>1151</v>
      </c>
      <c r="E1529" s="4" t="s">
        <v>116</v>
      </c>
      <c r="F1529" s="5" t="s">
        <v>2695</v>
      </c>
      <c r="G1529" s="4" t="s">
        <v>1125</v>
      </c>
      <c r="H1529" s="4" t="s">
        <v>531</v>
      </c>
      <c r="I1529" s="4"/>
      <c r="J1529" s="5" t="s">
        <v>2308</v>
      </c>
      <c r="K1529" s="5" t="s">
        <v>2308</v>
      </c>
      <c r="L1529" s="5" t="s">
        <v>2308</v>
      </c>
      <c r="M1529" s="5" t="s">
        <v>2308</v>
      </c>
      <c r="N1529" s="5" t="s">
        <v>2308</v>
      </c>
      <c r="O1529" s="5" t="s">
        <v>2308</v>
      </c>
      <c r="P1529" s="5" t="s">
        <v>2308</v>
      </c>
      <c r="Q1529" s="5" t="s">
        <v>2308</v>
      </c>
      <c r="R1529" s="5" t="s">
        <v>2308</v>
      </c>
      <c r="S1529" s="5" t="s">
        <v>2308</v>
      </c>
      <c r="T1529" s="5" t="s">
        <v>2308</v>
      </c>
      <c r="U1529" s="5" t="s">
        <v>2308</v>
      </c>
      <c r="V1529" s="5" t="s">
        <v>2308</v>
      </c>
      <c r="W1529" s="5" t="s">
        <v>2308</v>
      </c>
      <c r="X1529" s="5" t="s">
        <v>2308</v>
      </c>
      <c r="Y1529" s="5" t="s">
        <v>2308</v>
      </c>
      <c r="Z1529" s="5" t="s">
        <v>2308</v>
      </c>
      <c r="AA1529" s="5" t="s">
        <v>2308</v>
      </c>
      <c r="AB1529" s="5" t="s">
        <v>2308</v>
      </c>
      <c r="AC1529" s="4"/>
      <c r="AD1529" s="4"/>
    </row>
    <row r="1530" spans="1:30" ht="29">
      <c r="A1530" s="12" t="s">
        <v>4597</v>
      </c>
      <c r="B1530" s="12" t="s">
        <v>4615</v>
      </c>
      <c r="C1530" s="4" t="s">
        <v>24</v>
      </c>
      <c r="D1530" s="4" t="s">
        <v>2337</v>
      </c>
      <c r="E1530" s="4" t="s">
        <v>5065</v>
      </c>
      <c r="F1530" s="5" t="s">
        <v>2695</v>
      </c>
      <c r="G1530" s="4" t="s">
        <v>1125</v>
      </c>
      <c r="H1530" s="4" t="s">
        <v>531</v>
      </c>
      <c r="I1530" s="4"/>
      <c r="J1530" s="5" t="s">
        <v>2308</v>
      </c>
      <c r="K1530" s="5" t="s">
        <v>2308</v>
      </c>
      <c r="L1530" s="5" t="s">
        <v>2308</v>
      </c>
      <c r="M1530" s="5" t="s">
        <v>2308</v>
      </c>
      <c r="N1530" s="5" t="s">
        <v>2308</v>
      </c>
      <c r="O1530" s="5" t="s">
        <v>2308</v>
      </c>
      <c r="P1530" s="5" t="s">
        <v>2308</v>
      </c>
      <c r="Q1530" s="5" t="s">
        <v>2308</v>
      </c>
      <c r="R1530" s="5" t="s">
        <v>2308</v>
      </c>
      <c r="S1530" s="5" t="s">
        <v>2308</v>
      </c>
      <c r="T1530" s="5" t="s">
        <v>2308</v>
      </c>
      <c r="U1530" s="5" t="s">
        <v>2308</v>
      </c>
      <c r="V1530" s="5" t="s">
        <v>2308</v>
      </c>
      <c r="W1530" s="5" t="s">
        <v>2308</v>
      </c>
      <c r="X1530" s="5" t="s">
        <v>2308</v>
      </c>
      <c r="Y1530" s="5" t="s">
        <v>2308</v>
      </c>
      <c r="Z1530" s="5" t="s">
        <v>2308</v>
      </c>
      <c r="AA1530" s="5" t="s">
        <v>2308</v>
      </c>
      <c r="AB1530" s="5" t="s">
        <v>2308</v>
      </c>
      <c r="AC1530" s="4"/>
      <c r="AD1530" s="4"/>
    </row>
    <row r="1531" spans="1:30" ht="29">
      <c r="A1531" s="12" t="s">
        <v>4597</v>
      </c>
      <c r="B1531" s="12" t="s">
        <v>4616</v>
      </c>
      <c r="C1531" s="4" t="s">
        <v>24</v>
      </c>
      <c r="D1531" s="4" t="s">
        <v>2373</v>
      </c>
      <c r="E1531" s="4" t="s">
        <v>116</v>
      </c>
      <c r="F1531" s="5" t="s">
        <v>2695</v>
      </c>
      <c r="G1531" s="4" t="s">
        <v>1125</v>
      </c>
      <c r="H1531" s="4" t="s">
        <v>531</v>
      </c>
      <c r="I1531" s="4"/>
      <c r="J1531" s="5" t="s">
        <v>2308</v>
      </c>
      <c r="K1531" s="5" t="s">
        <v>2308</v>
      </c>
      <c r="L1531" s="5" t="s">
        <v>2308</v>
      </c>
      <c r="M1531" s="5" t="s">
        <v>2308</v>
      </c>
      <c r="N1531" s="5" t="s">
        <v>2308</v>
      </c>
      <c r="O1531" s="5" t="s">
        <v>2308</v>
      </c>
      <c r="P1531" s="5" t="s">
        <v>2308</v>
      </c>
      <c r="Q1531" s="5" t="s">
        <v>2308</v>
      </c>
      <c r="R1531" s="5" t="s">
        <v>2308</v>
      </c>
      <c r="S1531" s="5" t="s">
        <v>2308</v>
      </c>
      <c r="T1531" s="5" t="s">
        <v>2308</v>
      </c>
      <c r="U1531" s="5" t="s">
        <v>2308</v>
      </c>
      <c r="V1531" s="5" t="s">
        <v>2308</v>
      </c>
      <c r="W1531" s="5" t="s">
        <v>2308</v>
      </c>
      <c r="X1531" s="5" t="s">
        <v>2308</v>
      </c>
      <c r="Y1531" s="5" t="s">
        <v>2308</v>
      </c>
      <c r="Z1531" s="5" t="s">
        <v>2308</v>
      </c>
      <c r="AA1531" s="5" t="s">
        <v>2308</v>
      </c>
      <c r="AB1531" s="5" t="s">
        <v>2308</v>
      </c>
      <c r="AC1531" s="4"/>
      <c r="AD1531" s="4"/>
    </row>
    <row r="1532" spans="1:30" ht="29">
      <c r="A1532" s="12" t="s">
        <v>4597</v>
      </c>
      <c r="B1532" s="12" t="s">
        <v>4617</v>
      </c>
      <c r="C1532" s="4" t="s">
        <v>24</v>
      </c>
      <c r="D1532" s="4" t="s">
        <v>27</v>
      </c>
      <c r="E1532" s="4" t="s">
        <v>136</v>
      </c>
      <c r="F1532" s="5" t="s">
        <v>2695</v>
      </c>
      <c r="G1532" s="4" t="s">
        <v>1125</v>
      </c>
      <c r="H1532" s="4" t="s">
        <v>531</v>
      </c>
      <c r="I1532" s="4"/>
      <c r="J1532" s="5" t="s">
        <v>2308</v>
      </c>
      <c r="K1532" s="5" t="s">
        <v>2308</v>
      </c>
      <c r="L1532" s="5" t="s">
        <v>2308</v>
      </c>
      <c r="M1532" s="5" t="s">
        <v>2308</v>
      </c>
      <c r="N1532" s="5" t="s">
        <v>2308</v>
      </c>
      <c r="O1532" s="5" t="s">
        <v>2308</v>
      </c>
      <c r="P1532" s="5" t="s">
        <v>2308</v>
      </c>
      <c r="Q1532" s="5" t="s">
        <v>2308</v>
      </c>
      <c r="R1532" s="5" t="s">
        <v>2308</v>
      </c>
      <c r="S1532" s="5" t="s">
        <v>2308</v>
      </c>
      <c r="T1532" s="5" t="s">
        <v>2308</v>
      </c>
      <c r="U1532" s="5" t="s">
        <v>2308</v>
      </c>
      <c r="V1532" s="5" t="s">
        <v>2308</v>
      </c>
      <c r="W1532" s="5" t="s">
        <v>2308</v>
      </c>
      <c r="X1532" s="5" t="s">
        <v>2308</v>
      </c>
      <c r="Y1532" s="5" t="s">
        <v>2308</v>
      </c>
      <c r="Z1532" s="5" t="s">
        <v>2308</v>
      </c>
      <c r="AA1532" s="5" t="s">
        <v>2308</v>
      </c>
      <c r="AB1532" s="5" t="s">
        <v>2308</v>
      </c>
      <c r="AC1532" s="4"/>
      <c r="AD1532" s="4"/>
    </row>
    <row r="1533" spans="1:30" ht="29">
      <c r="A1533" s="12" t="s">
        <v>4597</v>
      </c>
      <c r="B1533" s="12" t="s">
        <v>4618</v>
      </c>
      <c r="C1533" s="4" t="s">
        <v>24</v>
      </c>
      <c r="D1533" s="4" t="s">
        <v>2263</v>
      </c>
      <c r="E1533" s="4" t="s">
        <v>136</v>
      </c>
      <c r="F1533" s="5" t="s">
        <v>2695</v>
      </c>
      <c r="G1533" s="4" t="s">
        <v>1125</v>
      </c>
      <c r="H1533" s="4" t="s">
        <v>531</v>
      </c>
      <c r="I1533" s="4"/>
      <c r="J1533" s="5" t="s">
        <v>2308</v>
      </c>
      <c r="K1533" s="5" t="s">
        <v>2308</v>
      </c>
      <c r="L1533" s="5" t="s">
        <v>2308</v>
      </c>
      <c r="M1533" s="5" t="s">
        <v>2308</v>
      </c>
      <c r="N1533" s="5" t="s">
        <v>2308</v>
      </c>
      <c r="O1533" s="5" t="s">
        <v>2308</v>
      </c>
      <c r="P1533" s="5" t="s">
        <v>2308</v>
      </c>
      <c r="Q1533" s="5" t="s">
        <v>2308</v>
      </c>
      <c r="R1533" s="5" t="s">
        <v>2308</v>
      </c>
      <c r="S1533" s="5" t="s">
        <v>2308</v>
      </c>
      <c r="T1533" s="5" t="s">
        <v>2308</v>
      </c>
      <c r="U1533" s="5" t="s">
        <v>2308</v>
      </c>
      <c r="V1533" s="5" t="s">
        <v>2308</v>
      </c>
      <c r="W1533" s="5" t="s">
        <v>2308</v>
      </c>
      <c r="X1533" s="5" t="s">
        <v>2308</v>
      </c>
      <c r="Y1533" s="5" t="s">
        <v>2308</v>
      </c>
      <c r="Z1533" s="5" t="s">
        <v>2308</v>
      </c>
      <c r="AA1533" s="5" t="s">
        <v>2308</v>
      </c>
      <c r="AB1533" s="5" t="s">
        <v>2308</v>
      </c>
      <c r="AC1533" s="5" t="s">
        <v>4610</v>
      </c>
      <c r="AD1533" s="4"/>
    </row>
    <row r="1534" spans="1:30" ht="29">
      <c r="A1534" s="12" t="s">
        <v>4597</v>
      </c>
      <c r="B1534" s="12" t="s">
        <v>4619</v>
      </c>
      <c r="C1534" s="4" t="s">
        <v>24</v>
      </c>
      <c r="D1534" s="4" t="s">
        <v>3529</v>
      </c>
      <c r="E1534" s="4" t="s">
        <v>116</v>
      </c>
      <c r="F1534" s="5" t="s">
        <v>2695</v>
      </c>
      <c r="G1534" s="4" t="s">
        <v>1125</v>
      </c>
      <c r="H1534" s="4" t="s">
        <v>531</v>
      </c>
      <c r="I1534" s="4"/>
      <c r="J1534" s="5" t="s">
        <v>2308</v>
      </c>
      <c r="K1534" s="5" t="s">
        <v>2308</v>
      </c>
      <c r="L1534" s="5" t="s">
        <v>2308</v>
      </c>
      <c r="M1534" s="5" t="s">
        <v>2308</v>
      </c>
      <c r="N1534" s="5" t="s">
        <v>2308</v>
      </c>
      <c r="O1534" s="5" t="s">
        <v>2308</v>
      </c>
      <c r="P1534" s="5" t="s">
        <v>2308</v>
      </c>
      <c r="Q1534" s="5" t="s">
        <v>2308</v>
      </c>
      <c r="R1534" s="5" t="s">
        <v>2308</v>
      </c>
      <c r="S1534" s="5" t="s">
        <v>2308</v>
      </c>
      <c r="T1534" s="5" t="s">
        <v>2308</v>
      </c>
      <c r="U1534" s="5" t="s">
        <v>2308</v>
      </c>
      <c r="V1534" s="5" t="s">
        <v>2308</v>
      </c>
      <c r="W1534" s="5" t="s">
        <v>2308</v>
      </c>
      <c r="X1534" s="5" t="s">
        <v>2308</v>
      </c>
      <c r="Y1534" s="5" t="s">
        <v>2308</v>
      </c>
      <c r="Z1534" s="5" t="s">
        <v>2308</v>
      </c>
      <c r="AA1534" s="5" t="s">
        <v>2308</v>
      </c>
      <c r="AB1534" s="5" t="s">
        <v>2308</v>
      </c>
      <c r="AC1534" s="4"/>
      <c r="AD1534" s="4"/>
    </row>
    <row r="1535" spans="1:30" ht="46.5" customHeight="1">
      <c r="A1535" s="12" t="s">
        <v>4597</v>
      </c>
      <c r="B1535" s="12" t="s">
        <v>4620</v>
      </c>
      <c r="C1535" s="4" t="s">
        <v>24</v>
      </c>
      <c r="D1535" s="4" t="s">
        <v>26</v>
      </c>
      <c r="E1535" s="4" t="s">
        <v>5065</v>
      </c>
      <c r="F1535" s="5" t="s">
        <v>2695</v>
      </c>
      <c r="G1535" s="4" t="s">
        <v>1125</v>
      </c>
      <c r="H1535" s="4" t="s">
        <v>531</v>
      </c>
      <c r="I1535" s="4"/>
      <c r="J1535" s="5" t="s">
        <v>2308</v>
      </c>
      <c r="K1535" s="5" t="s">
        <v>2308</v>
      </c>
      <c r="L1535" s="5" t="s">
        <v>2308</v>
      </c>
      <c r="M1535" s="5" t="s">
        <v>2308</v>
      </c>
      <c r="N1535" s="5" t="s">
        <v>2308</v>
      </c>
      <c r="O1535" s="5" t="s">
        <v>2308</v>
      </c>
      <c r="P1535" s="5" t="s">
        <v>2308</v>
      </c>
      <c r="Q1535" s="5" t="s">
        <v>2308</v>
      </c>
      <c r="R1535" s="5" t="s">
        <v>2308</v>
      </c>
      <c r="S1535" s="5" t="s">
        <v>2308</v>
      </c>
      <c r="T1535" s="5" t="s">
        <v>2308</v>
      </c>
      <c r="U1535" s="5" t="s">
        <v>2308</v>
      </c>
      <c r="V1535" s="5" t="s">
        <v>2308</v>
      </c>
      <c r="W1535" s="5" t="s">
        <v>2308</v>
      </c>
      <c r="X1535" s="5" t="s">
        <v>2308</v>
      </c>
      <c r="Y1535" s="5" t="s">
        <v>2308</v>
      </c>
      <c r="Z1535" s="5" t="s">
        <v>2308</v>
      </c>
      <c r="AA1535" s="5" t="s">
        <v>2308</v>
      </c>
      <c r="AB1535" s="5" t="s">
        <v>2308</v>
      </c>
      <c r="AC1535" s="4"/>
      <c r="AD1535" s="4"/>
    </row>
    <row r="1536" spans="1:30" ht="60" customHeight="1">
      <c r="A1536" s="12" t="s">
        <v>4597</v>
      </c>
      <c r="B1536" s="12" t="s">
        <v>4629</v>
      </c>
      <c r="C1536" s="4" t="s">
        <v>24</v>
      </c>
      <c r="D1536" s="4" t="s">
        <v>1125</v>
      </c>
      <c r="E1536" s="4" t="s">
        <v>5065</v>
      </c>
      <c r="F1536" s="5" t="s">
        <v>2695</v>
      </c>
      <c r="G1536" s="4" t="s">
        <v>1125</v>
      </c>
      <c r="H1536" s="4" t="s">
        <v>531</v>
      </c>
      <c r="I1536" s="4"/>
      <c r="J1536" s="5" t="s">
        <v>2308</v>
      </c>
      <c r="K1536" s="5" t="s">
        <v>2308</v>
      </c>
      <c r="L1536" s="5" t="s">
        <v>2308</v>
      </c>
      <c r="M1536" s="5" t="s">
        <v>2308</v>
      </c>
      <c r="N1536" s="5" t="s">
        <v>2308</v>
      </c>
      <c r="O1536" s="5" t="s">
        <v>2308</v>
      </c>
      <c r="P1536" s="5" t="s">
        <v>2308</v>
      </c>
      <c r="Q1536" s="5" t="s">
        <v>2308</v>
      </c>
      <c r="R1536" s="5" t="s">
        <v>2308</v>
      </c>
      <c r="S1536" s="5" t="s">
        <v>2308</v>
      </c>
      <c r="T1536" s="5" t="s">
        <v>2308</v>
      </c>
      <c r="U1536" s="5" t="s">
        <v>2308</v>
      </c>
      <c r="V1536" s="5" t="s">
        <v>2308</v>
      </c>
      <c r="W1536" s="5" t="s">
        <v>2308</v>
      </c>
      <c r="X1536" s="5" t="s">
        <v>2308</v>
      </c>
      <c r="Y1536" s="5" t="s">
        <v>2308</v>
      </c>
      <c r="Z1536" s="4" t="s">
        <v>38</v>
      </c>
      <c r="AA1536" s="4" t="s">
        <v>432</v>
      </c>
      <c r="AB1536" s="4" t="s">
        <v>76</v>
      </c>
      <c r="AC1536" s="5" t="s">
        <v>4631</v>
      </c>
      <c r="AD1536" s="4"/>
    </row>
    <row r="1537" spans="1:30" ht="49" customHeight="1">
      <c r="A1537" s="12" t="s">
        <v>4622</v>
      </c>
      <c r="B1537" s="12" t="s">
        <v>4625</v>
      </c>
      <c r="C1537" s="4" t="s">
        <v>24</v>
      </c>
      <c r="D1537" s="4" t="s">
        <v>150</v>
      </c>
      <c r="E1537" s="4" t="s">
        <v>143</v>
      </c>
      <c r="F1537" s="5" t="s">
        <v>2695</v>
      </c>
      <c r="G1537" s="4" t="s">
        <v>1125</v>
      </c>
      <c r="H1537" s="4" t="s">
        <v>531</v>
      </c>
      <c r="I1537" s="4"/>
      <c r="J1537" s="5" t="s">
        <v>2308</v>
      </c>
      <c r="K1537" s="5" t="s">
        <v>2308</v>
      </c>
      <c r="L1537" s="5" t="s">
        <v>2308</v>
      </c>
      <c r="M1537" s="5" t="s">
        <v>2308</v>
      </c>
      <c r="N1537" s="5" t="s">
        <v>2308</v>
      </c>
      <c r="O1537" s="5" t="s">
        <v>2308</v>
      </c>
      <c r="P1537" s="5" t="s">
        <v>2308</v>
      </c>
      <c r="Q1537" s="5" t="s">
        <v>2308</v>
      </c>
      <c r="R1537" s="5" t="s">
        <v>2308</v>
      </c>
      <c r="S1537" s="5" t="s">
        <v>2308</v>
      </c>
      <c r="T1537" s="5" t="s">
        <v>2308</v>
      </c>
      <c r="U1537" s="5" t="s">
        <v>2308</v>
      </c>
      <c r="V1537" s="5" t="s">
        <v>2308</v>
      </c>
      <c r="W1537" s="5" t="s">
        <v>2308</v>
      </c>
      <c r="X1537" s="5" t="s">
        <v>2308</v>
      </c>
      <c r="Y1537" s="5" t="s">
        <v>2308</v>
      </c>
      <c r="Z1537" s="5" t="s">
        <v>2308</v>
      </c>
      <c r="AA1537" s="5" t="s">
        <v>2308</v>
      </c>
      <c r="AB1537" s="5" t="s">
        <v>2308</v>
      </c>
      <c r="AC1537" s="5"/>
      <c r="AD1537" s="4"/>
    </row>
    <row r="1538" spans="1:30" ht="41" customHeight="1">
      <c r="A1538" s="12" t="s">
        <v>4622</v>
      </c>
      <c r="B1538" s="12" t="s">
        <v>4626</v>
      </c>
      <c r="C1538" s="4" t="s">
        <v>24</v>
      </c>
      <c r="D1538" s="4" t="s">
        <v>1267</v>
      </c>
      <c r="E1538" s="4" t="s">
        <v>2685</v>
      </c>
      <c r="F1538" s="5" t="s">
        <v>2695</v>
      </c>
      <c r="G1538" s="4" t="s">
        <v>1125</v>
      </c>
      <c r="H1538" s="4" t="s">
        <v>531</v>
      </c>
      <c r="I1538" s="4"/>
      <c r="J1538" s="5" t="s">
        <v>2308</v>
      </c>
      <c r="K1538" s="5" t="s">
        <v>2308</v>
      </c>
      <c r="L1538" s="5" t="s">
        <v>2308</v>
      </c>
      <c r="M1538" s="5" t="s">
        <v>2308</v>
      </c>
      <c r="N1538" s="5" t="s">
        <v>2308</v>
      </c>
      <c r="O1538" s="5" t="s">
        <v>2308</v>
      </c>
      <c r="P1538" s="5" t="s">
        <v>2308</v>
      </c>
      <c r="Q1538" s="5" t="s">
        <v>2308</v>
      </c>
      <c r="R1538" s="5" t="s">
        <v>2308</v>
      </c>
      <c r="S1538" s="5" t="s">
        <v>2308</v>
      </c>
      <c r="T1538" s="5" t="s">
        <v>2308</v>
      </c>
      <c r="U1538" s="5" t="s">
        <v>2308</v>
      </c>
      <c r="V1538" s="5" t="s">
        <v>2308</v>
      </c>
      <c r="W1538" s="5" t="s">
        <v>2308</v>
      </c>
      <c r="X1538" s="5" t="s">
        <v>2308</v>
      </c>
      <c r="Y1538" s="5" t="s">
        <v>2308</v>
      </c>
      <c r="Z1538" s="5" t="s">
        <v>2308</v>
      </c>
      <c r="AA1538" s="5" t="s">
        <v>2308</v>
      </c>
      <c r="AB1538" s="5" t="s">
        <v>2308</v>
      </c>
      <c r="AC1538" s="4"/>
      <c r="AD1538" s="4"/>
    </row>
    <row r="1539" spans="1:30" ht="48.5" customHeight="1">
      <c r="A1539" s="12" t="s">
        <v>4622</v>
      </c>
      <c r="B1539" s="12" t="s">
        <v>4627</v>
      </c>
      <c r="C1539" s="4" t="s">
        <v>24</v>
      </c>
      <c r="D1539" s="4" t="s">
        <v>1125</v>
      </c>
      <c r="E1539" s="4" t="s">
        <v>1125</v>
      </c>
      <c r="F1539" s="5" t="s">
        <v>2695</v>
      </c>
      <c r="G1539" s="4" t="s">
        <v>1125</v>
      </c>
      <c r="H1539" s="4" t="s">
        <v>531</v>
      </c>
      <c r="I1539" s="4"/>
      <c r="J1539" s="5" t="s">
        <v>2308</v>
      </c>
      <c r="K1539" s="5" t="s">
        <v>2308</v>
      </c>
      <c r="L1539" s="5" t="s">
        <v>2308</v>
      </c>
      <c r="M1539" s="5" t="s">
        <v>2308</v>
      </c>
      <c r="N1539" s="5" t="s">
        <v>2308</v>
      </c>
      <c r="O1539" s="5" t="s">
        <v>2308</v>
      </c>
      <c r="P1539" s="5" t="s">
        <v>2308</v>
      </c>
      <c r="Q1539" s="5" t="s">
        <v>2308</v>
      </c>
      <c r="R1539" s="5" t="s">
        <v>2308</v>
      </c>
      <c r="S1539" s="5" t="s">
        <v>2308</v>
      </c>
      <c r="T1539" s="5" t="s">
        <v>2308</v>
      </c>
      <c r="U1539" s="5" t="s">
        <v>2308</v>
      </c>
      <c r="V1539" s="5" t="s">
        <v>2308</v>
      </c>
      <c r="W1539" s="5" t="s">
        <v>2308</v>
      </c>
      <c r="X1539" s="5" t="s">
        <v>2308</v>
      </c>
      <c r="Y1539" s="5" t="s">
        <v>2308</v>
      </c>
      <c r="Z1539" s="5" t="s">
        <v>2308</v>
      </c>
      <c r="AA1539" s="5" t="s">
        <v>2308</v>
      </c>
      <c r="AB1539" s="5" t="s">
        <v>2308</v>
      </c>
      <c r="AC1539" s="5" t="s">
        <v>4628</v>
      </c>
      <c r="AD1539" s="4"/>
    </row>
    <row r="1540" spans="1:30" ht="40.5" customHeight="1">
      <c r="A1540" s="12" t="s">
        <v>4633</v>
      </c>
      <c r="B1540" s="36" t="s">
        <v>4634</v>
      </c>
      <c r="C1540" s="39" t="s">
        <v>24</v>
      </c>
      <c r="D1540" s="39" t="s">
        <v>26</v>
      </c>
      <c r="E1540" t="s">
        <v>5065</v>
      </c>
      <c r="F1540" s="5" t="s">
        <v>2695</v>
      </c>
      <c r="G1540" s="4" t="s">
        <v>1125</v>
      </c>
      <c r="H1540" s="4" t="s">
        <v>531</v>
      </c>
      <c r="I1540" s="39"/>
      <c r="J1540" s="5" t="s">
        <v>2308</v>
      </c>
      <c r="K1540" s="5" t="s">
        <v>2308</v>
      </c>
      <c r="L1540" s="5" t="s">
        <v>2308</v>
      </c>
      <c r="M1540" s="5" t="s">
        <v>2308</v>
      </c>
      <c r="N1540" s="5" t="s">
        <v>2308</v>
      </c>
      <c r="O1540" s="5" t="s">
        <v>2308</v>
      </c>
      <c r="P1540" s="5" t="s">
        <v>2308</v>
      </c>
      <c r="Q1540" s="5" t="s">
        <v>2308</v>
      </c>
      <c r="R1540" s="5" t="s">
        <v>2308</v>
      </c>
      <c r="S1540" s="5" t="s">
        <v>2308</v>
      </c>
      <c r="T1540" s="5" t="s">
        <v>2308</v>
      </c>
      <c r="U1540" s="5" t="s">
        <v>2308</v>
      </c>
      <c r="V1540" s="5" t="s">
        <v>2308</v>
      </c>
      <c r="W1540" s="5" t="s">
        <v>2308</v>
      </c>
      <c r="X1540" s="5" t="s">
        <v>2308</v>
      </c>
      <c r="Y1540" s="5" t="s">
        <v>2308</v>
      </c>
      <c r="Z1540" s="5" t="s">
        <v>2308</v>
      </c>
      <c r="AA1540" s="5" t="s">
        <v>2308</v>
      </c>
      <c r="AB1540" s="5" t="s">
        <v>2308</v>
      </c>
      <c r="AC1540" s="39"/>
      <c r="AD1540" s="39"/>
    </row>
    <row r="1541" spans="1:30" ht="42.5" customHeight="1">
      <c r="A1541" s="12" t="s">
        <v>4633</v>
      </c>
      <c r="B1541" s="12" t="s">
        <v>4635</v>
      </c>
      <c r="C1541" s="4" t="s">
        <v>24</v>
      </c>
      <c r="D1541" s="4" t="s">
        <v>1125</v>
      </c>
      <c r="E1541" s="4" t="s">
        <v>5065</v>
      </c>
      <c r="F1541" s="5" t="s">
        <v>2695</v>
      </c>
      <c r="G1541" s="4" t="s">
        <v>1125</v>
      </c>
      <c r="H1541" s="4" t="s">
        <v>531</v>
      </c>
      <c r="I1541" s="4"/>
      <c r="J1541" s="5" t="s">
        <v>2308</v>
      </c>
      <c r="K1541" s="5" t="s">
        <v>2308</v>
      </c>
      <c r="L1541" s="5" t="s">
        <v>2308</v>
      </c>
      <c r="M1541" s="5" t="s">
        <v>2308</v>
      </c>
      <c r="N1541" s="5" t="s">
        <v>2308</v>
      </c>
      <c r="O1541" s="5" t="s">
        <v>2308</v>
      </c>
      <c r="P1541" s="5" t="s">
        <v>2308</v>
      </c>
      <c r="Q1541" s="5" t="s">
        <v>2308</v>
      </c>
      <c r="R1541" s="5" t="s">
        <v>2308</v>
      </c>
      <c r="S1541" s="5" t="s">
        <v>2308</v>
      </c>
      <c r="T1541" s="5" t="s">
        <v>2308</v>
      </c>
      <c r="U1541" s="5" t="s">
        <v>2308</v>
      </c>
      <c r="V1541" s="5" t="s">
        <v>2308</v>
      </c>
      <c r="W1541" s="5" t="s">
        <v>2308</v>
      </c>
      <c r="X1541" s="5" t="s">
        <v>2308</v>
      </c>
      <c r="Y1541" s="5" t="s">
        <v>2308</v>
      </c>
      <c r="Z1541" s="5" t="s">
        <v>2308</v>
      </c>
      <c r="AA1541" s="5" t="s">
        <v>2308</v>
      </c>
      <c r="AB1541" s="5" t="s">
        <v>2308</v>
      </c>
      <c r="AC1541" s="4"/>
      <c r="AD1541" s="4"/>
    </row>
    <row r="1542" spans="1:30" ht="33.5" customHeight="1">
      <c r="A1542" s="12" t="s">
        <v>4636</v>
      </c>
      <c r="B1542" s="12" t="s">
        <v>4640</v>
      </c>
      <c r="C1542" s="4" t="s">
        <v>24</v>
      </c>
      <c r="D1542" s="4" t="s">
        <v>1264</v>
      </c>
      <c r="E1542" s="4" t="s">
        <v>143</v>
      </c>
      <c r="F1542" s="5" t="s">
        <v>2695</v>
      </c>
      <c r="G1542" s="4" t="s">
        <v>1125</v>
      </c>
      <c r="H1542" s="4" t="s">
        <v>531</v>
      </c>
      <c r="I1542" s="4"/>
      <c r="J1542" s="5" t="s">
        <v>2308</v>
      </c>
      <c r="K1542" s="5" t="s">
        <v>2308</v>
      </c>
      <c r="L1542" s="5" t="s">
        <v>2308</v>
      </c>
      <c r="M1542" s="5" t="s">
        <v>2308</v>
      </c>
      <c r="N1542" s="5" t="s">
        <v>2308</v>
      </c>
      <c r="O1542" s="5" t="s">
        <v>2308</v>
      </c>
      <c r="P1542" s="5" t="s">
        <v>2308</v>
      </c>
      <c r="Q1542" s="5" t="s">
        <v>2308</v>
      </c>
      <c r="R1542" s="5" t="s">
        <v>2308</v>
      </c>
      <c r="S1542" s="5" t="s">
        <v>2308</v>
      </c>
      <c r="T1542" s="5" t="s">
        <v>2308</v>
      </c>
      <c r="U1542" s="5" t="s">
        <v>2308</v>
      </c>
      <c r="V1542" s="5" t="s">
        <v>2308</v>
      </c>
      <c r="W1542" s="5" t="s">
        <v>2308</v>
      </c>
      <c r="X1542" s="5" t="s">
        <v>2308</v>
      </c>
      <c r="Y1542" s="5" t="s">
        <v>2308</v>
      </c>
      <c r="Z1542" s="5" t="s">
        <v>2308</v>
      </c>
      <c r="AA1542" s="5" t="s">
        <v>2308</v>
      </c>
      <c r="AB1542" s="5" t="s">
        <v>2308</v>
      </c>
      <c r="AC1542" s="4" t="s">
        <v>4644</v>
      </c>
      <c r="AD1542" s="4"/>
    </row>
    <row r="1543" spans="1:30" ht="33.5" customHeight="1">
      <c r="A1543" s="12" t="s">
        <v>4637</v>
      </c>
      <c r="B1543" s="12" t="s">
        <v>4641</v>
      </c>
      <c r="C1543" s="4" t="s">
        <v>24</v>
      </c>
      <c r="D1543" s="4" t="s">
        <v>1264</v>
      </c>
      <c r="E1543" s="4" t="s">
        <v>143</v>
      </c>
      <c r="F1543" s="5" t="s">
        <v>2695</v>
      </c>
      <c r="G1543" s="4" t="s">
        <v>1125</v>
      </c>
      <c r="H1543" s="4" t="s">
        <v>531</v>
      </c>
      <c r="I1543" s="4"/>
      <c r="J1543" s="5" t="s">
        <v>2308</v>
      </c>
      <c r="K1543" s="5" t="s">
        <v>2308</v>
      </c>
      <c r="L1543" s="5" t="s">
        <v>2308</v>
      </c>
      <c r="M1543" s="5" t="s">
        <v>2308</v>
      </c>
      <c r="N1543" s="5" t="s">
        <v>2308</v>
      </c>
      <c r="O1543" s="5" t="s">
        <v>2308</v>
      </c>
      <c r="P1543" s="5" t="s">
        <v>2308</v>
      </c>
      <c r="Q1543" s="5" t="s">
        <v>2308</v>
      </c>
      <c r="R1543" s="5" t="s">
        <v>2308</v>
      </c>
      <c r="S1543" s="5" t="s">
        <v>2308</v>
      </c>
      <c r="T1543" s="5" t="s">
        <v>2308</v>
      </c>
      <c r="U1543" s="5" t="s">
        <v>2308</v>
      </c>
      <c r="V1543" s="5" t="s">
        <v>2308</v>
      </c>
      <c r="W1543" s="5" t="s">
        <v>2308</v>
      </c>
      <c r="X1543" s="5" t="s">
        <v>2308</v>
      </c>
      <c r="Y1543" s="5" t="s">
        <v>2308</v>
      </c>
      <c r="Z1543" s="5" t="s">
        <v>2308</v>
      </c>
      <c r="AA1543" s="5" t="s">
        <v>2308</v>
      </c>
      <c r="AB1543" s="5" t="s">
        <v>2308</v>
      </c>
      <c r="AC1543" s="4" t="s">
        <v>4644</v>
      </c>
      <c r="AD1543" s="4"/>
    </row>
    <row r="1544" spans="1:30" ht="29">
      <c r="A1544" s="12" t="s">
        <v>4636</v>
      </c>
      <c r="B1544" s="12" t="s">
        <v>4642</v>
      </c>
      <c r="C1544" s="4" t="s">
        <v>24</v>
      </c>
      <c r="D1544" s="4" t="s">
        <v>150</v>
      </c>
      <c r="E1544" s="4" t="s">
        <v>143</v>
      </c>
      <c r="F1544" s="5" t="s">
        <v>2695</v>
      </c>
      <c r="G1544" s="4" t="s">
        <v>1125</v>
      </c>
      <c r="H1544" s="4" t="s">
        <v>531</v>
      </c>
      <c r="I1544" s="4"/>
      <c r="J1544" s="5" t="s">
        <v>2308</v>
      </c>
      <c r="K1544" s="5" t="s">
        <v>2308</v>
      </c>
      <c r="L1544" s="5" t="s">
        <v>2308</v>
      </c>
      <c r="M1544" s="5" t="s">
        <v>2308</v>
      </c>
      <c r="N1544" s="5" t="s">
        <v>2308</v>
      </c>
      <c r="O1544" s="5" t="s">
        <v>2308</v>
      </c>
      <c r="P1544" s="5" t="s">
        <v>2308</v>
      </c>
      <c r="Q1544" s="5" t="s">
        <v>2308</v>
      </c>
      <c r="R1544" s="5" t="s">
        <v>2308</v>
      </c>
      <c r="S1544" s="5" t="s">
        <v>2308</v>
      </c>
      <c r="T1544" s="5" t="s">
        <v>2308</v>
      </c>
      <c r="U1544" s="5" t="s">
        <v>2308</v>
      </c>
      <c r="V1544" s="5" t="s">
        <v>2308</v>
      </c>
      <c r="W1544" s="5" t="s">
        <v>2308</v>
      </c>
      <c r="X1544" s="5" t="s">
        <v>2308</v>
      </c>
      <c r="Y1544" s="5" t="s">
        <v>2308</v>
      </c>
      <c r="Z1544" s="5" t="s">
        <v>2308</v>
      </c>
      <c r="AA1544" s="5" t="s">
        <v>2308</v>
      </c>
      <c r="AB1544" s="5" t="s">
        <v>2308</v>
      </c>
      <c r="AC1544" s="4" t="s">
        <v>4644</v>
      </c>
      <c r="AD1544" s="4"/>
    </row>
    <row r="1545" spans="1:30" ht="31" customHeight="1">
      <c r="A1545" s="12" t="s">
        <v>4637</v>
      </c>
      <c r="B1545" s="12" t="s">
        <v>4643</v>
      </c>
      <c r="C1545" s="4" t="s">
        <v>24</v>
      </c>
      <c r="D1545" s="4" t="s">
        <v>150</v>
      </c>
      <c r="E1545" s="4" t="s">
        <v>143</v>
      </c>
      <c r="F1545" s="5" t="s">
        <v>2695</v>
      </c>
      <c r="G1545" s="4" t="s">
        <v>1125</v>
      </c>
      <c r="H1545" s="4" t="s">
        <v>531</v>
      </c>
      <c r="I1545" s="4"/>
      <c r="J1545" s="5" t="s">
        <v>2308</v>
      </c>
      <c r="K1545" s="5" t="s">
        <v>2308</v>
      </c>
      <c r="L1545" s="5" t="s">
        <v>2308</v>
      </c>
      <c r="M1545" s="5" t="s">
        <v>2308</v>
      </c>
      <c r="N1545" s="5" t="s">
        <v>2308</v>
      </c>
      <c r="O1545" s="5" t="s">
        <v>2308</v>
      </c>
      <c r="P1545" s="5" t="s">
        <v>2308</v>
      </c>
      <c r="Q1545" s="5" t="s">
        <v>2308</v>
      </c>
      <c r="R1545" s="5" t="s">
        <v>2308</v>
      </c>
      <c r="S1545" s="5" t="s">
        <v>2308</v>
      </c>
      <c r="T1545" s="5" t="s">
        <v>2308</v>
      </c>
      <c r="U1545" s="5" t="s">
        <v>2308</v>
      </c>
      <c r="V1545" s="5" t="s">
        <v>2308</v>
      </c>
      <c r="W1545" s="5" t="s">
        <v>2308</v>
      </c>
      <c r="X1545" s="5" t="s">
        <v>2308</v>
      </c>
      <c r="Y1545" s="5" t="s">
        <v>2308</v>
      </c>
      <c r="Z1545" s="5" t="s">
        <v>2308</v>
      </c>
      <c r="AA1545" s="5" t="s">
        <v>2308</v>
      </c>
      <c r="AB1545" s="5" t="s">
        <v>2308</v>
      </c>
      <c r="AC1545" s="4" t="s">
        <v>4644</v>
      </c>
      <c r="AD1545" s="4"/>
    </row>
    <row r="1546" spans="1:30" ht="49.5" customHeight="1">
      <c r="A1546" s="20" t="s">
        <v>4648</v>
      </c>
      <c r="B1546" s="20" t="s">
        <v>4657</v>
      </c>
      <c r="C1546" s="5" t="s">
        <v>2689</v>
      </c>
      <c r="D1546" s="5" t="s">
        <v>1264</v>
      </c>
      <c r="E1546" s="5" t="s">
        <v>143</v>
      </c>
      <c r="F1546" s="5" t="s">
        <v>2695</v>
      </c>
      <c r="G1546" s="5" t="s">
        <v>2695</v>
      </c>
      <c r="H1546" s="5" t="s">
        <v>531</v>
      </c>
      <c r="I1546" s="4"/>
      <c r="J1546" s="5" t="s">
        <v>2308</v>
      </c>
      <c r="K1546" s="5" t="s">
        <v>2308</v>
      </c>
      <c r="L1546" s="5" t="s">
        <v>2308</v>
      </c>
      <c r="M1546" s="5" t="s">
        <v>2308</v>
      </c>
      <c r="N1546" s="5" t="s">
        <v>2308</v>
      </c>
      <c r="O1546" s="5" t="s">
        <v>2308</v>
      </c>
      <c r="P1546" s="5" t="s">
        <v>2308</v>
      </c>
      <c r="Q1546" s="5" t="s">
        <v>2308</v>
      </c>
      <c r="R1546" s="5" t="s">
        <v>2308</v>
      </c>
      <c r="S1546" s="5" t="s">
        <v>2308</v>
      </c>
      <c r="T1546" s="5" t="s">
        <v>2308</v>
      </c>
      <c r="U1546" s="5" t="s">
        <v>2308</v>
      </c>
      <c r="V1546" s="5" t="s">
        <v>2308</v>
      </c>
      <c r="W1546" s="22">
        <v>12</v>
      </c>
      <c r="X1546" s="5" t="s">
        <v>2308</v>
      </c>
      <c r="Y1546" s="15">
        <v>7.4</v>
      </c>
      <c r="Z1546" s="4" t="s">
        <v>432</v>
      </c>
      <c r="AA1546" s="4" t="s">
        <v>68</v>
      </c>
      <c r="AB1546" s="4" t="s">
        <v>64</v>
      </c>
      <c r="AC1546" s="5" t="s">
        <v>4658</v>
      </c>
      <c r="AD1546" s="5" t="s">
        <v>4661</v>
      </c>
    </row>
    <row r="1547" spans="1:30" ht="56.5" customHeight="1">
      <c r="A1547" s="20" t="s">
        <v>4648</v>
      </c>
      <c r="B1547" s="20" t="s">
        <v>4659</v>
      </c>
      <c r="C1547" s="4" t="s">
        <v>24</v>
      </c>
      <c r="D1547" s="4" t="s">
        <v>1125</v>
      </c>
      <c r="E1547" s="5" t="s">
        <v>143</v>
      </c>
      <c r="F1547" s="5" t="s">
        <v>2695</v>
      </c>
      <c r="G1547" s="5" t="s">
        <v>2695</v>
      </c>
      <c r="H1547" s="5" t="s">
        <v>532</v>
      </c>
      <c r="I1547" s="4"/>
      <c r="J1547" s="22">
        <v>0</v>
      </c>
      <c r="K1547" s="22">
        <v>0</v>
      </c>
      <c r="L1547" s="22">
        <v>0</v>
      </c>
      <c r="M1547" s="22">
        <v>0</v>
      </c>
      <c r="N1547" s="22">
        <v>0</v>
      </c>
      <c r="O1547" s="22">
        <v>0</v>
      </c>
      <c r="P1547" s="22">
        <v>0</v>
      </c>
      <c r="Q1547" s="22">
        <v>0</v>
      </c>
      <c r="R1547" s="22">
        <v>0</v>
      </c>
      <c r="S1547" s="22">
        <v>0</v>
      </c>
      <c r="T1547" s="22">
        <v>0</v>
      </c>
      <c r="U1547" s="22">
        <v>0</v>
      </c>
      <c r="V1547" s="22">
        <v>0</v>
      </c>
      <c r="W1547" s="22">
        <v>0</v>
      </c>
      <c r="X1547" s="22">
        <v>0</v>
      </c>
      <c r="Y1547" s="5" t="s">
        <v>2308</v>
      </c>
      <c r="Z1547" s="5" t="s">
        <v>2308</v>
      </c>
      <c r="AA1547" s="5" t="s">
        <v>2308</v>
      </c>
      <c r="AB1547" s="5" t="s">
        <v>2308</v>
      </c>
      <c r="AC1547" s="5" t="s">
        <v>4660</v>
      </c>
      <c r="AD1547" s="4"/>
    </row>
    <row r="1548" spans="1:30" ht="38" customHeight="1">
      <c r="A1548" s="12" t="s">
        <v>4652</v>
      </c>
      <c r="B1548" s="4" t="s">
        <v>4662</v>
      </c>
      <c r="C1548" s="4" t="s">
        <v>24</v>
      </c>
      <c r="D1548" s="4" t="s">
        <v>150</v>
      </c>
      <c r="E1548" s="5" t="s">
        <v>143</v>
      </c>
      <c r="F1548" s="5" t="s">
        <v>2695</v>
      </c>
      <c r="G1548" s="5" t="s">
        <v>2695</v>
      </c>
      <c r="H1548" s="5" t="s">
        <v>531</v>
      </c>
      <c r="I1548" s="4"/>
      <c r="J1548" s="5" t="s">
        <v>2308</v>
      </c>
      <c r="K1548" s="5" t="s">
        <v>2308</v>
      </c>
      <c r="L1548" s="5" t="s">
        <v>2308</v>
      </c>
      <c r="M1548" s="5" t="s">
        <v>2308</v>
      </c>
      <c r="N1548" s="5" t="s">
        <v>2308</v>
      </c>
      <c r="O1548" s="5" t="s">
        <v>2308</v>
      </c>
      <c r="P1548" s="5" t="s">
        <v>2308</v>
      </c>
      <c r="Q1548" s="5" t="s">
        <v>2308</v>
      </c>
      <c r="R1548" s="5" t="s">
        <v>2308</v>
      </c>
      <c r="S1548" s="5" t="s">
        <v>2308</v>
      </c>
      <c r="T1548" s="5" t="s">
        <v>2308</v>
      </c>
      <c r="U1548" s="5" t="s">
        <v>2308</v>
      </c>
      <c r="V1548" s="5" t="s">
        <v>2308</v>
      </c>
      <c r="W1548" s="5" t="s">
        <v>2308</v>
      </c>
      <c r="X1548" s="5" t="s">
        <v>2308</v>
      </c>
      <c r="Y1548" s="5" t="s">
        <v>2308</v>
      </c>
      <c r="Z1548" s="5" t="s">
        <v>2308</v>
      </c>
      <c r="AA1548" s="5" t="s">
        <v>2308</v>
      </c>
      <c r="AB1548" s="5" t="s">
        <v>2308</v>
      </c>
      <c r="AC1548" s="4" t="s">
        <v>4644</v>
      </c>
      <c r="AD1548" s="4"/>
    </row>
    <row r="1549" spans="1:30" ht="32.5" customHeight="1">
      <c r="A1549" s="12" t="s">
        <v>4653</v>
      </c>
      <c r="B1549" s="4" t="s">
        <v>4663</v>
      </c>
      <c r="C1549" s="4" t="s">
        <v>24</v>
      </c>
      <c r="D1549" s="4" t="s">
        <v>150</v>
      </c>
      <c r="E1549" s="5" t="s">
        <v>143</v>
      </c>
      <c r="F1549" s="5" t="s">
        <v>2695</v>
      </c>
      <c r="G1549" s="5" t="s">
        <v>2695</v>
      </c>
      <c r="H1549" s="5" t="s">
        <v>531</v>
      </c>
      <c r="I1549" s="4"/>
      <c r="J1549" s="5" t="s">
        <v>2308</v>
      </c>
      <c r="K1549" s="5" t="s">
        <v>2308</v>
      </c>
      <c r="L1549" s="5" t="s">
        <v>2308</v>
      </c>
      <c r="M1549" s="5" t="s">
        <v>2308</v>
      </c>
      <c r="N1549" s="5" t="s">
        <v>2308</v>
      </c>
      <c r="O1549" s="5" t="s">
        <v>2308</v>
      </c>
      <c r="P1549" s="5" t="s">
        <v>2308</v>
      </c>
      <c r="Q1549" s="5" t="s">
        <v>2308</v>
      </c>
      <c r="R1549" s="5" t="s">
        <v>2308</v>
      </c>
      <c r="S1549" s="5" t="s">
        <v>2308</v>
      </c>
      <c r="T1549" s="5" t="s">
        <v>2308</v>
      </c>
      <c r="U1549" s="5" t="s">
        <v>2308</v>
      </c>
      <c r="V1549" s="5" t="s">
        <v>2308</v>
      </c>
      <c r="W1549" s="5" t="s">
        <v>2308</v>
      </c>
      <c r="X1549" s="5" t="s">
        <v>2308</v>
      </c>
      <c r="Y1549" s="5" t="s">
        <v>2308</v>
      </c>
      <c r="Z1549" s="5" t="s">
        <v>2308</v>
      </c>
      <c r="AA1549" s="5" t="s">
        <v>2308</v>
      </c>
      <c r="AB1549" s="5" t="s">
        <v>2308</v>
      </c>
      <c r="AC1549" s="4" t="s">
        <v>4644</v>
      </c>
      <c r="AD1549" s="4"/>
    </row>
    <row r="1550" spans="1:30" ht="68" customHeight="1">
      <c r="A1550" s="12" t="s">
        <v>4654</v>
      </c>
      <c r="B1550" s="4" t="s">
        <v>4664</v>
      </c>
      <c r="C1550" s="4" t="s">
        <v>24</v>
      </c>
      <c r="D1550" s="4" t="s">
        <v>150</v>
      </c>
      <c r="E1550" s="5" t="s">
        <v>143</v>
      </c>
      <c r="F1550" s="5" t="s">
        <v>2695</v>
      </c>
      <c r="G1550" s="5" t="s">
        <v>2695</v>
      </c>
      <c r="H1550" s="5" t="s">
        <v>531</v>
      </c>
      <c r="I1550" s="4"/>
      <c r="J1550" s="5" t="s">
        <v>2308</v>
      </c>
      <c r="K1550" s="5" t="s">
        <v>2308</v>
      </c>
      <c r="L1550" s="5" t="s">
        <v>2308</v>
      </c>
      <c r="M1550" s="5" t="s">
        <v>2308</v>
      </c>
      <c r="N1550" s="5" t="s">
        <v>2308</v>
      </c>
      <c r="O1550" s="5" t="s">
        <v>2308</v>
      </c>
      <c r="P1550" s="5" t="s">
        <v>2308</v>
      </c>
      <c r="Q1550" s="5" t="s">
        <v>2308</v>
      </c>
      <c r="R1550" s="5" t="s">
        <v>2308</v>
      </c>
      <c r="S1550" s="5" t="s">
        <v>2308</v>
      </c>
      <c r="T1550" s="5" t="s">
        <v>2308</v>
      </c>
      <c r="U1550" s="5" t="s">
        <v>2308</v>
      </c>
      <c r="V1550" s="5" t="s">
        <v>2308</v>
      </c>
      <c r="W1550" s="5" t="s">
        <v>2308</v>
      </c>
      <c r="X1550" s="5" t="s">
        <v>2308</v>
      </c>
      <c r="Y1550" s="5" t="s">
        <v>2308</v>
      </c>
      <c r="Z1550" s="4" t="s">
        <v>38</v>
      </c>
      <c r="AA1550" s="4" t="s">
        <v>35</v>
      </c>
      <c r="AB1550" s="4" t="s">
        <v>64</v>
      </c>
      <c r="AC1550" s="4" t="s">
        <v>4644</v>
      </c>
      <c r="AD1550" s="5" t="s">
        <v>4665</v>
      </c>
    </row>
    <row r="1551" spans="1:30" ht="66.5" customHeight="1">
      <c r="A1551" s="4" t="s">
        <v>4671</v>
      </c>
      <c r="B1551" s="12" t="s">
        <v>4680</v>
      </c>
      <c r="C1551" s="4" t="s">
        <v>24</v>
      </c>
      <c r="D1551" s="4" t="s">
        <v>2837</v>
      </c>
      <c r="E1551" s="4" t="s">
        <v>2680</v>
      </c>
      <c r="F1551" s="5" t="s">
        <v>2695</v>
      </c>
      <c r="G1551" s="4" t="s">
        <v>2308</v>
      </c>
      <c r="H1551" s="5" t="s">
        <v>532</v>
      </c>
      <c r="I1551" s="4"/>
      <c r="J1551" s="22">
        <v>0</v>
      </c>
      <c r="K1551" s="22">
        <v>0</v>
      </c>
      <c r="L1551" s="22">
        <v>0</v>
      </c>
      <c r="M1551" s="22">
        <v>0</v>
      </c>
      <c r="N1551" s="22">
        <v>0</v>
      </c>
      <c r="O1551" s="22">
        <v>0</v>
      </c>
      <c r="P1551" s="22">
        <v>0</v>
      </c>
      <c r="Q1551" s="22">
        <v>0</v>
      </c>
      <c r="R1551" s="22">
        <v>0</v>
      </c>
      <c r="S1551" s="22">
        <v>0</v>
      </c>
      <c r="T1551" s="22">
        <v>0</v>
      </c>
      <c r="U1551" s="22">
        <v>0</v>
      </c>
      <c r="V1551" s="22">
        <v>0</v>
      </c>
      <c r="W1551" s="22">
        <v>0</v>
      </c>
      <c r="X1551" s="22">
        <v>0</v>
      </c>
      <c r="Y1551" s="5" t="s">
        <v>2308</v>
      </c>
      <c r="Z1551" s="5" t="s">
        <v>2308</v>
      </c>
      <c r="AA1551" s="5" t="s">
        <v>2308</v>
      </c>
      <c r="AB1551" s="5" t="s">
        <v>2308</v>
      </c>
      <c r="AC1551" s="5" t="s">
        <v>4687</v>
      </c>
      <c r="AD1551" s="4"/>
    </row>
    <row r="1552" spans="1:30" ht="66.5" customHeight="1">
      <c r="A1552" s="4" t="s">
        <v>4671</v>
      </c>
      <c r="B1552" s="12" t="s">
        <v>4683</v>
      </c>
      <c r="C1552" s="4" t="s">
        <v>24</v>
      </c>
      <c r="D1552" s="4" t="s">
        <v>25</v>
      </c>
      <c r="E1552" s="4" t="s">
        <v>2680</v>
      </c>
      <c r="F1552" s="5" t="s">
        <v>2695</v>
      </c>
      <c r="G1552" s="4" t="s">
        <v>2308</v>
      </c>
      <c r="H1552" s="5" t="s">
        <v>532</v>
      </c>
      <c r="I1552" s="4"/>
      <c r="J1552" s="22">
        <v>0</v>
      </c>
      <c r="K1552" s="22">
        <v>0</v>
      </c>
      <c r="L1552" s="22">
        <v>0</v>
      </c>
      <c r="M1552" s="22">
        <v>0</v>
      </c>
      <c r="N1552" s="22">
        <v>0</v>
      </c>
      <c r="O1552" s="22">
        <v>0</v>
      </c>
      <c r="P1552" s="22">
        <v>0</v>
      </c>
      <c r="Q1552" s="22">
        <v>0</v>
      </c>
      <c r="R1552" s="22">
        <v>0</v>
      </c>
      <c r="S1552" s="22">
        <v>0</v>
      </c>
      <c r="T1552" s="22">
        <v>0</v>
      </c>
      <c r="U1552" s="22">
        <v>0</v>
      </c>
      <c r="V1552" s="22">
        <v>0</v>
      </c>
      <c r="W1552" s="22">
        <v>0</v>
      </c>
      <c r="X1552" s="22">
        <v>0</v>
      </c>
      <c r="Y1552" s="5" t="s">
        <v>2308</v>
      </c>
      <c r="Z1552" s="5" t="s">
        <v>2308</v>
      </c>
      <c r="AA1552" s="5" t="s">
        <v>2308</v>
      </c>
      <c r="AB1552" s="5" t="s">
        <v>2308</v>
      </c>
      <c r="AC1552" s="5" t="s">
        <v>4687</v>
      </c>
      <c r="AD1552" s="4"/>
    </row>
    <row r="1553" spans="1:30" ht="71" customHeight="1">
      <c r="A1553" s="4" t="s">
        <v>4671</v>
      </c>
      <c r="B1553" s="12" t="s">
        <v>4688</v>
      </c>
      <c r="C1553" s="4" t="s">
        <v>24</v>
      </c>
      <c r="D1553" s="4" t="s">
        <v>2837</v>
      </c>
      <c r="E1553" s="4" t="s">
        <v>5065</v>
      </c>
      <c r="F1553" s="5" t="s">
        <v>2695</v>
      </c>
      <c r="G1553" s="4" t="s">
        <v>2308</v>
      </c>
      <c r="H1553" s="5" t="s">
        <v>532</v>
      </c>
      <c r="I1553" s="4"/>
      <c r="J1553" s="186">
        <v>0</v>
      </c>
      <c r="K1553" s="22">
        <v>0</v>
      </c>
      <c r="L1553" s="22">
        <v>0</v>
      </c>
      <c r="M1553" s="22">
        <v>0</v>
      </c>
      <c r="N1553" s="22">
        <v>0</v>
      </c>
      <c r="O1553" s="22">
        <v>0</v>
      </c>
      <c r="P1553" s="22">
        <v>0</v>
      </c>
      <c r="Q1553" s="22">
        <v>0</v>
      </c>
      <c r="R1553" s="22">
        <v>0</v>
      </c>
      <c r="S1553" s="22">
        <v>0</v>
      </c>
      <c r="T1553" s="22">
        <v>0</v>
      </c>
      <c r="U1553" s="22">
        <v>0</v>
      </c>
      <c r="V1553" s="22">
        <v>0</v>
      </c>
      <c r="W1553" s="22">
        <v>0</v>
      </c>
      <c r="X1553" s="22">
        <v>0</v>
      </c>
      <c r="Y1553" s="5" t="s">
        <v>2308</v>
      </c>
      <c r="Z1553" s="5" t="s">
        <v>2308</v>
      </c>
      <c r="AA1553" s="5" t="s">
        <v>2308</v>
      </c>
      <c r="AB1553" s="5" t="s">
        <v>2308</v>
      </c>
      <c r="AC1553" s="5" t="s">
        <v>4690</v>
      </c>
      <c r="AD1553" s="4"/>
    </row>
    <row r="1554" spans="1:30" ht="63.5" customHeight="1">
      <c r="A1554" s="4" t="s">
        <v>4694</v>
      </c>
      <c r="B1554" s="12" t="s">
        <v>4701</v>
      </c>
      <c r="C1554" s="4" t="s">
        <v>24</v>
      </c>
      <c r="D1554" s="4" t="s">
        <v>1264</v>
      </c>
      <c r="E1554" s="4" t="s">
        <v>2682</v>
      </c>
      <c r="F1554" s="5" t="s">
        <v>74</v>
      </c>
      <c r="G1554" s="4" t="s">
        <v>2308</v>
      </c>
      <c r="H1554" s="5" t="s">
        <v>532</v>
      </c>
      <c r="I1554" s="187"/>
      <c r="J1554" s="22">
        <v>0</v>
      </c>
      <c r="K1554" s="22">
        <v>0</v>
      </c>
      <c r="L1554" s="22">
        <v>0</v>
      </c>
      <c r="M1554" s="22">
        <v>0</v>
      </c>
      <c r="N1554" s="22">
        <v>0</v>
      </c>
      <c r="O1554" s="22">
        <v>0</v>
      </c>
      <c r="P1554" s="22">
        <v>0</v>
      </c>
      <c r="Q1554" s="22">
        <v>0</v>
      </c>
      <c r="R1554" s="22">
        <v>0</v>
      </c>
      <c r="S1554" s="22">
        <v>0</v>
      </c>
      <c r="T1554" s="22">
        <v>0</v>
      </c>
      <c r="U1554" s="22">
        <v>0</v>
      </c>
      <c r="V1554" s="22">
        <v>0</v>
      </c>
      <c r="W1554" s="22">
        <v>0</v>
      </c>
      <c r="X1554" s="22">
        <v>0</v>
      </c>
      <c r="Y1554" s="5" t="s">
        <v>2308</v>
      </c>
      <c r="Z1554" s="5" t="s">
        <v>2308</v>
      </c>
      <c r="AA1554" s="5" t="s">
        <v>2308</v>
      </c>
      <c r="AB1554" s="5" t="s">
        <v>2308</v>
      </c>
      <c r="AC1554" s="5" t="s">
        <v>4707</v>
      </c>
      <c r="AD1554" s="4"/>
    </row>
    <row r="1555" spans="1:30" ht="51" customHeight="1">
      <c r="A1555" s="12" t="s">
        <v>4694</v>
      </c>
      <c r="B1555" s="12" t="s">
        <v>4703</v>
      </c>
      <c r="C1555" s="4" t="s">
        <v>24</v>
      </c>
      <c r="D1555" s="4" t="s">
        <v>3027</v>
      </c>
      <c r="E1555" s="4" t="s">
        <v>5065</v>
      </c>
      <c r="F1555" s="5" t="s">
        <v>2308</v>
      </c>
      <c r="G1555" s="4" t="s">
        <v>2308</v>
      </c>
      <c r="H1555" s="4" t="s">
        <v>531</v>
      </c>
      <c r="I1555" s="187"/>
      <c r="J1555" s="5" t="s">
        <v>2308</v>
      </c>
      <c r="K1555" s="5" t="s">
        <v>2308</v>
      </c>
      <c r="L1555" s="5" t="s">
        <v>2308</v>
      </c>
      <c r="M1555" s="5" t="s">
        <v>2308</v>
      </c>
      <c r="N1555" s="5" t="s">
        <v>2308</v>
      </c>
      <c r="O1555" s="5" t="s">
        <v>2308</v>
      </c>
      <c r="P1555" s="5" t="s">
        <v>2308</v>
      </c>
      <c r="Q1555" s="5" t="s">
        <v>2308</v>
      </c>
      <c r="R1555" s="5" t="s">
        <v>2308</v>
      </c>
      <c r="S1555" s="5" t="s">
        <v>2308</v>
      </c>
      <c r="T1555" s="5" t="s">
        <v>2308</v>
      </c>
      <c r="U1555" s="5" t="s">
        <v>2308</v>
      </c>
      <c r="V1555" s="5" t="s">
        <v>2308</v>
      </c>
      <c r="W1555" s="5" t="s">
        <v>2308</v>
      </c>
      <c r="X1555" s="5" t="s">
        <v>2308</v>
      </c>
      <c r="Y1555" s="5" t="s">
        <v>2308</v>
      </c>
      <c r="Z1555" s="5" t="s">
        <v>2308</v>
      </c>
      <c r="AA1555" s="5" t="s">
        <v>2308</v>
      </c>
      <c r="AB1555" s="5" t="s">
        <v>2308</v>
      </c>
      <c r="AC1555" s="20" t="s">
        <v>4706</v>
      </c>
      <c r="AD1555" s="4"/>
    </row>
    <row r="1556" spans="1:30" ht="68" customHeight="1">
      <c r="A1556" s="4" t="s">
        <v>4695</v>
      </c>
      <c r="B1556" s="12" t="s">
        <v>4704</v>
      </c>
      <c r="C1556" s="4" t="s">
        <v>24</v>
      </c>
      <c r="D1556" s="4" t="s">
        <v>1264</v>
      </c>
      <c r="E1556" s="4" t="s">
        <v>2682</v>
      </c>
      <c r="F1556" s="5" t="s">
        <v>74</v>
      </c>
      <c r="G1556" s="4" t="s">
        <v>2308</v>
      </c>
      <c r="H1556" s="5" t="s">
        <v>532</v>
      </c>
      <c r="I1556" s="187"/>
      <c r="J1556" s="22">
        <v>0</v>
      </c>
      <c r="K1556" s="22">
        <v>0</v>
      </c>
      <c r="L1556" s="22">
        <v>0</v>
      </c>
      <c r="M1556" s="22">
        <v>0</v>
      </c>
      <c r="N1556" s="22">
        <v>0</v>
      </c>
      <c r="O1556" s="22">
        <v>0</v>
      </c>
      <c r="P1556" s="22">
        <v>0</v>
      </c>
      <c r="Q1556" s="22">
        <v>0</v>
      </c>
      <c r="R1556" s="22">
        <v>0</v>
      </c>
      <c r="S1556" s="22">
        <v>0</v>
      </c>
      <c r="T1556" s="22">
        <v>0</v>
      </c>
      <c r="U1556" s="22">
        <v>0</v>
      </c>
      <c r="V1556" s="22">
        <v>0</v>
      </c>
      <c r="W1556" s="22">
        <v>0</v>
      </c>
      <c r="X1556" s="22">
        <v>0</v>
      </c>
      <c r="Y1556" s="5" t="s">
        <v>2308</v>
      </c>
      <c r="Z1556" s="5" t="s">
        <v>2308</v>
      </c>
      <c r="AA1556" s="5" t="s">
        <v>2308</v>
      </c>
      <c r="AB1556" s="5" t="s">
        <v>2308</v>
      </c>
      <c r="AC1556" s="5" t="s">
        <v>4707</v>
      </c>
      <c r="AD1556" s="4"/>
    </row>
    <row r="1557" spans="1:30" ht="42.5" customHeight="1">
      <c r="A1557" s="4" t="s">
        <v>4712</v>
      </c>
      <c r="B1557" s="4" t="s">
        <v>4715</v>
      </c>
      <c r="C1557" s="4" t="s">
        <v>24</v>
      </c>
      <c r="D1557" s="4" t="s">
        <v>25</v>
      </c>
      <c r="E1557" s="4" t="s">
        <v>5065</v>
      </c>
      <c r="F1557" s="5" t="s">
        <v>2695</v>
      </c>
      <c r="G1557" s="4" t="s">
        <v>2308</v>
      </c>
      <c r="H1557" s="4" t="s">
        <v>531</v>
      </c>
      <c r="I1557" s="4">
        <v>1970</v>
      </c>
      <c r="J1557" s="5" t="s">
        <v>2308</v>
      </c>
      <c r="K1557" s="5" t="s">
        <v>2308</v>
      </c>
      <c r="L1557" s="5" t="s">
        <v>2308</v>
      </c>
      <c r="M1557" s="5" t="s">
        <v>2308</v>
      </c>
      <c r="N1557" s="5" t="s">
        <v>2308</v>
      </c>
      <c r="O1557" s="5" t="s">
        <v>2308</v>
      </c>
      <c r="P1557" s="5" t="s">
        <v>2308</v>
      </c>
      <c r="Q1557" s="5" t="s">
        <v>2308</v>
      </c>
      <c r="R1557" s="5" t="s">
        <v>2308</v>
      </c>
      <c r="S1557" s="5" t="s">
        <v>2308</v>
      </c>
      <c r="T1557" s="5" t="s">
        <v>2308</v>
      </c>
      <c r="U1557" s="5" t="s">
        <v>2308</v>
      </c>
      <c r="V1557" s="5" t="s">
        <v>2308</v>
      </c>
      <c r="W1557" s="5" t="s">
        <v>2308</v>
      </c>
      <c r="X1557" s="5" t="s">
        <v>2308</v>
      </c>
      <c r="Y1557" s="22">
        <v>1</v>
      </c>
      <c r="Z1557" s="5" t="s">
        <v>2308</v>
      </c>
      <c r="AA1557" s="5" t="s">
        <v>2308</v>
      </c>
      <c r="AB1557" s="4" t="s">
        <v>2308</v>
      </c>
      <c r="AC1557" s="4" t="s">
        <v>4717</v>
      </c>
      <c r="AD1557" s="4"/>
    </row>
    <row r="1558" spans="1:30" ht="56" customHeight="1">
      <c r="A1558" s="12" t="s">
        <v>4712</v>
      </c>
      <c r="B1558" s="12" t="s">
        <v>4716</v>
      </c>
      <c r="C1558" s="4" t="s">
        <v>24</v>
      </c>
      <c r="D1558" s="4" t="s">
        <v>2837</v>
      </c>
      <c r="E1558" s="4" t="s">
        <v>5065</v>
      </c>
      <c r="F1558" s="5" t="s">
        <v>2695</v>
      </c>
      <c r="G1558" s="4" t="s">
        <v>2308</v>
      </c>
      <c r="H1558" s="5" t="s">
        <v>532</v>
      </c>
      <c r="I1558" s="4"/>
      <c r="J1558" s="22">
        <v>0</v>
      </c>
      <c r="K1558" s="22">
        <v>0</v>
      </c>
      <c r="L1558" s="22">
        <v>0</v>
      </c>
      <c r="M1558" s="22">
        <v>0</v>
      </c>
      <c r="N1558" s="22">
        <v>0</v>
      </c>
      <c r="O1558" s="22">
        <v>0</v>
      </c>
      <c r="P1558" s="22">
        <v>0</v>
      </c>
      <c r="Q1558" s="22">
        <v>0</v>
      </c>
      <c r="R1558" s="22">
        <v>0</v>
      </c>
      <c r="S1558" s="22">
        <v>0</v>
      </c>
      <c r="T1558" s="22">
        <v>0</v>
      </c>
      <c r="U1558" s="22">
        <v>0</v>
      </c>
      <c r="V1558" s="22">
        <v>0</v>
      </c>
      <c r="W1558" s="22">
        <v>0</v>
      </c>
      <c r="X1558" s="22">
        <v>0</v>
      </c>
      <c r="Y1558" s="5" t="s">
        <v>2308</v>
      </c>
      <c r="Z1558" s="5" t="s">
        <v>2308</v>
      </c>
      <c r="AA1558" s="5" t="s">
        <v>2308</v>
      </c>
      <c r="AB1558" s="5" t="s">
        <v>2308</v>
      </c>
      <c r="AC1558" s="5" t="s">
        <v>4718</v>
      </c>
      <c r="AD1558" s="4"/>
    </row>
    <row r="1559" spans="1:30" ht="42.5" customHeight="1">
      <c r="A1559" s="12" t="s">
        <v>4712</v>
      </c>
      <c r="B1559" s="12" t="s">
        <v>4719</v>
      </c>
      <c r="C1559" s="4" t="s">
        <v>24</v>
      </c>
      <c r="D1559" s="4" t="s">
        <v>26</v>
      </c>
      <c r="E1559" s="4" t="s">
        <v>5065</v>
      </c>
      <c r="F1559" s="5" t="s">
        <v>2695</v>
      </c>
      <c r="G1559" s="4" t="s">
        <v>2308</v>
      </c>
      <c r="H1559" s="4" t="s">
        <v>531</v>
      </c>
      <c r="I1559" s="4"/>
      <c r="J1559" s="5" t="s">
        <v>2308</v>
      </c>
      <c r="K1559" s="5" t="s">
        <v>2308</v>
      </c>
      <c r="L1559" s="5" t="s">
        <v>2308</v>
      </c>
      <c r="M1559" s="5" t="s">
        <v>2308</v>
      </c>
      <c r="N1559" s="5" t="s">
        <v>2308</v>
      </c>
      <c r="O1559" s="5" t="s">
        <v>2308</v>
      </c>
      <c r="P1559" s="5" t="s">
        <v>2308</v>
      </c>
      <c r="Q1559" s="5" t="s">
        <v>2308</v>
      </c>
      <c r="R1559" s="5" t="s">
        <v>2308</v>
      </c>
      <c r="S1559" s="5" t="s">
        <v>2308</v>
      </c>
      <c r="T1559" s="5" t="s">
        <v>2308</v>
      </c>
      <c r="U1559" s="5" t="s">
        <v>2308</v>
      </c>
      <c r="V1559" s="5" t="s">
        <v>2308</v>
      </c>
      <c r="W1559" s="5" t="s">
        <v>2308</v>
      </c>
      <c r="X1559" s="5" t="s">
        <v>2308</v>
      </c>
      <c r="Y1559" s="5" t="s">
        <v>2308</v>
      </c>
      <c r="Z1559" s="5" t="s">
        <v>2308</v>
      </c>
      <c r="AA1559" s="5" t="s">
        <v>2308</v>
      </c>
      <c r="AB1559" s="5" t="s">
        <v>2308</v>
      </c>
      <c r="AC1559" s="4" t="s">
        <v>4720</v>
      </c>
      <c r="AD1559" s="4"/>
    </row>
    <row r="1560" spans="1:30" ht="39" customHeight="1">
      <c r="A1560" s="12" t="s">
        <v>4722</v>
      </c>
      <c r="B1560" s="12" t="s">
        <v>4735</v>
      </c>
      <c r="C1560" s="4" t="s">
        <v>24</v>
      </c>
      <c r="D1560" s="4" t="s">
        <v>27</v>
      </c>
      <c r="E1560" s="4" t="s">
        <v>84</v>
      </c>
      <c r="F1560" s="5" t="s">
        <v>28</v>
      </c>
      <c r="G1560" s="4" t="s">
        <v>2308</v>
      </c>
      <c r="H1560" s="5" t="s">
        <v>532</v>
      </c>
      <c r="I1560" s="4"/>
      <c r="J1560" s="22">
        <v>0</v>
      </c>
      <c r="K1560" s="22">
        <v>0</v>
      </c>
      <c r="L1560" s="22">
        <v>0</v>
      </c>
      <c r="M1560" s="22">
        <v>0</v>
      </c>
      <c r="N1560" s="22">
        <v>0</v>
      </c>
      <c r="O1560" s="22">
        <v>0</v>
      </c>
      <c r="P1560" s="22">
        <v>0</v>
      </c>
      <c r="Q1560" s="22">
        <v>0</v>
      </c>
      <c r="R1560" s="22">
        <v>0</v>
      </c>
      <c r="S1560" s="22">
        <v>0</v>
      </c>
      <c r="T1560" s="22">
        <v>0</v>
      </c>
      <c r="U1560" s="22">
        <v>0</v>
      </c>
      <c r="V1560" s="22">
        <v>0</v>
      </c>
      <c r="W1560" s="22">
        <v>0</v>
      </c>
      <c r="X1560" s="22">
        <v>0</v>
      </c>
      <c r="Y1560" s="5" t="s">
        <v>2308</v>
      </c>
      <c r="Z1560" s="5" t="s">
        <v>2308</v>
      </c>
      <c r="AA1560" s="5" t="s">
        <v>2308</v>
      </c>
      <c r="AB1560" s="5" t="s">
        <v>2308</v>
      </c>
      <c r="AC1560" s="5" t="s">
        <v>4739</v>
      </c>
      <c r="AD1560" s="4"/>
    </row>
    <row r="1561" spans="1:30" ht="37.5" customHeight="1">
      <c r="A1561" s="12" t="s">
        <v>4723</v>
      </c>
      <c r="B1561" s="12" t="s">
        <v>4736</v>
      </c>
      <c r="C1561" s="4" t="s">
        <v>24</v>
      </c>
      <c r="D1561" s="4" t="s">
        <v>27</v>
      </c>
      <c r="E1561" s="4" t="s">
        <v>84</v>
      </c>
      <c r="F1561" s="5" t="s">
        <v>28</v>
      </c>
      <c r="G1561" s="4" t="s">
        <v>2308</v>
      </c>
      <c r="H1561" s="5" t="s">
        <v>532</v>
      </c>
      <c r="I1561" s="4"/>
      <c r="J1561" s="22">
        <v>0</v>
      </c>
      <c r="K1561" s="22">
        <v>0</v>
      </c>
      <c r="L1561" s="22">
        <v>0</v>
      </c>
      <c r="M1561" s="22">
        <v>0</v>
      </c>
      <c r="N1561" s="22">
        <v>0</v>
      </c>
      <c r="O1561" s="22">
        <v>0</v>
      </c>
      <c r="P1561" s="22">
        <v>0</v>
      </c>
      <c r="Q1561" s="22">
        <v>0</v>
      </c>
      <c r="R1561" s="22">
        <v>0</v>
      </c>
      <c r="S1561" s="22">
        <v>0</v>
      </c>
      <c r="T1561" s="22">
        <v>0</v>
      </c>
      <c r="U1561" s="22">
        <v>0</v>
      </c>
      <c r="V1561" s="22">
        <v>0</v>
      </c>
      <c r="W1561" s="22">
        <v>0</v>
      </c>
      <c r="X1561" s="22">
        <v>0</v>
      </c>
      <c r="Y1561" s="5" t="s">
        <v>2308</v>
      </c>
      <c r="Z1561" s="5" t="s">
        <v>2308</v>
      </c>
      <c r="AA1561" s="5" t="s">
        <v>2308</v>
      </c>
      <c r="AB1561" s="5" t="s">
        <v>2308</v>
      </c>
      <c r="AC1561" s="5" t="s">
        <v>4739</v>
      </c>
      <c r="AD1561" s="4"/>
    </row>
    <row r="1562" spans="1:30" ht="37.5" customHeight="1">
      <c r="A1562" s="12" t="s">
        <v>4724</v>
      </c>
      <c r="B1562" s="12" t="s">
        <v>4737</v>
      </c>
      <c r="C1562" s="4" t="s">
        <v>24</v>
      </c>
      <c r="D1562" s="4" t="s">
        <v>27</v>
      </c>
      <c r="E1562" s="4" t="s">
        <v>84</v>
      </c>
      <c r="F1562" s="5" t="s">
        <v>28</v>
      </c>
      <c r="G1562" s="4" t="s">
        <v>2308</v>
      </c>
      <c r="H1562" s="5" t="s">
        <v>532</v>
      </c>
      <c r="I1562" s="4"/>
      <c r="J1562" s="22">
        <v>0</v>
      </c>
      <c r="K1562" s="22">
        <v>0</v>
      </c>
      <c r="L1562" s="22">
        <v>0</v>
      </c>
      <c r="M1562" s="22">
        <v>0</v>
      </c>
      <c r="N1562" s="22">
        <v>0</v>
      </c>
      <c r="O1562" s="22">
        <v>0</v>
      </c>
      <c r="P1562" s="22">
        <v>0</v>
      </c>
      <c r="Q1562" s="22">
        <v>0</v>
      </c>
      <c r="R1562" s="22">
        <v>0</v>
      </c>
      <c r="S1562" s="22">
        <v>0</v>
      </c>
      <c r="T1562" s="22">
        <v>0</v>
      </c>
      <c r="U1562" s="22">
        <v>0</v>
      </c>
      <c r="V1562" s="22">
        <v>0</v>
      </c>
      <c r="W1562" s="22">
        <v>0</v>
      </c>
      <c r="X1562" s="22">
        <v>0</v>
      </c>
      <c r="Y1562" s="5" t="s">
        <v>2308</v>
      </c>
      <c r="Z1562" s="5" t="s">
        <v>2308</v>
      </c>
      <c r="AA1562" s="5" t="s">
        <v>2308</v>
      </c>
      <c r="AB1562" s="5" t="s">
        <v>2308</v>
      </c>
      <c r="AC1562" s="5" t="s">
        <v>4739</v>
      </c>
      <c r="AD1562" s="4"/>
    </row>
    <row r="1563" spans="1:30" ht="36.5" customHeight="1">
      <c r="A1563" s="12" t="s">
        <v>4725</v>
      </c>
      <c r="B1563" s="12" t="s">
        <v>4738</v>
      </c>
      <c r="C1563" s="4" t="s">
        <v>24</v>
      </c>
      <c r="D1563" s="4" t="s">
        <v>27</v>
      </c>
      <c r="E1563" s="4" t="s">
        <v>84</v>
      </c>
      <c r="F1563" s="5" t="s">
        <v>28</v>
      </c>
      <c r="G1563" s="4" t="s">
        <v>2308</v>
      </c>
      <c r="H1563" s="5" t="s">
        <v>532</v>
      </c>
      <c r="I1563" s="4"/>
      <c r="J1563" s="22">
        <v>0</v>
      </c>
      <c r="K1563" s="22">
        <v>0</v>
      </c>
      <c r="L1563" s="22">
        <v>0</v>
      </c>
      <c r="M1563" s="22">
        <v>0</v>
      </c>
      <c r="N1563" s="22">
        <v>0</v>
      </c>
      <c r="O1563" s="22">
        <v>0</v>
      </c>
      <c r="P1563" s="22">
        <v>0</v>
      </c>
      <c r="Q1563" s="22">
        <v>0</v>
      </c>
      <c r="R1563" s="22">
        <v>0</v>
      </c>
      <c r="S1563" s="22">
        <v>0</v>
      </c>
      <c r="T1563" s="22">
        <v>0</v>
      </c>
      <c r="U1563" s="22">
        <v>0</v>
      </c>
      <c r="V1563" s="22">
        <v>0</v>
      </c>
      <c r="W1563" s="22">
        <v>0</v>
      </c>
      <c r="X1563" s="22">
        <v>0</v>
      </c>
      <c r="Y1563" s="5" t="s">
        <v>2308</v>
      </c>
      <c r="Z1563" s="5" t="s">
        <v>2308</v>
      </c>
      <c r="AA1563" s="5" t="s">
        <v>2308</v>
      </c>
      <c r="AB1563" s="5" t="s">
        <v>2308</v>
      </c>
      <c r="AC1563" s="5" t="s">
        <v>4739</v>
      </c>
      <c r="AD1563" s="4"/>
    </row>
    <row r="1564" spans="1:30" ht="49" customHeight="1">
      <c r="A1564" s="12" t="s">
        <v>4722</v>
      </c>
      <c r="B1564" s="12" t="s">
        <v>4740</v>
      </c>
      <c r="C1564" s="4" t="s">
        <v>24</v>
      </c>
      <c r="D1564" s="4" t="s">
        <v>27</v>
      </c>
      <c r="E1564" s="5" t="s">
        <v>3903</v>
      </c>
      <c r="F1564" s="5" t="s">
        <v>28</v>
      </c>
      <c r="G1564" s="4" t="s">
        <v>2308</v>
      </c>
      <c r="H1564" s="5" t="s">
        <v>532</v>
      </c>
      <c r="I1564" s="4"/>
      <c r="J1564" s="22">
        <v>0</v>
      </c>
      <c r="K1564" s="22">
        <v>0</v>
      </c>
      <c r="L1564" s="22">
        <v>0</v>
      </c>
      <c r="M1564" s="22">
        <v>0</v>
      </c>
      <c r="N1564" s="22">
        <v>0</v>
      </c>
      <c r="O1564" s="22">
        <v>0</v>
      </c>
      <c r="P1564" s="22">
        <v>0</v>
      </c>
      <c r="Q1564" s="22">
        <v>0</v>
      </c>
      <c r="R1564" s="22">
        <v>0</v>
      </c>
      <c r="S1564" s="22">
        <v>0</v>
      </c>
      <c r="T1564" s="22">
        <v>0</v>
      </c>
      <c r="U1564" s="22">
        <v>0</v>
      </c>
      <c r="V1564" s="22">
        <v>0</v>
      </c>
      <c r="W1564" s="22">
        <v>0</v>
      </c>
      <c r="X1564" s="22">
        <v>0</v>
      </c>
      <c r="Y1564" s="5" t="s">
        <v>2308</v>
      </c>
      <c r="Z1564" s="5" t="s">
        <v>2308</v>
      </c>
      <c r="AA1564" s="5" t="s">
        <v>2308</v>
      </c>
      <c r="AB1564" s="5" t="s">
        <v>2308</v>
      </c>
      <c r="AC1564" s="5" t="s">
        <v>4744</v>
      </c>
      <c r="AD1564" s="4"/>
    </row>
    <row r="1565" spans="1:30" ht="49" customHeight="1">
      <c r="A1565" s="12" t="s">
        <v>4723</v>
      </c>
      <c r="B1565" s="12" t="s">
        <v>4741</v>
      </c>
      <c r="C1565" s="4" t="s">
        <v>24</v>
      </c>
      <c r="D1565" s="4" t="s">
        <v>27</v>
      </c>
      <c r="E1565" s="5" t="s">
        <v>3903</v>
      </c>
      <c r="F1565" s="5" t="s">
        <v>28</v>
      </c>
      <c r="G1565" s="4" t="s">
        <v>2308</v>
      </c>
      <c r="H1565" s="5" t="s">
        <v>532</v>
      </c>
      <c r="I1565" s="4"/>
      <c r="J1565" s="22">
        <v>0</v>
      </c>
      <c r="K1565" s="22">
        <v>0</v>
      </c>
      <c r="L1565" s="22">
        <v>0</v>
      </c>
      <c r="M1565" s="22">
        <v>0</v>
      </c>
      <c r="N1565" s="22">
        <v>0</v>
      </c>
      <c r="O1565" s="22">
        <v>0</v>
      </c>
      <c r="P1565" s="22">
        <v>0</v>
      </c>
      <c r="Q1565" s="22">
        <v>0</v>
      </c>
      <c r="R1565" s="22">
        <v>0</v>
      </c>
      <c r="S1565" s="22">
        <v>0</v>
      </c>
      <c r="T1565" s="22">
        <v>0</v>
      </c>
      <c r="U1565" s="22">
        <v>0</v>
      </c>
      <c r="V1565" s="22">
        <v>0</v>
      </c>
      <c r="W1565" s="22">
        <v>0</v>
      </c>
      <c r="X1565" s="22">
        <v>0</v>
      </c>
      <c r="Y1565" s="5" t="s">
        <v>2308</v>
      </c>
      <c r="Z1565" s="5" t="s">
        <v>2308</v>
      </c>
      <c r="AA1565" s="5" t="s">
        <v>2308</v>
      </c>
      <c r="AB1565" s="5" t="s">
        <v>2308</v>
      </c>
      <c r="AC1565" s="5" t="s">
        <v>4744</v>
      </c>
      <c r="AD1565" s="4"/>
    </row>
    <row r="1566" spans="1:30" ht="49" customHeight="1">
      <c r="A1566" s="12" t="s">
        <v>4724</v>
      </c>
      <c r="B1566" s="12" t="s">
        <v>4742</v>
      </c>
      <c r="C1566" s="4" t="s">
        <v>24</v>
      </c>
      <c r="D1566" s="4" t="s">
        <v>27</v>
      </c>
      <c r="E1566" s="5" t="s">
        <v>3903</v>
      </c>
      <c r="F1566" s="5" t="s">
        <v>28</v>
      </c>
      <c r="G1566" s="4" t="s">
        <v>2308</v>
      </c>
      <c r="H1566" s="5" t="s">
        <v>532</v>
      </c>
      <c r="I1566" s="4"/>
      <c r="J1566" s="22">
        <v>0</v>
      </c>
      <c r="K1566" s="22">
        <v>0</v>
      </c>
      <c r="L1566" s="22">
        <v>0</v>
      </c>
      <c r="M1566" s="22">
        <v>0</v>
      </c>
      <c r="N1566" s="22">
        <v>0</v>
      </c>
      <c r="O1566" s="22">
        <v>0</v>
      </c>
      <c r="P1566" s="22">
        <v>0</v>
      </c>
      <c r="Q1566" s="22">
        <v>0</v>
      </c>
      <c r="R1566" s="22">
        <v>0</v>
      </c>
      <c r="S1566" s="22">
        <v>0</v>
      </c>
      <c r="T1566" s="22">
        <v>0</v>
      </c>
      <c r="U1566" s="22">
        <v>0</v>
      </c>
      <c r="V1566" s="22">
        <v>0</v>
      </c>
      <c r="W1566" s="22">
        <v>0</v>
      </c>
      <c r="X1566" s="22">
        <v>0</v>
      </c>
      <c r="Y1566" s="5" t="s">
        <v>2308</v>
      </c>
      <c r="Z1566" s="5" t="s">
        <v>2308</v>
      </c>
      <c r="AA1566" s="5" t="s">
        <v>2308</v>
      </c>
      <c r="AB1566" s="5" t="s">
        <v>2308</v>
      </c>
      <c r="AC1566" s="5" t="s">
        <v>4744</v>
      </c>
      <c r="AD1566" s="4"/>
    </row>
    <row r="1567" spans="1:30" ht="49" customHeight="1">
      <c r="A1567" s="12" t="s">
        <v>4725</v>
      </c>
      <c r="B1567" s="12" t="s">
        <v>4743</v>
      </c>
      <c r="C1567" s="4" t="s">
        <v>24</v>
      </c>
      <c r="D1567" s="4" t="s">
        <v>27</v>
      </c>
      <c r="E1567" s="5" t="s">
        <v>3903</v>
      </c>
      <c r="F1567" s="5" t="s">
        <v>28</v>
      </c>
      <c r="G1567" s="4" t="s">
        <v>2308</v>
      </c>
      <c r="H1567" s="5" t="s">
        <v>532</v>
      </c>
      <c r="I1567" s="4"/>
      <c r="J1567" s="22">
        <v>0</v>
      </c>
      <c r="K1567" s="22">
        <v>0</v>
      </c>
      <c r="L1567" s="22">
        <v>0</v>
      </c>
      <c r="M1567" s="22">
        <v>0</v>
      </c>
      <c r="N1567" s="22">
        <v>0</v>
      </c>
      <c r="O1567" s="22">
        <v>0</v>
      </c>
      <c r="P1567" s="22">
        <v>0</v>
      </c>
      <c r="Q1567" s="22">
        <v>0</v>
      </c>
      <c r="R1567" s="22">
        <v>0</v>
      </c>
      <c r="S1567" s="22">
        <v>0</v>
      </c>
      <c r="T1567" s="22">
        <v>0</v>
      </c>
      <c r="U1567" s="22">
        <v>0</v>
      </c>
      <c r="V1567" s="22">
        <v>0</v>
      </c>
      <c r="W1567" s="22">
        <v>0</v>
      </c>
      <c r="X1567" s="22">
        <v>0</v>
      </c>
      <c r="Y1567" s="5" t="s">
        <v>2308</v>
      </c>
      <c r="Z1567" s="5" t="s">
        <v>2308</v>
      </c>
      <c r="AA1567" s="5" t="s">
        <v>2308</v>
      </c>
      <c r="AB1567" s="5" t="s">
        <v>2308</v>
      </c>
      <c r="AC1567" s="5" t="s">
        <v>4744</v>
      </c>
      <c r="AD1567" s="4"/>
    </row>
    <row r="1568" spans="1:30" ht="38" customHeight="1">
      <c r="A1568" s="4" t="s">
        <v>4746</v>
      </c>
      <c r="B1568" s="4" t="s">
        <v>4753</v>
      </c>
      <c r="C1568" s="4" t="s">
        <v>24</v>
      </c>
      <c r="D1568" s="4" t="s">
        <v>1267</v>
      </c>
      <c r="E1568" s="4" t="s">
        <v>5065</v>
      </c>
      <c r="F1568" s="5" t="s">
        <v>2695</v>
      </c>
      <c r="G1568" s="4" t="s">
        <v>2308</v>
      </c>
      <c r="H1568" s="5" t="s">
        <v>532</v>
      </c>
      <c r="I1568" s="4"/>
      <c r="J1568" s="22">
        <v>0</v>
      </c>
      <c r="K1568" s="22">
        <v>0</v>
      </c>
      <c r="L1568" s="22">
        <v>0</v>
      </c>
      <c r="M1568" s="22">
        <v>0</v>
      </c>
      <c r="N1568" s="22">
        <v>0</v>
      </c>
      <c r="O1568" s="22">
        <v>0</v>
      </c>
      <c r="P1568" s="22">
        <v>0</v>
      </c>
      <c r="Q1568" s="22">
        <v>0</v>
      </c>
      <c r="R1568" s="22">
        <v>0</v>
      </c>
      <c r="S1568" s="22">
        <v>0</v>
      </c>
      <c r="T1568" s="22">
        <v>0</v>
      </c>
      <c r="U1568" s="22">
        <v>0</v>
      </c>
      <c r="V1568" s="22">
        <v>0</v>
      </c>
      <c r="W1568" s="22">
        <v>0</v>
      </c>
      <c r="X1568" s="22">
        <v>0</v>
      </c>
      <c r="Y1568" s="5" t="s">
        <v>2308</v>
      </c>
      <c r="Z1568" s="5" t="s">
        <v>2308</v>
      </c>
      <c r="AA1568" s="5" t="s">
        <v>2308</v>
      </c>
      <c r="AB1568" s="5" t="s">
        <v>2308</v>
      </c>
      <c r="AC1568" s="5" t="s">
        <v>4757</v>
      </c>
      <c r="AD1568" s="4"/>
    </row>
    <row r="1569" spans="1:30" ht="38" customHeight="1">
      <c r="A1569" s="4" t="s">
        <v>4747</v>
      </c>
      <c r="B1569" s="4" t="s">
        <v>4754</v>
      </c>
      <c r="C1569" s="4" t="s">
        <v>24</v>
      </c>
      <c r="D1569" s="4" t="s">
        <v>1267</v>
      </c>
      <c r="E1569" s="4" t="s">
        <v>5065</v>
      </c>
      <c r="F1569" s="5" t="s">
        <v>2695</v>
      </c>
      <c r="G1569" s="4" t="s">
        <v>2308</v>
      </c>
      <c r="H1569" s="5" t="s">
        <v>532</v>
      </c>
      <c r="I1569" s="4"/>
      <c r="J1569" s="22">
        <v>0</v>
      </c>
      <c r="K1569" s="22">
        <v>0</v>
      </c>
      <c r="L1569" s="22">
        <v>0</v>
      </c>
      <c r="M1569" s="22">
        <v>0</v>
      </c>
      <c r="N1569" s="22">
        <v>0</v>
      </c>
      <c r="O1569" s="22">
        <v>0</v>
      </c>
      <c r="P1569" s="22">
        <v>0</v>
      </c>
      <c r="Q1569" s="22">
        <v>0</v>
      </c>
      <c r="R1569" s="22">
        <v>0</v>
      </c>
      <c r="S1569" s="22">
        <v>0</v>
      </c>
      <c r="T1569" s="22">
        <v>0</v>
      </c>
      <c r="U1569" s="22">
        <v>0</v>
      </c>
      <c r="V1569" s="22">
        <v>0</v>
      </c>
      <c r="W1569" s="22">
        <v>0</v>
      </c>
      <c r="X1569" s="22">
        <v>0</v>
      </c>
      <c r="Y1569" s="5" t="s">
        <v>2308</v>
      </c>
      <c r="Z1569" s="5" t="s">
        <v>2308</v>
      </c>
      <c r="AA1569" s="5" t="s">
        <v>2308</v>
      </c>
      <c r="AB1569" s="5" t="s">
        <v>2308</v>
      </c>
      <c r="AC1569" s="5" t="s">
        <v>4757</v>
      </c>
      <c r="AD1569" s="4"/>
    </row>
    <row r="1570" spans="1:30" ht="38" customHeight="1">
      <c r="A1570" s="4" t="s">
        <v>4748</v>
      </c>
      <c r="B1570" s="4" t="s">
        <v>4755</v>
      </c>
      <c r="C1570" s="4" t="s">
        <v>24</v>
      </c>
      <c r="D1570" s="4" t="s">
        <v>1267</v>
      </c>
      <c r="E1570" s="4" t="s">
        <v>5065</v>
      </c>
      <c r="F1570" s="5" t="s">
        <v>2695</v>
      </c>
      <c r="G1570" s="4" t="s">
        <v>2308</v>
      </c>
      <c r="H1570" s="5" t="s">
        <v>532</v>
      </c>
      <c r="I1570" s="4"/>
      <c r="J1570" s="22">
        <v>0</v>
      </c>
      <c r="K1570" s="22">
        <v>0</v>
      </c>
      <c r="L1570" s="22">
        <v>0</v>
      </c>
      <c r="M1570" s="22">
        <v>0</v>
      </c>
      <c r="N1570" s="22">
        <v>0</v>
      </c>
      <c r="O1570" s="22">
        <v>0</v>
      </c>
      <c r="P1570" s="22">
        <v>0</v>
      </c>
      <c r="Q1570" s="22">
        <v>0</v>
      </c>
      <c r="R1570" s="22">
        <v>0</v>
      </c>
      <c r="S1570" s="22">
        <v>0</v>
      </c>
      <c r="T1570" s="22">
        <v>0</v>
      </c>
      <c r="U1570" s="22">
        <v>0</v>
      </c>
      <c r="V1570" s="22">
        <v>0</v>
      </c>
      <c r="W1570" s="22">
        <v>0</v>
      </c>
      <c r="X1570" s="22">
        <v>0</v>
      </c>
      <c r="Y1570" s="5" t="s">
        <v>2308</v>
      </c>
      <c r="Z1570" s="5" t="s">
        <v>2308</v>
      </c>
      <c r="AA1570" s="5" t="s">
        <v>2308</v>
      </c>
      <c r="AB1570" s="5" t="s">
        <v>2308</v>
      </c>
      <c r="AC1570" s="5" t="s">
        <v>4757</v>
      </c>
      <c r="AD1570" s="4"/>
    </row>
    <row r="1571" spans="1:30" ht="54.5" customHeight="1">
      <c r="A1571" s="4" t="s">
        <v>4746</v>
      </c>
      <c r="B1571" s="4" t="s">
        <v>4758</v>
      </c>
      <c r="C1571" s="4" t="s">
        <v>24</v>
      </c>
      <c r="D1571" s="4" t="s">
        <v>2263</v>
      </c>
      <c r="E1571" s="5" t="s">
        <v>404</v>
      </c>
      <c r="F1571" s="5" t="s">
        <v>2695</v>
      </c>
      <c r="G1571" s="4" t="s">
        <v>2308</v>
      </c>
      <c r="H1571" s="4" t="s">
        <v>531</v>
      </c>
      <c r="I1571" s="4"/>
      <c r="J1571" s="5" t="s">
        <v>2308</v>
      </c>
      <c r="K1571" s="5" t="s">
        <v>2308</v>
      </c>
      <c r="L1571" s="5" t="s">
        <v>2308</v>
      </c>
      <c r="M1571" s="5" t="s">
        <v>2308</v>
      </c>
      <c r="N1571" s="5" t="s">
        <v>2308</v>
      </c>
      <c r="O1571" s="5" t="s">
        <v>2308</v>
      </c>
      <c r="P1571" s="5" t="s">
        <v>2308</v>
      </c>
      <c r="Q1571" s="5" t="s">
        <v>2308</v>
      </c>
      <c r="R1571" s="5" t="s">
        <v>2308</v>
      </c>
      <c r="S1571" s="5" t="s">
        <v>2308</v>
      </c>
      <c r="T1571" s="5" t="s">
        <v>2308</v>
      </c>
      <c r="U1571" s="5" t="s">
        <v>2308</v>
      </c>
      <c r="V1571" s="5" t="s">
        <v>2308</v>
      </c>
      <c r="W1571" s="5" t="s">
        <v>2308</v>
      </c>
      <c r="X1571" s="5" t="s">
        <v>2308</v>
      </c>
      <c r="Y1571" s="5" t="s">
        <v>2308</v>
      </c>
      <c r="Z1571" s="5" t="s">
        <v>2308</v>
      </c>
      <c r="AA1571" s="5" t="s">
        <v>2308</v>
      </c>
      <c r="AB1571" s="5" t="s">
        <v>2308</v>
      </c>
      <c r="AC1571" s="5" t="s">
        <v>4764</v>
      </c>
      <c r="AD1571" s="4"/>
    </row>
    <row r="1572" spans="1:30" ht="54.5" customHeight="1">
      <c r="A1572" s="4" t="s">
        <v>4747</v>
      </c>
      <c r="B1572" s="4" t="s">
        <v>4759</v>
      </c>
      <c r="C1572" s="4" t="s">
        <v>24</v>
      </c>
      <c r="D1572" s="4" t="s">
        <v>2263</v>
      </c>
      <c r="E1572" s="5" t="s">
        <v>404</v>
      </c>
      <c r="F1572" s="5" t="s">
        <v>2695</v>
      </c>
      <c r="G1572" s="4" t="s">
        <v>2308</v>
      </c>
      <c r="H1572" s="4" t="s">
        <v>531</v>
      </c>
      <c r="I1572" s="4"/>
      <c r="J1572" s="5" t="s">
        <v>2308</v>
      </c>
      <c r="K1572" s="5" t="s">
        <v>2308</v>
      </c>
      <c r="L1572" s="5" t="s">
        <v>2308</v>
      </c>
      <c r="M1572" s="5" t="s">
        <v>2308</v>
      </c>
      <c r="N1572" s="5" t="s">
        <v>2308</v>
      </c>
      <c r="O1572" s="5" t="s">
        <v>2308</v>
      </c>
      <c r="P1572" s="5" t="s">
        <v>2308</v>
      </c>
      <c r="Q1572" s="5" t="s">
        <v>2308</v>
      </c>
      <c r="R1572" s="5" t="s">
        <v>2308</v>
      </c>
      <c r="S1572" s="5" t="s">
        <v>2308</v>
      </c>
      <c r="T1572" s="5" t="s">
        <v>2308</v>
      </c>
      <c r="U1572" s="5" t="s">
        <v>2308</v>
      </c>
      <c r="V1572" s="5" t="s">
        <v>2308</v>
      </c>
      <c r="W1572" s="5" t="s">
        <v>2308</v>
      </c>
      <c r="X1572" s="5" t="s">
        <v>2308</v>
      </c>
      <c r="Y1572" s="5" t="s">
        <v>2308</v>
      </c>
      <c r="Z1572" s="5" t="s">
        <v>2308</v>
      </c>
      <c r="AA1572" s="5" t="s">
        <v>2308</v>
      </c>
      <c r="AB1572" s="5" t="s">
        <v>2308</v>
      </c>
      <c r="AC1572" s="5" t="s">
        <v>4764</v>
      </c>
      <c r="AD1572" s="4"/>
    </row>
    <row r="1573" spans="1:30" ht="54.5" customHeight="1">
      <c r="A1573" s="4" t="s">
        <v>4748</v>
      </c>
      <c r="B1573" s="4" t="s">
        <v>4760</v>
      </c>
      <c r="C1573" s="4" t="s">
        <v>24</v>
      </c>
      <c r="D1573" s="4" t="s">
        <v>2263</v>
      </c>
      <c r="E1573" s="5" t="s">
        <v>404</v>
      </c>
      <c r="F1573" s="5" t="s">
        <v>2695</v>
      </c>
      <c r="G1573" s="4" t="s">
        <v>2308</v>
      </c>
      <c r="H1573" s="4" t="s">
        <v>531</v>
      </c>
      <c r="I1573" s="4"/>
      <c r="J1573" s="5" t="s">
        <v>2308</v>
      </c>
      <c r="K1573" s="5" t="s">
        <v>2308</v>
      </c>
      <c r="L1573" s="5" t="s">
        <v>2308</v>
      </c>
      <c r="M1573" s="5" t="s">
        <v>2308</v>
      </c>
      <c r="N1573" s="5" t="s">
        <v>2308</v>
      </c>
      <c r="O1573" s="5" t="s">
        <v>2308</v>
      </c>
      <c r="P1573" s="5" t="s">
        <v>2308</v>
      </c>
      <c r="Q1573" s="5" t="s">
        <v>2308</v>
      </c>
      <c r="R1573" s="5" t="s">
        <v>2308</v>
      </c>
      <c r="S1573" s="5" t="s">
        <v>2308</v>
      </c>
      <c r="T1573" s="5" t="s">
        <v>2308</v>
      </c>
      <c r="U1573" s="5" t="s">
        <v>2308</v>
      </c>
      <c r="V1573" s="5" t="s">
        <v>2308</v>
      </c>
      <c r="W1573" s="5" t="s">
        <v>2308</v>
      </c>
      <c r="X1573" s="5" t="s">
        <v>2308</v>
      </c>
      <c r="Y1573" s="5" t="s">
        <v>2308</v>
      </c>
      <c r="Z1573" s="5" t="s">
        <v>2308</v>
      </c>
      <c r="AA1573" s="5" t="s">
        <v>2308</v>
      </c>
      <c r="AB1573" s="5" t="s">
        <v>2308</v>
      </c>
      <c r="AC1573" s="5" t="s">
        <v>4764</v>
      </c>
      <c r="AD1573" s="4"/>
    </row>
    <row r="1574" spans="1:30" ht="54.5" customHeight="1">
      <c r="A1574" s="4" t="s">
        <v>4746</v>
      </c>
      <c r="B1574" s="4" t="s">
        <v>4761</v>
      </c>
      <c r="C1574" s="4" t="s">
        <v>24</v>
      </c>
      <c r="D1574" s="4" t="s">
        <v>2378</v>
      </c>
      <c r="E1574" s="5" t="s">
        <v>404</v>
      </c>
      <c r="F1574" s="5" t="s">
        <v>29</v>
      </c>
      <c r="G1574" s="4" t="s">
        <v>2308</v>
      </c>
      <c r="H1574" s="4" t="s">
        <v>531</v>
      </c>
      <c r="I1574" s="4"/>
      <c r="J1574" s="5" t="s">
        <v>2308</v>
      </c>
      <c r="K1574" s="5" t="s">
        <v>2308</v>
      </c>
      <c r="L1574" s="5" t="s">
        <v>2308</v>
      </c>
      <c r="M1574" s="5" t="s">
        <v>2308</v>
      </c>
      <c r="N1574" s="5" t="s">
        <v>2308</v>
      </c>
      <c r="O1574" s="5" t="s">
        <v>2308</v>
      </c>
      <c r="P1574" s="5" t="s">
        <v>2308</v>
      </c>
      <c r="Q1574" s="5" t="s">
        <v>2308</v>
      </c>
      <c r="R1574" s="5" t="s">
        <v>2308</v>
      </c>
      <c r="S1574" s="5" t="s">
        <v>2308</v>
      </c>
      <c r="T1574" s="5" t="s">
        <v>2308</v>
      </c>
      <c r="U1574" s="5" t="s">
        <v>2308</v>
      </c>
      <c r="V1574" s="5" t="s">
        <v>2308</v>
      </c>
      <c r="W1574" s="5" t="s">
        <v>2308</v>
      </c>
      <c r="X1574" s="5" t="s">
        <v>2308</v>
      </c>
      <c r="Y1574" s="5" t="s">
        <v>2308</v>
      </c>
      <c r="Z1574" s="5" t="s">
        <v>2308</v>
      </c>
      <c r="AA1574" s="5" t="s">
        <v>2308</v>
      </c>
      <c r="AB1574" s="5" t="s">
        <v>2308</v>
      </c>
      <c r="AC1574" s="5" t="s">
        <v>4764</v>
      </c>
      <c r="AD1574" s="4"/>
    </row>
    <row r="1575" spans="1:30" ht="54.5" customHeight="1">
      <c r="A1575" s="4" t="s">
        <v>4747</v>
      </c>
      <c r="B1575" s="4" t="s">
        <v>4762</v>
      </c>
      <c r="C1575" s="4" t="s">
        <v>24</v>
      </c>
      <c r="D1575" s="4" t="s">
        <v>2378</v>
      </c>
      <c r="E1575" s="5" t="s">
        <v>404</v>
      </c>
      <c r="F1575" s="5" t="s">
        <v>29</v>
      </c>
      <c r="G1575" s="4" t="s">
        <v>2308</v>
      </c>
      <c r="H1575" s="4" t="s">
        <v>531</v>
      </c>
      <c r="I1575" s="4"/>
      <c r="J1575" s="5" t="s">
        <v>2308</v>
      </c>
      <c r="K1575" s="5" t="s">
        <v>2308</v>
      </c>
      <c r="L1575" s="5" t="s">
        <v>2308</v>
      </c>
      <c r="M1575" s="5" t="s">
        <v>2308</v>
      </c>
      <c r="N1575" s="5" t="s">
        <v>2308</v>
      </c>
      <c r="O1575" s="5" t="s">
        <v>2308</v>
      </c>
      <c r="P1575" s="5" t="s">
        <v>2308</v>
      </c>
      <c r="Q1575" s="5" t="s">
        <v>2308</v>
      </c>
      <c r="R1575" s="5" t="s">
        <v>2308</v>
      </c>
      <c r="S1575" s="5" t="s">
        <v>2308</v>
      </c>
      <c r="T1575" s="5" t="s">
        <v>2308</v>
      </c>
      <c r="U1575" s="5" t="s">
        <v>2308</v>
      </c>
      <c r="V1575" s="5" t="s">
        <v>2308</v>
      </c>
      <c r="W1575" s="5" t="s">
        <v>2308</v>
      </c>
      <c r="X1575" s="5" t="s">
        <v>2308</v>
      </c>
      <c r="Y1575" s="5" t="s">
        <v>2308</v>
      </c>
      <c r="Z1575" s="5" t="s">
        <v>2308</v>
      </c>
      <c r="AA1575" s="5" t="s">
        <v>2308</v>
      </c>
      <c r="AB1575" s="5" t="s">
        <v>2308</v>
      </c>
      <c r="AC1575" s="5" t="s">
        <v>4764</v>
      </c>
      <c r="AD1575" s="4"/>
    </row>
    <row r="1576" spans="1:30" ht="54.5" customHeight="1">
      <c r="A1576" s="4" t="s">
        <v>4748</v>
      </c>
      <c r="B1576" s="4" t="s">
        <v>4763</v>
      </c>
      <c r="C1576" s="4" t="s">
        <v>24</v>
      </c>
      <c r="D1576" s="4" t="s">
        <v>2378</v>
      </c>
      <c r="E1576" s="5" t="s">
        <v>404</v>
      </c>
      <c r="F1576" s="5" t="s">
        <v>29</v>
      </c>
      <c r="G1576" s="4" t="s">
        <v>2308</v>
      </c>
      <c r="H1576" s="4" t="s">
        <v>531</v>
      </c>
      <c r="I1576" s="4"/>
      <c r="J1576" s="5" t="s">
        <v>2308</v>
      </c>
      <c r="K1576" s="5" t="s">
        <v>2308</v>
      </c>
      <c r="L1576" s="5" t="s">
        <v>2308</v>
      </c>
      <c r="M1576" s="5" t="s">
        <v>2308</v>
      </c>
      <c r="N1576" s="5" t="s">
        <v>2308</v>
      </c>
      <c r="O1576" s="5" t="s">
        <v>2308</v>
      </c>
      <c r="P1576" s="5" t="s">
        <v>2308</v>
      </c>
      <c r="Q1576" s="5" t="s">
        <v>2308</v>
      </c>
      <c r="R1576" s="5" t="s">
        <v>2308</v>
      </c>
      <c r="S1576" s="5" t="s">
        <v>2308</v>
      </c>
      <c r="T1576" s="5" t="s">
        <v>2308</v>
      </c>
      <c r="U1576" s="5" t="s">
        <v>2308</v>
      </c>
      <c r="V1576" s="5" t="s">
        <v>2308</v>
      </c>
      <c r="W1576" s="5" t="s">
        <v>2308</v>
      </c>
      <c r="X1576" s="5" t="s">
        <v>2308</v>
      </c>
      <c r="Y1576" s="5" t="s">
        <v>2308</v>
      </c>
      <c r="Z1576" s="5" t="s">
        <v>2308</v>
      </c>
      <c r="AA1576" s="5" t="s">
        <v>2308</v>
      </c>
      <c r="AB1576" s="5" t="s">
        <v>2308</v>
      </c>
      <c r="AC1576" s="5" t="s">
        <v>4764</v>
      </c>
      <c r="AD1576" s="4"/>
    </row>
    <row r="1577" spans="1:30" ht="57.5" customHeight="1">
      <c r="A1577" s="12" t="s">
        <v>4767</v>
      </c>
      <c r="B1577" s="12" t="s">
        <v>4775</v>
      </c>
      <c r="C1577" s="4" t="s">
        <v>24</v>
      </c>
      <c r="D1577" s="4" t="s">
        <v>2378</v>
      </c>
      <c r="E1577" s="4" t="s">
        <v>84</v>
      </c>
      <c r="F1577" s="5" t="s">
        <v>29</v>
      </c>
      <c r="G1577" s="4" t="s">
        <v>2308</v>
      </c>
      <c r="H1577" s="4" t="s">
        <v>531</v>
      </c>
      <c r="I1577" s="4"/>
      <c r="J1577" s="5" t="s">
        <v>2308</v>
      </c>
      <c r="K1577" s="5" t="s">
        <v>2308</v>
      </c>
      <c r="L1577" s="5" t="s">
        <v>2308</v>
      </c>
      <c r="M1577" s="5" t="s">
        <v>2308</v>
      </c>
      <c r="N1577" s="5" t="s">
        <v>2308</v>
      </c>
      <c r="O1577" s="5" t="s">
        <v>2308</v>
      </c>
      <c r="P1577" s="5" t="s">
        <v>2308</v>
      </c>
      <c r="Q1577" s="5" t="s">
        <v>2308</v>
      </c>
      <c r="R1577" s="5" t="s">
        <v>2308</v>
      </c>
      <c r="S1577" s="5" t="s">
        <v>2308</v>
      </c>
      <c r="T1577" s="5" t="s">
        <v>2308</v>
      </c>
      <c r="U1577" s="5" t="s">
        <v>2308</v>
      </c>
      <c r="V1577" s="5" t="s">
        <v>2308</v>
      </c>
      <c r="W1577" s="5" t="s">
        <v>2308</v>
      </c>
      <c r="X1577" s="5" t="s">
        <v>2308</v>
      </c>
      <c r="Y1577" s="5" t="s">
        <v>2308</v>
      </c>
      <c r="Z1577" s="4" t="s">
        <v>411</v>
      </c>
      <c r="AA1577" s="4" t="s">
        <v>68</v>
      </c>
      <c r="AB1577" s="4" t="s">
        <v>64</v>
      </c>
      <c r="AC1577" s="5" t="s">
        <v>4776</v>
      </c>
      <c r="AD1577" s="4"/>
    </row>
    <row r="1578" spans="1:30" ht="57.5" customHeight="1">
      <c r="A1578" s="12" t="s">
        <v>4767</v>
      </c>
      <c r="B1578" s="12" t="s">
        <v>4777</v>
      </c>
      <c r="C1578" s="4" t="s">
        <v>24</v>
      </c>
      <c r="D1578" s="4" t="s">
        <v>1125</v>
      </c>
      <c r="E1578" s="4" t="s">
        <v>2680</v>
      </c>
      <c r="F1578" s="5" t="s">
        <v>28</v>
      </c>
      <c r="G1578" s="4" t="s">
        <v>2308</v>
      </c>
      <c r="H1578" s="4" t="s">
        <v>532</v>
      </c>
      <c r="I1578" s="4"/>
      <c r="J1578" s="22">
        <v>0</v>
      </c>
      <c r="K1578" s="22">
        <v>0</v>
      </c>
      <c r="L1578" s="22">
        <v>0</v>
      </c>
      <c r="M1578" s="22">
        <v>0</v>
      </c>
      <c r="N1578" s="22">
        <v>0</v>
      </c>
      <c r="O1578" s="22">
        <v>0</v>
      </c>
      <c r="P1578" s="22">
        <v>0</v>
      </c>
      <c r="Q1578" s="22">
        <v>0</v>
      </c>
      <c r="R1578" s="22">
        <v>0</v>
      </c>
      <c r="S1578" s="22">
        <v>0</v>
      </c>
      <c r="T1578" s="22">
        <v>0</v>
      </c>
      <c r="U1578" s="22">
        <v>0</v>
      </c>
      <c r="V1578" s="22">
        <v>0</v>
      </c>
      <c r="W1578" s="22">
        <v>0</v>
      </c>
      <c r="X1578" s="22">
        <v>0</v>
      </c>
      <c r="Y1578" s="5" t="s">
        <v>2308</v>
      </c>
      <c r="Z1578" s="5" t="s">
        <v>2308</v>
      </c>
      <c r="AA1578" s="5" t="s">
        <v>2308</v>
      </c>
      <c r="AB1578" s="5" t="s">
        <v>2308</v>
      </c>
      <c r="AC1578" s="5"/>
      <c r="AD1578" s="4"/>
    </row>
    <row r="1579" spans="1:30" ht="54.5" customHeight="1">
      <c r="A1579" s="12" t="s">
        <v>4767</v>
      </c>
      <c r="B1579" s="12" t="s">
        <v>4778</v>
      </c>
      <c r="C1579" s="4" t="s">
        <v>2689</v>
      </c>
      <c r="D1579" s="4" t="s">
        <v>2308</v>
      </c>
      <c r="E1579" s="4" t="s">
        <v>2308</v>
      </c>
      <c r="F1579" s="5" t="s">
        <v>2308</v>
      </c>
      <c r="G1579" s="5" t="s">
        <v>2695</v>
      </c>
      <c r="H1579" s="4" t="s">
        <v>531</v>
      </c>
      <c r="I1579" s="4"/>
      <c r="J1579" s="5" t="s">
        <v>2308</v>
      </c>
      <c r="K1579" s="5" t="s">
        <v>2308</v>
      </c>
      <c r="L1579" s="5" t="s">
        <v>2308</v>
      </c>
      <c r="M1579" s="5" t="s">
        <v>2308</v>
      </c>
      <c r="N1579" s="5" t="s">
        <v>2308</v>
      </c>
      <c r="O1579" s="5" t="s">
        <v>2308</v>
      </c>
      <c r="P1579" s="5" t="s">
        <v>2308</v>
      </c>
      <c r="Q1579" s="5" t="s">
        <v>2308</v>
      </c>
      <c r="R1579" s="5" t="s">
        <v>2308</v>
      </c>
      <c r="S1579" s="5" t="s">
        <v>2308</v>
      </c>
      <c r="T1579" s="5" t="s">
        <v>2308</v>
      </c>
      <c r="U1579" s="5" t="s">
        <v>2308</v>
      </c>
      <c r="V1579" s="5" t="s">
        <v>2308</v>
      </c>
      <c r="W1579" s="5" t="s">
        <v>2308</v>
      </c>
      <c r="X1579" s="5" t="s">
        <v>2308</v>
      </c>
      <c r="Y1579" s="5" t="s">
        <v>2308</v>
      </c>
      <c r="Z1579" s="5" t="s">
        <v>2308</v>
      </c>
      <c r="AA1579" s="5" t="s">
        <v>2308</v>
      </c>
      <c r="AB1579" s="5" t="s">
        <v>2308</v>
      </c>
      <c r="AC1579" s="4"/>
      <c r="AD1579" s="4"/>
    </row>
    <row r="1580" spans="1:30" ht="54.5" customHeight="1">
      <c r="A1580" s="12" t="s">
        <v>4767</v>
      </c>
      <c r="B1580" s="12" t="s">
        <v>4779</v>
      </c>
      <c r="C1580" s="4" t="s">
        <v>2689</v>
      </c>
      <c r="D1580" s="4" t="s">
        <v>2308</v>
      </c>
      <c r="E1580" s="4" t="s">
        <v>2308</v>
      </c>
      <c r="F1580" s="5" t="s">
        <v>2308</v>
      </c>
      <c r="G1580" s="4" t="s">
        <v>28</v>
      </c>
      <c r="H1580" s="4" t="s">
        <v>532</v>
      </c>
      <c r="I1580" s="4"/>
      <c r="J1580" s="22">
        <v>0</v>
      </c>
      <c r="K1580" s="22">
        <v>0</v>
      </c>
      <c r="L1580" s="22">
        <v>0</v>
      </c>
      <c r="M1580" s="22">
        <v>0</v>
      </c>
      <c r="N1580" s="22">
        <v>0</v>
      </c>
      <c r="O1580" s="22">
        <v>0</v>
      </c>
      <c r="P1580" s="22">
        <v>0</v>
      </c>
      <c r="Q1580" s="22">
        <v>0</v>
      </c>
      <c r="R1580" s="22">
        <v>0</v>
      </c>
      <c r="S1580" s="22">
        <v>0</v>
      </c>
      <c r="T1580" s="22">
        <v>0</v>
      </c>
      <c r="U1580" s="22">
        <v>0</v>
      </c>
      <c r="V1580" s="22">
        <v>0</v>
      </c>
      <c r="W1580" s="22">
        <v>0</v>
      </c>
      <c r="X1580" s="22">
        <v>0</v>
      </c>
      <c r="Y1580" s="5" t="s">
        <v>2308</v>
      </c>
      <c r="Z1580" s="5" t="s">
        <v>2308</v>
      </c>
      <c r="AA1580" s="5" t="s">
        <v>2308</v>
      </c>
      <c r="AB1580" s="5" t="s">
        <v>2308</v>
      </c>
      <c r="AC1580" s="5" t="s">
        <v>4780</v>
      </c>
      <c r="AD1580" s="4"/>
    </row>
    <row r="1581" spans="1:30" ht="52.5" customHeight="1">
      <c r="A1581" s="12" t="s">
        <v>4767</v>
      </c>
      <c r="B1581" s="12" t="s">
        <v>4826</v>
      </c>
      <c r="C1581" s="4" t="s">
        <v>24</v>
      </c>
      <c r="D1581" s="4" t="s">
        <v>2837</v>
      </c>
      <c r="E1581" s="4" t="s">
        <v>5065</v>
      </c>
      <c r="F1581" s="5" t="s">
        <v>2695</v>
      </c>
      <c r="G1581" s="4" t="s">
        <v>2308</v>
      </c>
      <c r="H1581" s="4" t="s">
        <v>531</v>
      </c>
      <c r="I1581" s="4"/>
      <c r="J1581" s="5" t="s">
        <v>2308</v>
      </c>
      <c r="K1581" s="5" t="s">
        <v>2308</v>
      </c>
      <c r="L1581" s="5" t="s">
        <v>2308</v>
      </c>
      <c r="M1581" s="5" t="s">
        <v>2308</v>
      </c>
      <c r="N1581" s="5" t="s">
        <v>2308</v>
      </c>
      <c r="O1581" s="5" t="s">
        <v>2308</v>
      </c>
      <c r="P1581" s="5" t="s">
        <v>2308</v>
      </c>
      <c r="Q1581" s="5" t="s">
        <v>2308</v>
      </c>
      <c r="R1581" s="5" t="s">
        <v>2308</v>
      </c>
      <c r="S1581" s="5" t="s">
        <v>2308</v>
      </c>
      <c r="T1581" s="5" t="s">
        <v>2308</v>
      </c>
      <c r="U1581" s="5" t="s">
        <v>2308</v>
      </c>
      <c r="V1581" s="5" t="s">
        <v>2308</v>
      </c>
      <c r="W1581" s="5" t="s">
        <v>2308</v>
      </c>
      <c r="X1581" s="5" t="s">
        <v>2308</v>
      </c>
      <c r="Y1581" s="5" t="s">
        <v>2308</v>
      </c>
      <c r="Z1581" s="5" t="s">
        <v>2308</v>
      </c>
      <c r="AA1581" s="5" t="s">
        <v>2308</v>
      </c>
      <c r="AB1581" s="5" t="s">
        <v>2308</v>
      </c>
      <c r="AC1581" s="5" t="s">
        <v>4783</v>
      </c>
      <c r="AD1581" s="4"/>
    </row>
    <row r="1582" spans="1:30" ht="54.5" customHeight="1">
      <c r="A1582" s="12" t="s">
        <v>4793</v>
      </c>
      <c r="B1582" s="12" t="s">
        <v>4800</v>
      </c>
      <c r="C1582" s="4" t="s">
        <v>2689</v>
      </c>
      <c r="D1582" s="4" t="s">
        <v>2308</v>
      </c>
      <c r="E1582" s="4" t="s">
        <v>2308</v>
      </c>
      <c r="F1582" s="5" t="s">
        <v>2308</v>
      </c>
      <c r="G1582" s="61" t="s">
        <v>2695</v>
      </c>
      <c r="H1582" s="4" t="s">
        <v>531</v>
      </c>
      <c r="I1582" s="4">
        <v>1937</v>
      </c>
      <c r="J1582" s="5" t="s">
        <v>2308</v>
      </c>
      <c r="K1582" s="5" t="s">
        <v>2308</v>
      </c>
      <c r="L1582" s="5" t="s">
        <v>2308</v>
      </c>
      <c r="M1582" s="5" t="s">
        <v>2308</v>
      </c>
      <c r="N1582" s="5" t="s">
        <v>2308</v>
      </c>
      <c r="O1582" s="5" t="s">
        <v>2308</v>
      </c>
      <c r="P1582" s="5" t="s">
        <v>2308</v>
      </c>
      <c r="Q1582" s="5" t="s">
        <v>2308</v>
      </c>
      <c r="R1582" s="5" t="s">
        <v>2308</v>
      </c>
      <c r="S1582" s="5" t="s">
        <v>2308</v>
      </c>
      <c r="T1582" s="5" t="s">
        <v>2308</v>
      </c>
      <c r="U1582" s="5" t="s">
        <v>2308</v>
      </c>
      <c r="V1582" s="5" t="s">
        <v>2308</v>
      </c>
      <c r="W1582" s="5" t="s">
        <v>2308</v>
      </c>
      <c r="X1582" s="5" t="s">
        <v>2308</v>
      </c>
      <c r="Y1582" s="5" t="s">
        <v>2308</v>
      </c>
      <c r="Z1582" s="5" t="s">
        <v>2308</v>
      </c>
      <c r="AA1582" s="5" t="s">
        <v>2308</v>
      </c>
      <c r="AB1582" s="5" t="s">
        <v>2308</v>
      </c>
      <c r="AC1582" s="5" t="s">
        <v>4802</v>
      </c>
      <c r="AD1582" s="4"/>
    </row>
    <row r="1583" spans="1:30" ht="55.5" customHeight="1">
      <c r="A1583" s="36" t="s">
        <v>4793</v>
      </c>
      <c r="B1583" s="36" t="s">
        <v>4801</v>
      </c>
      <c r="C1583" s="39" t="s">
        <v>24</v>
      </c>
      <c r="D1583" s="39" t="s">
        <v>150</v>
      </c>
      <c r="E1583" s="4" t="s">
        <v>143</v>
      </c>
      <c r="F1583" s="177" t="s">
        <v>2695</v>
      </c>
      <c r="G1583" s="177" t="s">
        <v>2308</v>
      </c>
      <c r="H1583" s="39" t="s">
        <v>532</v>
      </c>
      <c r="I1583" s="4">
        <v>1937</v>
      </c>
      <c r="J1583" s="22">
        <v>0</v>
      </c>
      <c r="K1583" s="22">
        <v>0</v>
      </c>
      <c r="L1583" s="22">
        <v>0</v>
      </c>
      <c r="M1583" s="22">
        <v>0</v>
      </c>
      <c r="N1583" s="22">
        <v>0</v>
      </c>
      <c r="O1583" s="22">
        <v>0</v>
      </c>
      <c r="P1583" s="22">
        <v>0</v>
      </c>
      <c r="Q1583" s="22">
        <v>0</v>
      </c>
      <c r="R1583" s="22">
        <v>0</v>
      </c>
      <c r="S1583" s="22">
        <v>0</v>
      </c>
      <c r="T1583" s="22">
        <v>0</v>
      </c>
      <c r="U1583" s="22">
        <v>0</v>
      </c>
      <c r="V1583" s="22">
        <v>0</v>
      </c>
      <c r="W1583" s="22">
        <v>0</v>
      </c>
      <c r="X1583" s="22">
        <v>0</v>
      </c>
      <c r="Y1583" s="22">
        <v>0</v>
      </c>
      <c r="Z1583" s="5" t="s">
        <v>2308</v>
      </c>
      <c r="AA1583" s="5" t="s">
        <v>2308</v>
      </c>
      <c r="AB1583" s="5" t="s">
        <v>2308</v>
      </c>
      <c r="AC1583" s="39"/>
      <c r="AD1583" s="177"/>
    </row>
    <row r="1584" spans="1:30" s="131" customFormat="1" ht="43.5" customHeight="1">
      <c r="A1584" s="12" t="s">
        <v>4793</v>
      </c>
      <c r="B1584" s="12" t="s">
        <v>4803</v>
      </c>
      <c r="C1584" s="4" t="s">
        <v>24</v>
      </c>
      <c r="D1584" s="4" t="s">
        <v>2308</v>
      </c>
      <c r="E1584" s="4" t="s">
        <v>1125</v>
      </c>
      <c r="F1584" s="5" t="s">
        <v>2695</v>
      </c>
      <c r="G1584" s="177" t="s">
        <v>2308</v>
      </c>
      <c r="H1584" s="4" t="s">
        <v>531</v>
      </c>
      <c r="I1584" s="4">
        <v>1990</v>
      </c>
      <c r="J1584" s="5" t="s">
        <v>2308</v>
      </c>
      <c r="K1584" s="5" t="s">
        <v>2308</v>
      </c>
      <c r="L1584" s="5" t="s">
        <v>2308</v>
      </c>
      <c r="M1584" s="5" t="s">
        <v>2308</v>
      </c>
      <c r="N1584" s="5" t="s">
        <v>2308</v>
      </c>
      <c r="O1584" s="5" t="s">
        <v>2308</v>
      </c>
      <c r="P1584" s="5" t="s">
        <v>2308</v>
      </c>
      <c r="Q1584" s="5" t="s">
        <v>2308</v>
      </c>
      <c r="R1584" s="5" t="s">
        <v>2308</v>
      </c>
      <c r="S1584" s="5" t="s">
        <v>2308</v>
      </c>
      <c r="T1584" s="5" t="s">
        <v>2308</v>
      </c>
      <c r="U1584" s="5" t="s">
        <v>2308</v>
      </c>
      <c r="V1584" s="5" t="s">
        <v>2308</v>
      </c>
      <c r="W1584" s="5" t="s">
        <v>2308</v>
      </c>
      <c r="X1584" s="5" t="s">
        <v>2308</v>
      </c>
      <c r="Y1584" s="5" t="s">
        <v>2308</v>
      </c>
      <c r="Z1584" s="4" t="s">
        <v>38</v>
      </c>
      <c r="AA1584" s="4" t="s">
        <v>412</v>
      </c>
      <c r="AB1584" s="4" t="s">
        <v>76</v>
      </c>
      <c r="AC1584" s="5" t="s">
        <v>4813</v>
      </c>
      <c r="AD1584" s="177" t="s">
        <v>4804</v>
      </c>
    </row>
    <row r="1585" spans="1:30" s="131" customFormat="1" ht="43.5" customHeight="1">
      <c r="A1585" s="12" t="s">
        <v>4798</v>
      </c>
      <c r="B1585" s="12" t="s">
        <v>4805</v>
      </c>
      <c r="C1585" s="4" t="s">
        <v>24</v>
      </c>
      <c r="D1585" s="4" t="s">
        <v>2308</v>
      </c>
      <c r="E1585" s="4" t="s">
        <v>5065</v>
      </c>
      <c r="F1585" s="5" t="s">
        <v>2695</v>
      </c>
      <c r="G1585" s="177" t="s">
        <v>2308</v>
      </c>
      <c r="H1585" s="4" t="s">
        <v>531</v>
      </c>
      <c r="I1585" s="4">
        <v>1990</v>
      </c>
      <c r="J1585" s="5" t="s">
        <v>2308</v>
      </c>
      <c r="K1585" s="5" t="s">
        <v>2308</v>
      </c>
      <c r="L1585" s="5" t="s">
        <v>2308</v>
      </c>
      <c r="M1585" s="5" t="s">
        <v>2308</v>
      </c>
      <c r="N1585" s="5" t="s">
        <v>2308</v>
      </c>
      <c r="O1585" s="5" t="s">
        <v>2308</v>
      </c>
      <c r="P1585" s="5" t="s">
        <v>2308</v>
      </c>
      <c r="Q1585" s="5" t="s">
        <v>2308</v>
      </c>
      <c r="R1585" s="5" t="s">
        <v>2308</v>
      </c>
      <c r="S1585" s="5" t="s">
        <v>2308</v>
      </c>
      <c r="T1585" s="5" t="s">
        <v>2308</v>
      </c>
      <c r="U1585" s="5" t="s">
        <v>2308</v>
      </c>
      <c r="V1585" s="5" t="s">
        <v>2308</v>
      </c>
      <c r="W1585" s="5" t="s">
        <v>2308</v>
      </c>
      <c r="X1585" s="5" t="s">
        <v>2308</v>
      </c>
      <c r="Y1585" s="5" t="s">
        <v>2308</v>
      </c>
      <c r="Z1585" s="4" t="s">
        <v>38</v>
      </c>
      <c r="AA1585" s="4" t="s">
        <v>412</v>
      </c>
      <c r="AB1585" s="4" t="s">
        <v>76</v>
      </c>
      <c r="AC1585" s="5" t="s">
        <v>4813</v>
      </c>
      <c r="AD1585" s="177" t="s">
        <v>4804</v>
      </c>
    </row>
    <row r="1586" spans="1:30" s="131" customFormat="1" ht="43.5" customHeight="1">
      <c r="A1586" s="12" t="s">
        <v>4798</v>
      </c>
      <c r="B1586" s="12" t="s">
        <v>4807</v>
      </c>
      <c r="C1586" s="4" t="s">
        <v>24</v>
      </c>
      <c r="D1586" s="4" t="s">
        <v>2308</v>
      </c>
      <c r="E1586" s="4" t="s">
        <v>5065</v>
      </c>
      <c r="F1586" s="5" t="s">
        <v>2695</v>
      </c>
      <c r="G1586" s="177" t="s">
        <v>2308</v>
      </c>
      <c r="H1586" s="4" t="s">
        <v>531</v>
      </c>
      <c r="I1586" s="4">
        <v>1990</v>
      </c>
      <c r="J1586" s="5" t="s">
        <v>2308</v>
      </c>
      <c r="K1586" s="5" t="s">
        <v>2308</v>
      </c>
      <c r="L1586" s="5" t="s">
        <v>2308</v>
      </c>
      <c r="M1586" s="5" t="s">
        <v>2308</v>
      </c>
      <c r="N1586" s="5" t="s">
        <v>2308</v>
      </c>
      <c r="O1586" s="5" t="s">
        <v>2308</v>
      </c>
      <c r="P1586" s="5" t="s">
        <v>2308</v>
      </c>
      <c r="Q1586" s="5" t="s">
        <v>2308</v>
      </c>
      <c r="R1586" s="5" t="s">
        <v>2308</v>
      </c>
      <c r="S1586" s="5" t="s">
        <v>2308</v>
      </c>
      <c r="T1586" s="5" t="s">
        <v>2308</v>
      </c>
      <c r="U1586" s="5" t="s">
        <v>2308</v>
      </c>
      <c r="V1586" s="5" t="s">
        <v>2308</v>
      </c>
      <c r="W1586" s="5" t="s">
        <v>2308</v>
      </c>
      <c r="X1586" s="5" t="s">
        <v>2308</v>
      </c>
      <c r="Y1586" s="5" t="s">
        <v>2308</v>
      </c>
      <c r="Z1586" s="4" t="s">
        <v>38</v>
      </c>
      <c r="AA1586" s="4" t="s">
        <v>412</v>
      </c>
      <c r="AB1586" s="4" t="s">
        <v>76</v>
      </c>
      <c r="AC1586" s="5" t="s">
        <v>4813</v>
      </c>
      <c r="AD1586" s="177" t="s">
        <v>4804</v>
      </c>
    </row>
    <row r="1587" spans="1:30" s="131" customFormat="1" ht="43.5" customHeight="1">
      <c r="A1587" s="12" t="s">
        <v>4798</v>
      </c>
      <c r="B1587" s="12" t="s">
        <v>4808</v>
      </c>
      <c r="C1587" s="4" t="s">
        <v>24</v>
      </c>
      <c r="D1587" s="4" t="s">
        <v>2308</v>
      </c>
      <c r="E1587" s="4" t="s">
        <v>45</v>
      </c>
      <c r="F1587" s="5" t="s">
        <v>2695</v>
      </c>
      <c r="G1587" s="177" t="s">
        <v>2308</v>
      </c>
      <c r="H1587" s="4" t="s">
        <v>531</v>
      </c>
      <c r="I1587" s="4">
        <v>1990</v>
      </c>
      <c r="J1587" s="5" t="s">
        <v>2308</v>
      </c>
      <c r="K1587" s="5" t="s">
        <v>2308</v>
      </c>
      <c r="L1587" s="5" t="s">
        <v>2308</v>
      </c>
      <c r="M1587" s="5" t="s">
        <v>2308</v>
      </c>
      <c r="N1587" s="5" t="s">
        <v>2308</v>
      </c>
      <c r="O1587" s="5" t="s">
        <v>2308</v>
      </c>
      <c r="P1587" s="5" t="s">
        <v>2308</v>
      </c>
      <c r="Q1587" s="5" t="s">
        <v>2308</v>
      </c>
      <c r="R1587" s="5" t="s">
        <v>2308</v>
      </c>
      <c r="S1587" s="5" t="s">
        <v>2308</v>
      </c>
      <c r="T1587" s="5" t="s">
        <v>2308</v>
      </c>
      <c r="U1587" s="5" t="s">
        <v>2308</v>
      </c>
      <c r="V1587" s="5" t="s">
        <v>2308</v>
      </c>
      <c r="W1587" s="5" t="s">
        <v>2308</v>
      </c>
      <c r="X1587" s="5" t="s">
        <v>2308</v>
      </c>
      <c r="Y1587" s="5" t="s">
        <v>2308</v>
      </c>
      <c r="Z1587" s="4" t="s">
        <v>38</v>
      </c>
      <c r="AA1587" s="4" t="s">
        <v>412</v>
      </c>
      <c r="AB1587" s="4" t="s">
        <v>76</v>
      </c>
      <c r="AC1587" s="5" t="s">
        <v>4813</v>
      </c>
      <c r="AD1587" s="177" t="s">
        <v>4804</v>
      </c>
    </row>
    <row r="1588" spans="1:30" s="131" customFormat="1" ht="43.5" customHeight="1">
      <c r="A1588" s="12" t="s">
        <v>4798</v>
      </c>
      <c r="B1588" s="12" t="s">
        <v>4809</v>
      </c>
      <c r="C1588" s="4" t="s">
        <v>24</v>
      </c>
      <c r="D1588" s="4" t="s">
        <v>2308</v>
      </c>
      <c r="E1588" s="4" t="s">
        <v>136</v>
      </c>
      <c r="F1588" s="5" t="s">
        <v>2695</v>
      </c>
      <c r="G1588" s="177" t="s">
        <v>2308</v>
      </c>
      <c r="H1588" s="4" t="s">
        <v>531</v>
      </c>
      <c r="I1588" s="4">
        <v>1990</v>
      </c>
      <c r="J1588" s="5" t="s">
        <v>2308</v>
      </c>
      <c r="K1588" s="5" t="s">
        <v>2308</v>
      </c>
      <c r="L1588" s="5" t="s">
        <v>2308</v>
      </c>
      <c r="M1588" s="5" t="s">
        <v>2308</v>
      </c>
      <c r="N1588" s="5" t="s">
        <v>2308</v>
      </c>
      <c r="O1588" s="5" t="s">
        <v>2308</v>
      </c>
      <c r="P1588" s="5" t="s">
        <v>2308</v>
      </c>
      <c r="Q1588" s="5" t="s">
        <v>2308</v>
      </c>
      <c r="R1588" s="5" t="s">
        <v>2308</v>
      </c>
      <c r="S1588" s="5" t="s">
        <v>2308</v>
      </c>
      <c r="T1588" s="5" t="s">
        <v>2308</v>
      </c>
      <c r="U1588" s="5" t="s">
        <v>2308</v>
      </c>
      <c r="V1588" s="5" t="s">
        <v>2308</v>
      </c>
      <c r="W1588" s="5" t="s">
        <v>2308</v>
      </c>
      <c r="X1588" s="5" t="s">
        <v>2308</v>
      </c>
      <c r="Y1588" s="5" t="s">
        <v>2308</v>
      </c>
      <c r="Z1588" s="4" t="s">
        <v>38</v>
      </c>
      <c r="AA1588" s="4" t="s">
        <v>412</v>
      </c>
      <c r="AB1588" s="4" t="s">
        <v>76</v>
      </c>
      <c r="AC1588" s="5" t="s">
        <v>4813</v>
      </c>
      <c r="AD1588" s="177" t="s">
        <v>4804</v>
      </c>
    </row>
    <row r="1589" spans="1:30" s="131" customFormat="1" ht="43.5" customHeight="1">
      <c r="A1589" s="12" t="s">
        <v>4799</v>
      </c>
      <c r="B1589" s="12" t="s">
        <v>4806</v>
      </c>
      <c r="C1589" s="4" t="s">
        <v>24</v>
      </c>
      <c r="D1589" s="4" t="s">
        <v>25</v>
      </c>
      <c r="E1589" s="4" t="s">
        <v>45</v>
      </c>
      <c r="F1589" s="5" t="s">
        <v>2695</v>
      </c>
      <c r="G1589" s="177" t="s">
        <v>2308</v>
      </c>
      <c r="H1589" s="4" t="s">
        <v>532</v>
      </c>
      <c r="I1589" s="4">
        <v>1937</v>
      </c>
      <c r="J1589" s="22">
        <v>0</v>
      </c>
      <c r="K1589" s="22">
        <v>0</v>
      </c>
      <c r="L1589" s="22">
        <v>0</v>
      </c>
      <c r="M1589" s="22">
        <v>0</v>
      </c>
      <c r="N1589" s="22">
        <v>0</v>
      </c>
      <c r="O1589" s="22">
        <v>0</v>
      </c>
      <c r="P1589" s="22">
        <v>0</v>
      </c>
      <c r="Q1589" s="22">
        <v>0</v>
      </c>
      <c r="R1589" s="22">
        <v>0</v>
      </c>
      <c r="S1589" s="22">
        <v>0</v>
      </c>
      <c r="T1589" s="22">
        <v>0</v>
      </c>
      <c r="U1589" s="22">
        <v>0</v>
      </c>
      <c r="V1589" s="22">
        <v>0</v>
      </c>
      <c r="W1589" s="22">
        <v>0</v>
      </c>
      <c r="X1589" s="22">
        <v>0</v>
      </c>
      <c r="Y1589" s="22">
        <v>0</v>
      </c>
      <c r="Z1589" s="5" t="s">
        <v>2308</v>
      </c>
      <c r="AA1589" s="5" t="s">
        <v>2308</v>
      </c>
      <c r="AB1589" s="5" t="s">
        <v>2308</v>
      </c>
      <c r="AC1589" s="4"/>
      <c r="AD1589" s="4"/>
    </row>
    <row r="1590" spans="1:30" s="131" customFormat="1" ht="43.5" customHeight="1">
      <c r="A1590" s="12" t="s">
        <v>4799</v>
      </c>
      <c r="B1590" s="12" t="s">
        <v>4810</v>
      </c>
      <c r="C1590" s="4" t="s">
        <v>24</v>
      </c>
      <c r="D1590" s="4" t="s">
        <v>25</v>
      </c>
      <c r="E1590" s="4" t="s">
        <v>45</v>
      </c>
      <c r="F1590" s="5" t="s">
        <v>2695</v>
      </c>
      <c r="G1590" s="177" t="s">
        <v>2308</v>
      </c>
      <c r="H1590" s="4" t="s">
        <v>531</v>
      </c>
      <c r="I1590" s="4">
        <v>1990</v>
      </c>
      <c r="J1590" s="5" t="s">
        <v>2308</v>
      </c>
      <c r="K1590" s="5" t="s">
        <v>2308</v>
      </c>
      <c r="L1590" s="5" t="s">
        <v>2308</v>
      </c>
      <c r="M1590" s="5" t="s">
        <v>2308</v>
      </c>
      <c r="N1590" s="5" t="s">
        <v>2308</v>
      </c>
      <c r="O1590" s="5" t="s">
        <v>2308</v>
      </c>
      <c r="P1590" s="5" t="s">
        <v>2308</v>
      </c>
      <c r="Q1590" s="5" t="s">
        <v>2308</v>
      </c>
      <c r="R1590" s="5" t="s">
        <v>2308</v>
      </c>
      <c r="S1590" s="5" t="s">
        <v>2308</v>
      </c>
      <c r="T1590" s="5" t="s">
        <v>2308</v>
      </c>
      <c r="U1590" s="5" t="s">
        <v>2308</v>
      </c>
      <c r="V1590" s="5" t="s">
        <v>2308</v>
      </c>
      <c r="W1590" s="5" t="s">
        <v>2308</v>
      </c>
      <c r="X1590" s="5" t="s">
        <v>2308</v>
      </c>
      <c r="Y1590" s="5" t="s">
        <v>2308</v>
      </c>
      <c r="Z1590" s="4" t="s">
        <v>38</v>
      </c>
      <c r="AA1590" s="4" t="s">
        <v>412</v>
      </c>
      <c r="AB1590" s="4" t="s">
        <v>2308</v>
      </c>
      <c r="AC1590" s="4"/>
      <c r="AD1590" s="177" t="s">
        <v>4804</v>
      </c>
    </row>
    <row r="1591" spans="1:30" s="131" customFormat="1" ht="43.5" customHeight="1">
      <c r="A1591" s="12" t="s">
        <v>4799</v>
      </c>
      <c r="B1591" s="12" t="s">
        <v>4811</v>
      </c>
      <c r="C1591" s="4" t="s">
        <v>24</v>
      </c>
      <c r="D1591" s="4" t="s">
        <v>25</v>
      </c>
      <c r="E1591" s="4" t="s">
        <v>2680</v>
      </c>
      <c r="F1591" s="5" t="s">
        <v>2695</v>
      </c>
      <c r="G1591" s="177" t="s">
        <v>2308</v>
      </c>
      <c r="H1591" s="4" t="s">
        <v>532</v>
      </c>
      <c r="I1591" s="4">
        <v>1937</v>
      </c>
      <c r="J1591" s="22">
        <v>0</v>
      </c>
      <c r="K1591" s="22">
        <v>0</v>
      </c>
      <c r="L1591" s="22">
        <v>0</v>
      </c>
      <c r="M1591" s="22">
        <v>0</v>
      </c>
      <c r="N1591" s="22">
        <v>0</v>
      </c>
      <c r="O1591" s="22">
        <v>0</v>
      </c>
      <c r="P1591" s="22">
        <v>0</v>
      </c>
      <c r="Q1591" s="22">
        <v>0</v>
      </c>
      <c r="R1591" s="22">
        <v>0</v>
      </c>
      <c r="S1591" s="22">
        <v>0</v>
      </c>
      <c r="T1591" s="22">
        <v>0</v>
      </c>
      <c r="U1591" s="22">
        <v>0</v>
      </c>
      <c r="V1591" s="22">
        <v>0</v>
      </c>
      <c r="W1591" s="22">
        <v>0</v>
      </c>
      <c r="X1591" s="22">
        <v>0</v>
      </c>
      <c r="Y1591" s="22">
        <v>0</v>
      </c>
      <c r="Z1591" s="5" t="s">
        <v>2308</v>
      </c>
      <c r="AA1591" s="5" t="s">
        <v>2308</v>
      </c>
      <c r="AB1591" s="5" t="s">
        <v>2308</v>
      </c>
      <c r="AC1591" s="4"/>
      <c r="AD1591" s="4"/>
    </row>
    <row r="1592" spans="1:30" s="131" customFormat="1" ht="39" customHeight="1">
      <c r="A1592" s="12" t="s">
        <v>4799</v>
      </c>
      <c r="B1592" s="12" t="s">
        <v>4812</v>
      </c>
      <c r="C1592" s="4" t="s">
        <v>24</v>
      </c>
      <c r="D1592" s="4" t="s">
        <v>25</v>
      </c>
      <c r="E1592" s="4" t="s">
        <v>2680</v>
      </c>
      <c r="F1592" s="5" t="s">
        <v>2695</v>
      </c>
      <c r="G1592" s="5" t="s">
        <v>2308</v>
      </c>
      <c r="H1592" s="4" t="s">
        <v>531</v>
      </c>
      <c r="I1592" s="4">
        <v>1990</v>
      </c>
      <c r="J1592" s="5" t="s">
        <v>2308</v>
      </c>
      <c r="K1592" s="5" t="s">
        <v>2308</v>
      </c>
      <c r="L1592" s="5" t="s">
        <v>2308</v>
      </c>
      <c r="M1592" s="5" t="s">
        <v>2308</v>
      </c>
      <c r="N1592" s="5" t="s">
        <v>2308</v>
      </c>
      <c r="O1592" s="5" t="s">
        <v>2308</v>
      </c>
      <c r="P1592" s="5" t="s">
        <v>2308</v>
      </c>
      <c r="Q1592" s="5" t="s">
        <v>2308</v>
      </c>
      <c r="R1592" s="5" t="s">
        <v>2308</v>
      </c>
      <c r="S1592" s="5" t="s">
        <v>2308</v>
      </c>
      <c r="T1592" s="5" t="s">
        <v>2308</v>
      </c>
      <c r="U1592" s="5" t="s">
        <v>2308</v>
      </c>
      <c r="V1592" s="5" t="s">
        <v>2308</v>
      </c>
      <c r="W1592" s="5" t="s">
        <v>2308</v>
      </c>
      <c r="X1592" s="5" t="s">
        <v>2308</v>
      </c>
      <c r="Y1592" s="5" t="s">
        <v>2308</v>
      </c>
      <c r="Z1592" s="4" t="s">
        <v>38</v>
      </c>
      <c r="AA1592" s="4" t="s">
        <v>412</v>
      </c>
      <c r="AB1592" s="4" t="s">
        <v>2308</v>
      </c>
      <c r="AC1592" s="4"/>
      <c r="AD1592" s="5" t="s">
        <v>4804</v>
      </c>
    </row>
    <row r="1593" spans="1:30" ht="40" customHeight="1">
      <c r="A1593" s="12" t="s">
        <v>4824</v>
      </c>
      <c r="B1593" s="12" t="s">
        <v>4825</v>
      </c>
      <c r="C1593" s="4" t="s">
        <v>1125</v>
      </c>
      <c r="D1593" s="4" t="s">
        <v>1125</v>
      </c>
      <c r="E1593" s="4" t="s">
        <v>1125</v>
      </c>
      <c r="F1593" s="5" t="s">
        <v>2308</v>
      </c>
      <c r="G1593" s="5" t="s">
        <v>2695</v>
      </c>
      <c r="H1593" s="4" t="s">
        <v>531</v>
      </c>
      <c r="I1593" s="4"/>
      <c r="J1593" s="5" t="s">
        <v>2308</v>
      </c>
      <c r="K1593" s="5" t="s">
        <v>2308</v>
      </c>
      <c r="L1593" s="5" t="s">
        <v>2308</v>
      </c>
      <c r="M1593" s="5" t="s">
        <v>2308</v>
      </c>
      <c r="N1593" s="5" t="s">
        <v>2308</v>
      </c>
      <c r="O1593" s="5" t="s">
        <v>2308</v>
      </c>
      <c r="P1593" s="5" t="s">
        <v>2308</v>
      </c>
      <c r="Q1593" s="5" t="s">
        <v>2308</v>
      </c>
      <c r="R1593" s="5" t="s">
        <v>2308</v>
      </c>
      <c r="S1593" s="5" t="s">
        <v>2308</v>
      </c>
      <c r="T1593" s="5" t="s">
        <v>2308</v>
      </c>
      <c r="U1593" s="5" t="s">
        <v>2308</v>
      </c>
      <c r="V1593" s="5" t="s">
        <v>2308</v>
      </c>
      <c r="W1593" s="5" t="s">
        <v>2308</v>
      </c>
      <c r="X1593" s="5" t="s">
        <v>2308</v>
      </c>
      <c r="Y1593" s="5" t="s">
        <v>2308</v>
      </c>
      <c r="Z1593" s="5" t="s">
        <v>2308</v>
      </c>
      <c r="AA1593" s="5" t="s">
        <v>2308</v>
      </c>
      <c r="AB1593" s="5" t="s">
        <v>2308</v>
      </c>
      <c r="AC1593" s="4"/>
      <c r="AD1593" s="4"/>
    </row>
    <row r="1594" spans="1:30" ht="67.5" customHeight="1">
      <c r="A1594" s="12" t="s">
        <v>4828</v>
      </c>
      <c r="B1594" s="12" t="s">
        <v>4834</v>
      </c>
      <c r="C1594" s="4" t="s">
        <v>24</v>
      </c>
      <c r="D1594" s="4" t="s">
        <v>2837</v>
      </c>
      <c r="E1594" s="4" t="s">
        <v>5065</v>
      </c>
      <c r="F1594" s="5" t="s">
        <v>2695</v>
      </c>
      <c r="G1594" s="5" t="s">
        <v>2695</v>
      </c>
      <c r="H1594" s="4" t="s">
        <v>532</v>
      </c>
      <c r="I1594" s="4"/>
      <c r="J1594" s="22">
        <v>0</v>
      </c>
      <c r="K1594" s="22">
        <v>0</v>
      </c>
      <c r="L1594" s="22">
        <v>0</v>
      </c>
      <c r="M1594" s="22">
        <v>0</v>
      </c>
      <c r="N1594" s="22">
        <v>0</v>
      </c>
      <c r="O1594" s="22">
        <v>0</v>
      </c>
      <c r="P1594" s="22">
        <v>0</v>
      </c>
      <c r="Q1594" s="22">
        <v>0</v>
      </c>
      <c r="R1594" s="22">
        <v>0</v>
      </c>
      <c r="S1594" s="22">
        <v>0</v>
      </c>
      <c r="T1594" s="22">
        <v>0</v>
      </c>
      <c r="U1594" s="22">
        <v>0</v>
      </c>
      <c r="V1594" s="22">
        <v>0</v>
      </c>
      <c r="W1594" s="22">
        <v>0</v>
      </c>
      <c r="X1594" s="22">
        <v>0</v>
      </c>
      <c r="Y1594" s="22">
        <v>0</v>
      </c>
      <c r="Z1594" s="5" t="s">
        <v>2308</v>
      </c>
      <c r="AA1594" s="5" t="s">
        <v>2308</v>
      </c>
      <c r="AB1594" s="5" t="s">
        <v>2308</v>
      </c>
      <c r="AC1594" s="5" t="s">
        <v>4840</v>
      </c>
      <c r="AD1594" s="4"/>
    </row>
    <row r="1595" spans="1:30" ht="44.5" customHeight="1">
      <c r="A1595" s="12" t="s">
        <v>4832</v>
      </c>
      <c r="B1595" s="12" t="s">
        <v>4835</v>
      </c>
      <c r="C1595" s="4" t="s">
        <v>24</v>
      </c>
      <c r="D1595" s="4" t="s">
        <v>2837</v>
      </c>
      <c r="E1595" s="4" t="s">
        <v>5065</v>
      </c>
      <c r="F1595" s="5" t="s">
        <v>2695</v>
      </c>
      <c r="G1595" s="5" t="s">
        <v>2695</v>
      </c>
      <c r="H1595" s="4" t="s">
        <v>531</v>
      </c>
      <c r="I1595" s="4"/>
      <c r="J1595" s="5" t="s">
        <v>2308</v>
      </c>
      <c r="K1595" s="5" t="s">
        <v>2308</v>
      </c>
      <c r="L1595" s="5" t="s">
        <v>2308</v>
      </c>
      <c r="M1595" s="5" t="s">
        <v>2308</v>
      </c>
      <c r="N1595" s="5" t="s">
        <v>2308</v>
      </c>
      <c r="O1595" s="5" t="s">
        <v>2308</v>
      </c>
      <c r="P1595" s="5" t="s">
        <v>2308</v>
      </c>
      <c r="Q1595" s="5" t="s">
        <v>2308</v>
      </c>
      <c r="R1595" s="5" t="s">
        <v>2308</v>
      </c>
      <c r="S1595" s="5" t="s">
        <v>2308</v>
      </c>
      <c r="T1595" s="5" t="s">
        <v>2308</v>
      </c>
      <c r="U1595" s="5" t="s">
        <v>2308</v>
      </c>
      <c r="V1595" s="5" t="s">
        <v>2308</v>
      </c>
      <c r="W1595" s="5" t="s">
        <v>2308</v>
      </c>
      <c r="X1595" s="5" t="s">
        <v>2308</v>
      </c>
      <c r="Y1595" s="5" t="s">
        <v>2308</v>
      </c>
      <c r="Z1595" s="5" t="s">
        <v>2308</v>
      </c>
      <c r="AA1595" s="5" t="s">
        <v>2308</v>
      </c>
      <c r="AB1595" s="5" t="s">
        <v>2308</v>
      </c>
      <c r="AC1595" s="4"/>
      <c r="AD1595" s="4"/>
    </row>
    <row r="1596" spans="1:30" ht="32.5" customHeight="1">
      <c r="A1596" s="12" t="s">
        <v>4842</v>
      </c>
      <c r="B1596" s="12" t="s">
        <v>4845</v>
      </c>
      <c r="C1596" s="4" t="s">
        <v>24</v>
      </c>
      <c r="D1596" s="4" t="s">
        <v>2837</v>
      </c>
      <c r="E1596" s="4" t="s">
        <v>5065</v>
      </c>
      <c r="F1596" s="5" t="s">
        <v>2695</v>
      </c>
      <c r="G1596" s="5" t="s">
        <v>2308</v>
      </c>
      <c r="H1596" s="4" t="s">
        <v>531</v>
      </c>
      <c r="I1596" s="4"/>
      <c r="J1596" s="5" t="s">
        <v>2308</v>
      </c>
      <c r="K1596" s="5" t="s">
        <v>2308</v>
      </c>
      <c r="L1596" s="5" t="s">
        <v>2308</v>
      </c>
      <c r="M1596" s="5" t="s">
        <v>2308</v>
      </c>
      <c r="N1596" s="5" t="s">
        <v>2308</v>
      </c>
      <c r="O1596" s="5" t="s">
        <v>2308</v>
      </c>
      <c r="P1596" s="5" t="s">
        <v>2308</v>
      </c>
      <c r="Q1596" s="5" t="s">
        <v>2308</v>
      </c>
      <c r="R1596" s="5" t="s">
        <v>2308</v>
      </c>
      <c r="S1596" s="5" t="s">
        <v>2308</v>
      </c>
      <c r="T1596" s="5" t="s">
        <v>2308</v>
      </c>
      <c r="U1596" s="5" t="s">
        <v>2308</v>
      </c>
      <c r="V1596" s="5" t="s">
        <v>2308</v>
      </c>
      <c r="W1596" s="5" t="s">
        <v>2308</v>
      </c>
      <c r="X1596" s="5" t="s">
        <v>2308</v>
      </c>
      <c r="Y1596" s="5" t="s">
        <v>2308</v>
      </c>
      <c r="Z1596" s="5" t="s">
        <v>2308</v>
      </c>
      <c r="AA1596" s="5" t="s">
        <v>2308</v>
      </c>
      <c r="AB1596" s="5" t="s">
        <v>2308</v>
      </c>
      <c r="AC1596" s="4"/>
      <c r="AD1596" s="4"/>
    </row>
    <row r="1597" spans="1:30" ht="32.5" customHeight="1">
      <c r="A1597" s="12" t="s">
        <v>4844</v>
      </c>
      <c r="B1597" s="12" t="s">
        <v>4846</v>
      </c>
      <c r="C1597" s="4" t="s">
        <v>24</v>
      </c>
      <c r="D1597" s="4" t="s">
        <v>1125</v>
      </c>
      <c r="E1597" s="4" t="s">
        <v>136</v>
      </c>
      <c r="F1597" s="5" t="s">
        <v>2308</v>
      </c>
      <c r="G1597" s="5" t="s">
        <v>2308</v>
      </c>
      <c r="H1597" s="4" t="s">
        <v>531</v>
      </c>
      <c r="I1597" s="4"/>
      <c r="J1597" s="5" t="s">
        <v>2308</v>
      </c>
      <c r="K1597" s="5" t="s">
        <v>2308</v>
      </c>
      <c r="L1597" s="5" t="s">
        <v>2308</v>
      </c>
      <c r="M1597" s="5" t="s">
        <v>2308</v>
      </c>
      <c r="N1597" s="5" t="s">
        <v>2308</v>
      </c>
      <c r="O1597" s="5" t="s">
        <v>2308</v>
      </c>
      <c r="P1597" s="5" t="s">
        <v>2308</v>
      </c>
      <c r="Q1597" s="5" t="s">
        <v>2308</v>
      </c>
      <c r="R1597" s="5" t="s">
        <v>2308</v>
      </c>
      <c r="S1597" s="5" t="s">
        <v>2308</v>
      </c>
      <c r="T1597" s="5" t="s">
        <v>2308</v>
      </c>
      <c r="U1597" s="5" t="s">
        <v>2308</v>
      </c>
      <c r="V1597" s="5" t="s">
        <v>2308</v>
      </c>
      <c r="W1597" s="5" t="s">
        <v>2308</v>
      </c>
      <c r="X1597" s="5" t="s">
        <v>2308</v>
      </c>
      <c r="Y1597" s="5" t="s">
        <v>2308</v>
      </c>
      <c r="Z1597" s="5" t="s">
        <v>2308</v>
      </c>
      <c r="AA1597" s="5" t="s">
        <v>2308</v>
      </c>
      <c r="AB1597" s="5" t="s">
        <v>2308</v>
      </c>
      <c r="AC1597" s="4"/>
      <c r="AD1597" s="4"/>
    </row>
    <row r="1598" spans="1:30" ht="54.5" customHeight="1">
      <c r="A1598" s="12" t="s">
        <v>4844</v>
      </c>
      <c r="B1598" s="12" t="s">
        <v>4847</v>
      </c>
      <c r="C1598" s="4" t="s">
        <v>24</v>
      </c>
      <c r="D1598" s="4" t="s">
        <v>2837</v>
      </c>
      <c r="E1598" s="4" t="s">
        <v>5065</v>
      </c>
      <c r="F1598" s="5" t="s">
        <v>74</v>
      </c>
      <c r="G1598" s="5" t="s">
        <v>2308</v>
      </c>
      <c r="H1598" s="4" t="s">
        <v>532</v>
      </c>
      <c r="I1598" s="4"/>
      <c r="J1598" s="22">
        <v>0</v>
      </c>
      <c r="K1598" s="22">
        <v>0</v>
      </c>
      <c r="L1598" s="22">
        <v>0</v>
      </c>
      <c r="M1598" s="22">
        <v>0</v>
      </c>
      <c r="N1598" s="22">
        <v>0</v>
      </c>
      <c r="O1598" s="22">
        <v>0</v>
      </c>
      <c r="P1598" s="22">
        <v>0</v>
      </c>
      <c r="Q1598" s="22">
        <v>0</v>
      </c>
      <c r="R1598" s="22">
        <v>0</v>
      </c>
      <c r="S1598" s="22">
        <v>0</v>
      </c>
      <c r="T1598" s="22">
        <v>0</v>
      </c>
      <c r="U1598" s="22">
        <v>0</v>
      </c>
      <c r="V1598" s="22">
        <v>0</v>
      </c>
      <c r="W1598" s="22">
        <v>0</v>
      </c>
      <c r="X1598" s="22">
        <v>0</v>
      </c>
      <c r="Y1598" s="22">
        <v>0</v>
      </c>
      <c r="Z1598" s="5" t="s">
        <v>2308</v>
      </c>
      <c r="AA1598" s="5" t="s">
        <v>2308</v>
      </c>
      <c r="AB1598" s="5" t="s">
        <v>2308</v>
      </c>
      <c r="AC1598" s="5" t="s">
        <v>4836</v>
      </c>
      <c r="AD1598" s="4"/>
    </row>
    <row r="1599" spans="1:30" ht="46.5" customHeight="1">
      <c r="A1599" s="12" t="s">
        <v>4850</v>
      </c>
      <c r="B1599" s="12" t="s">
        <v>4864</v>
      </c>
      <c r="C1599" s="4" t="s">
        <v>24</v>
      </c>
      <c r="D1599" s="4" t="s">
        <v>2837</v>
      </c>
      <c r="E1599" s="4" t="s">
        <v>5065</v>
      </c>
      <c r="F1599" s="5" t="s">
        <v>74</v>
      </c>
      <c r="G1599" s="5" t="s">
        <v>2308</v>
      </c>
      <c r="H1599" s="4" t="s">
        <v>532</v>
      </c>
      <c r="I1599" s="4"/>
      <c r="J1599" s="22">
        <v>0</v>
      </c>
      <c r="K1599" s="22">
        <v>0</v>
      </c>
      <c r="L1599" s="22">
        <v>0</v>
      </c>
      <c r="M1599" s="22">
        <v>0</v>
      </c>
      <c r="N1599" s="22">
        <v>0</v>
      </c>
      <c r="O1599" s="22">
        <v>0</v>
      </c>
      <c r="P1599" s="22">
        <v>0</v>
      </c>
      <c r="Q1599" s="22">
        <v>0</v>
      </c>
      <c r="R1599" s="22">
        <v>0</v>
      </c>
      <c r="S1599" s="22">
        <v>0</v>
      </c>
      <c r="T1599" s="22">
        <v>0</v>
      </c>
      <c r="U1599" s="22">
        <v>0</v>
      </c>
      <c r="V1599" s="22">
        <v>0</v>
      </c>
      <c r="W1599" s="22">
        <v>0</v>
      </c>
      <c r="X1599" s="22">
        <v>0</v>
      </c>
      <c r="Y1599" s="22">
        <v>0</v>
      </c>
      <c r="Z1599" s="5" t="s">
        <v>2308</v>
      </c>
      <c r="AA1599" s="5" t="s">
        <v>2308</v>
      </c>
      <c r="AB1599" s="5" t="s">
        <v>2308</v>
      </c>
      <c r="AC1599" s="5" t="s">
        <v>4874</v>
      </c>
      <c r="AD1599" s="4"/>
    </row>
    <row r="1600" spans="1:30" ht="46.5" customHeight="1">
      <c r="A1600" s="12" t="s">
        <v>4853</v>
      </c>
      <c r="B1600" s="12" t="s">
        <v>4865</v>
      </c>
      <c r="C1600" s="4" t="s">
        <v>24</v>
      </c>
      <c r="D1600" s="4" t="s">
        <v>2837</v>
      </c>
      <c r="E1600" s="4" t="s">
        <v>5065</v>
      </c>
      <c r="F1600" s="5" t="s">
        <v>74</v>
      </c>
      <c r="G1600" s="5" t="s">
        <v>2308</v>
      </c>
      <c r="H1600" s="4" t="s">
        <v>532</v>
      </c>
      <c r="I1600" s="4"/>
      <c r="J1600" s="22">
        <v>0</v>
      </c>
      <c r="K1600" s="22">
        <v>0</v>
      </c>
      <c r="L1600" s="22">
        <v>0</v>
      </c>
      <c r="M1600" s="22">
        <v>0</v>
      </c>
      <c r="N1600" s="22">
        <v>0</v>
      </c>
      <c r="O1600" s="22">
        <v>0</v>
      </c>
      <c r="P1600" s="22">
        <v>0</v>
      </c>
      <c r="Q1600" s="22">
        <v>0</v>
      </c>
      <c r="R1600" s="22">
        <v>0</v>
      </c>
      <c r="S1600" s="22">
        <v>0</v>
      </c>
      <c r="T1600" s="22">
        <v>0</v>
      </c>
      <c r="U1600" s="22">
        <v>0</v>
      </c>
      <c r="V1600" s="22">
        <v>0</v>
      </c>
      <c r="W1600" s="22">
        <v>0</v>
      </c>
      <c r="X1600" s="22">
        <v>0</v>
      </c>
      <c r="Y1600" s="22">
        <v>0</v>
      </c>
      <c r="Z1600" s="5" t="s">
        <v>2308</v>
      </c>
      <c r="AA1600" s="5" t="s">
        <v>2308</v>
      </c>
      <c r="AB1600" s="5" t="s">
        <v>2308</v>
      </c>
      <c r="AC1600" s="5" t="s">
        <v>4874</v>
      </c>
      <c r="AD1600" s="4"/>
    </row>
    <row r="1601" spans="1:30" ht="46.5" customHeight="1">
      <c r="A1601" s="12" t="s">
        <v>4854</v>
      </c>
      <c r="B1601" s="12" t="s">
        <v>4866</v>
      </c>
      <c r="C1601" s="4" t="s">
        <v>24</v>
      </c>
      <c r="D1601" s="4" t="s">
        <v>2837</v>
      </c>
      <c r="E1601" s="4" t="s">
        <v>5065</v>
      </c>
      <c r="F1601" s="5" t="s">
        <v>74</v>
      </c>
      <c r="G1601" s="5" t="s">
        <v>2308</v>
      </c>
      <c r="H1601" s="4" t="s">
        <v>532</v>
      </c>
      <c r="I1601" s="4"/>
      <c r="J1601" s="22">
        <v>0</v>
      </c>
      <c r="K1601" s="22">
        <v>0</v>
      </c>
      <c r="L1601" s="22">
        <v>0</v>
      </c>
      <c r="M1601" s="22">
        <v>0</v>
      </c>
      <c r="N1601" s="22">
        <v>0</v>
      </c>
      <c r="O1601" s="22">
        <v>0</v>
      </c>
      <c r="P1601" s="22">
        <v>0</v>
      </c>
      <c r="Q1601" s="22">
        <v>0</v>
      </c>
      <c r="R1601" s="22">
        <v>0</v>
      </c>
      <c r="S1601" s="22">
        <v>0</v>
      </c>
      <c r="T1601" s="22">
        <v>0</v>
      </c>
      <c r="U1601" s="22">
        <v>0</v>
      </c>
      <c r="V1601" s="22">
        <v>0</v>
      </c>
      <c r="W1601" s="22">
        <v>0</v>
      </c>
      <c r="X1601" s="22">
        <v>0</v>
      </c>
      <c r="Y1601" s="22">
        <v>0</v>
      </c>
      <c r="Z1601" s="5" t="s">
        <v>2308</v>
      </c>
      <c r="AA1601" s="5" t="s">
        <v>2308</v>
      </c>
      <c r="AB1601" s="5" t="s">
        <v>2308</v>
      </c>
      <c r="AC1601" s="5" t="s">
        <v>4874</v>
      </c>
      <c r="AD1601" s="4"/>
    </row>
    <row r="1602" spans="1:30" ht="46.5" customHeight="1">
      <c r="A1602" s="12" t="s">
        <v>4855</v>
      </c>
      <c r="B1602" s="12" t="s">
        <v>4867</v>
      </c>
      <c r="C1602" s="4" t="s">
        <v>24</v>
      </c>
      <c r="D1602" s="4" t="s">
        <v>2837</v>
      </c>
      <c r="E1602" s="4" t="s">
        <v>5065</v>
      </c>
      <c r="F1602" s="5" t="s">
        <v>74</v>
      </c>
      <c r="G1602" s="5" t="s">
        <v>2308</v>
      </c>
      <c r="H1602" s="4" t="s">
        <v>532</v>
      </c>
      <c r="I1602" s="4"/>
      <c r="J1602" s="22">
        <v>0</v>
      </c>
      <c r="K1602" s="22">
        <v>0</v>
      </c>
      <c r="L1602" s="22">
        <v>0</v>
      </c>
      <c r="M1602" s="22">
        <v>0</v>
      </c>
      <c r="N1602" s="22">
        <v>0</v>
      </c>
      <c r="O1602" s="22">
        <v>0</v>
      </c>
      <c r="P1602" s="22">
        <v>0</v>
      </c>
      <c r="Q1602" s="22">
        <v>0</v>
      </c>
      <c r="R1602" s="22">
        <v>0</v>
      </c>
      <c r="S1602" s="22">
        <v>0</v>
      </c>
      <c r="T1602" s="22">
        <v>0</v>
      </c>
      <c r="U1602" s="22">
        <v>0</v>
      </c>
      <c r="V1602" s="22">
        <v>0</v>
      </c>
      <c r="W1602" s="22">
        <v>0</v>
      </c>
      <c r="X1602" s="22">
        <v>0</v>
      </c>
      <c r="Y1602" s="22">
        <v>0</v>
      </c>
      <c r="Z1602" s="5" t="s">
        <v>2308</v>
      </c>
      <c r="AA1602" s="5" t="s">
        <v>2308</v>
      </c>
      <c r="AB1602" s="5" t="s">
        <v>2308</v>
      </c>
      <c r="AC1602" s="5" t="s">
        <v>4874</v>
      </c>
      <c r="AD1602" s="4"/>
    </row>
    <row r="1603" spans="1:30" ht="46.5" customHeight="1">
      <c r="A1603" s="12" t="s">
        <v>4856</v>
      </c>
      <c r="B1603" s="12" t="s">
        <v>4868</v>
      </c>
      <c r="C1603" s="4" t="s">
        <v>24</v>
      </c>
      <c r="D1603" s="4" t="s">
        <v>2837</v>
      </c>
      <c r="E1603" s="4" t="s">
        <v>5065</v>
      </c>
      <c r="F1603" s="5" t="s">
        <v>74</v>
      </c>
      <c r="G1603" s="5" t="s">
        <v>2308</v>
      </c>
      <c r="H1603" s="4" t="s">
        <v>532</v>
      </c>
      <c r="I1603" s="4"/>
      <c r="J1603" s="22">
        <v>0</v>
      </c>
      <c r="K1603" s="22">
        <v>0</v>
      </c>
      <c r="L1603" s="22">
        <v>0</v>
      </c>
      <c r="M1603" s="22">
        <v>0</v>
      </c>
      <c r="N1603" s="22">
        <v>0</v>
      </c>
      <c r="O1603" s="22">
        <v>0</v>
      </c>
      <c r="P1603" s="22">
        <v>0</v>
      </c>
      <c r="Q1603" s="22">
        <v>0</v>
      </c>
      <c r="R1603" s="22">
        <v>0</v>
      </c>
      <c r="S1603" s="22">
        <v>0</v>
      </c>
      <c r="T1603" s="22">
        <v>0</v>
      </c>
      <c r="U1603" s="22">
        <v>0</v>
      </c>
      <c r="V1603" s="22">
        <v>0</v>
      </c>
      <c r="W1603" s="22">
        <v>0</v>
      </c>
      <c r="X1603" s="22">
        <v>0</v>
      </c>
      <c r="Y1603" s="22">
        <v>0</v>
      </c>
      <c r="Z1603" s="5" t="s">
        <v>2308</v>
      </c>
      <c r="AA1603" s="5" t="s">
        <v>2308</v>
      </c>
      <c r="AB1603" s="5" t="s">
        <v>2308</v>
      </c>
      <c r="AC1603" s="5" t="s">
        <v>4874</v>
      </c>
      <c r="AD1603" s="4"/>
    </row>
    <row r="1604" spans="1:30" ht="46.5" customHeight="1">
      <c r="A1604" s="12" t="s">
        <v>4850</v>
      </c>
      <c r="B1604" s="12" t="s">
        <v>4869</v>
      </c>
      <c r="C1604" s="4" t="s">
        <v>24</v>
      </c>
      <c r="D1604" s="4" t="s">
        <v>2263</v>
      </c>
      <c r="E1604" s="4" t="s">
        <v>5065</v>
      </c>
      <c r="F1604" s="5" t="s">
        <v>74</v>
      </c>
      <c r="G1604" s="5" t="s">
        <v>2308</v>
      </c>
      <c r="H1604" s="4" t="s">
        <v>532</v>
      </c>
      <c r="I1604" s="4"/>
      <c r="J1604" s="22">
        <v>0</v>
      </c>
      <c r="K1604" s="22">
        <v>0</v>
      </c>
      <c r="L1604" s="22">
        <v>0</v>
      </c>
      <c r="M1604" s="22">
        <v>0</v>
      </c>
      <c r="N1604" s="22">
        <v>0</v>
      </c>
      <c r="O1604" s="22">
        <v>0</v>
      </c>
      <c r="P1604" s="22">
        <v>0</v>
      </c>
      <c r="Q1604" s="22">
        <v>0</v>
      </c>
      <c r="R1604" s="22">
        <v>0</v>
      </c>
      <c r="S1604" s="22">
        <v>0</v>
      </c>
      <c r="T1604" s="22">
        <v>0</v>
      </c>
      <c r="U1604" s="22">
        <v>0</v>
      </c>
      <c r="V1604" s="22">
        <v>0</v>
      </c>
      <c r="W1604" s="22">
        <v>0</v>
      </c>
      <c r="X1604" s="22">
        <v>0</v>
      </c>
      <c r="Y1604" s="22">
        <v>0</v>
      </c>
      <c r="Z1604" s="5" t="s">
        <v>2308</v>
      </c>
      <c r="AA1604" s="5" t="s">
        <v>2308</v>
      </c>
      <c r="AB1604" s="5" t="s">
        <v>2308</v>
      </c>
      <c r="AC1604" s="5" t="s">
        <v>4874</v>
      </c>
      <c r="AD1604" s="4"/>
    </row>
    <row r="1605" spans="1:30" ht="46.5" customHeight="1">
      <c r="A1605" s="12" t="s">
        <v>4853</v>
      </c>
      <c r="B1605" s="12" t="s">
        <v>4870</v>
      </c>
      <c r="C1605" s="4" t="s">
        <v>24</v>
      </c>
      <c r="D1605" s="4" t="s">
        <v>2263</v>
      </c>
      <c r="E1605" s="4" t="s">
        <v>5065</v>
      </c>
      <c r="F1605" s="5" t="s">
        <v>74</v>
      </c>
      <c r="G1605" s="5" t="s">
        <v>2308</v>
      </c>
      <c r="H1605" s="4" t="s">
        <v>532</v>
      </c>
      <c r="I1605" s="4"/>
      <c r="J1605" s="22">
        <v>0</v>
      </c>
      <c r="K1605" s="22">
        <v>0</v>
      </c>
      <c r="L1605" s="22">
        <v>0</v>
      </c>
      <c r="M1605" s="22">
        <v>0</v>
      </c>
      <c r="N1605" s="22">
        <v>0</v>
      </c>
      <c r="O1605" s="22">
        <v>0</v>
      </c>
      <c r="P1605" s="22">
        <v>0</v>
      </c>
      <c r="Q1605" s="22">
        <v>0</v>
      </c>
      <c r="R1605" s="22">
        <v>0</v>
      </c>
      <c r="S1605" s="22">
        <v>0</v>
      </c>
      <c r="T1605" s="22">
        <v>0</v>
      </c>
      <c r="U1605" s="22">
        <v>0</v>
      </c>
      <c r="V1605" s="22">
        <v>0</v>
      </c>
      <c r="W1605" s="22">
        <v>0</v>
      </c>
      <c r="X1605" s="22">
        <v>0</v>
      </c>
      <c r="Y1605" s="22">
        <v>0</v>
      </c>
      <c r="Z1605" s="5" t="s">
        <v>2308</v>
      </c>
      <c r="AA1605" s="5" t="s">
        <v>2308</v>
      </c>
      <c r="AB1605" s="5" t="s">
        <v>2308</v>
      </c>
      <c r="AC1605" s="5" t="s">
        <v>4874</v>
      </c>
      <c r="AD1605" s="4"/>
    </row>
    <row r="1606" spans="1:30" ht="46.5" customHeight="1">
      <c r="A1606" s="12" t="s">
        <v>4854</v>
      </c>
      <c r="B1606" s="12" t="s">
        <v>4871</v>
      </c>
      <c r="C1606" s="4" t="s">
        <v>24</v>
      </c>
      <c r="D1606" s="4" t="s">
        <v>2263</v>
      </c>
      <c r="E1606" s="4" t="s">
        <v>5065</v>
      </c>
      <c r="F1606" s="5" t="s">
        <v>74</v>
      </c>
      <c r="G1606" s="5" t="s">
        <v>2308</v>
      </c>
      <c r="H1606" s="4" t="s">
        <v>532</v>
      </c>
      <c r="I1606" s="4"/>
      <c r="J1606" s="22">
        <v>0</v>
      </c>
      <c r="K1606" s="22">
        <v>0</v>
      </c>
      <c r="L1606" s="22">
        <v>0</v>
      </c>
      <c r="M1606" s="22">
        <v>0</v>
      </c>
      <c r="N1606" s="22">
        <v>0</v>
      </c>
      <c r="O1606" s="22">
        <v>0</v>
      </c>
      <c r="P1606" s="22">
        <v>0</v>
      </c>
      <c r="Q1606" s="22">
        <v>0</v>
      </c>
      <c r="R1606" s="22">
        <v>0</v>
      </c>
      <c r="S1606" s="22">
        <v>0</v>
      </c>
      <c r="T1606" s="22">
        <v>0</v>
      </c>
      <c r="U1606" s="22">
        <v>0</v>
      </c>
      <c r="V1606" s="22">
        <v>0</v>
      </c>
      <c r="W1606" s="22">
        <v>0</v>
      </c>
      <c r="X1606" s="22">
        <v>0</v>
      </c>
      <c r="Y1606" s="22">
        <v>0</v>
      </c>
      <c r="Z1606" s="5" t="s">
        <v>2308</v>
      </c>
      <c r="AA1606" s="5" t="s">
        <v>2308</v>
      </c>
      <c r="AB1606" s="5" t="s">
        <v>2308</v>
      </c>
      <c r="AC1606" s="5" t="s">
        <v>4874</v>
      </c>
      <c r="AD1606" s="4"/>
    </row>
    <row r="1607" spans="1:30" ht="46.5" customHeight="1">
      <c r="A1607" s="12" t="s">
        <v>4855</v>
      </c>
      <c r="B1607" s="12" t="s">
        <v>4872</v>
      </c>
      <c r="C1607" s="4" t="s">
        <v>24</v>
      </c>
      <c r="D1607" s="4" t="s">
        <v>2263</v>
      </c>
      <c r="E1607" s="4" t="s">
        <v>5065</v>
      </c>
      <c r="F1607" s="5" t="s">
        <v>74</v>
      </c>
      <c r="G1607" s="5" t="s">
        <v>2308</v>
      </c>
      <c r="H1607" s="4" t="s">
        <v>532</v>
      </c>
      <c r="I1607" s="4"/>
      <c r="J1607" s="22">
        <v>0</v>
      </c>
      <c r="K1607" s="22">
        <v>0</v>
      </c>
      <c r="L1607" s="22">
        <v>0</v>
      </c>
      <c r="M1607" s="22">
        <v>0</v>
      </c>
      <c r="N1607" s="22">
        <v>0</v>
      </c>
      <c r="O1607" s="22">
        <v>0</v>
      </c>
      <c r="P1607" s="22">
        <v>0</v>
      </c>
      <c r="Q1607" s="22">
        <v>0</v>
      </c>
      <c r="R1607" s="22">
        <v>0</v>
      </c>
      <c r="S1607" s="22">
        <v>0</v>
      </c>
      <c r="T1607" s="22">
        <v>0</v>
      </c>
      <c r="U1607" s="22">
        <v>0</v>
      </c>
      <c r="V1607" s="22">
        <v>0</v>
      </c>
      <c r="W1607" s="22">
        <v>0</v>
      </c>
      <c r="X1607" s="22">
        <v>0</v>
      </c>
      <c r="Y1607" s="22">
        <v>0</v>
      </c>
      <c r="Z1607" s="5" t="s">
        <v>2308</v>
      </c>
      <c r="AA1607" s="5" t="s">
        <v>2308</v>
      </c>
      <c r="AB1607" s="5" t="s">
        <v>2308</v>
      </c>
      <c r="AC1607" s="5" t="s">
        <v>4874</v>
      </c>
      <c r="AD1607" s="4"/>
    </row>
    <row r="1608" spans="1:30" ht="46.5" customHeight="1">
      <c r="A1608" s="12" t="s">
        <v>4856</v>
      </c>
      <c r="B1608" s="12" t="s">
        <v>4873</v>
      </c>
      <c r="C1608" s="4" t="s">
        <v>24</v>
      </c>
      <c r="D1608" s="4" t="s">
        <v>2263</v>
      </c>
      <c r="E1608" s="4" t="s">
        <v>5065</v>
      </c>
      <c r="F1608" s="5" t="s">
        <v>74</v>
      </c>
      <c r="G1608" s="5" t="s">
        <v>2308</v>
      </c>
      <c r="H1608" s="4" t="s">
        <v>532</v>
      </c>
      <c r="I1608" s="4"/>
      <c r="J1608" s="22">
        <v>0</v>
      </c>
      <c r="K1608" s="22">
        <v>0</v>
      </c>
      <c r="L1608" s="22">
        <v>0</v>
      </c>
      <c r="M1608" s="22">
        <v>0</v>
      </c>
      <c r="N1608" s="22">
        <v>0</v>
      </c>
      <c r="O1608" s="22">
        <v>0</v>
      </c>
      <c r="P1608" s="22">
        <v>0</v>
      </c>
      <c r="Q1608" s="22">
        <v>0</v>
      </c>
      <c r="R1608" s="22">
        <v>0</v>
      </c>
      <c r="S1608" s="22">
        <v>0</v>
      </c>
      <c r="T1608" s="22">
        <v>0</v>
      </c>
      <c r="U1608" s="22">
        <v>0</v>
      </c>
      <c r="V1608" s="22">
        <v>0</v>
      </c>
      <c r="W1608" s="22">
        <v>0</v>
      </c>
      <c r="X1608" s="22">
        <v>0</v>
      </c>
      <c r="Y1608" s="22">
        <v>0</v>
      </c>
      <c r="Z1608" s="5" t="s">
        <v>2308</v>
      </c>
      <c r="AA1608" s="5" t="s">
        <v>2308</v>
      </c>
      <c r="AB1608" s="5" t="s">
        <v>2308</v>
      </c>
      <c r="AC1608" s="5" t="s">
        <v>4874</v>
      </c>
      <c r="AD1608" s="4"/>
    </row>
    <row r="1609" spans="1:30" ht="38.5" customHeight="1">
      <c r="A1609" s="12" t="s">
        <v>4853</v>
      </c>
      <c r="B1609" s="12" t="s">
        <v>4875</v>
      </c>
      <c r="C1609" s="4" t="s">
        <v>31</v>
      </c>
      <c r="D1609" s="4" t="s">
        <v>30</v>
      </c>
      <c r="E1609" s="4" t="s">
        <v>2308</v>
      </c>
      <c r="F1609" s="5" t="s">
        <v>74</v>
      </c>
      <c r="G1609" s="5" t="s">
        <v>2308</v>
      </c>
      <c r="H1609" s="4" t="s">
        <v>531</v>
      </c>
      <c r="I1609" s="4"/>
      <c r="J1609" s="5" t="s">
        <v>2308</v>
      </c>
      <c r="K1609" s="5" t="s">
        <v>2308</v>
      </c>
      <c r="L1609" s="5" t="s">
        <v>2308</v>
      </c>
      <c r="M1609" s="5" t="s">
        <v>2308</v>
      </c>
      <c r="N1609" s="5" t="s">
        <v>2308</v>
      </c>
      <c r="O1609" s="5" t="s">
        <v>2308</v>
      </c>
      <c r="P1609" s="5" t="s">
        <v>2308</v>
      </c>
      <c r="Q1609" s="5" t="s">
        <v>2308</v>
      </c>
      <c r="R1609" s="5" t="s">
        <v>2308</v>
      </c>
      <c r="S1609" s="5" t="s">
        <v>2308</v>
      </c>
      <c r="T1609" s="5" t="s">
        <v>2308</v>
      </c>
      <c r="U1609" s="5" t="s">
        <v>2308</v>
      </c>
      <c r="V1609" s="5" t="s">
        <v>2308</v>
      </c>
      <c r="W1609" s="5" t="s">
        <v>2308</v>
      </c>
      <c r="X1609" s="5" t="s">
        <v>2308</v>
      </c>
      <c r="Y1609" s="5" t="s">
        <v>2308</v>
      </c>
      <c r="Z1609" s="5" t="s">
        <v>2308</v>
      </c>
      <c r="AA1609" s="5" t="s">
        <v>2308</v>
      </c>
      <c r="AB1609" s="5" t="s">
        <v>2308</v>
      </c>
      <c r="AC1609" s="4" t="s">
        <v>4879</v>
      </c>
      <c r="AD1609" s="4"/>
    </row>
    <row r="1610" spans="1:30" ht="38.5" customHeight="1">
      <c r="A1610" s="12" t="s">
        <v>4854</v>
      </c>
      <c r="B1610" s="12" t="s">
        <v>4876</v>
      </c>
      <c r="C1610" s="4" t="s">
        <v>31</v>
      </c>
      <c r="D1610" s="4" t="s">
        <v>30</v>
      </c>
      <c r="E1610" s="4" t="s">
        <v>2308</v>
      </c>
      <c r="F1610" s="5" t="s">
        <v>74</v>
      </c>
      <c r="G1610" s="5" t="s">
        <v>2308</v>
      </c>
      <c r="H1610" s="4" t="s">
        <v>531</v>
      </c>
      <c r="I1610" s="4"/>
      <c r="J1610" s="5" t="s">
        <v>2308</v>
      </c>
      <c r="K1610" s="5" t="s">
        <v>2308</v>
      </c>
      <c r="L1610" s="5" t="s">
        <v>2308</v>
      </c>
      <c r="M1610" s="5" t="s">
        <v>2308</v>
      </c>
      <c r="N1610" s="5" t="s">
        <v>2308</v>
      </c>
      <c r="O1610" s="5" t="s">
        <v>2308</v>
      </c>
      <c r="P1610" s="5" t="s">
        <v>2308</v>
      </c>
      <c r="Q1610" s="5" t="s">
        <v>2308</v>
      </c>
      <c r="R1610" s="5" t="s">
        <v>2308</v>
      </c>
      <c r="S1610" s="5" t="s">
        <v>2308</v>
      </c>
      <c r="T1610" s="5" t="s">
        <v>2308</v>
      </c>
      <c r="U1610" s="5" t="s">
        <v>2308</v>
      </c>
      <c r="V1610" s="5" t="s">
        <v>2308</v>
      </c>
      <c r="W1610" s="5" t="s">
        <v>2308</v>
      </c>
      <c r="X1610" s="5" t="s">
        <v>2308</v>
      </c>
      <c r="Y1610" s="5" t="s">
        <v>2308</v>
      </c>
      <c r="Z1610" s="5" t="s">
        <v>2308</v>
      </c>
      <c r="AA1610" s="5" t="s">
        <v>2308</v>
      </c>
      <c r="AB1610" s="5" t="s">
        <v>2308</v>
      </c>
      <c r="AC1610" s="4" t="s">
        <v>4879</v>
      </c>
      <c r="AD1610" s="4"/>
    </row>
    <row r="1611" spans="1:30" ht="38.5" customHeight="1">
      <c r="A1611" s="12" t="s">
        <v>4855</v>
      </c>
      <c r="B1611" s="12" t="s">
        <v>4877</v>
      </c>
      <c r="C1611" s="4" t="s">
        <v>31</v>
      </c>
      <c r="D1611" s="4" t="s">
        <v>30</v>
      </c>
      <c r="E1611" s="4" t="s">
        <v>2308</v>
      </c>
      <c r="F1611" s="5" t="s">
        <v>74</v>
      </c>
      <c r="G1611" s="5" t="s">
        <v>2308</v>
      </c>
      <c r="H1611" s="4" t="s">
        <v>531</v>
      </c>
      <c r="I1611" s="4"/>
      <c r="J1611" s="5" t="s">
        <v>2308</v>
      </c>
      <c r="K1611" s="5" t="s">
        <v>2308</v>
      </c>
      <c r="L1611" s="5" t="s">
        <v>2308</v>
      </c>
      <c r="M1611" s="5" t="s">
        <v>2308</v>
      </c>
      <c r="N1611" s="5" t="s">
        <v>2308</v>
      </c>
      <c r="O1611" s="5" t="s">
        <v>2308</v>
      </c>
      <c r="P1611" s="5" t="s">
        <v>2308</v>
      </c>
      <c r="Q1611" s="5" t="s">
        <v>2308</v>
      </c>
      <c r="R1611" s="5" t="s">
        <v>2308</v>
      </c>
      <c r="S1611" s="5" t="s">
        <v>2308</v>
      </c>
      <c r="T1611" s="5" t="s">
        <v>2308</v>
      </c>
      <c r="U1611" s="5" t="s">
        <v>2308</v>
      </c>
      <c r="V1611" s="5" t="s">
        <v>2308</v>
      </c>
      <c r="W1611" s="5" t="s">
        <v>2308</v>
      </c>
      <c r="X1611" s="5" t="s">
        <v>2308</v>
      </c>
      <c r="Y1611" s="5" t="s">
        <v>2308</v>
      </c>
      <c r="Z1611" s="5" t="s">
        <v>2308</v>
      </c>
      <c r="AA1611" s="5" t="s">
        <v>2308</v>
      </c>
      <c r="AB1611" s="5" t="s">
        <v>2308</v>
      </c>
      <c r="AC1611" s="4" t="s">
        <v>4879</v>
      </c>
      <c r="AD1611" s="4"/>
    </row>
    <row r="1612" spans="1:30" ht="38.5" customHeight="1">
      <c r="A1612" s="12" t="s">
        <v>4856</v>
      </c>
      <c r="B1612" s="12" t="s">
        <v>4878</v>
      </c>
      <c r="C1612" s="4" t="s">
        <v>31</v>
      </c>
      <c r="D1612" s="4" t="s">
        <v>30</v>
      </c>
      <c r="E1612" s="4" t="s">
        <v>2308</v>
      </c>
      <c r="F1612" s="5" t="s">
        <v>74</v>
      </c>
      <c r="G1612" s="5" t="s">
        <v>2308</v>
      </c>
      <c r="H1612" s="4" t="s">
        <v>531</v>
      </c>
      <c r="I1612" s="4"/>
      <c r="J1612" s="5" t="s">
        <v>2308</v>
      </c>
      <c r="K1612" s="5" t="s">
        <v>2308</v>
      </c>
      <c r="L1612" s="5" t="s">
        <v>2308</v>
      </c>
      <c r="M1612" s="5" t="s">
        <v>2308</v>
      </c>
      <c r="N1612" s="5" t="s">
        <v>2308</v>
      </c>
      <c r="O1612" s="5" t="s">
        <v>2308</v>
      </c>
      <c r="P1612" s="5" t="s">
        <v>2308</v>
      </c>
      <c r="Q1612" s="5" t="s">
        <v>2308</v>
      </c>
      <c r="R1612" s="5" t="s">
        <v>2308</v>
      </c>
      <c r="S1612" s="5" t="s">
        <v>2308</v>
      </c>
      <c r="T1612" s="5" t="s">
        <v>2308</v>
      </c>
      <c r="U1612" s="5" t="s">
        <v>2308</v>
      </c>
      <c r="V1612" s="5" t="s">
        <v>2308</v>
      </c>
      <c r="W1612" s="5" t="s">
        <v>2308</v>
      </c>
      <c r="X1612" s="5" t="s">
        <v>2308</v>
      </c>
      <c r="Y1612" s="5" t="s">
        <v>2308</v>
      </c>
      <c r="Z1612" s="5" t="s">
        <v>2308</v>
      </c>
      <c r="AA1612" s="5" t="s">
        <v>2308</v>
      </c>
      <c r="AB1612" s="5" t="s">
        <v>2308</v>
      </c>
      <c r="AC1612" s="4" t="s">
        <v>4879</v>
      </c>
      <c r="AD1612" s="4"/>
    </row>
    <row r="1613" spans="1:30" ht="40" customHeight="1">
      <c r="A1613" s="12" t="s">
        <v>4854</v>
      </c>
      <c r="B1613" s="12" t="s">
        <v>4880</v>
      </c>
      <c r="C1613" s="4" t="s">
        <v>24</v>
      </c>
      <c r="D1613" s="4" t="s">
        <v>1264</v>
      </c>
      <c r="E1613" s="4" t="s">
        <v>2682</v>
      </c>
      <c r="F1613" s="5" t="s">
        <v>74</v>
      </c>
      <c r="G1613" s="5" t="s">
        <v>2308</v>
      </c>
      <c r="H1613" s="4" t="s">
        <v>532</v>
      </c>
      <c r="I1613" s="4"/>
      <c r="J1613" s="22">
        <v>0</v>
      </c>
      <c r="K1613" s="22">
        <v>0</v>
      </c>
      <c r="L1613" s="22">
        <v>0</v>
      </c>
      <c r="M1613" s="22">
        <v>0</v>
      </c>
      <c r="N1613" s="22">
        <v>0</v>
      </c>
      <c r="O1613" s="22">
        <v>0</v>
      </c>
      <c r="P1613" s="22">
        <v>0</v>
      </c>
      <c r="Q1613" s="22">
        <v>0</v>
      </c>
      <c r="R1613" s="22">
        <v>0</v>
      </c>
      <c r="S1613" s="22">
        <v>0</v>
      </c>
      <c r="T1613" s="22">
        <v>0</v>
      </c>
      <c r="U1613" s="22">
        <v>0</v>
      </c>
      <c r="V1613" s="22">
        <v>0</v>
      </c>
      <c r="W1613" s="22">
        <v>0</v>
      </c>
      <c r="X1613" s="22">
        <v>0</v>
      </c>
      <c r="Y1613" s="22">
        <v>0</v>
      </c>
      <c r="Z1613" s="5" t="s">
        <v>2308</v>
      </c>
      <c r="AA1613" s="5" t="s">
        <v>2308</v>
      </c>
      <c r="AB1613" s="5" t="s">
        <v>2308</v>
      </c>
      <c r="AC1613" s="5" t="s">
        <v>4883</v>
      </c>
      <c r="AD1613" s="4"/>
    </row>
    <row r="1614" spans="1:30" ht="40" customHeight="1">
      <c r="A1614" s="12" t="s">
        <v>4855</v>
      </c>
      <c r="B1614" s="12" t="s">
        <v>4881</v>
      </c>
      <c r="C1614" s="4" t="s">
        <v>24</v>
      </c>
      <c r="D1614" s="4" t="s">
        <v>1264</v>
      </c>
      <c r="E1614" s="4" t="s">
        <v>2682</v>
      </c>
      <c r="F1614" s="5" t="s">
        <v>74</v>
      </c>
      <c r="G1614" s="5" t="s">
        <v>2308</v>
      </c>
      <c r="H1614" s="4" t="s">
        <v>532</v>
      </c>
      <c r="I1614" s="4"/>
      <c r="J1614" s="22">
        <v>0</v>
      </c>
      <c r="K1614" s="22">
        <v>0</v>
      </c>
      <c r="L1614" s="22">
        <v>0</v>
      </c>
      <c r="M1614" s="22">
        <v>0</v>
      </c>
      <c r="N1614" s="22">
        <v>0</v>
      </c>
      <c r="O1614" s="22">
        <v>0</v>
      </c>
      <c r="P1614" s="22">
        <v>0</v>
      </c>
      <c r="Q1614" s="22">
        <v>0</v>
      </c>
      <c r="R1614" s="22">
        <v>0</v>
      </c>
      <c r="S1614" s="22">
        <v>0</v>
      </c>
      <c r="T1614" s="22">
        <v>0</v>
      </c>
      <c r="U1614" s="22">
        <v>0</v>
      </c>
      <c r="V1614" s="22">
        <v>0</v>
      </c>
      <c r="W1614" s="22">
        <v>0</v>
      </c>
      <c r="X1614" s="22">
        <v>0</v>
      </c>
      <c r="Y1614" s="22">
        <v>0</v>
      </c>
      <c r="Z1614" s="5" t="s">
        <v>2308</v>
      </c>
      <c r="AA1614" s="5" t="s">
        <v>2308</v>
      </c>
      <c r="AB1614" s="5" t="s">
        <v>2308</v>
      </c>
      <c r="AC1614" s="5" t="s">
        <v>4883</v>
      </c>
      <c r="AD1614" s="4"/>
    </row>
    <row r="1615" spans="1:30" ht="40" customHeight="1">
      <c r="A1615" s="12" t="s">
        <v>4856</v>
      </c>
      <c r="B1615" s="12" t="s">
        <v>4882</v>
      </c>
      <c r="C1615" s="4" t="s">
        <v>24</v>
      </c>
      <c r="D1615" s="4" t="s">
        <v>1264</v>
      </c>
      <c r="E1615" s="4" t="s">
        <v>2682</v>
      </c>
      <c r="F1615" s="5" t="s">
        <v>74</v>
      </c>
      <c r="G1615" s="5" t="s">
        <v>2308</v>
      </c>
      <c r="H1615" s="4" t="s">
        <v>532</v>
      </c>
      <c r="I1615" s="4"/>
      <c r="J1615" s="22">
        <v>0</v>
      </c>
      <c r="K1615" s="22">
        <v>0</v>
      </c>
      <c r="L1615" s="22">
        <v>0</v>
      </c>
      <c r="M1615" s="22">
        <v>0</v>
      </c>
      <c r="N1615" s="22">
        <v>0</v>
      </c>
      <c r="O1615" s="22">
        <v>0</v>
      </c>
      <c r="P1615" s="22">
        <v>0</v>
      </c>
      <c r="Q1615" s="22">
        <v>0</v>
      </c>
      <c r="R1615" s="22">
        <v>0</v>
      </c>
      <c r="S1615" s="22">
        <v>0</v>
      </c>
      <c r="T1615" s="22">
        <v>0</v>
      </c>
      <c r="U1615" s="22">
        <v>0</v>
      </c>
      <c r="V1615" s="22">
        <v>0</v>
      </c>
      <c r="W1615" s="22">
        <v>0</v>
      </c>
      <c r="X1615" s="22">
        <v>0</v>
      </c>
      <c r="Y1615" s="22">
        <v>0</v>
      </c>
      <c r="Z1615" s="5" t="s">
        <v>2308</v>
      </c>
      <c r="AA1615" s="5" t="s">
        <v>2308</v>
      </c>
      <c r="AB1615" s="5" t="s">
        <v>2308</v>
      </c>
      <c r="AC1615" s="5" t="s">
        <v>4883</v>
      </c>
      <c r="AD1615" s="4"/>
    </row>
    <row r="1616" spans="1:30" ht="40.5" customHeight="1">
      <c r="A1616" s="12" t="s">
        <v>4884</v>
      </c>
      <c r="B1616" s="12" t="s">
        <v>4890</v>
      </c>
      <c r="C1616" s="4" t="s">
        <v>1125</v>
      </c>
      <c r="D1616" s="4" t="s">
        <v>2308</v>
      </c>
      <c r="E1616" s="4" t="s">
        <v>2308</v>
      </c>
      <c r="F1616" s="5" t="s">
        <v>2308</v>
      </c>
      <c r="G1616" s="4" t="s">
        <v>74</v>
      </c>
      <c r="H1616" s="4" t="s">
        <v>531</v>
      </c>
      <c r="I1616" s="4"/>
      <c r="J1616" s="5" t="s">
        <v>2308</v>
      </c>
      <c r="K1616" s="5" t="s">
        <v>2308</v>
      </c>
      <c r="L1616" s="5" t="s">
        <v>2308</v>
      </c>
      <c r="M1616" s="5" t="s">
        <v>2308</v>
      </c>
      <c r="N1616" s="5" t="s">
        <v>2308</v>
      </c>
      <c r="O1616" s="5" t="s">
        <v>2308</v>
      </c>
      <c r="P1616" s="5" t="s">
        <v>2308</v>
      </c>
      <c r="Q1616" s="5" t="s">
        <v>2308</v>
      </c>
      <c r="R1616" s="5" t="s">
        <v>2308</v>
      </c>
      <c r="S1616" s="5" t="s">
        <v>2308</v>
      </c>
      <c r="T1616" s="5" t="s">
        <v>2308</v>
      </c>
      <c r="U1616" s="5" t="s">
        <v>2308</v>
      </c>
      <c r="V1616" s="5" t="s">
        <v>2308</v>
      </c>
      <c r="W1616" s="5" t="s">
        <v>2308</v>
      </c>
      <c r="X1616" s="5" t="s">
        <v>2308</v>
      </c>
      <c r="Y1616" s="5" t="s">
        <v>2308</v>
      </c>
      <c r="Z1616" s="5" t="s">
        <v>2308</v>
      </c>
      <c r="AA1616" s="5" t="s">
        <v>2308</v>
      </c>
      <c r="AB1616" s="5" t="s">
        <v>2308</v>
      </c>
      <c r="AC1616" s="5"/>
      <c r="AD1616" s="5" t="s">
        <v>4895</v>
      </c>
    </row>
    <row r="1617" spans="1:30" ht="40.5" customHeight="1">
      <c r="A1617" s="12" t="s">
        <v>4885</v>
      </c>
      <c r="B1617" s="12" t="s">
        <v>4891</v>
      </c>
      <c r="C1617" s="4" t="s">
        <v>1125</v>
      </c>
      <c r="D1617" s="4" t="s">
        <v>2308</v>
      </c>
      <c r="E1617" s="4" t="s">
        <v>2308</v>
      </c>
      <c r="F1617" s="5" t="s">
        <v>2308</v>
      </c>
      <c r="G1617" s="4" t="s">
        <v>74</v>
      </c>
      <c r="H1617" s="4" t="s">
        <v>531</v>
      </c>
      <c r="I1617" s="4"/>
      <c r="J1617" s="5" t="s">
        <v>2308</v>
      </c>
      <c r="K1617" s="5" t="s">
        <v>2308</v>
      </c>
      <c r="L1617" s="5" t="s">
        <v>2308</v>
      </c>
      <c r="M1617" s="5" t="s">
        <v>2308</v>
      </c>
      <c r="N1617" s="5" t="s">
        <v>2308</v>
      </c>
      <c r="O1617" s="5" t="s">
        <v>2308</v>
      </c>
      <c r="P1617" s="5" t="s">
        <v>2308</v>
      </c>
      <c r="Q1617" s="5" t="s">
        <v>2308</v>
      </c>
      <c r="R1617" s="5" t="s">
        <v>2308</v>
      </c>
      <c r="S1617" s="5" t="s">
        <v>2308</v>
      </c>
      <c r="T1617" s="5" t="s">
        <v>2308</v>
      </c>
      <c r="U1617" s="5" t="s">
        <v>2308</v>
      </c>
      <c r="V1617" s="5" t="s">
        <v>2308</v>
      </c>
      <c r="W1617" s="5" t="s">
        <v>2308</v>
      </c>
      <c r="X1617" s="5" t="s">
        <v>2308</v>
      </c>
      <c r="Y1617" s="5" t="s">
        <v>2308</v>
      </c>
      <c r="Z1617" s="5" t="s">
        <v>2308</v>
      </c>
      <c r="AA1617" s="5" t="s">
        <v>2308</v>
      </c>
      <c r="AB1617" s="5" t="s">
        <v>2308</v>
      </c>
      <c r="AC1617" s="5"/>
      <c r="AD1617" s="5" t="s">
        <v>4895</v>
      </c>
    </row>
    <row r="1618" spans="1:30" ht="40.5" customHeight="1">
      <c r="A1618" s="12" t="s">
        <v>4886</v>
      </c>
      <c r="B1618" s="12" t="s">
        <v>4892</v>
      </c>
      <c r="C1618" s="4" t="s">
        <v>1125</v>
      </c>
      <c r="D1618" s="4" t="s">
        <v>2308</v>
      </c>
      <c r="E1618" s="4" t="s">
        <v>2308</v>
      </c>
      <c r="F1618" s="5" t="s">
        <v>2308</v>
      </c>
      <c r="G1618" s="4" t="s">
        <v>74</v>
      </c>
      <c r="H1618" s="4" t="s">
        <v>531</v>
      </c>
      <c r="I1618" s="4"/>
      <c r="J1618" s="5" t="s">
        <v>2308</v>
      </c>
      <c r="K1618" s="5" t="s">
        <v>2308</v>
      </c>
      <c r="L1618" s="5" t="s">
        <v>2308</v>
      </c>
      <c r="M1618" s="5" t="s">
        <v>2308</v>
      </c>
      <c r="N1618" s="5" t="s">
        <v>2308</v>
      </c>
      <c r="O1618" s="5" t="s">
        <v>2308</v>
      </c>
      <c r="P1618" s="5" t="s">
        <v>2308</v>
      </c>
      <c r="Q1618" s="5" t="s">
        <v>2308</v>
      </c>
      <c r="R1618" s="5" t="s">
        <v>2308</v>
      </c>
      <c r="S1618" s="5" t="s">
        <v>2308</v>
      </c>
      <c r="T1618" s="5" t="s">
        <v>2308</v>
      </c>
      <c r="U1618" s="5" t="s">
        <v>2308</v>
      </c>
      <c r="V1618" s="5" t="s">
        <v>2308</v>
      </c>
      <c r="W1618" s="5" t="s">
        <v>2308</v>
      </c>
      <c r="X1618" s="5" t="s">
        <v>2308</v>
      </c>
      <c r="Y1618" s="22">
        <v>21</v>
      </c>
      <c r="Z1618" s="5" t="s">
        <v>2308</v>
      </c>
      <c r="AA1618" s="5" t="s">
        <v>2308</v>
      </c>
      <c r="AB1618" s="5" t="s">
        <v>2308</v>
      </c>
      <c r="AC1618" s="4"/>
      <c r="AD1618" s="4"/>
    </row>
    <row r="1619" spans="1:30" ht="40.5" customHeight="1">
      <c r="A1619" s="12" t="s">
        <v>4887</v>
      </c>
      <c r="B1619" s="12" t="s">
        <v>4893</v>
      </c>
      <c r="C1619" s="4" t="s">
        <v>1125</v>
      </c>
      <c r="D1619" s="4" t="s">
        <v>2308</v>
      </c>
      <c r="E1619" s="4" t="s">
        <v>2308</v>
      </c>
      <c r="F1619" s="5" t="s">
        <v>2308</v>
      </c>
      <c r="G1619" s="4" t="s">
        <v>74</v>
      </c>
      <c r="H1619" s="4" t="s">
        <v>531</v>
      </c>
      <c r="I1619" s="4"/>
      <c r="J1619" s="5" t="s">
        <v>2308</v>
      </c>
      <c r="K1619" s="5" t="s">
        <v>2308</v>
      </c>
      <c r="L1619" s="5" t="s">
        <v>2308</v>
      </c>
      <c r="M1619" s="5" t="s">
        <v>2308</v>
      </c>
      <c r="N1619" s="5" t="s">
        <v>2308</v>
      </c>
      <c r="O1619" s="5" t="s">
        <v>2308</v>
      </c>
      <c r="P1619" s="5" t="s">
        <v>2308</v>
      </c>
      <c r="Q1619" s="5" t="s">
        <v>2308</v>
      </c>
      <c r="R1619" s="5" t="s">
        <v>2308</v>
      </c>
      <c r="S1619" s="5" t="s">
        <v>2308</v>
      </c>
      <c r="T1619" s="5" t="s">
        <v>2308</v>
      </c>
      <c r="U1619" s="5" t="s">
        <v>2308</v>
      </c>
      <c r="V1619" s="5" t="s">
        <v>2308</v>
      </c>
      <c r="W1619" s="5" t="s">
        <v>2308</v>
      </c>
      <c r="X1619" s="5" t="s">
        <v>2308</v>
      </c>
      <c r="Y1619" s="22">
        <v>13</v>
      </c>
      <c r="Z1619" s="5" t="s">
        <v>2308</v>
      </c>
      <c r="AA1619" s="5" t="s">
        <v>2308</v>
      </c>
      <c r="AB1619" s="5" t="s">
        <v>2308</v>
      </c>
      <c r="AC1619" s="4"/>
      <c r="AD1619" s="4"/>
    </row>
    <row r="1620" spans="1:30" ht="40.5" customHeight="1">
      <c r="A1620" s="12" t="s">
        <v>4888</v>
      </c>
      <c r="B1620" s="12" t="s">
        <v>4894</v>
      </c>
      <c r="C1620" s="4" t="s">
        <v>1125</v>
      </c>
      <c r="D1620" s="4" t="s">
        <v>2308</v>
      </c>
      <c r="E1620" s="4" t="s">
        <v>2308</v>
      </c>
      <c r="F1620" s="5" t="s">
        <v>2308</v>
      </c>
      <c r="G1620" s="4" t="s">
        <v>74</v>
      </c>
      <c r="H1620" s="4" t="s">
        <v>531</v>
      </c>
      <c r="I1620" s="4"/>
      <c r="J1620" s="5" t="s">
        <v>2308</v>
      </c>
      <c r="K1620" s="5" t="s">
        <v>2308</v>
      </c>
      <c r="L1620" s="5" t="s">
        <v>2308</v>
      </c>
      <c r="M1620" s="5" t="s">
        <v>2308</v>
      </c>
      <c r="N1620" s="5" t="s">
        <v>2308</v>
      </c>
      <c r="O1620" s="5" t="s">
        <v>2308</v>
      </c>
      <c r="P1620" s="5" t="s">
        <v>2308</v>
      </c>
      <c r="Q1620" s="5" t="s">
        <v>2308</v>
      </c>
      <c r="R1620" s="5" t="s">
        <v>2308</v>
      </c>
      <c r="S1620" s="5" t="s">
        <v>2308</v>
      </c>
      <c r="T1620" s="5" t="s">
        <v>2308</v>
      </c>
      <c r="U1620" s="5" t="s">
        <v>2308</v>
      </c>
      <c r="V1620" s="5" t="s">
        <v>2308</v>
      </c>
      <c r="W1620" s="5" t="s">
        <v>2308</v>
      </c>
      <c r="X1620" s="5" t="s">
        <v>2308</v>
      </c>
      <c r="Y1620" s="22">
        <v>13</v>
      </c>
      <c r="Z1620" s="5" t="s">
        <v>2308</v>
      </c>
      <c r="AA1620" s="5" t="s">
        <v>2308</v>
      </c>
      <c r="AB1620" s="5" t="s">
        <v>2308</v>
      </c>
      <c r="AC1620" s="4"/>
      <c r="AD1620" s="4"/>
    </row>
    <row r="1621" spans="1:30" ht="45.5" customHeight="1">
      <c r="A1621" s="12" t="s">
        <v>4908</v>
      </c>
      <c r="B1621" s="12" t="s">
        <v>4959</v>
      </c>
      <c r="C1621" s="4" t="s">
        <v>24</v>
      </c>
      <c r="D1621" s="4" t="s">
        <v>2308</v>
      </c>
      <c r="E1621" s="4" t="s">
        <v>45</v>
      </c>
      <c r="F1621" s="5" t="s">
        <v>2308</v>
      </c>
      <c r="G1621" s="5" t="s">
        <v>2695</v>
      </c>
      <c r="H1621" s="4" t="s">
        <v>531</v>
      </c>
      <c r="I1621" s="4"/>
      <c r="J1621" s="5" t="s">
        <v>2308</v>
      </c>
      <c r="K1621" s="5" t="s">
        <v>2308</v>
      </c>
      <c r="L1621" s="5" t="s">
        <v>2308</v>
      </c>
      <c r="M1621" s="5" t="s">
        <v>2308</v>
      </c>
      <c r="N1621" s="5" t="s">
        <v>2308</v>
      </c>
      <c r="O1621" s="5" t="s">
        <v>2308</v>
      </c>
      <c r="P1621" s="5" t="s">
        <v>2308</v>
      </c>
      <c r="Q1621" s="5" t="s">
        <v>2308</v>
      </c>
      <c r="R1621" s="5" t="s">
        <v>2308</v>
      </c>
      <c r="S1621" s="5" t="s">
        <v>2308</v>
      </c>
      <c r="T1621" s="5" t="s">
        <v>2308</v>
      </c>
      <c r="U1621" s="5" t="s">
        <v>2308</v>
      </c>
      <c r="V1621" s="5" t="s">
        <v>2308</v>
      </c>
      <c r="W1621" s="5" t="s">
        <v>2308</v>
      </c>
      <c r="X1621" s="5" t="s">
        <v>2308</v>
      </c>
      <c r="Y1621" s="5" t="s">
        <v>2308</v>
      </c>
      <c r="Z1621" s="5" t="s">
        <v>2308</v>
      </c>
      <c r="AA1621" s="5" t="s">
        <v>2308</v>
      </c>
      <c r="AB1621" s="5" t="s">
        <v>2308</v>
      </c>
      <c r="AC1621" s="4"/>
      <c r="AD1621" s="4"/>
    </row>
    <row r="1622" spans="1:30" ht="45.5" customHeight="1">
      <c r="A1622" s="12" t="s">
        <v>4910</v>
      </c>
      <c r="B1622" s="12" t="s">
        <v>4960</v>
      </c>
      <c r="C1622" s="4" t="s">
        <v>24</v>
      </c>
      <c r="D1622" s="4" t="s">
        <v>2308</v>
      </c>
      <c r="E1622" s="4" t="s">
        <v>45</v>
      </c>
      <c r="F1622" s="5" t="s">
        <v>2308</v>
      </c>
      <c r="G1622" s="5" t="s">
        <v>2695</v>
      </c>
      <c r="H1622" s="4" t="s">
        <v>531</v>
      </c>
      <c r="I1622" s="4"/>
      <c r="J1622" s="5" t="s">
        <v>2308</v>
      </c>
      <c r="K1622" s="5" t="s">
        <v>2308</v>
      </c>
      <c r="L1622" s="5" t="s">
        <v>2308</v>
      </c>
      <c r="M1622" s="5" t="s">
        <v>2308</v>
      </c>
      <c r="N1622" s="5" t="s">
        <v>2308</v>
      </c>
      <c r="O1622" s="5" t="s">
        <v>2308</v>
      </c>
      <c r="P1622" s="5" t="s">
        <v>2308</v>
      </c>
      <c r="Q1622" s="5" t="s">
        <v>2308</v>
      </c>
      <c r="R1622" s="5" t="s">
        <v>2308</v>
      </c>
      <c r="S1622" s="5" t="s">
        <v>2308</v>
      </c>
      <c r="T1622" s="5" t="s">
        <v>2308</v>
      </c>
      <c r="U1622" s="5" t="s">
        <v>2308</v>
      </c>
      <c r="V1622" s="5" t="s">
        <v>2308</v>
      </c>
      <c r="W1622" s="5" t="s">
        <v>2308</v>
      </c>
      <c r="X1622" s="5" t="s">
        <v>2308</v>
      </c>
      <c r="Y1622" s="5" t="s">
        <v>2308</v>
      </c>
      <c r="Z1622" s="5" t="s">
        <v>2308</v>
      </c>
      <c r="AA1622" s="5" t="s">
        <v>2308</v>
      </c>
      <c r="AB1622" s="5" t="s">
        <v>2308</v>
      </c>
      <c r="AC1622" s="4"/>
      <c r="AD1622" s="4"/>
    </row>
    <row r="1623" spans="1:30" ht="45.5" customHeight="1">
      <c r="A1623" s="12" t="s">
        <v>4911</v>
      </c>
      <c r="B1623" s="12" t="s">
        <v>4961</v>
      </c>
      <c r="C1623" s="4" t="s">
        <v>24</v>
      </c>
      <c r="D1623" s="4" t="s">
        <v>2308</v>
      </c>
      <c r="E1623" s="4" t="s">
        <v>45</v>
      </c>
      <c r="F1623" s="5" t="s">
        <v>2308</v>
      </c>
      <c r="G1623" s="5" t="s">
        <v>2695</v>
      </c>
      <c r="H1623" s="4" t="s">
        <v>531</v>
      </c>
      <c r="I1623" s="4"/>
      <c r="J1623" s="5" t="s">
        <v>2308</v>
      </c>
      <c r="K1623" s="5" t="s">
        <v>2308</v>
      </c>
      <c r="L1623" s="5" t="s">
        <v>2308</v>
      </c>
      <c r="M1623" s="5" t="s">
        <v>2308</v>
      </c>
      <c r="N1623" s="5" t="s">
        <v>2308</v>
      </c>
      <c r="O1623" s="5" t="s">
        <v>2308</v>
      </c>
      <c r="P1623" s="5" t="s">
        <v>2308</v>
      </c>
      <c r="Q1623" s="5" t="s">
        <v>2308</v>
      </c>
      <c r="R1623" s="5" t="s">
        <v>2308</v>
      </c>
      <c r="S1623" s="5" t="s">
        <v>2308</v>
      </c>
      <c r="T1623" s="5" t="s">
        <v>2308</v>
      </c>
      <c r="U1623" s="5" t="s">
        <v>2308</v>
      </c>
      <c r="V1623" s="5" t="s">
        <v>2308</v>
      </c>
      <c r="W1623" s="5" t="s">
        <v>2308</v>
      </c>
      <c r="X1623" s="5" t="s">
        <v>2308</v>
      </c>
      <c r="Y1623" s="5" t="s">
        <v>2308</v>
      </c>
      <c r="Z1623" s="5" t="s">
        <v>2308</v>
      </c>
      <c r="AA1623" s="5" t="s">
        <v>2308</v>
      </c>
      <c r="AB1623" s="5" t="s">
        <v>2308</v>
      </c>
      <c r="AC1623" s="4"/>
      <c r="AD1623" s="4"/>
    </row>
    <row r="1624" spans="1:30" ht="45.5" customHeight="1">
      <c r="A1624" s="12" t="s">
        <v>4912</v>
      </c>
      <c r="B1624" s="12" t="s">
        <v>4962</v>
      </c>
      <c r="C1624" s="4" t="s">
        <v>24</v>
      </c>
      <c r="D1624" s="4" t="s">
        <v>2308</v>
      </c>
      <c r="E1624" s="4" t="s">
        <v>45</v>
      </c>
      <c r="F1624" s="5" t="s">
        <v>2308</v>
      </c>
      <c r="G1624" s="5" t="s">
        <v>2695</v>
      </c>
      <c r="H1624" s="4" t="s">
        <v>531</v>
      </c>
      <c r="I1624" s="4"/>
      <c r="J1624" s="5" t="s">
        <v>2308</v>
      </c>
      <c r="K1624" s="5" t="s">
        <v>2308</v>
      </c>
      <c r="L1624" s="5" t="s">
        <v>2308</v>
      </c>
      <c r="M1624" s="5" t="s">
        <v>2308</v>
      </c>
      <c r="N1624" s="5" t="s">
        <v>2308</v>
      </c>
      <c r="O1624" s="5" t="s">
        <v>2308</v>
      </c>
      <c r="P1624" s="5" t="s">
        <v>2308</v>
      </c>
      <c r="Q1624" s="5" t="s">
        <v>2308</v>
      </c>
      <c r="R1624" s="5" t="s">
        <v>2308</v>
      </c>
      <c r="S1624" s="5" t="s">
        <v>2308</v>
      </c>
      <c r="T1624" s="5" t="s">
        <v>2308</v>
      </c>
      <c r="U1624" s="5" t="s">
        <v>2308</v>
      </c>
      <c r="V1624" s="5" t="s">
        <v>2308</v>
      </c>
      <c r="W1624" s="5" t="s">
        <v>2308</v>
      </c>
      <c r="X1624" s="5" t="s">
        <v>2308</v>
      </c>
      <c r="Y1624" s="5" t="s">
        <v>2308</v>
      </c>
      <c r="Z1624" s="5" t="s">
        <v>2308</v>
      </c>
      <c r="AA1624" s="5" t="s">
        <v>2308</v>
      </c>
      <c r="AB1624" s="5" t="s">
        <v>2308</v>
      </c>
      <c r="AC1624" s="4"/>
      <c r="AD1624" s="4"/>
    </row>
    <row r="1625" spans="1:30" ht="45.5" customHeight="1">
      <c r="A1625" s="12" t="s">
        <v>4913</v>
      </c>
      <c r="B1625" s="12" t="s">
        <v>4963</v>
      </c>
      <c r="C1625" s="4" t="s">
        <v>24</v>
      </c>
      <c r="D1625" s="4" t="s">
        <v>2308</v>
      </c>
      <c r="E1625" s="4" t="s">
        <v>45</v>
      </c>
      <c r="F1625" s="5" t="s">
        <v>2308</v>
      </c>
      <c r="G1625" s="5" t="s">
        <v>2695</v>
      </c>
      <c r="H1625" s="4" t="s">
        <v>531</v>
      </c>
      <c r="I1625" s="4"/>
      <c r="J1625" s="5" t="s">
        <v>2308</v>
      </c>
      <c r="K1625" s="5" t="s">
        <v>2308</v>
      </c>
      <c r="L1625" s="5" t="s">
        <v>2308</v>
      </c>
      <c r="M1625" s="5" t="s">
        <v>2308</v>
      </c>
      <c r="N1625" s="5" t="s">
        <v>2308</v>
      </c>
      <c r="O1625" s="5" t="s">
        <v>2308</v>
      </c>
      <c r="P1625" s="5" t="s">
        <v>2308</v>
      </c>
      <c r="Q1625" s="5" t="s">
        <v>2308</v>
      </c>
      <c r="R1625" s="5" t="s">
        <v>2308</v>
      </c>
      <c r="S1625" s="5" t="s">
        <v>2308</v>
      </c>
      <c r="T1625" s="5" t="s">
        <v>2308</v>
      </c>
      <c r="U1625" s="5" t="s">
        <v>2308</v>
      </c>
      <c r="V1625" s="5" t="s">
        <v>2308</v>
      </c>
      <c r="W1625" s="5" t="s">
        <v>2308</v>
      </c>
      <c r="X1625" s="5" t="s">
        <v>2308</v>
      </c>
      <c r="Y1625" s="5" t="s">
        <v>2308</v>
      </c>
      <c r="Z1625" s="5" t="s">
        <v>2308</v>
      </c>
      <c r="AA1625" s="5" t="s">
        <v>2308</v>
      </c>
      <c r="AB1625" s="5" t="s">
        <v>2308</v>
      </c>
      <c r="AC1625" s="4"/>
      <c r="AD1625" s="4"/>
    </row>
    <row r="1626" spans="1:30" ht="45.5" customHeight="1">
      <c r="A1626" s="12" t="s">
        <v>4914</v>
      </c>
      <c r="B1626" s="12" t="s">
        <v>4964</v>
      </c>
      <c r="C1626" s="4" t="s">
        <v>24</v>
      </c>
      <c r="D1626" s="4" t="s">
        <v>2308</v>
      </c>
      <c r="E1626" s="4" t="s">
        <v>45</v>
      </c>
      <c r="F1626" s="5" t="s">
        <v>2308</v>
      </c>
      <c r="G1626" s="5" t="s">
        <v>2695</v>
      </c>
      <c r="H1626" s="4" t="s">
        <v>531</v>
      </c>
      <c r="I1626" s="4"/>
      <c r="J1626" s="5" t="s">
        <v>2308</v>
      </c>
      <c r="K1626" s="5" t="s">
        <v>2308</v>
      </c>
      <c r="L1626" s="5" t="s">
        <v>2308</v>
      </c>
      <c r="M1626" s="5" t="s">
        <v>2308</v>
      </c>
      <c r="N1626" s="5" t="s">
        <v>2308</v>
      </c>
      <c r="O1626" s="5" t="s">
        <v>2308</v>
      </c>
      <c r="P1626" s="5" t="s">
        <v>2308</v>
      </c>
      <c r="Q1626" s="5" t="s">
        <v>2308</v>
      </c>
      <c r="R1626" s="5" t="s">
        <v>2308</v>
      </c>
      <c r="S1626" s="5" t="s">
        <v>2308</v>
      </c>
      <c r="T1626" s="5" t="s">
        <v>2308</v>
      </c>
      <c r="U1626" s="5" t="s">
        <v>2308</v>
      </c>
      <c r="V1626" s="5" t="s">
        <v>2308</v>
      </c>
      <c r="W1626" s="5" t="s">
        <v>2308</v>
      </c>
      <c r="X1626" s="5" t="s">
        <v>2308</v>
      </c>
      <c r="Y1626" s="5" t="s">
        <v>2308</v>
      </c>
      <c r="Z1626" s="5" t="s">
        <v>2308</v>
      </c>
      <c r="AA1626" s="5" t="s">
        <v>2308</v>
      </c>
      <c r="AB1626" s="5" t="s">
        <v>2308</v>
      </c>
      <c r="AC1626" s="4"/>
      <c r="AD1626" s="4"/>
    </row>
    <row r="1627" spans="1:30" ht="45.5" customHeight="1">
      <c r="A1627" s="12" t="s">
        <v>4915</v>
      </c>
      <c r="B1627" s="12" t="s">
        <v>4965</v>
      </c>
      <c r="C1627" s="4" t="s">
        <v>24</v>
      </c>
      <c r="D1627" s="4" t="s">
        <v>2308</v>
      </c>
      <c r="E1627" s="4" t="s">
        <v>45</v>
      </c>
      <c r="F1627" s="5" t="s">
        <v>2308</v>
      </c>
      <c r="G1627" s="5" t="s">
        <v>2695</v>
      </c>
      <c r="H1627" s="4" t="s">
        <v>531</v>
      </c>
      <c r="I1627" s="4"/>
      <c r="J1627" s="5" t="s">
        <v>2308</v>
      </c>
      <c r="K1627" s="5" t="s">
        <v>2308</v>
      </c>
      <c r="L1627" s="5" t="s">
        <v>2308</v>
      </c>
      <c r="M1627" s="5" t="s">
        <v>2308</v>
      </c>
      <c r="N1627" s="5" t="s">
        <v>2308</v>
      </c>
      <c r="O1627" s="5" t="s">
        <v>2308</v>
      </c>
      <c r="P1627" s="5" t="s">
        <v>2308</v>
      </c>
      <c r="Q1627" s="5" t="s">
        <v>2308</v>
      </c>
      <c r="R1627" s="5" t="s">
        <v>2308</v>
      </c>
      <c r="S1627" s="5" t="s">
        <v>2308</v>
      </c>
      <c r="T1627" s="5" t="s">
        <v>2308</v>
      </c>
      <c r="U1627" s="5" t="s">
        <v>2308</v>
      </c>
      <c r="V1627" s="5" t="s">
        <v>2308</v>
      </c>
      <c r="W1627" s="5" t="s">
        <v>2308</v>
      </c>
      <c r="X1627" s="5" t="s">
        <v>2308</v>
      </c>
      <c r="Y1627" s="5" t="s">
        <v>2308</v>
      </c>
      <c r="Z1627" s="5" t="s">
        <v>2308</v>
      </c>
      <c r="AA1627" s="5" t="s">
        <v>2308</v>
      </c>
      <c r="AB1627" s="5" t="s">
        <v>2308</v>
      </c>
      <c r="AC1627" s="4"/>
      <c r="AD1627" s="4"/>
    </row>
    <row r="1628" spans="1:30" ht="45.5" customHeight="1">
      <c r="A1628" s="12" t="s">
        <v>4916</v>
      </c>
      <c r="B1628" s="12" t="s">
        <v>4966</v>
      </c>
      <c r="C1628" s="4" t="s">
        <v>24</v>
      </c>
      <c r="D1628" s="4" t="s">
        <v>2308</v>
      </c>
      <c r="E1628" s="4" t="s">
        <v>45</v>
      </c>
      <c r="F1628" s="5" t="s">
        <v>2308</v>
      </c>
      <c r="G1628" s="5" t="s">
        <v>2695</v>
      </c>
      <c r="H1628" s="4" t="s">
        <v>531</v>
      </c>
      <c r="I1628" s="4"/>
      <c r="J1628" s="5" t="s">
        <v>2308</v>
      </c>
      <c r="K1628" s="5" t="s">
        <v>2308</v>
      </c>
      <c r="L1628" s="5" t="s">
        <v>2308</v>
      </c>
      <c r="M1628" s="5" t="s">
        <v>2308</v>
      </c>
      <c r="N1628" s="5" t="s">
        <v>2308</v>
      </c>
      <c r="O1628" s="5" t="s">
        <v>2308</v>
      </c>
      <c r="P1628" s="5" t="s">
        <v>2308</v>
      </c>
      <c r="Q1628" s="5" t="s">
        <v>2308</v>
      </c>
      <c r="R1628" s="5" t="s">
        <v>2308</v>
      </c>
      <c r="S1628" s="5" t="s">
        <v>2308</v>
      </c>
      <c r="T1628" s="5" t="s">
        <v>2308</v>
      </c>
      <c r="U1628" s="5" t="s">
        <v>2308</v>
      </c>
      <c r="V1628" s="5" t="s">
        <v>2308</v>
      </c>
      <c r="W1628" s="5" t="s">
        <v>2308</v>
      </c>
      <c r="X1628" s="5" t="s">
        <v>2308</v>
      </c>
      <c r="Y1628" s="5" t="s">
        <v>2308</v>
      </c>
      <c r="Z1628" s="5" t="s">
        <v>2308</v>
      </c>
      <c r="AA1628" s="5" t="s">
        <v>2308</v>
      </c>
      <c r="AB1628" s="5" t="s">
        <v>2308</v>
      </c>
      <c r="AC1628" s="4"/>
      <c r="AD1628" s="4"/>
    </row>
    <row r="1629" spans="1:30" ht="45.5" customHeight="1">
      <c r="A1629" s="12" t="s">
        <v>4917</v>
      </c>
      <c r="B1629" s="12" t="s">
        <v>4967</v>
      </c>
      <c r="C1629" s="4" t="s">
        <v>24</v>
      </c>
      <c r="D1629" s="4" t="s">
        <v>2308</v>
      </c>
      <c r="E1629" s="4" t="s">
        <v>45</v>
      </c>
      <c r="F1629" s="5" t="s">
        <v>2308</v>
      </c>
      <c r="G1629" s="5" t="s">
        <v>2695</v>
      </c>
      <c r="H1629" s="4" t="s">
        <v>531</v>
      </c>
      <c r="I1629" s="4"/>
      <c r="J1629" s="5" t="s">
        <v>2308</v>
      </c>
      <c r="K1629" s="5" t="s">
        <v>2308</v>
      </c>
      <c r="L1629" s="5" t="s">
        <v>2308</v>
      </c>
      <c r="M1629" s="5" t="s">
        <v>2308</v>
      </c>
      <c r="N1629" s="5" t="s">
        <v>2308</v>
      </c>
      <c r="O1629" s="5" t="s">
        <v>2308</v>
      </c>
      <c r="P1629" s="5" t="s">
        <v>2308</v>
      </c>
      <c r="Q1629" s="5" t="s">
        <v>2308</v>
      </c>
      <c r="R1629" s="5" t="s">
        <v>2308</v>
      </c>
      <c r="S1629" s="5" t="s">
        <v>2308</v>
      </c>
      <c r="T1629" s="5" t="s">
        <v>2308</v>
      </c>
      <c r="U1629" s="5" t="s">
        <v>2308</v>
      </c>
      <c r="V1629" s="5" t="s">
        <v>2308</v>
      </c>
      <c r="W1629" s="5" t="s">
        <v>2308</v>
      </c>
      <c r="X1629" s="5" t="s">
        <v>2308</v>
      </c>
      <c r="Y1629" s="5" t="s">
        <v>2308</v>
      </c>
      <c r="Z1629" s="5" t="s">
        <v>2308</v>
      </c>
      <c r="AA1629" s="5" t="s">
        <v>2308</v>
      </c>
      <c r="AB1629" s="5" t="s">
        <v>2308</v>
      </c>
      <c r="AC1629" s="4"/>
      <c r="AD1629" s="4"/>
    </row>
    <row r="1630" spans="1:30" ht="45.5" customHeight="1">
      <c r="A1630" s="12" t="s">
        <v>4918</v>
      </c>
      <c r="B1630" s="12" t="s">
        <v>4968</v>
      </c>
      <c r="C1630" s="4" t="s">
        <v>24</v>
      </c>
      <c r="D1630" s="4" t="s">
        <v>2308</v>
      </c>
      <c r="E1630" s="4" t="s">
        <v>45</v>
      </c>
      <c r="F1630" s="5" t="s">
        <v>2308</v>
      </c>
      <c r="G1630" s="5" t="s">
        <v>2695</v>
      </c>
      <c r="H1630" s="4" t="s">
        <v>531</v>
      </c>
      <c r="I1630" s="4"/>
      <c r="J1630" s="5" t="s">
        <v>2308</v>
      </c>
      <c r="K1630" s="5" t="s">
        <v>2308</v>
      </c>
      <c r="L1630" s="5" t="s">
        <v>2308</v>
      </c>
      <c r="M1630" s="5" t="s">
        <v>2308</v>
      </c>
      <c r="N1630" s="5" t="s">
        <v>2308</v>
      </c>
      <c r="O1630" s="5" t="s">
        <v>2308</v>
      </c>
      <c r="P1630" s="5" t="s">
        <v>2308</v>
      </c>
      <c r="Q1630" s="5" t="s">
        <v>2308</v>
      </c>
      <c r="R1630" s="5" t="s">
        <v>2308</v>
      </c>
      <c r="S1630" s="5" t="s">
        <v>2308</v>
      </c>
      <c r="T1630" s="5" t="s">
        <v>2308</v>
      </c>
      <c r="U1630" s="5" t="s">
        <v>2308</v>
      </c>
      <c r="V1630" s="5" t="s">
        <v>2308</v>
      </c>
      <c r="W1630" s="5" t="s">
        <v>2308</v>
      </c>
      <c r="X1630" s="5" t="s">
        <v>2308</v>
      </c>
      <c r="Y1630" s="5" t="s">
        <v>2308</v>
      </c>
      <c r="Z1630" s="5" t="s">
        <v>2308</v>
      </c>
      <c r="AA1630" s="5" t="s">
        <v>2308</v>
      </c>
      <c r="AB1630" s="5" t="s">
        <v>2308</v>
      </c>
      <c r="AC1630" s="4"/>
      <c r="AD1630" s="4"/>
    </row>
    <row r="1631" spans="1:30" ht="45.5" customHeight="1">
      <c r="A1631" s="12" t="s">
        <v>4919</v>
      </c>
      <c r="B1631" s="12" t="s">
        <v>4969</v>
      </c>
      <c r="C1631" s="4" t="s">
        <v>24</v>
      </c>
      <c r="D1631" s="4" t="s">
        <v>2308</v>
      </c>
      <c r="E1631" s="4" t="s">
        <v>45</v>
      </c>
      <c r="F1631" s="5" t="s">
        <v>2308</v>
      </c>
      <c r="G1631" s="5" t="s">
        <v>2695</v>
      </c>
      <c r="H1631" s="4" t="s">
        <v>531</v>
      </c>
      <c r="I1631" s="4"/>
      <c r="J1631" s="5" t="s">
        <v>2308</v>
      </c>
      <c r="K1631" s="5" t="s">
        <v>2308</v>
      </c>
      <c r="L1631" s="5" t="s">
        <v>2308</v>
      </c>
      <c r="M1631" s="5" t="s">
        <v>2308</v>
      </c>
      <c r="N1631" s="5" t="s">
        <v>2308</v>
      </c>
      <c r="O1631" s="5" t="s">
        <v>2308</v>
      </c>
      <c r="P1631" s="5" t="s">
        <v>2308</v>
      </c>
      <c r="Q1631" s="5" t="s">
        <v>2308</v>
      </c>
      <c r="R1631" s="5" t="s">
        <v>2308</v>
      </c>
      <c r="S1631" s="5" t="s">
        <v>2308</v>
      </c>
      <c r="T1631" s="5" t="s">
        <v>2308</v>
      </c>
      <c r="U1631" s="5" t="s">
        <v>2308</v>
      </c>
      <c r="V1631" s="5" t="s">
        <v>2308</v>
      </c>
      <c r="W1631" s="5" t="s">
        <v>2308</v>
      </c>
      <c r="X1631" s="5" t="s">
        <v>2308</v>
      </c>
      <c r="Y1631" s="5" t="s">
        <v>2308</v>
      </c>
      <c r="Z1631" s="5" t="s">
        <v>2308</v>
      </c>
      <c r="AA1631" s="5" t="s">
        <v>2308</v>
      </c>
      <c r="AB1631" s="5" t="s">
        <v>2308</v>
      </c>
      <c r="AC1631" s="4"/>
      <c r="AD1631" s="4"/>
    </row>
    <row r="1632" spans="1:30" ht="45.5" customHeight="1">
      <c r="A1632" s="12" t="s">
        <v>4920</v>
      </c>
      <c r="B1632" s="12" t="s">
        <v>4970</v>
      </c>
      <c r="C1632" s="4" t="s">
        <v>24</v>
      </c>
      <c r="D1632" s="4" t="s">
        <v>2308</v>
      </c>
      <c r="E1632" s="4" t="s">
        <v>45</v>
      </c>
      <c r="F1632" s="5" t="s">
        <v>2308</v>
      </c>
      <c r="G1632" s="5" t="s">
        <v>2695</v>
      </c>
      <c r="H1632" s="4" t="s">
        <v>531</v>
      </c>
      <c r="I1632" s="4"/>
      <c r="J1632" s="5" t="s">
        <v>2308</v>
      </c>
      <c r="K1632" s="5" t="s">
        <v>2308</v>
      </c>
      <c r="L1632" s="5" t="s">
        <v>2308</v>
      </c>
      <c r="M1632" s="5" t="s">
        <v>2308</v>
      </c>
      <c r="N1632" s="5" t="s">
        <v>2308</v>
      </c>
      <c r="O1632" s="5" t="s">
        <v>2308</v>
      </c>
      <c r="P1632" s="5" t="s">
        <v>2308</v>
      </c>
      <c r="Q1632" s="5" t="s">
        <v>2308</v>
      </c>
      <c r="R1632" s="5" t="s">
        <v>2308</v>
      </c>
      <c r="S1632" s="5" t="s">
        <v>2308</v>
      </c>
      <c r="T1632" s="5" t="s">
        <v>2308</v>
      </c>
      <c r="U1632" s="5" t="s">
        <v>2308</v>
      </c>
      <c r="V1632" s="5" t="s">
        <v>2308</v>
      </c>
      <c r="W1632" s="5" t="s">
        <v>2308</v>
      </c>
      <c r="X1632" s="5" t="s">
        <v>2308</v>
      </c>
      <c r="Y1632" s="5" t="s">
        <v>2308</v>
      </c>
      <c r="Z1632" s="5" t="s">
        <v>2308</v>
      </c>
      <c r="AA1632" s="5" t="s">
        <v>2308</v>
      </c>
      <c r="AB1632" s="5" t="s">
        <v>2308</v>
      </c>
      <c r="AC1632" s="4"/>
      <c r="AD1632" s="4"/>
    </row>
    <row r="1633" spans="1:30" ht="45.5" customHeight="1">
      <c r="A1633" s="12" t="s">
        <v>4921</v>
      </c>
      <c r="B1633" s="12" t="s">
        <v>4971</v>
      </c>
      <c r="C1633" s="4" t="s">
        <v>24</v>
      </c>
      <c r="D1633" s="4" t="s">
        <v>2308</v>
      </c>
      <c r="E1633" s="4" t="s">
        <v>45</v>
      </c>
      <c r="F1633" s="5" t="s">
        <v>2308</v>
      </c>
      <c r="G1633" s="5" t="s">
        <v>2695</v>
      </c>
      <c r="H1633" s="4" t="s">
        <v>531</v>
      </c>
      <c r="I1633" s="4"/>
      <c r="J1633" s="5" t="s">
        <v>2308</v>
      </c>
      <c r="K1633" s="5" t="s">
        <v>2308</v>
      </c>
      <c r="L1633" s="5" t="s">
        <v>2308</v>
      </c>
      <c r="M1633" s="5" t="s">
        <v>2308</v>
      </c>
      <c r="N1633" s="5" t="s">
        <v>2308</v>
      </c>
      <c r="O1633" s="5" t="s">
        <v>2308</v>
      </c>
      <c r="P1633" s="5" t="s">
        <v>2308</v>
      </c>
      <c r="Q1633" s="5" t="s">
        <v>2308</v>
      </c>
      <c r="R1633" s="5" t="s">
        <v>2308</v>
      </c>
      <c r="S1633" s="5" t="s">
        <v>2308</v>
      </c>
      <c r="T1633" s="5" t="s">
        <v>2308</v>
      </c>
      <c r="U1633" s="5" t="s">
        <v>2308</v>
      </c>
      <c r="V1633" s="5" t="s">
        <v>2308</v>
      </c>
      <c r="W1633" s="5" t="s">
        <v>2308</v>
      </c>
      <c r="X1633" s="5" t="s">
        <v>2308</v>
      </c>
      <c r="Y1633" s="5" t="s">
        <v>2308</v>
      </c>
      <c r="Z1633" s="5" t="s">
        <v>2308</v>
      </c>
      <c r="AA1633" s="5" t="s">
        <v>2308</v>
      </c>
      <c r="AB1633" s="5" t="s">
        <v>2308</v>
      </c>
      <c r="AC1633" s="4"/>
      <c r="AD1633" s="4"/>
    </row>
    <row r="1634" spans="1:30" ht="45.5" customHeight="1">
      <c r="A1634" s="12" t="s">
        <v>4922</v>
      </c>
      <c r="B1634" s="12" t="s">
        <v>4972</v>
      </c>
      <c r="C1634" s="4" t="s">
        <v>24</v>
      </c>
      <c r="D1634" s="4" t="s">
        <v>2308</v>
      </c>
      <c r="E1634" s="4" t="s">
        <v>45</v>
      </c>
      <c r="F1634" s="5" t="s">
        <v>2308</v>
      </c>
      <c r="G1634" s="5" t="s">
        <v>2695</v>
      </c>
      <c r="H1634" s="4" t="s">
        <v>531</v>
      </c>
      <c r="I1634" s="4"/>
      <c r="J1634" s="5" t="s">
        <v>2308</v>
      </c>
      <c r="K1634" s="5" t="s">
        <v>2308</v>
      </c>
      <c r="L1634" s="5" t="s">
        <v>2308</v>
      </c>
      <c r="M1634" s="5" t="s">
        <v>2308</v>
      </c>
      <c r="N1634" s="5" t="s">
        <v>2308</v>
      </c>
      <c r="O1634" s="5" t="s">
        <v>2308</v>
      </c>
      <c r="P1634" s="5" t="s">
        <v>2308</v>
      </c>
      <c r="Q1634" s="5" t="s">
        <v>2308</v>
      </c>
      <c r="R1634" s="5" t="s">
        <v>2308</v>
      </c>
      <c r="S1634" s="5" t="s">
        <v>2308</v>
      </c>
      <c r="T1634" s="5" t="s">
        <v>2308</v>
      </c>
      <c r="U1634" s="5" t="s">
        <v>2308</v>
      </c>
      <c r="V1634" s="5" t="s">
        <v>2308</v>
      </c>
      <c r="W1634" s="5" t="s">
        <v>2308</v>
      </c>
      <c r="X1634" s="5" t="s">
        <v>2308</v>
      </c>
      <c r="Y1634" s="5" t="s">
        <v>2308</v>
      </c>
      <c r="Z1634" s="5" t="s">
        <v>2308</v>
      </c>
      <c r="AA1634" s="5" t="s">
        <v>2308</v>
      </c>
      <c r="AB1634" s="5" t="s">
        <v>2308</v>
      </c>
      <c r="AC1634" s="4"/>
      <c r="AD1634" s="4"/>
    </row>
    <row r="1635" spans="1:30" ht="45.5" customHeight="1">
      <c r="A1635" s="12" t="s">
        <v>4923</v>
      </c>
      <c r="B1635" s="12" t="s">
        <v>4973</v>
      </c>
      <c r="C1635" s="4" t="s">
        <v>24</v>
      </c>
      <c r="D1635" s="4" t="s">
        <v>2308</v>
      </c>
      <c r="E1635" s="4" t="s">
        <v>45</v>
      </c>
      <c r="F1635" s="5" t="s">
        <v>2308</v>
      </c>
      <c r="G1635" s="5" t="s">
        <v>2695</v>
      </c>
      <c r="H1635" s="4" t="s">
        <v>532</v>
      </c>
      <c r="I1635" s="4"/>
      <c r="J1635" s="15">
        <v>0</v>
      </c>
      <c r="K1635" s="22">
        <v>0</v>
      </c>
      <c r="L1635" s="22">
        <v>0</v>
      </c>
      <c r="M1635" s="22">
        <v>0</v>
      </c>
      <c r="N1635" s="22">
        <v>0</v>
      </c>
      <c r="O1635" s="22">
        <v>0</v>
      </c>
      <c r="P1635" s="22">
        <v>0</v>
      </c>
      <c r="Q1635" s="22">
        <v>0</v>
      </c>
      <c r="R1635" s="22">
        <v>0</v>
      </c>
      <c r="S1635" s="22">
        <v>0</v>
      </c>
      <c r="T1635" s="22">
        <v>0</v>
      </c>
      <c r="U1635" s="22">
        <v>0</v>
      </c>
      <c r="V1635" s="22">
        <v>0</v>
      </c>
      <c r="W1635" s="22">
        <v>0</v>
      </c>
      <c r="X1635" s="22">
        <v>0</v>
      </c>
      <c r="Y1635" s="5" t="s">
        <v>2308</v>
      </c>
      <c r="Z1635" s="5" t="s">
        <v>2308</v>
      </c>
      <c r="AA1635" s="5" t="s">
        <v>2308</v>
      </c>
      <c r="AB1635" s="5" t="s">
        <v>2308</v>
      </c>
      <c r="AC1635" s="4"/>
      <c r="AD1635" s="4"/>
    </row>
    <row r="1636" spans="1:30" ht="45.5" customHeight="1">
      <c r="A1636" s="12" t="s">
        <v>4924</v>
      </c>
      <c r="B1636" s="12" t="s">
        <v>4974</v>
      </c>
      <c r="C1636" s="4" t="s">
        <v>24</v>
      </c>
      <c r="D1636" s="4" t="s">
        <v>2308</v>
      </c>
      <c r="E1636" s="4" t="s">
        <v>45</v>
      </c>
      <c r="F1636" s="5" t="s">
        <v>2308</v>
      </c>
      <c r="G1636" s="5" t="s">
        <v>2695</v>
      </c>
      <c r="H1636" s="4" t="s">
        <v>531</v>
      </c>
      <c r="I1636" s="4"/>
      <c r="J1636" s="5" t="s">
        <v>2308</v>
      </c>
      <c r="K1636" s="5" t="s">
        <v>2308</v>
      </c>
      <c r="L1636" s="5" t="s">
        <v>2308</v>
      </c>
      <c r="M1636" s="5" t="s">
        <v>2308</v>
      </c>
      <c r="N1636" s="5" t="s">
        <v>2308</v>
      </c>
      <c r="O1636" s="5" t="s">
        <v>2308</v>
      </c>
      <c r="P1636" s="5" t="s">
        <v>2308</v>
      </c>
      <c r="Q1636" s="5" t="s">
        <v>2308</v>
      </c>
      <c r="R1636" s="5" t="s">
        <v>2308</v>
      </c>
      <c r="S1636" s="5" t="s">
        <v>2308</v>
      </c>
      <c r="T1636" s="5" t="s">
        <v>2308</v>
      </c>
      <c r="U1636" s="5" t="s">
        <v>2308</v>
      </c>
      <c r="V1636" s="5" t="s">
        <v>2308</v>
      </c>
      <c r="W1636" s="5" t="s">
        <v>2308</v>
      </c>
      <c r="X1636" s="5" t="s">
        <v>2308</v>
      </c>
      <c r="Y1636" s="5" t="s">
        <v>2308</v>
      </c>
      <c r="Z1636" s="5" t="s">
        <v>2308</v>
      </c>
      <c r="AA1636" s="5" t="s">
        <v>2308</v>
      </c>
      <c r="AB1636" s="5" t="s">
        <v>2308</v>
      </c>
      <c r="AC1636" s="4"/>
      <c r="AD1636" s="4"/>
    </row>
    <row r="1637" spans="1:30" ht="45.5" customHeight="1">
      <c r="A1637" s="12" t="s">
        <v>4925</v>
      </c>
      <c r="B1637" s="12" t="s">
        <v>4975</v>
      </c>
      <c r="C1637" s="4" t="s">
        <v>24</v>
      </c>
      <c r="D1637" s="4" t="s">
        <v>2308</v>
      </c>
      <c r="E1637" s="4" t="s">
        <v>45</v>
      </c>
      <c r="F1637" s="5" t="s">
        <v>2308</v>
      </c>
      <c r="G1637" s="5" t="s">
        <v>2695</v>
      </c>
      <c r="H1637" s="4" t="s">
        <v>531</v>
      </c>
      <c r="I1637" s="4"/>
      <c r="J1637" s="5" t="s">
        <v>2308</v>
      </c>
      <c r="K1637" s="5" t="s">
        <v>2308</v>
      </c>
      <c r="L1637" s="5" t="s">
        <v>2308</v>
      </c>
      <c r="M1637" s="5" t="s">
        <v>2308</v>
      </c>
      <c r="N1637" s="5" t="s">
        <v>2308</v>
      </c>
      <c r="O1637" s="5" t="s">
        <v>2308</v>
      </c>
      <c r="P1637" s="5" t="s">
        <v>2308</v>
      </c>
      <c r="Q1637" s="5" t="s">
        <v>2308</v>
      </c>
      <c r="R1637" s="5" t="s">
        <v>2308</v>
      </c>
      <c r="S1637" s="5" t="s">
        <v>2308</v>
      </c>
      <c r="T1637" s="5" t="s">
        <v>2308</v>
      </c>
      <c r="U1637" s="5" t="s">
        <v>2308</v>
      </c>
      <c r="V1637" s="5" t="s">
        <v>2308</v>
      </c>
      <c r="W1637" s="5" t="s">
        <v>2308</v>
      </c>
      <c r="X1637" s="5" t="s">
        <v>2308</v>
      </c>
      <c r="Y1637" s="5" t="s">
        <v>2308</v>
      </c>
      <c r="Z1637" s="5" t="s">
        <v>2308</v>
      </c>
      <c r="AA1637" s="5" t="s">
        <v>2308</v>
      </c>
      <c r="AB1637" s="5" t="s">
        <v>2308</v>
      </c>
      <c r="AC1637" s="4"/>
      <c r="AD1637" s="4"/>
    </row>
    <row r="1638" spans="1:30" ht="45.5" customHeight="1">
      <c r="A1638" s="12" t="s">
        <v>4926</v>
      </c>
      <c r="B1638" s="12" t="s">
        <v>4976</v>
      </c>
      <c r="C1638" s="4" t="s">
        <v>24</v>
      </c>
      <c r="D1638" s="4" t="s">
        <v>2308</v>
      </c>
      <c r="E1638" s="4" t="s">
        <v>45</v>
      </c>
      <c r="F1638" s="5" t="s">
        <v>2308</v>
      </c>
      <c r="G1638" s="5" t="s">
        <v>2695</v>
      </c>
      <c r="H1638" s="4" t="s">
        <v>531</v>
      </c>
      <c r="I1638" s="4"/>
      <c r="J1638" s="5" t="s">
        <v>2308</v>
      </c>
      <c r="K1638" s="5" t="s">
        <v>2308</v>
      </c>
      <c r="L1638" s="5" t="s">
        <v>2308</v>
      </c>
      <c r="M1638" s="5" t="s">
        <v>2308</v>
      </c>
      <c r="N1638" s="5" t="s">
        <v>2308</v>
      </c>
      <c r="O1638" s="5" t="s">
        <v>2308</v>
      </c>
      <c r="P1638" s="5" t="s">
        <v>2308</v>
      </c>
      <c r="Q1638" s="5" t="s">
        <v>2308</v>
      </c>
      <c r="R1638" s="5" t="s">
        <v>2308</v>
      </c>
      <c r="S1638" s="5" t="s">
        <v>2308</v>
      </c>
      <c r="T1638" s="5" t="s">
        <v>2308</v>
      </c>
      <c r="U1638" s="5" t="s">
        <v>2308</v>
      </c>
      <c r="V1638" s="5" t="s">
        <v>2308</v>
      </c>
      <c r="W1638" s="5" t="s">
        <v>2308</v>
      </c>
      <c r="X1638" s="5" t="s">
        <v>2308</v>
      </c>
      <c r="Y1638" s="5" t="s">
        <v>2308</v>
      </c>
      <c r="Z1638" s="5" t="s">
        <v>2308</v>
      </c>
      <c r="AA1638" s="5" t="s">
        <v>2308</v>
      </c>
      <c r="AB1638" s="5" t="s">
        <v>2308</v>
      </c>
      <c r="AC1638" s="4"/>
      <c r="AD1638" s="4"/>
    </row>
    <row r="1639" spans="1:30" ht="45.5" customHeight="1">
      <c r="A1639" s="12" t="s">
        <v>4927</v>
      </c>
      <c r="B1639" s="12" t="s">
        <v>4977</v>
      </c>
      <c r="C1639" s="4" t="s">
        <v>24</v>
      </c>
      <c r="D1639" s="4" t="s">
        <v>2308</v>
      </c>
      <c r="E1639" s="4" t="s">
        <v>45</v>
      </c>
      <c r="F1639" s="5" t="s">
        <v>2308</v>
      </c>
      <c r="G1639" s="5" t="s">
        <v>2695</v>
      </c>
      <c r="H1639" s="4" t="s">
        <v>531</v>
      </c>
      <c r="I1639" s="4"/>
      <c r="J1639" s="5" t="s">
        <v>2308</v>
      </c>
      <c r="K1639" s="5" t="s">
        <v>2308</v>
      </c>
      <c r="L1639" s="5" t="s">
        <v>2308</v>
      </c>
      <c r="M1639" s="5" t="s">
        <v>2308</v>
      </c>
      <c r="N1639" s="5" t="s">
        <v>2308</v>
      </c>
      <c r="O1639" s="5" t="s">
        <v>2308</v>
      </c>
      <c r="P1639" s="5" t="s">
        <v>2308</v>
      </c>
      <c r="Q1639" s="5" t="s">
        <v>2308</v>
      </c>
      <c r="R1639" s="5" t="s">
        <v>2308</v>
      </c>
      <c r="S1639" s="5" t="s">
        <v>2308</v>
      </c>
      <c r="T1639" s="5" t="s">
        <v>2308</v>
      </c>
      <c r="U1639" s="5" t="s">
        <v>2308</v>
      </c>
      <c r="V1639" s="5" t="s">
        <v>2308</v>
      </c>
      <c r="W1639" s="5" t="s">
        <v>2308</v>
      </c>
      <c r="X1639" s="5" t="s">
        <v>2308</v>
      </c>
      <c r="Y1639" s="5" t="s">
        <v>2308</v>
      </c>
      <c r="Z1639" s="5" t="s">
        <v>2308</v>
      </c>
      <c r="AA1639" s="5" t="s">
        <v>2308</v>
      </c>
      <c r="AB1639" s="5" t="s">
        <v>2308</v>
      </c>
      <c r="AC1639" s="4"/>
      <c r="AD1639" s="4"/>
    </row>
    <row r="1640" spans="1:30" ht="45.5" customHeight="1">
      <c r="A1640" s="12" t="s">
        <v>4928</v>
      </c>
      <c r="B1640" s="12" t="s">
        <v>4978</v>
      </c>
      <c r="C1640" s="4" t="s">
        <v>24</v>
      </c>
      <c r="D1640" s="4" t="s">
        <v>2308</v>
      </c>
      <c r="E1640" s="4" t="s">
        <v>45</v>
      </c>
      <c r="F1640" s="5" t="s">
        <v>2308</v>
      </c>
      <c r="G1640" s="5" t="s">
        <v>2695</v>
      </c>
      <c r="H1640" s="4" t="s">
        <v>531</v>
      </c>
      <c r="I1640" s="4"/>
      <c r="J1640" s="5" t="s">
        <v>2308</v>
      </c>
      <c r="K1640" s="5" t="s">
        <v>2308</v>
      </c>
      <c r="L1640" s="5" t="s">
        <v>2308</v>
      </c>
      <c r="M1640" s="5" t="s">
        <v>2308</v>
      </c>
      <c r="N1640" s="5" t="s">
        <v>2308</v>
      </c>
      <c r="O1640" s="5" t="s">
        <v>2308</v>
      </c>
      <c r="P1640" s="5" t="s">
        <v>2308</v>
      </c>
      <c r="Q1640" s="5" t="s">
        <v>2308</v>
      </c>
      <c r="R1640" s="5" t="s">
        <v>2308</v>
      </c>
      <c r="S1640" s="5" t="s">
        <v>2308</v>
      </c>
      <c r="T1640" s="5" t="s">
        <v>2308</v>
      </c>
      <c r="U1640" s="5" t="s">
        <v>2308</v>
      </c>
      <c r="V1640" s="5" t="s">
        <v>2308</v>
      </c>
      <c r="W1640" s="5" t="s">
        <v>2308</v>
      </c>
      <c r="X1640" s="5" t="s">
        <v>2308</v>
      </c>
      <c r="Y1640" s="5" t="s">
        <v>2308</v>
      </c>
      <c r="Z1640" s="5" t="s">
        <v>2308</v>
      </c>
      <c r="AA1640" s="5" t="s">
        <v>2308</v>
      </c>
      <c r="AB1640" s="5" t="s">
        <v>2308</v>
      </c>
      <c r="AC1640" s="4"/>
      <c r="AD1640" s="4"/>
    </row>
    <row r="1641" spans="1:30" ht="45.5" customHeight="1">
      <c r="A1641" s="12" t="s">
        <v>4929</v>
      </c>
      <c r="B1641" s="12" t="s">
        <v>4979</v>
      </c>
      <c r="C1641" s="4" t="s">
        <v>24</v>
      </c>
      <c r="D1641" s="4" t="s">
        <v>2308</v>
      </c>
      <c r="E1641" s="4" t="s">
        <v>45</v>
      </c>
      <c r="F1641" s="5" t="s">
        <v>2308</v>
      </c>
      <c r="G1641" s="5" t="s">
        <v>2695</v>
      </c>
      <c r="H1641" s="4" t="s">
        <v>531</v>
      </c>
      <c r="I1641" s="4"/>
      <c r="J1641" s="5" t="s">
        <v>2308</v>
      </c>
      <c r="K1641" s="5" t="s">
        <v>2308</v>
      </c>
      <c r="L1641" s="5" t="s">
        <v>2308</v>
      </c>
      <c r="M1641" s="5" t="s">
        <v>2308</v>
      </c>
      <c r="N1641" s="5" t="s">
        <v>2308</v>
      </c>
      <c r="O1641" s="5" t="s">
        <v>2308</v>
      </c>
      <c r="P1641" s="5" t="s">
        <v>2308</v>
      </c>
      <c r="Q1641" s="5" t="s">
        <v>2308</v>
      </c>
      <c r="R1641" s="5" t="s">
        <v>2308</v>
      </c>
      <c r="S1641" s="5" t="s">
        <v>2308</v>
      </c>
      <c r="T1641" s="5" t="s">
        <v>2308</v>
      </c>
      <c r="U1641" s="5" t="s">
        <v>2308</v>
      </c>
      <c r="V1641" s="5" t="s">
        <v>2308</v>
      </c>
      <c r="W1641" s="5" t="s">
        <v>2308</v>
      </c>
      <c r="X1641" s="5" t="s">
        <v>2308</v>
      </c>
      <c r="Y1641" s="5" t="s">
        <v>2308</v>
      </c>
      <c r="Z1641" s="5" t="s">
        <v>2308</v>
      </c>
      <c r="AA1641" s="5" t="s">
        <v>2308</v>
      </c>
      <c r="AB1641" s="5" t="s">
        <v>2308</v>
      </c>
      <c r="AC1641" s="4"/>
      <c r="AD1641" s="4"/>
    </row>
    <row r="1642" spans="1:30" ht="45.5" customHeight="1">
      <c r="A1642" s="12" t="s">
        <v>4930</v>
      </c>
      <c r="B1642" s="12" t="s">
        <v>4980</v>
      </c>
      <c r="C1642" s="4" t="s">
        <v>24</v>
      </c>
      <c r="D1642" s="4" t="s">
        <v>2308</v>
      </c>
      <c r="E1642" s="4" t="s">
        <v>45</v>
      </c>
      <c r="F1642" s="5" t="s">
        <v>2308</v>
      </c>
      <c r="G1642" s="5" t="s">
        <v>2695</v>
      </c>
      <c r="H1642" s="4" t="s">
        <v>531</v>
      </c>
      <c r="I1642" s="4"/>
      <c r="J1642" s="5" t="s">
        <v>2308</v>
      </c>
      <c r="K1642" s="5" t="s">
        <v>2308</v>
      </c>
      <c r="L1642" s="5" t="s">
        <v>2308</v>
      </c>
      <c r="M1642" s="5" t="s">
        <v>2308</v>
      </c>
      <c r="N1642" s="5" t="s">
        <v>2308</v>
      </c>
      <c r="O1642" s="5" t="s">
        <v>2308</v>
      </c>
      <c r="P1642" s="5" t="s">
        <v>2308</v>
      </c>
      <c r="Q1642" s="5" t="s">
        <v>2308</v>
      </c>
      <c r="R1642" s="5" t="s">
        <v>2308</v>
      </c>
      <c r="S1642" s="5" t="s">
        <v>2308</v>
      </c>
      <c r="T1642" s="5" t="s">
        <v>2308</v>
      </c>
      <c r="U1642" s="5" t="s">
        <v>2308</v>
      </c>
      <c r="V1642" s="5" t="s">
        <v>2308</v>
      </c>
      <c r="W1642" s="5" t="s">
        <v>2308</v>
      </c>
      <c r="X1642" s="5" t="s">
        <v>2308</v>
      </c>
      <c r="Y1642" s="5" t="s">
        <v>2308</v>
      </c>
      <c r="Z1642" s="5" t="s">
        <v>2308</v>
      </c>
      <c r="AA1642" s="5" t="s">
        <v>2308</v>
      </c>
      <c r="AB1642" s="5" t="s">
        <v>2308</v>
      </c>
      <c r="AC1642" s="4"/>
      <c r="AD1642" s="4"/>
    </row>
    <row r="1643" spans="1:30" ht="45.5" customHeight="1">
      <c r="A1643" s="12" t="s">
        <v>4931</v>
      </c>
      <c r="B1643" s="12" t="s">
        <v>4981</v>
      </c>
      <c r="C1643" s="4" t="s">
        <v>24</v>
      </c>
      <c r="D1643" s="4" t="s">
        <v>2308</v>
      </c>
      <c r="E1643" s="4" t="s">
        <v>45</v>
      </c>
      <c r="F1643" s="5" t="s">
        <v>2308</v>
      </c>
      <c r="G1643" s="5" t="s">
        <v>2695</v>
      </c>
      <c r="H1643" s="4" t="s">
        <v>531</v>
      </c>
      <c r="I1643" s="4"/>
      <c r="J1643" s="5" t="s">
        <v>2308</v>
      </c>
      <c r="K1643" s="5" t="s">
        <v>2308</v>
      </c>
      <c r="L1643" s="5" t="s">
        <v>2308</v>
      </c>
      <c r="M1643" s="5" t="s">
        <v>2308</v>
      </c>
      <c r="N1643" s="5" t="s">
        <v>2308</v>
      </c>
      <c r="O1643" s="5" t="s">
        <v>2308</v>
      </c>
      <c r="P1643" s="5" t="s">
        <v>2308</v>
      </c>
      <c r="Q1643" s="5" t="s">
        <v>2308</v>
      </c>
      <c r="R1643" s="5" t="s">
        <v>2308</v>
      </c>
      <c r="S1643" s="5" t="s">
        <v>2308</v>
      </c>
      <c r="T1643" s="5" t="s">
        <v>2308</v>
      </c>
      <c r="U1643" s="5" t="s">
        <v>2308</v>
      </c>
      <c r="V1643" s="5" t="s">
        <v>2308</v>
      </c>
      <c r="W1643" s="5" t="s">
        <v>2308</v>
      </c>
      <c r="X1643" s="5" t="s">
        <v>2308</v>
      </c>
      <c r="Y1643" s="5" t="s">
        <v>2308</v>
      </c>
      <c r="Z1643" s="5" t="s">
        <v>2308</v>
      </c>
      <c r="AA1643" s="5" t="s">
        <v>2308</v>
      </c>
      <c r="AB1643" s="5" t="s">
        <v>2308</v>
      </c>
      <c r="AC1643" s="4"/>
      <c r="AD1643" s="4"/>
    </row>
    <row r="1644" spans="1:30" ht="45.5" customHeight="1">
      <c r="A1644" s="12" t="s">
        <v>4932</v>
      </c>
      <c r="B1644" s="12" t="s">
        <v>4982</v>
      </c>
      <c r="C1644" s="4" t="s">
        <v>24</v>
      </c>
      <c r="D1644" s="4" t="s">
        <v>2308</v>
      </c>
      <c r="E1644" s="4" t="s">
        <v>45</v>
      </c>
      <c r="F1644" s="5" t="s">
        <v>2308</v>
      </c>
      <c r="G1644" s="5" t="s">
        <v>2695</v>
      </c>
      <c r="H1644" s="4" t="s">
        <v>531</v>
      </c>
      <c r="I1644" s="4"/>
      <c r="J1644" s="5" t="s">
        <v>2308</v>
      </c>
      <c r="K1644" s="5" t="s">
        <v>2308</v>
      </c>
      <c r="L1644" s="5" t="s">
        <v>2308</v>
      </c>
      <c r="M1644" s="5" t="s">
        <v>2308</v>
      </c>
      <c r="N1644" s="5" t="s">
        <v>2308</v>
      </c>
      <c r="O1644" s="5" t="s">
        <v>2308</v>
      </c>
      <c r="P1644" s="5" t="s">
        <v>2308</v>
      </c>
      <c r="Q1644" s="5" t="s">
        <v>2308</v>
      </c>
      <c r="R1644" s="5" t="s">
        <v>2308</v>
      </c>
      <c r="S1644" s="5" t="s">
        <v>2308</v>
      </c>
      <c r="T1644" s="5" t="s">
        <v>2308</v>
      </c>
      <c r="U1644" s="5" t="s">
        <v>2308</v>
      </c>
      <c r="V1644" s="5" t="s">
        <v>2308</v>
      </c>
      <c r="W1644" s="5" t="s">
        <v>2308</v>
      </c>
      <c r="X1644" s="5" t="s">
        <v>2308</v>
      </c>
      <c r="Y1644" s="5" t="s">
        <v>2308</v>
      </c>
      <c r="Z1644" s="5" t="s">
        <v>2308</v>
      </c>
      <c r="AA1644" s="5" t="s">
        <v>2308</v>
      </c>
      <c r="AB1644" s="5" t="s">
        <v>2308</v>
      </c>
      <c r="AC1644" s="4"/>
      <c r="AD1644" s="4"/>
    </row>
    <row r="1645" spans="1:30" ht="45.5" customHeight="1">
      <c r="A1645" s="12" t="s">
        <v>4933</v>
      </c>
      <c r="B1645" s="12" t="s">
        <v>4983</v>
      </c>
      <c r="C1645" s="4" t="s">
        <v>24</v>
      </c>
      <c r="D1645" s="4" t="s">
        <v>2308</v>
      </c>
      <c r="E1645" s="4" t="s">
        <v>45</v>
      </c>
      <c r="F1645" s="5" t="s">
        <v>2308</v>
      </c>
      <c r="G1645" s="5" t="s">
        <v>2695</v>
      </c>
      <c r="H1645" s="4" t="s">
        <v>531</v>
      </c>
      <c r="I1645" s="4"/>
      <c r="J1645" s="5" t="s">
        <v>2308</v>
      </c>
      <c r="K1645" s="5" t="s">
        <v>2308</v>
      </c>
      <c r="L1645" s="5" t="s">
        <v>2308</v>
      </c>
      <c r="M1645" s="5" t="s">
        <v>2308</v>
      </c>
      <c r="N1645" s="5" t="s">
        <v>2308</v>
      </c>
      <c r="O1645" s="5" t="s">
        <v>2308</v>
      </c>
      <c r="P1645" s="5" t="s">
        <v>2308</v>
      </c>
      <c r="Q1645" s="5" t="s">
        <v>2308</v>
      </c>
      <c r="R1645" s="5" t="s">
        <v>2308</v>
      </c>
      <c r="S1645" s="5" t="s">
        <v>2308</v>
      </c>
      <c r="T1645" s="5" t="s">
        <v>2308</v>
      </c>
      <c r="U1645" s="5" t="s">
        <v>2308</v>
      </c>
      <c r="V1645" s="5" t="s">
        <v>2308</v>
      </c>
      <c r="W1645" s="5" t="s">
        <v>2308</v>
      </c>
      <c r="X1645" s="5" t="s">
        <v>2308</v>
      </c>
      <c r="Y1645" s="5" t="s">
        <v>2308</v>
      </c>
      <c r="Z1645" s="5" t="s">
        <v>2308</v>
      </c>
      <c r="AA1645" s="5" t="s">
        <v>2308</v>
      </c>
      <c r="AB1645" s="5" t="s">
        <v>2308</v>
      </c>
      <c r="AC1645" s="4"/>
      <c r="AD1645" s="4"/>
    </row>
    <row r="1646" spans="1:30" ht="35.5" customHeight="1">
      <c r="A1646" s="12" t="s">
        <v>4999</v>
      </c>
      <c r="B1646" s="12" t="s">
        <v>5004</v>
      </c>
      <c r="C1646" s="4" t="s">
        <v>1125</v>
      </c>
      <c r="D1646" s="4" t="s">
        <v>1125</v>
      </c>
      <c r="E1646" s="4" t="s">
        <v>1125</v>
      </c>
      <c r="F1646" s="5" t="s">
        <v>1125</v>
      </c>
      <c r="G1646" s="4" t="s">
        <v>1125</v>
      </c>
      <c r="H1646" s="4" t="s">
        <v>531</v>
      </c>
      <c r="I1646" s="4"/>
      <c r="J1646" s="22">
        <f>(13377)/5/'Record info'!K811</f>
        <v>0.11403270608383284</v>
      </c>
      <c r="K1646" s="5" t="s">
        <v>2308</v>
      </c>
      <c r="L1646" s="22">
        <v>0.01</v>
      </c>
      <c r="M1646" s="5" t="s">
        <v>2308</v>
      </c>
      <c r="N1646" s="22">
        <v>1815</v>
      </c>
      <c r="O1646" s="5" t="s">
        <v>2308</v>
      </c>
      <c r="P1646" s="22">
        <f>T1646/13377</f>
        <v>1.3276519398968378</v>
      </c>
      <c r="Q1646" s="5" t="s">
        <v>2308</v>
      </c>
      <c r="R1646" s="5" t="s">
        <v>2308</v>
      </c>
      <c r="S1646" s="5" t="s">
        <v>2308</v>
      </c>
      <c r="T1646" s="22">
        <f>88800/5</f>
        <v>17760</v>
      </c>
      <c r="U1646" s="5" t="s">
        <v>2308</v>
      </c>
      <c r="V1646" s="5" t="s">
        <v>2308</v>
      </c>
      <c r="W1646" s="5" t="s">
        <v>2308</v>
      </c>
      <c r="X1646" s="22">
        <f>T1646/'Record info'!K811</f>
        <v>0.75697871721943311</v>
      </c>
      <c r="Y1646" s="5" t="s">
        <v>2308</v>
      </c>
      <c r="Z1646" s="4" t="s">
        <v>34</v>
      </c>
      <c r="AA1646" s="4" t="s">
        <v>68</v>
      </c>
      <c r="AB1646" s="4" t="s">
        <v>2688</v>
      </c>
      <c r="AC1646" s="4"/>
      <c r="AD1646" s="4" t="s">
        <v>5008</v>
      </c>
    </row>
    <row r="1647" spans="1:30" ht="52" customHeight="1">
      <c r="A1647" s="12" t="s">
        <v>4999</v>
      </c>
      <c r="B1647" s="12" t="s">
        <v>5005</v>
      </c>
      <c r="C1647" s="4" t="s">
        <v>1125</v>
      </c>
      <c r="D1647" s="4" t="s">
        <v>2308</v>
      </c>
      <c r="E1647" s="5" t="s">
        <v>403</v>
      </c>
      <c r="F1647" s="5" t="s">
        <v>28</v>
      </c>
      <c r="G1647" s="4" t="s">
        <v>28</v>
      </c>
      <c r="H1647" s="4" t="s">
        <v>531</v>
      </c>
      <c r="I1647" s="4"/>
      <c r="J1647" s="5" t="s">
        <v>2308</v>
      </c>
      <c r="K1647" s="5" t="s">
        <v>2308</v>
      </c>
      <c r="L1647" s="5" t="s">
        <v>2308</v>
      </c>
      <c r="M1647" s="5" t="s">
        <v>2308</v>
      </c>
      <c r="N1647" s="5" t="s">
        <v>2308</v>
      </c>
      <c r="O1647" s="5" t="s">
        <v>2308</v>
      </c>
      <c r="P1647" s="5" t="s">
        <v>2308</v>
      </c>
      <c r="Q1647" s="5" t="s">
        <v>2308</v>
      </c>
      <c r="R1647" s="5" t="s">
        <v>2308</v>
      </c>
      <c r="S1647" s="5" t="s">
        <v>2308</v>
      </c>
      <c r="T1647" s="5" t="s">
        <v>2308</v>
      </c>
      <c r="U1647" s="5" t="s">
        <v>2308</v>
      </c>
      <c r="V1647" s="5" t="s">
        <v>2308</v>
      </c>
      <c r="W1647" s="5" t="s">
        <v>2308</v>
      </c>
      <c r="X1647" s="5" t="s">
        <v>2308</v>
      </c>
      <c r="Y1647" s="5" t="s">
        <v>2308</v>
      </c>
      <c r="Z1647" s="4" t="s">
        <v>34</v>
      </c>
      <c r="AA1647" s="4" t="s">
        <v>68</v>
      </c>
      <c r="AB1647" s="4" t="s">
        <v>2688</v>
      </c>
      <c r="AC1647" s="5" t="s">
        <v>5006</v>
      </c>
      <c r="AD1647" s="5" t="s">
        <v>5015</v>
      </c>
    </row>
    <row r="1648" spans="1:30" ht="52" customHeight="1">
      <c r="A1648" s="12" t="s">
        <v>4999</v>
      </c>
      <c r="B1648" s="12" t="s">
        <v>5007</v>
      </c>
      <c r="C1648" s="4" t="s">
        <v>24</v>
      </c>
      <c r="D1648" s="4" t="s">
        <v>2692</v>
      </c>
      <c r="E1648" s="5" t="s">
        <v>403</v>
      </c>
      <c r="F1648" s="5" t="s">
        <v>28</v>
      </c>
      <c r="G1648" s="4" t="s">
        <v>2308</v>
      </c>
      <c r="H1648" s="4" t="s">
        <v>531</v>
      </c>
      <c r="I1648" s="4"/>
      <c r="J1648" s="5" t="s">
        <v>2308</v>
      </c>
      <c r="K1648" s="5" t="s">
        <v>2308</v>
      </c>
      <c r="L1648" s="5" t="s">
        <v>2308</v>
      </c>
      <c r="M1648" s="5" t="s">
        <v>2308</v>
      </c>
      <c r="N1648" s="5" t="s">
        <v>2308</v>
      </c>
      <c r="O1648" s="5" t="s">
        <v>2308</v>
      </c>
      <c r="P1648" s="5" t="s">
        <v>2308</v>
      </c>
      <c r="Q1648" s="5" t="s">
        <v>2308</v>
      </c>
      <c r="R1648" s="5" t="s">
        <v>2308</v>
      </c>
      <c r="S1648" s="5" t="s">
        <v>2308</v>
      </c>
      <c r="T1648" s="5" t="s">
        <v>2308</v>
      </c>
      <c r="U1648" s="5" t="s">
        <v>2308</v>
      </c>
      <c r="V1648" s="5" t="s">
        <v>2308</v>
      </c>
      <c r="W1648" s="5" t="s">
        <v>2308</v>
      </c>
      <c r="X1648" s="5" t="s">
        <v>2308</v>
      </c>
      <c r="Y1648" s="5" t="s">
        <v>2308</v>
      </c>
      <c r="Z1648" s="4" t="s">
        <v>34</v>
      </c>
      <c r="AA1648" s="4" t="s">
        <v>68</v>
      </c>
      <c r="AB1648" s="4" t="s">
        <v>2688</v>
      </c>
      <c r="AC1648" s="5" t="s">
        <v>5006</v>
      </c>
      <c r="AD1648" s="5" t="s">
        <v>5015</v>
      </c>
    </row>
    <row r="1649" spans="1:30" ht="62" customHeight="1">
      <c r="A1649" s="12" t="s">
        <v>4999</v>
      </c>
      <c r="B1649" s="12" t="s">
        <v>5009</v>
      </c>
      <c r="C1649" s="4" t="s">
        <v>1125</v>
      </c>
      <c r="D1649" s="4" t="s">
        <v>1125</v>
      </c>
      <c r="E1649" s="5" t="s">
        <v>2683</v>
      </c>
      <c r="F1649" s="5" t="s">
        <v>2308</v>
      </c>
      <c r="G1649" s="4" t="s">
        <v>28</v>
      </c>
      <c r="H1649" s="4" t="s">
        <v>531</v>
      </c>
      <c r="I1649" s="4"/>
      <c r="J1649" s="5" t="s">
        <v>2308</v>
      </c>
      <c r="K1649" s="5" t="s">
        <v>2308</v>
      </c>
      <c r="L1649" s="5" t="s">
        <v>2308</v>
      </c>
      <c r="M1649" s="5" t="s">
        <v>2308</v>
      </c>
      <c r="N1649" s="5" t="s">
        <v>2308</v>
      </c>
      <c r="O1649" s="5" t="s">
        <v>2308</v>
      </c>
      <c r="P1649" s="5" t="s">
        <v>2308</v>
      </c>
      <c r="Q1649" s="5" t="s">
        <v>2308</v>
      </c>
      <c r="R1649" s="5" t="s">
        <v>2308</v>
      </c>
      <c r="S1649" s="5" t="s">
        <v>2308</v>
      </c>
      <c r="T1649" s="5" t="s">
        <v>2308</v>
      </c>
      <c r="U1649" s="5" t="s">
        <v>2308</v>
      </c>
      <c r="V1649" s="5" t="s">
        <v>2308</v>
      </c>
      <c r="W1649" s="5" t="s">
        <v>2308</v>
      </c>
      <c r="X1649" s="5" t="s">
        <v>2308</v>
      </c>
      <c r="Y1649" s="5" t="s">
        <v>2308</v>
      </c>
      <c r="Z1649" s="4" t="s">
        <v>34</v>
      </c>
      <c r="AA1649" s="4" t="s">
        <v>68</v>
      </c>
      <c r="AB1649" s="4" t="s">
        <v>2688</v>
      </c>
      <c r="AC1649" s="5"/>
      <c r="AD1649" s="5" t="s">
        <v>5016</v>
      </c>
    </row>
    <row r="1650" spans="1:30" ht="52" customHeight="1">
      <c r="A1650" s="12" t="s">
        <v>4999</v>
      </c>
      <c r="B1650" s="12" t="s">
        <v>5010</v>
      </c>
      <c r="C1650" s="4" t="s">
        <v>1125</v>
      </c>
      <c r="D1650" s="4" t="s">
        <v>1125</v>
      </c>
      <c r="E1650" s="5" t="s">
        <v>45</v>
      </c>
      <c r="F1650" s="5" t="s">
        <v>2308</v>
      </c>
      <c r="G1650" s="4" t="s">
        <v>29</v>
      </c>
      <c r="H1650" s="4" t="s">
        <v>531</v>
      </c>
      <c r="I1650" s="4"/>
      <c r="J1650" s="5" t="s">
        <v>2308</v>
      </c>
      <c r="K1650" s="5" t="s">
        <v>2308</v>
      </c>
      <c r="L1650" s="5" t="s">
        <v>2308</v>
      </c>
      <c r="M1650" s="5" t="s">
        <v>2308</v>
      </c>
      <c r="N1650" s="5" t="s">
        <v>2308</v>
      </c>
      <c r="O1650" s="5" t="s">
        <v>2308</v>
      </c>
      <c r="P1650" s="5" t="s">
        <v>2308</v>
      </c>
      <c r="Q1650" s="5" t="s">
        <v>2308</v>
      </c>
      <c r="R1650" s="5" t="s">
        <v>2308</v>
      </c>
      <c r="S1650" s="5" t="s">
        <v>2308</v>
      </c>
      <c r="T1650" s="5" t="s">
        <v>2308</v>
      </c>
      <c r="U1650" s="5" t="s">
        <v>2308</v>
      </c>
      <c r="V1650" s="5" t="s">
        <v>2308</v>
      </c>
      <c r="W1650" s="5" t="s">
        <v>2308</v>
      </c>
      <c r="X1650" s="5" t="s">
        <v>2308</v>
      </c>
      <c r="Y1650" s="5" t="s">
        <v>2308</v>
      </c>
      <c r="Z1650" s="4" t="s">
        <v>34</v>
      </c>
      <c r="AA1650" s="4" t="s">
        <v>68</v>
      </c>
      <c r="AB1650" s="4" t="s">
        <v>2688</v>
      </c>
      <c r="AC1650" s="5"/>
      <c r="AD1650" s="5" t="s">
        <v>5015</v>
      </c>
    </row>
    <row r="1651" spans="1:30" ht="37" customHeight="1">
      <c r="A1651" s="12" t="s">
        <v>4999</v>
      </c>
      <c r="B1651" s="12" t="s">
        <v>5013</v>
      </c>
      <c r="C1651" s="4" t="s">
        <v>1125</v>
      </c>
      <c r="D1651" s="4" t="s">
        <v>1125</v>
      </c>
      <c r="E1651" s="4" t="s">
        <v>2308</v>
      </c>
      <c r="F1651" s="5" t="s">
        <v>2308</v>
      </c>
      <c r="G1651" s="4" t="s">
        <v>74</v>
      </c>
      <c r="H1651" s="4" t="s">
        <v>531</v>
      </c>
      <c r="I1651" s="4"/>
      <c r="J1651" s="22">
        <f>862/5/3880</f>
        <v>4.4432989690721653E-2</v>
      </c>
      <c r="K1651" s="5" t="s">
        <v>2308</v>
      </c>
      <c r="L1651" s="5" t="s">
        <v>2308</v>
      </c>
      <c r="M1651" s="5" t="s">
        <v>2308</v>
      </c>
      <c r="N1651" s="5" t="s">
        <v>2308</v>
      </c>
      <c r="O1651" s="5" t="s">
        <v>2308</v>
      </c>
      <c r="P1651" s="22">
        <v>7.03</v>
      </c>
      <c r="Q1651" s="5" t="s">
        <v>2308</v>
      </c>
      <c r="R1651" s="5" t="s">
        <v>2308</v>
      </c>
      <c r="S1651" s="5" t="s">
        <v>2308</v>
      </c>
      <c r="T1651" s="22">
        <f>862*7.03/5</f>
        <v>1211.9720000000002</v>
      </c>
      <c r="U1651" s="5" t="s">
        <v>2308</v>
      </c>
      <c r="V1651" s="22">
        <f>T1651/387960.4</f>
        <v>3.1239580122094939E-3</v>
      </c>
      <c r="W1651" s="5" t="s">
        <v>2308</v>
      </c>
      <c r="X1651" s="5" t="s">
        <v>2308</v>
      </c>
      <c r="Y1651" s="5" t="s">
        <v>2308</v>
      </c>
      <c r="Z1651" s="4" t="s">
        <v>34</v>
      </c>
      <c r="AA1651" s="4" t="s">
        <v>68</v>
      </c>
      <c r="AB1651" s="4" t="s">
        <v>2688</v>
      </c>
      <c r="AC1651" s="4"/>
      <c r="AD1651" s="5" t="s">
        <v>5012</v>
      </c>
    </row>
    <row r="1652" spans="1:30" ht="41" customHeight="1">
      <c r="A1652" s="12" t="s">
        <v>4999</v>
      </c>
      <c r="B1652" s="12" t="s">
        <v>5014</v>
      </c>
      <c r="C1652" s="4" t="s">
        <v>1125</v>
      </c>
      <c r="D1652" s="4" t="s">
        <v>1125</v>
      </c>
      <c r="E1652" s="4" t="s">
        <v>2308</v>
      </c>
      <c r="F1652" s="5" t="s">
        <v>2308</v>
      </c>
      <c r="G1652" s="4" t="s">
        <v>74</v>
      </c>
      <c r="H1652" s="4" t="s">
        <v>531</v>
      </c>
      <c r="I1652" s="4"/>
      <c r="J1652" s="22">
        <f>1947/5/6825</f>
        <v>5.7054945054945051E-2</v>
      </c>
      <c r="K1652" s="5" t="s">
        <v>2308</v>
      </c>
      <c r="L1652" s="5" t="s">
        <v>2308</v>
      </c>
      <c r="M1652" s="5" t="s">
        <v>2308</v>
      </c>
      <c r="N1652" s="5" t="s">
        <v>2308</v>
      </c>
      <c r="O1652" s="5" t="s">
        <v>2308</v>
      </c>
      <c r="P1652" s="22">
        <v>9.1999999999999993</v>
      </c>
      <c r="Q1652" s="5" t="s">
        <v>2308</v>
      </c>
      <c r="R1652" s="5" t="s">
        <v>2308</v>
      </c>
      <c r="S1652" s="5" t="s">
        <v>2308</v>
      </c>
      <c r="T1652" s="22">
        <f>1947*9.2/5</f>
        <v>3582.4799999999996</v>
      </c>
      <c r="U1652" s="5" t="s">
        <v>2308</v>
      </c>
      <c r="V1652" s="22">
        <f>T1652/682507.76</f>
        <v>5.248995264171062E-3</v>
      </c>
      <c r="W1652" s="5" t="s">
        <v>2308</v>
      </c>
      <c r="X1652" s="5" t="s">
        <v>2308</v>
      </c>
      <c r="Y1652" s="5" t="s">
        <v>2308</v>
      </c>
      <c r="Z1652" s="4" t="s">
        <v>34</v>
      </c>
      <c r="AA1652" s="4" t="s">
        <v>68</v>
      </c>
      <c r="AB1652" s="4" t="s">
        <v>2688</v>
      </c>
      <c r="AC1652" s="4"/>
      <c r="AD1652" s="5" t="s">
        <v>5012</v>
      </c>
    </row>
    <row r="1653" spans="1:30" ht="32.5" customHeight="1">
      <c r="A1653" s="12" t="s">
        <v>5020</v>
      </c>
      <c r="B1653" s="12" t="s">
        <v>5023</v>
      </c>
      <c r="C1653" s="4" t="s">
        <v>24</v>
      </c>
      <c r="D1653" s="4" t="s">
        <v>3525</v>
      </c>
      <c r="E1653" s="4" t="s">
        <v>877</v>
      </c>
      <c r="F1653" s="5" t="s">
        <v>74</v>
      </c>
      <c r="G1653" s="4" t="s">
        <v>2308</v>
      </c>
      <c r="H1653" s="4" t="s">
        <v>531</v>
      </c>
      <c r="I1653" s="4"/>
      <c r="J1653" s="5" t="s">
        <v>2308</v>
      </c>
      <c r="K1653" s="5" t="s">
        <v>2308</v>
      </c>
      <c r="L1653" s="5" t="s">
        <v>2308</v>
      </c>
      <c r="M1653" s="5" t="s">
        <v>2308</v>
      </c>
      <c r="N1653" s="5" t="s">
        <v>2308</v>
      </c>
      <c r="O1653" s="5" t="s">
        <v>2308</v>
      </c>
      <c r="P1653" s="5" t="s">
        <v>2308</v>
      </c>
      <c r="Q1653" s="5" t="s">
        <v>2308</v>
      </c>
      <c r="R1653" s="5" t="s">
        <v>2308</v>
      </c>
      <c r="S1653" s="5" t="s">
        <v>2308</v>
      </c>
      <c r="T1653" s="5" t="s">
        <v>2308</v>
      </c>
      <c r="U1653" s="5" t="s">
        <v>2308</v>
      </c>
      <c r="V1653" s="5" t="s">
        <v>2308</v>
      </c>
      <c r="W1653" s="5" t="s">
        <v>2308</v>
      </c>
      <c r="X1653" s="5" t="s">
        <v>2308</v>
      </c>
      <c r="Y1653" s="5" t="s">
        <v>2308</v>
      </c>
      <c r="Z1653" s="5" t="s">
        <v>2308</v>
      </c>
      <c r="AA1653" s="5" t="s">
        <v>2308</v>
      </c>
      <c r="AB1653" s="5" t="s">
        <v>2308</v>
      </c>
      <c r="AC1653" s="4"/>
      <c r="AD1653" s="4"/>
    </row>
    <row r="1654" spans="1:30" ht="84.5" customHeight="1">
      <c r="A1654" s="12" t="s">
        <v>5024</v>
      </c>
      <c r="B1654" s="12" t="s">
        <v>5026</v>
      </c>
      <c r="C1654" s="4" t="s">
        <v>24</v>
      </c>
      <c r="D1654" s="4" t="s">
        <v>25</v>
      </c>
      <c r="E1654" s="4" t="s">
        <v>5065</v>
      </c>
      <c r="F1654" s="5" t="s">
        <v>2695</v>
      </c>
      <c r="G1654" s="4" t="s">
        <v>2308</v>
      </c>
      <c r="H1654" s="4" t="s">
        <v>532</v>
      </c>
      <c r="I1654" s="4"/>
      <c r="J1654" s="22">
        <v>0</v>
      </c>
      <c r="K1654" s="22">
        <v>0</v>
      </c>
      <c r="L1654" s="22">
        <v>0</v>
      </c>
      <c r="M1654" s="22">
        <v>0</v>
      </c>
      <c r="N1654" s="22">
        <v>0</v>
      </c>
      <c r="O1654" s="22">
        <v>0</v>
      </c>
      <c r="P1654" s="22">
        <v>0</v>
      </c>
      <c r="Q1654" s="22">
        <v>0</v>
      </c>
      <c r="R1654" s="22">
        <v>0</v>
      </c>
      <c r="S1654" s="22">
        <v>0</v>
      </c>
      <c r="T1654" s="22">
        <v>0</v>
      </c>
      <c r="U1654" s="22">
        <v>0</v>
      </c>
      <c r="V1654" s="22">
        <v>0</v>
      </c>
      <c r="W1654" s="22">
        <v>0</v>
      </c>
      <c r="X1654" s="22">
        <v>0</v>
      </c>
      <c r="Y1654" s="5" t="s">
        <v>2308</v>
      </c>
      <c r="Z1654" s="5" t="s">
        <v>2308</v>
      </c>
      <c r="AA1654" s="5" t="s">
        <v>2308</v>
      </c>
      <c r="AB1654" s="5" t="s">
        <v>2308</v>
      </c>
      <c r="AC1654" s="5" t="s">
        <v>5027</v>
      </c>
      <c r="AD1654" s="4"/>
    </row>
    <row r="1655" spans="1:30" ht="47.5" customHeight="1">
      <c r="A1655" s="12" t="s">
        <v>5037</v>
      </c>
      <c r="B1655" s="12" t="s">
        <v>5043</v>
      </c>
      <c r="C1655" s="4" t="s">
        <v>24</v>
      </c>
      <c r="D1655" s="4" t="s">
        <v>25</v>
      </c>
      <c r="E1655" s="4" t="s">
        <v>5065</v>
      </c>
      <c r="F1655" s="5" t="s">
        <v>2695</v>
      </c>
      <c r="G1655" s="4" t="s">
        <v>2308</v>
      </c>
      <c r="H1655" s="4" t="s">
        <v>531</v>
      </c>
      <c r="I1655" s="4">
        <v>1976</v>
      </c>
      <c r="J1655" s="5" t="s">
        <v>2308</v>
      </c>
      <c r="K1655" s="5" t="s">
        <v>2308</v>
      </c>
      <c r="L1655" s="5" t="s">
        <v>2308</v>
      </c>
      <c r="M1655" s="5" t="s">
        <v>2308</v>
      </c>
      <c r="N1655" s="5" t="s">
        <v>2308</v>
      </c>
      <c r="O1655" s="5" t="s">
        <v>2308</v>
      </c>
      <c r="P1655" s="5" t="s">
        <v>2308</v>
      </c>
      <c r="Q1655" s="5" t="s">
        <v>2308</v>
      </c>
      <c r="R1655" s="5" t="s">
        <v>2308</v>
      </c>
      <c r="S1655" s="5" t="s">
        <v>2308</v>
      </c>
      <c r="T1655" s="5" t="s">
        <v>2308</v>
      </c>
      <c r="U1655" s="5" t="s">
        <v>2308</v>
      </c>
      <c r="V1655" s="5" t="s">
        <v>2308</v>
      </c>
      <c r="W1655" s="5" t="s">
        <v>2308</v>
      </c>
      <c r="X1655" s="5" t="s">
        <v>2308</v>
      </c>
      <c r="Y1655" s="5" t="s">
        <v>2308</v>
      </c>
      <c r="Z1655" s="5" t="s">
        <v>2308</v>
      </c>
      <c r="AA1655" s="5" t="s">
        <v>2308</v>
      </c>
      <c r="AB1655" s="5" t="s">
        <v>2308</v>
      </c>
      <c r="AC1655" s="4"/>
      <c r="AD1655" s="4"/>
    </row>
    <row r="1656" spans="1:30" ht="47.5" customHeight="1">
      <c r="A1656" s="12" t="s">
        <v>5037</v>
      </c>
      <c r="B1656" s="12" t="s">
        <v>5044</v>
      </c>
      <c r="C1656" s="4" t="s">
        <v>24</v>
      </c>
      <c r="D1656" s="4" t="s">
        <v>26</v>
      </c>
      <c r="E1656" s="4" t="s">
        <v>5065</v>
      </c>
      <c r="F1656" s="5" t="s">
        <v>2695</v>
      </c>
      <c r="G1656" s="4" t="s">
        <v>2308</v>
      </c>
      <c r="H1656" s="4" t="s">
        <v>531</v>
      </c>
      <c r="I1656" s="4">
        <v>1976</v>
      </c>
      <c r="J1656" s="5" t="s">
        <v>2308</v>
      </c>
      <c r="K1656" s="5" t="s">
        <v>2308</v>
      </c>
      <c r="L1656" s="5" t="s">
        <v>2308</v>
      </c>
      <c r="M1656" s="5" t="s">
        <v>2308</v>
      </c>
      <c r="N1656" s="5" t="s">
        <v>2308</v>
      </c>
      <c r="O1656" s="5" t="s">
        <v>2308</v>
      </c>
      <c r="P1656" s="5" t="s">
        <v>2308</v>
      </c>
      <c r="Q1656" s="5" t="s">
        <v>2308</v>
      </c>
      <c r="R1656" s="5" t="s">
        <v>2308</v>
      </c>
      <c r="S1656" s="5" t="s">
        <v>2308</v>
      </c>
      <c r="T1656" s="5" t="s">
        <v>2308</v>
      </c>
      <c r="U1656" s="5" t="s">
        <v>2308</v>
      </c>
      <c r="V1656" s="5" t="s">
        <v>2308</v>
      </c>
      <c r="W1656" s="5" t="s">
        <v>2308</v>
      </c>
      <c r="X1656" s="5" t="s">
        <v>2308</v>
      </c>
      <c r="Y1656" s="5" t="s">
        <v>2308</v>
      </c>
      <c r="Z1656" s="4" t="s">
        <v>38</v>
      </c>
      <c r="AA1656" s="4" t="s">
        <v>68</v>
      </c>
      <c r="AB1656" s="5" t="s">
        <v>2308</v>
      </c>
      <c r="AC1656" s="4"/>
      <c r="AD1656" s="4"/>
    </row>
    <row r="1657" spans="1:30" ht="47.5" customHeight="1">
      <c r="A1657" s="12" t="s">
        <v>5037</v>
      </c>
      <c r="B1657" s="12" t="s">
        <v>5045</v>
      </c>
      <c r="C1657" s="4" t="s">
        <v>24</v>
      </c>
      <c r="D1657" s="4" t="s">
        <v>1267</v>
      </c>
      <c r="E1657" s="4" t="s">
        <v>116</v>
      </c>
      <c r="F1657" s="5" t="s">
        <v>2695</v>
      </c>
      <c r="G1657" s="4" t="s">
        <v>2308</v>
      </c>
      <c r="H1657" s="4" t="s">
        <v>531</v>
      </c>
      <c r="I1657" s="4">
        <v>1976</v>
      </c>
      <c r="J1657" s="5" t="s">
        <v>2308</v>
      </c>
      <c r="K1657" s="5" t="s">
        <v>2308</v>
      </c>
      <c r="L1657" s="5" t="s">
        <v>2308</v>
      </c>
      <c r="M1657" s="5" t="s">
        <v>2308</v>
      </c>
      <c r="N1657" s="5" t="s">
        <v>2308</v>
      </c>
      <c r="O1657" s="5" t="s">
        <v>2308</v>
      </c>
      <c r="P1657" s="5" t="s">
        <v>2308</v>
      </c>
      <c r="Q1657" s="5" t="s">
        <v>2308</v>
      </c>
      <c r="R1657" s="5" t="s">
        <v>2308</v>
      </c>
      <c r="S1657" s="5" t="s">
        <v>2308</v>
      </c>
      <c r="T1657" s="5" t="s">
        <v>2308</v>
      </c>
      <c r="U1657" s="5" t="s">
        <v>2308</v>
      </c>
      <c r="V1657" s="5" t="s">
        <v>2308</v>
      </c>
      <c r="W1657" s="5" t="s">
        <v>2308</v>
      </c>
      <c r="X1657" s="5" t="s">
        <v>2308</v>
      </c>
      <c r="Y1657" s="5" t="s">
        <v>2308</v>
      </c>
      <c r="Z1657" s="5" t="s">
        <v>2308</v>
      </c>
      <c r="AA1657" s="5" t="s">
        <v>2308</v>
      </c>
      <c r="AB1657" s="5" t="s">
        <v>2308</v>
      </c>
      <c r="AC1657" s="4"/>
      <c r="AD1657" s="4"/>
    </row>
    <row r="1658" spans="1:30" ht="47.5" customHeight="1">
      <c r="A1658" s="12" t="s">
        <v>5037</v>
      </c>
      <c r="B1658" s="12" t="s">
        <v>5046</v>
      </c>
      <c r="C1658" s="4" t="s">
        <v>24</v>
      </c>
      <c r="D1658" s="4" t="s">
        <v>25</v>
      </c>
      <c r="E1658" s="4" t="s">
        <v>5065</v>
      </c>
      <c r="F1658" s="5" t="s">
        <v>2695</v>
      </c>
      <c r="G1658" s="4" t="s">
        <v>2308</v>
      </c>
      <c r="H1658" s="4" t="s">
        <v>532</v>
      </c>
      <c r="I1658" s="4">
        <v>1980</v>
      </c>
      <c r="J1658" s="22">
        <v>0</v>
      </c>
      <c r="K1658" s="22">
        <v>0</v>
      </c>
      <c r="L1658" s="22">
        <v>0</v>
      </c>
      <c r="M1658" s="22">
        <v>0</v>
      </c>
      <c r="N1658" s="22">
        <v>0</v>
      </c>
      <c r="O1658" s="22">
        <v>0</v>
      </c>
      <c r="P1658" s="22">
        <v>0</v>
      </c>
      <c r="Q1658" s="22">
        <v>0</v>
      </c>
      <c r="R1658" s="22">
        <v>0</v>
      </c>
      <c r="S1658" s="22">
        <v>0</v>
      </c>
      <c r="T1658" s="22">
        <v>0</v>
      </c>
      <c r="U1658" s="22">
        <v>0</v>
      </c>
      <c r="V1658" s="22">
        <v>0</v>
      </c>
      <c r="W1658" s="22">
        <v>0</v>
      </c>
      <c r="X1658" s="22">
        <v>0</v>
      </c>
      <c r="Y1658" s="5" t="s">
        <v>2308</v>
      </c>
      <c r="Z1658" s="5" t="s">
        <v>2308</v>
      </c>
      <c r="AA1658" s="5" t="s">
        <v>2308</v>
      </c>
      <c r="AB1658" s="5" t="s">
        <v>2308</v>
      </c>
      <c r="AC1658" s="4"/>
      <c r="AD1658" s="4"/>
    </row>
    <row r="1659" spans="1:30" ht="47.5" customHeight="1">
      <c r="A1659" s="12" t="s">
        <v>5037</v>
      </c>
      <c r="B1659" s="12" t="s">
        <v>5047</v>
      </c>
      <c r="C1659" s="4" t="s">
        <v>24</v>
      </c>
      <c r="D1659" s="4" t="s">
        <v>26</v>
      </c>
      <c r="E1659" s="4" t="s">
        <v>5065</v>
      </c>
      <c r="F1659" s="5" t="s">
        <v>2695</v>
      </c>
      <c r="G1659" s="4" t="s">
        <v>2308</v>
      </c>
      <c r="H1659" s="4" t="s">
        <v>532</v>
      </c>
      <c r="I1659" s="4">
        <v>1980</v>
      </c>
      <c r="J1659" s="22">
        <v>0</v>
      </c>
      <c r="K1659" s="22">
        <v>0</v>
      </c>
      <c r="L1659" s="22">
        <v>0</v>
      </c>
      <c r="M1659" s="22">
        <v>0</v>
      </c>
      <c r="N1659" s="22">
        <v>0</v>
      </c>
      <c r="O1659" s="22">
        <v>0</v>
      </c>
      <c r="P1659" s="22">
        <v>0</v>
      </c>
      <c r="Q1659" s="22">
        <v>0</v>
      </c>
      <c r="R1659" s="22">
        <v>0</v>
      </c>
      <c r="S1659" s="22">
        <v>0</v>
      </c>
      <c r="T1659" s="22">
        <v>0</v>
      </c>
      <c r="U1659" s="22">
        <v>0</v>
      </c>
      <c r="V1659" s="22">
        <v>0</v>
      </c>
      <c r="W1659" s="22">
        <v>0</v>
      </c>
      <c r="X1659" s="22">
        <v>0</v>
      </c>
      <c r="Y1659" s="5" t="s">
        <v>2308</v>
      </c>
      <c r="Z1659" s="5" t="s">
        <v>2308</v>
      </c>
      <c r="AA1659" s="5" t="s">
        <v>2308</v>
      </c>
      <c r="AB1659" s="5" t="s">
        <v>2308</v>
      </c>
      <c r="AC1659" s="4"/>
      <c r="AD1659" s="4"/>
    </row>
    <row r="1660" spans="1:30" ht="47.5" customHeight="1">
      <c r="A1660" s="12" t="s">
        <v>5037</v>
      </c>
      <c r="B1660" s="12" t="s">
        <v>5048</v>
      </c>
      <c r="C1660" s="4" t="s">
        <v>24</v>
      </c>
      <c r="D1660" s="4" t="s">
        <v>1267</v>
      </c>
      <c r="E1660" s="4" t="s">
        <v>116</v>
      </c>
      <c r="F1660" s="5" t="s">
        <v>2695</v>
      </c>
      <c r="G1660" s="4" t="s">
        <v>2308</v>
      </c>
      <c r="H1660" s="4" t="s">
        <v>532</v>
      </c>
      <c r="I1660" s="4">
        <v>1980</v>
      </c>
      <c r="J1660" s="22">
        <v>0</v>
      </c>
      <c r="K1660" s="22">
        <v>0</v>
      </c>
      <c r="L1660" s="22">
        <v>0</v>
      </c>
      <c r="M1660" s="22">
        <v>0</v>
      </c>
      <c r="N1660" s="22">
        <v>0</v>
      </c>
      <c r="O1660" s="22">
        <v>0</v>
      </c>
      <c r="P1660" s="22">
        <v>0</v>
      </c>
      <c r="Q1660" s="22">
        <v>0</v>
      </c>
      <c r="R1660" s="22">
        <v>0</v>
      </c>
      <c r="S1660" s="22">
        <v>0</v>
      </c>
      <c r="T1660" s="22">
        <v>0</v>
      </c>
      <c r="U1660" s="22">
        <v>0</v>
      </c>
      <c r="V1660" s="22">
        <v>0</v>
      </c>
      <c r="W1660" s="22">
        <v>0</v>
      </c>
      <c r="X1660" s="22">
        <v>0</v>
      </c>
      <c r="Y1660" s="5" t="s">
        <v>2308</v>
      </c>
      <c r="Z1660" s="5" t="s">
        <v>2308</v>
      </c>
      <c r="AA1660" s="5" t="s">
        <v>2308</v>
      </c>
      <c r="AB1660" s="5" t="s">
        <v>2308</v>
      </c>
      <c r="AC1660" s="4"/>
      <c r="AD1660" s="4"/>
    </row>
    <row r="1661" spans="1:30" ht="38" customHeight="1">
      <c r="A1661" s="12" t="s">
        <v>5037</v>
      </c>
      <c r="B1661" s="12" t="s">
        <v>5049</v>
      </c>
      <c r="C1661" s="4" t="s">
        <v>24</v>
      </c>
      <c r="D1661" s="4" t="s">
        <v>2308</v>
      </c>
      <c r="E1661" s="4" t="s">
        <v>5065</v>
      </c>
      <c r="F1661" s="5" t="s">
        <v>2695</v>
      </c>
      <c r="G1661" s="4" t="s">
        <v>2308</v>
      </c>
      <c r="H1661" s="4" t="s">
        <v>531</v>
      </c>
      <c r="I1661" s="4">
        <v>2004</v>
      </c>
      <c r="J1661" s="5" t="s">
        <v>2308</v>
      </c>
      <c r="K1661" s="5" t="s">
        <v>2308</v>
      </c>
      <c r="L1661" s="5" t="s">
        <v>2308</v>
      </c>
      <c r="M1661" s="5" t="s">
        <v>2308</v>
      </c>
      <c r="N1661" s="5" t="s">
        <v>2308</v>
      </c>
      <c r="O1661" s="5" t="s">
        <v>2308</v>
      </c>
      <c r="P1661" s="5" t="s">
        <v>2308</v>
      </c>
      <c r="Q1661" s="5" t="s">
        <v>2308</v>
      </c>
      <c r="R1661" s="5" t="s">
        <v>2308</v>
      </c>
      <c r="S1661" s="5" t="s">
        <v>2308</v>
      </c>
      <c r="T1661" s="5" t="s">
        <v>2308</v>
      </c>
      <c r="U1661" s="5" t="s">
        <v>2308</v>
      </c>
      <c r="V1661" s="5" t="s">
        <v>2308</v>
      </c>
      <c r="W1661" s="5" t="s">
        <v>2308</v>
      </c>
      <c r="X1661" s="5" t="s">
        <v>2308</v>
      </c>
      <c r="Y1661" s="5" t="s">
        <v>2308</v>
      </c>
      <c r="Z1661" s="4" t="s">
        <v>38</v>
      </c>
      <c r="AA1661" s="4" t="s">
        <v>68</v>
      </c>
      <c r="AB1661" s="5" t="s">
        <v>2308</v>
      </c>
      <c r="AC1661" s="5" t="s">
        <v>5051</v>
      </c>
      <c r="AD1661" s="4"/>
    </row>
    <row r="1662" spans="1:30" ht="37" customHeight="1">
      <c r="A1662" s="12" t="s">
        <v>5037</v>
      </c>
      <c r="B1662" s="12" t="s">
        <v>5050</v>
      </c>
      <c r="C1662" s="4" t="s">
        <v>24</v>
      </c>
      <c r="D1662" s="4" t="s">
        <v>2308</v>
      </c>
      <c r="E1662" s="4" t="s">
        <v>116</v>
      </c>
      <c r="F1662" s="5" t="s">
        <v>2695</v>
      </c>
      <c r="G1662" s="4" t="s">
        <v>2308</v>
      </c>
      <c r="H1662" s="4" t="s">
        <v>531</v>
      </c>
      <c r="I1662" s="4">
        <v>2004</v>
      </c>
      <c r="J1662" s="5" t="s">
        <v>2308</v>
      </c>
      <c r="K1662" s="5" t="s">
        <v>2308</v>
      </c>
      <c r="L1662" s="5" t="s">
        <v>2308</v>
      </c>
      <c r="M1662" s="5" t="s">
        <v>2308</v>
      </c>
      <c r="N1662" s="5" t="s">
        <v>2308</v>
      </c>
      <c r="O1662" s="5" t="s">
        <v>2308</v>
      </c>
      <c r="P1662" s="5" t="s">
        <v>2308</v>
      </c>
      <c r="Q1662" s="5" t="s">
        <v>2308</v>
      </c>
      <c r="R1662" s="5" t="s">
        <v>2308</v>
      </c>
      <c r="S1662" s="5" t="s">
        <v>2308</v>
      </c>
      <c r="T1662" s="5" t="s">
        <v>2308</v>
      </c>
      <c r="U1662" s="5" t="s">
        <v>2308</v>
      </c>
      <c r="V1662" s="5" t="s">
        <v>2308</v>
      </c>
      <c r="W1662" s="5" t="s">
        <v>2308</v>
      </c>
      <c r="X1662" s="5" t="s">
        <v>2308</v>
      </c>
      <c r="Y1662" s="5" t="s">
        <v>2308</v>
      </c>
      <c r="Z1662" s="4" t="s">
        <v>38</v>
      </c>
      <c r="AA1662" s="4" t="s">
        <v>68</v>
      </c>
      <c r="AB1662" s="5" t="s">
        <v>2308</v>
      </c>
      <c r="AC1662" s="5" t="s">
        <v>5051</v>
      </c>
      <c r="AD1662" s="4"/>
    </row>
    <row r="1663" spans="1:30" ht="46" customHeight="1">
      <c r="A1663" s="12" t="s">
        <v>5054</v>
      </c>
      <c r="B1663" s="12" t="s">
        <v>5058</v>
      </c>
      <c r="C1663" s="4" t="s">
        <v>24</v>
      </c>
      <c r="D1663" s="4" t="s">
        <v>25</v>
      </c>
      <c r="E1663" s="4" t="s">
        <v>5065</v>
      </c>
      <c r="F1663" s="5" t="s">
        <v>2695</v>
      </c>
      <c r="G1663" s="4" t="s">
        <v>2308</v>
      </c>
      <c r="H1663" s="4" t="s">
        <v>531</v>
      </c>
      <c r="I1663" s="4"/>
      <c r="J1663" s="5" t="s">
        <v>2308</v>
      </c>
      <c r="K1663" s="5" t="s">
        <v>2308</v>
      </c>
      <c r="L1663" s="5" t="s">
        <v>2308</v>
      </c>
      <c r="M1663" s="5" t="s">
        <v>2308</v>
      </c>
      <c r="N1663" s="5" t="s">
        <v>2308</v>
      </c>
      <c r="O1663" s="5" t="s">
        <v>2308</v>
      </c>
      <c r="P1663" s="5" t="s">
        <v>2308</v>
      </c>
      <c r="Q1663" s="5" t="s">
        <v>2308</v>
      </c>
      <c r="R1663" s="5" t="s">
        <v>2308</v>
      </c>
      <c r="S1663" s="5" t="s">
        <v>2308</v>
      </c>
      <c r="T1663" s="5" t="s">
        <v>2308</v>
      </c>
      <c r="U1663" s="5" t="s">
        <v>2308</v>
      </c>
      <c r="V1663" s="5" t="s">
        <v>2308</v>
      </c>
      <c r="W1663" s="5" t="s">
        <v>2308</v>
      </c>
      <c r="X1663" s="5" t="s">
        <v>2308</v>
      </c>
      <c r="Y1663" s="5" t="s">
        <v>2308</v>
      </c>
      <c r="Z1663" s="5" t="s">
        <v>2308</v>
      </c>
      <c r="AA1663" s="5" t="s">
        <v>2308</v>
      </c>
      <c r="AB1663" s="5" t="s">
        <v>2308</v>
      </c>
      <c r="AC1663" s="4"/>
      <c r="AD1663" s="4"/>
    </row>
    <row r="1664" spans="1:30" ht="46" customHeight="1">
      <c r="A1664" s="12" t="s">
        <v>5054</v>
      </c>
      <c r="B1664" s="12" t="s">
        <v>5059</v>
      </c>
      <c r="C1664" s="4" t="s">
        <v>24</v>
      </c>
      <c r="D1664" s="4" t="s">
        <v>1267</v>
      </c>
      <c r="E1664" s="4" t="s">
        <v>116</v>
      </c>
      <c r="F1664" s="5" t="s">
        <v>2695</v>
      </c>
      <c r="G1664" s="4" t="s">
        <v>2308</v>
      </c>
      <c r="H1664" s="4" t="s">
        <v>531</v>
      </c>
      <c r="I1664" s="4"/>
      <c r="J1664" s="5" t="s">
        <v>2308</v>
      </c>
      <c r="K1664" s="5" t="s">
        <v>2308</v>
      </c>
      <c r="L1664" s="5" t="s">
        <v>2308</v>
      </c>
      <c r="M1664" s="5" t="s">
        <v>2308</v>
      </c>
      <c r="N1664" s="5" t="s">
        <v>2308</v>
      </c>
      <c r="O1664" s="5" t="s">
        <v>2308</v>
      </c>
      <c r="P1664" s="5" t="s">
        <v>2308</v>
      </c>
      <c r="Q1664" s="5" t="s">
        <v>2308</v>
      </c>
      <c r="R1664" s="5" t="s">
        <v>2308</v>
      </c>
      <c r="S1664" s="5" t="s">
        <v>2308</v>
      </c>
      <c r="T1664" s="5" t="s">
        <v>2308</v>
      </c>
      <c r="U1664" s="5" t="s">
        <v>2308</v>
      </c>
      <c r="V1664" s="5" t="s">
        <v>2308</v>
      </c>
      <c r="W1664" s="5" t="s">
        <v>2308</v>
      </c>
      <c r="X1664" s="5" t="s">
        <v>2308</v>
      </c>
      <c r="Y1664" s="5" t="s">
        <v>2308</v>
      </c>
      <c r="Z1664" s="5" t="s">
        <v>2308</v>
      </c>
      <c r="AA1664" s="5" t="s">
        <v>2308</v>
      </c>
      <c r="AB1664" s="5" t="s">
        <v>2308</v>
      </c>
      <c r="AC1664" s="4"/>
      <c r="AD1664" s="4"/>
    </row>
    <row r="1665" spans="1:30" ht="46" customHeight="1">
      <c r="A1665" s="12" t="s">
        <v>5054</v>
      </c>
      <c r="B1665" s="12" t="s">
        <v>5060</v>
      </c>
      <c r="C1665" s="4" t="s">
        <v>24</v>
      </c>
      <c r="D1665" s="4" t="s">
        <v>1151</v>
      </c>
      <c r="E1665" s="4" t="s">
        <v>5065</v>
      </c>
      <c r="F1665" s="5" t="s">
        <v>2695</v>
      </c>
      <c r="G1665" s="4" t="s">
        <v>2308</v>
      </c>
      <c r="H1665" s="4" t="s">
        <v>531</v>
      </c>
      <c r="I1665" s="4"/>
      <c r="J1665" s="5" t="s">
        <v>2308</v>
      </c>
      <c r="K1665" s="5" t="s">
        <v>2308</v>
      </c>
      <c r="L1665" s="5" t="s">
        <v>2308</v>
      </c>
      <c r="M1665" s="5" t="s">
        <v>2308</v>
      </c>
      <c r="N1665" s="5" t="s">
        <v>2308</v>
      </c>
      <c r="O1665" s="5" t="s">
        <v>2308</v>
      </c>
      <c r="P1665" s="5" t="s">
        <v>2308</v>
      </c>
      <c r="Q1665" s="5" t="s">
        <v>2308</v>
      </c>
      <c r="R1665" s="5" t="s">
        <v>2308</v>
      </c>
      <c r="S1665" s="5" t="s">
        <v>2308</v>
      </c>
      <c r="T1665" s="5" t="s">
        <v>2308</v>
      </c>
      <c r="U1665" s="5" t="s">
        <v>2308</v>
      </c>
      <c r="V1665" s="5" t="s">
        <v>2308</v>
      </c>
      <c r="W1665" s="5" t="s">
        <v>2308</v>
      </c>
      <c r="X1665" s="5" t="s">
        <v>2308</v>
      </c>
      <c r="Y1665" s="5" t="s">
        <v>2308</v>
      </c>
      <c r="Z1665" s="5" t="s">
        <v>2308</v>
      </c>
      <c r="AA1665" s="5" t="s">
        <v>2308</v>
      </c>
      <c r="AB1665" s="5" t="s">
        <v>2308</v>
      </c>
      <c r="AC1665" s="4" t="s">
        <v>5062</v>
      </c>
      <c r="AD1665" s="4"/>
    </row>
    <row r="1666" spans="1:30" ht="46" customHeight="1">
      <c r="A1666" s="12" t="s">
        <v>5054</v>
      </c>
      <c r="B1666" s="12" t="s">
        <v>5061</v>
      </c>
      <c r="C1666" s="4" t="s">
        <v>24</v>
      </c>
      <c r="D1666" s="4" t="s">
        <v>1151</v>
      </c>
      <c r="E1666" s="4" t="s">
        <v>116</v>
      </c>
      <c r="F1666" s="5" t="s">
        <v>2695</v>
      </c>
      <c r="G1666" s="4" t="s">
        <v>2308</v>
      </c>
      <c r="H1666" s="4" t="s">
        <v>531</v>
      </c>
      <c r="I1666" s="4"/>
      <c r="J1666" s="5" t="s">
        <v>2308</v>
      </c>
      <c r="K1666" s="5" t="s">
        <v>2308</v>
      </c>
      <c r="L1666" s="5" t="s">
        <v>2308</v>
      </c>
      <c r="M1666" s="5" t="s">
        <v>2308</v>
      </c>
      <c r="N1666" s="5" t="s">
        <v>2308</v>
      </c>
      <c r="O1666" s="5" t="s">
        <v>2308</v>
      </c>
      <c r="P1666" s="5" t="s">
        <v>2308</v>
      </c>
      <c r="Q1666" s="5" t="s">
        <v>2308</v>
      </c>
      <c r="R1666" s="5" t="s">
        <v>2308</v>
      </c>
      <c r="S1666" s="5" t="s">
        <v>2308</v>
      </c>
      <c r="T1666" s="5" t="s">
        <v>2308</v>
      </c>
      <c r="U1666" s="5" t="s">
        <v>2308</v>
      </c>
      <c r="V1666" s="5" t="s">
        <v>2308</v>
      </c>
      <c r="W1666" s="5" t="s">
        <v>2308</v>
      </c>
      <c r="X1666" s="5" t="s">
        <v>2308</v>
      </c>
      <c r="Y1666" s="5" t="s">
        <v>2308</v>
      </c>
      <c r="Z1666" s="5" t="s">
        <v>2308</v>
      </c>
      <c r="AA1666" s="5" t="s">
        <v>2308</v>
      </c>
      <c r="AB1666" s="5" t="s">
        <v>2308</v>
      </c>
      <c r="AC1666" s="4" t="s">
        <v>5062</v>
      </c>
      <c r="AD1666" s="4"/>
    </row>
  </sheetData>
  <phoneticPr fontId="6" type="noConversion"/>
  <conditionalFormatting sqref="AC238:AD238 AD241">
    <cfRule type="duplicateValues" dxfId="303" priority="197"/>
    <cfRule type="duplicateValues" dxfId="302" priority="198"/>
  </conditionalFormatting>
  <conditionalFormatting sqref="AD231 AD233">
    <cfRule type="duplicateValues" dxfId="301" priority="195"/>
    <cfRule type="duplicateValues" dxfId="300" priority="196"/>
  </conditionalFormatting>
  <conditionalFormatting sqref="AD237">
    <cfRule type="duplicateValues" dxfId="299" priority="191"/>
    <cfRule type="duplicateValues" dxfId="298" priority="192"/>
  </conditionalFormatting>
  <conditionalFormatting sqref="AC239:AD239">
    <cfRule type="duplicateValues" dxfId="297" priority="189"/>
    <cfRule type="duplicateValues" dxfId="296" priority="190"/>
  </conditionalFormatting>
  <conditionalFormatting sqref="AC240">
    <cfRule type="duplicateValues" dxfId="295" priority="179"/>
    <cfRule type="duplicateValues" dxfId="294" priority="180"/>
  </conditionalFormatting>
  <conditionalFormatting sqref="AC241">
    <cfRule type="duplicateValues" dxfId="293" priority="177"/>
    <cfRule type="duplicateValues" dxfId="292" priority="178"/>
  </conditionalFormatting>
  <conditionalFormatting sqref="AC242">
    <cfRule type="duplicateValues" dxfId="291" priority="175"/>
    <cfRule type="duplicateValues" dxfId="290" priority="176"/>
  </conditionalFormatting>
  <conditionalFormatting sqref="AD235:AD236">
    <cfRule type="duplicateValues" dxfId="289" priority="173"/>
    <cfRule type="duplicateValues" dxfId="288" priority="174"/>
  </conditionalFormatting>
  <conditionalFormatting sqref="AD240">
    <cfRule type="duplicateValues" dxfId="287" priority="171"/>
    <cfRule type="duplicateValues" dxfId="286" priority="172"/>
  </conditionalFormatting>
  <conditionalFormatting sqref="AD242">
    <cfRule type="duplicateValues" dxfId="285" priority="169"/>
    <cfRule type="duplicateValues" dxfId="284" priority="170"/>
  </conditionalFormatting>
  <conditionalFormatting sqref="A531 A521:A528">
    <cfRule type="duplicateValues" dxfId="283" priority="168"/>
  </conditionalFormatting>
  <conditionalFormatting sqref="A529">
    <cfRule type="duplicateValues" dxfId="282" priority="166"/>
  </conditionalFormatting>
  <conditionalFormatting sqref="A530">
    <cfRule type="duplicateValues" dxfId="281" priority="165"/>
  </conditionalFormatting>
  <conditionalFormatting sqref="A532">
    <cfRule type="duplicateValues" dxfId="280" priority="164"/>
  </conditionalFormatting>
  <conditionalFormatting sqref="B532">
    <cfRule type="duplicateValues" dxfId="279" priority="163"/>
  </conditionalFormatting>
  <conditionalFormatting sqref="A533">
    <cfRule type="duplicateValues" dxfId="278" priority="162"/>
  </conditionalFormatting>
  <conditionalFormatting sqref="B533">
    <cfRule type="duplicateValues" dxfId="277" priority="161"/>
  </conditionalFormatting>
  <conditionalFormatting sqref="A598:A600 A534:A537 A539:A544 A595:A596 A602:A604">
    <cfRule type="duplicateValues" dxfId="276" priority="199"/>
  </conditionalFormatting>
  <conditionalFormatting sqref="B598:B600 B534:B537 B539:B543 B595:B596 B602:B604">
    <cfRule type="duplicateValues" dxfId="275" priority="202"/>
  </conditionalFormatting>
  <conditionalFormatting sqref="A597">
    <cfRule type="duplicateValues" dxfId="274" priority="157"/>
  </conditionalFormatting>
  <conditionalFormatting sqref="B597">
    <cfRule type="duplicateValues" dxfId="273" priority="158"/>
  </conditionalFormatting>
  <conditionalFormatting sqref="AD234">
    <cfRule type="duplicateValues" dxfId="272" priority="155"/>
    <cfRule type="duplicateValues" dxfId="271" priority="156"/>
  </conditionalFormatting>
  <conditionalFormatting sqref="AD232">
    <cfRule type="duplicateValues" dxfId="270" priority="153"/>
    <cfRule type="duplicateValues" dxfId="269" priority="154"/>
  </conditionalFormatting>
  <conditionalFormatting sqref="B521:B531">
    <cfRule type="duplicateValues" dxfId="268" priority="205"/>
  </conditionalFormatting>
  <conditionalFormatting sqref="B544">
    <cfRule type="duplicateValues" dxfId="267" priority="212"/>
  </conditionalFormatting>
  <conditionalFormatting sqref="A544">
    <cfRule type="duplicateValues" dxfId="266" priority="213"/>
  </conditionalFormatting>
  <conditionalFormatting sqref="A545">
    <cfRule type="duplicateValues" dxfId="265" priority="220"/>
  </conditionalFormatting>
  <conditionalFormatting sqref="B545">
    <cfRule type="duplicateValues" dxfId="264" priority="221"/>
  </conditionalFormatting>
  <conditionalFormatting sqref="A546">
    <cfRule type="duplicateValues" dxfId="263" priority="228"/>
  </conditionalFormatting>
  <conditionalFormatting sqref="B546">
    <cfRule type="duplicateValues" dxfId="262" priority="229"/>
  </conditionalFormatting>
  <conditionalFormatting sqref="A547">
    <cfRule type="duplicateValues" dxfId="261" priority="236"/>
  </conditionalFormatting>
  <conditionalFormatting sqref="B547">
    <cfRule type="duplicateValues" dxfId="260" priority="237"/>
  </conditionalFormatting>
  <conditionalFormatting sqref="A548">
    <cfRule type="duplicateValues" dxfId="259" priority="244"/>
  </conditionalFormatting>
  <conditionalFormatting sqref="B548">
    <cfRule type="duplicateValues" dxfId="258" priority="245"/>
  </conditionalFormatting>
  <conditionalFormatting sqref="A549">
    <cfRule type="duplicateValues" dxfId="257" priority="252"/>
  </conditionalFormatting>
  <conditionalFormatting sqref="B549">
    <cfRule type="duplicateValues" dxfId="256" priority="253"/>
  </conditionalFormatting>
  <conditionalFormatting sqref="A550">
    <cfRule type="duplicateValues" dxfId="255" priority="260"/>
  </conditionalFormatting>
  <conditionalFormatting sqref="B550">
    <cfRule type="duplicateValues" dxfId="254" priority="261"/>
  </conditionalFormatting>
  <conditionalFormatting sqref="A551">
    <cfRule type="duplicateValues" dxfId="253" priority="268"/>
  </conditionalFormatting>
  <conditionalFormatting sqref="B551">
    <cfRule type="duplicateValues" dxfId="252" priority="269"/>
  </conditionalFormatting>
  <conditionalFormatting sqref="A552">
    <cfRule type="duplicateValues" dxfId="251" priority="276"/>
  </conditionalFormatting>
  <conditionalFormatting sqref="B552">
    <cfRule type="duplicateValues" dxfId="250" priority="277"/>
  </conditionalFormatting>
  <conditionalFormatting sqref="A553">
    <cfRule type="duplicateValues" dxfId="249" priority="284"/>
  </conditionalFormatting>
  <conditionalFormatting sqref="B553">
    <cfRule type="duplicateValues" dxfId="248" priority="285"/>
  </conditionalFormatting>
  <conditionalFormatting sqref="A554">
    <cfRule type="duplicateValues" dxfId="247" priority="292"/>
  </conditionalFormatting>
  <conditionalFormatting sqref="B554">
    <cfRule type="duplicateValues" dxfId="246" priority="293"/>
  </conditionalFormatting>
  <conditionalFormatting sqref="A555">
    <cfRule type="duplicateValues" dxfId="245" priority="300"/>
  </conditionalFormatting>
  <conditionalFormatting sqref="B555">
    <cfRule type="duplicateValues" dxfId="244" priority="301"/>
  </conditionalFormatting>
  <conditionalFormatting sqref="A556">
    <cfRule type="duplicateValues" dxfId="243" priority="308"/>
  </conditionalFormatting>
  <conditionalFormatting sqref="B556">
    <cfRule type="duplicateValues" dxfId="242" priority="309"/>
  </conditionalFormatting>
  <conditionalFormatting sqref="A557">
    <cfRule type="duplicateValues" dxfId="241" priority="316"/>
  </conditionalFormatting>
  <conditionalFormatting sqref="B557">
    <cfRule type="duplicateValues" dxfId="240" priority="317"/>
  </conditionalFormatting>
  <conditionalFormatting sqref="A558">
    <cfRule type="duplicateValues" dxfId="239" priority="324"/>
  </conditionalFormatting>
  <conditionalFormatting sqref="B558">
    <cfRule type="duplicateValues" dxfId="238" priority="325"/>
  </conditionalFormatting>
  <conditionalFormatting sqref="A559">
    <cfRule type="duplicateValues" dxfId="237" priority="332"/>
  </conditionalFormatting>
  <conditionalFormatting sqref="B559">
    <cfRule type="duplicateValues" dxfId="236" priority="333"/>
  </conditionalFormatting>
  <conditionalFormatting sqref="A560">
    <cfRule type="duplicateValues" dxfId="235" priority="340"/>
  </conditionalFormatting>
  <conditionalFormatting sqref="B560">
    <cfRule type="duplicateValues" dxfId="234" priority="341"/>
  </conditionalFormatting>
  <conditionalFormatting sqref="A561">
    <cfRule type="duplicateValues" dxfId="233" priority="348"/>
  </conditionalFormatting>
  <conditionalFormatting sqref="B561">
    <cfRule type="duplicateValues" dxfId="232" priority="349"/>
  </conditionalFormatting>
  <conditionalFormatting sqref="A562">
    <cfRule type="duplicateValues" dxfId="231" priority="356"/>
  </conditionalFormatting>
  <conditionalFormatting sqref="B562">
    <cfRule type="duplicateValues" dxfId="230" priority="357"/>
  </conditionalFormatting>
  <conditionalFormatting sqref="A563">
    <cfRule type="duplicateValues" dxfId="229" priority="364"/>
  </conditionalFormatting>
  <conditionalFormatting sqref="B563">
    <cfRule type="duplicateValues" dxfId="228" priority="365"/>
  </conditionalFormatting>
  <conditionalFormatting sqref="A564">
    <cfRule type="duplicateValues" dxfId="227" priority="372"/>
  </conditionalFormatting>
  <conditionalFormatting sqref="B564">
    <cfRule type="duplicateValues" dxfId="226" priority="373"/>
  </conditionalFormatting>
  <conditionalFormatting sqref="A565">
    <cfRule type="duplicateValues" dxfId="225" priority="380"/>
  </conditionalFormatting>
  <conditionalFormatting sqref="B565">
    <cfRule type="duplicateValues" dxfId="224" priority="381"/>
  </conditionalFormatting>
  <conditionalFormatting sqref="A566">
    <cfRule type="duplicateValues" dxfId="223" priority="388"/>
  </conditionalFormatting>
  <conditionalFormatting sqref="B566">
    <cfRule type="duplicateValues" dxfId="222" priority="389"/>
  </conditionalFormatting>
  <conditionalFormatting sqref="A567">
    <cfRule type="duplicateValues" dxfId="221" priority="396"/>
  </conditionalFormatting>
  <conditionalFormatting sqref="B567">
    <cfRule type="duplicateValues" dxfId="220" priority="397"/>
  </conditionalFormatting>
  <conditionalFormatting sqref="A568">
    <cfRule type="duplicateValues" dxfId="219" priority="404"/>
  </conditionalFormatting>
  <conditionalFormatting sqref="B568">
    <cfRule type="duplicateValues" dxfId="218" priority="405"/>
  </conditionalFormatting>
  <conditionalFormatting sqref="B569">
    <cfRule type="duplicateValues" dxfId="217" priority="414"/>
  </conditionalFormatting>
  <conditionalFormatting sqref="B570">
    <cfRule type="duplicateValues" dxfId="216" priority="421"/>
  </conditionalFormatting>
  <conditionalFormatting sqref="A570">
    <cfRule type="duplicateValues" dxfId="215" priority="422"/>
  </conditionalFormatting>
  <conditionalFormatting sqref="A569:A570">
    <cfRule type="duplicateValues" dxfId="214" priority="423"/>
  </conditionalFormatting>
  <conditionalFormatting sqref="A571">
    <cfRule type="duplicateValues" dxfId="213" priority="430"/>
  </conditionalFormatting>
  <conditionalFormatting sqref="B571">
    <cfRule type="duplicateValues" dxfId="212" priority="431"/>
  </conditionalFormatting>
  <conditionalFormatting sqref="A572">
    <cfRule type="duplicateValues" dxfId="211" priority="438"/>
  </conditionalFormatting>
  <conditionalFormatting sqref="B572">
    <cfRule type="duplicateValues" dxfId="210" priority="439"/>
  </conditionalFormatting>
  <conditionalFormatting sqref="A573">
    <cfRule type="duplicateValues" dxfId="209" priority="446"/>
  </conditionalFormatting>
  <conditionalFormatting sqref="B573">
    <cfRule type="duplicateValues" dxfId="208" priority="447"/>
  </conditionalFormatting>
  <conditionalFormatting sqref="A574">
    <cfRule type="duplicateValues" dxfId="207" priority="454"/>
  </conditionalFormatting>
  <conditionalFormatting sqref="B574">
    <cfRule type="duplicateValues" dxfId="206" priority="455"/>
  </conditionalFormatting>
  <conditionalFormatting sqref="A575">
    <cfRule type="duplicateValues" dxfId="205" priority="462"/>
  </conditionalFormatting>
  <conditionalFormatting sqref="B575">
    <cfRule type="duplicateValues" dxfId="204" priority="463"/>
  </conditionalFormatting>
  <conditionalFormatting sqref="A576">
    <cfRule type="duplicateValues" dxfId="203" priority="470"/>
  </conditionalFormatting>
  <conditionalFormatting sqref="B576">
    <cfRule type="duplicateValues" dxfId="202" priority="471"/>
  </conditionalFormatting>
  <conditionalFormatting sqref="A577">
    <cfRule type="duplicateValues" dxfId="201" priority="478"/>
  </conditionalFormatting>
  <conditionalFormatting sqref="B577">
    <cfRule type="duplicateValues" dxfId="200" priority="479"/>
  </conditionalFormatting>
  <conditionalFormatting sqref="A578">
    <cfRule type="duplicateValues" dxfId="199" priority="486"/>
  </conditionalFormatting>
  <conditionalFormatting sqref="B578">
    <cfRule type="duplicateValues" dxfId="198" priority="487"/>
  </conditionalFormatting>
  <conditionalFormatting sqref="A579">
    <cfRule type="duplicateValues" dxfId="197" priority="494"/>
  </conditionalFormatting>
  <conditionalFormatting sqref="B579">
    <cfRule type="duplicateValues" dxfId="196" priority="495"/>
  </conditionalFormatting>
  <conditionalFormatting sqref="A580">
    <cfRule type="duplicateValues" dxfId="195" priority="502"/>
  </conditionalFormatting>
  <conditionalFormatting sqref="B580">
    <cfRule type="duplicateValues" dxfId="194" priority="503"/>
  </conditionalFormatting>
  <conditionalFormatting sqref="A581">
    <cfRule type="duplicateValues" dxfId="193" priority="510"/>
  </conditionalFormatting>
  <conditionalFormatting sqref="B581">
    <cfRule type="duplicateValues" dxfId="192" priority="511"/>
  </conditionalFormatting>
  <conditionalFormatting sqref="A582">
    <cfRule type="duplicateValues" dxfId="191" priority="518"/>
  </conditionalFormatting>
  <conditionalFormatting sqref="B582">
    <cfRule type="duplicateValues" dxfId="190" priority="519"/>
  </conditionalFormatting>
  <conditionalFormatting sqref="A583">
    <cfRule type="duplicateValues" dxfId="189" priority="526"/>
  </conditionalFormatting>
  <conditionalFormatting sqref="B583">
    <cfRule type="duplicateValues" dxfId="188" priority="527"/>
  </conditionalFormatting>
  <conditionalFormatting sqref="A584">
    <cfRule type="duplicateValues" dxfId="187" priority="534"/>
  </conditionalFormatting>
  <conditionalFormatting sqref="B584">
    <cfRule type="duplicateValues" dxfId="186" priority="535"/>
  </conditionalFormatting>
  <conditionalFormatting sqref="A585">
    <cfRule type="duplicateValues" dxfId="185" priority="542"/>
  </conditionalFormatting>
  <conditionalFormatting sqref="B585">
    <cfRule type="duplicateValues" dxfId="184" priority="543"/>
  </conditionalFormatting>
  <conditionalFormatting sqref="A586">
    <cfRule type="duplicateValues" dxfId="183" priority="550"/>
  </conditionalFormatting>
  <conditionalFormatting sqref="B586">
    <cfRule type="duplicateValues" dxfId="182" priority="551"/>
  </conditionalFormatting>
  <conditionalFormatting sqref="A587">
    <cfRule type="duplicateValues" dxfId="181" priority="558"/>
  </conditionalFormatting>
  <conditionalFormatting sqref="B587">
    <cfRule type="duplicateValues" dxfId="180" priority="559"/>
  </conditionalFormatting>
  <conditionalFormatting sqref="A588">
    <cfRule type="duplicateValues" dxfId="179" priority="566"/>
  </conditionalFormatting>
  <conditionalFormatting sqref="B588">
    <cfRule type="duplicateValues" dxfId="178" priority="567"/>
  </conditionalFormatting>
  <conditionalFormatting sqref="A589">
    <cfRule type="duplicateValues" dxfId="177" priority="574"/>
  </conditionalFormatting>
  <conditionalFormatting sqref="B589">
    <cfRule type="duplicateValues" dxfId="176" priority="575"/>
  </conditionalFormatting>
  <conditionalFormatting sqref="A590">
    <cfRule type="duplicateValues" dxfId="175" priority="582"/>
  </conditionalFormatting>
  <conditionalFormatting sqref="B590">
    <cfRule type="duplicateValues" dxfId="174" priority="583"/>
  </conditionalFormatting>
  <conditionalFormatting sqref="A591">
    <cfRule type="duplicateValues" dxfId="173" priority="590"/>
  </conditionalFormatting>
  <conditionalFormatting sqref="B591">
    <cfRule type="duplicateValues" dxfId="172" priority="591"/>
  </conditionalFormatting>
  <conditionalFormatting sqref="A592">
    <cfRule type="duplicateValues" dxfId="171" priority="598"/>
  </conditionalFormatting>
  <conditionalFormatting sqref="B592">
    <cfRule type="duplicateValues" dxfId="170" priority="599"/>
  </conditionalFormatting>
  <conditionalFormatting sqref="A593">
    <cfRule type="duplicateValues" dxfId="169" priority="606"/>
  </conditionalFormatting>
  <conditionalFormatting sqref="B593">
    <cfRule type="duplicateValues" dxfId="168" priority="607"/>
  </conditionalFormatting>
  <conditionalFormatting sqref="A594">
    <cfRule type="duplicateValues" dxfId="167" priority="614"/>
  </conditionalFormatting>
  <conditionalFormatting sqref="B594">
    <cfRule type="duplicateValues" dxfId="166" priority="615"/>
  </conditionalFormatting>
  <conditionalFormatting sqref="A601">
    <cfRule type="duplicateValues" dxfId="165" priority="1"/>
  </conditionalFormatting>
  <conditionalFormatting sqref="B601">
    <cfRule type="duplicateValues" dxfId="164" priority="2"/>
  </conditionalFormatting>
  <dataValidations xWindow="814" yWindow="880" count="12">
    <dataValidation type="decimal" allowBlank="1" showInputMessage="1" showErrorMessage="1" prompt="Float" sqref="S661:W664 S512:Y512 S274:Y282 X661:Y663 J157:J442 J452:J505 S599:Y599 J511:J530 K537:N537 K535:N535 K1229:L1231 S666:X669 J597:J610 J612:J641 J644:J659 S670:Y672 Y666:Y667 J666:J778 S644:Y644 Y669 K666:P672 K599:P599 K512:P512 K274:P282 J661:P664 K644:P644 AB881:AB884 K881:Y885 J880:J885 J940:Y940 L961:Y961 J961 J968 L968:Y968 J1080:X1080 J1100:X1101 J1112:X1113 K1118:Y1118 K1122:Y1122 K1124:Y1124 K1126:Y1126 K1120:Y1120 J1118:J1127 J1134:Y1134 K1143:S1148 Y1161:AB1167 K1149:X1167 K1168:Y1175 K1176:AB1184 J1141:J1184 J1185:AB1196 J1213:AB1214 J1216:AB1216 J1232:X1233 J1234:Y1239 J1266:Y1266 J1268:Y1268 J1269:X1269 J1315:X1318 J1339:X1346 J1353:X1355 J1361:X1361 J1396:X1396 J1455:X1455 J1440:J1451 J1475:X1483 J1488:X1488 J1503:X1505 J1514:X1514 J1547:X1547 J1551:X1554 J1556:X1556 J1558:X1558 J1560:X1570 J1578:X1578 J1580:X1580 J1591:Y1591 J1583:Y1583 J1589:Y1589 J1594:Y1594 J1598:Y1608 J1613:Y1615 J1635:X1635 J1651:J1652 J1654:X1654 J1658:X1660 J1667:J1048576 J532:J595 J2:J150 K150:X150" xr:uid="{A31F19C7-1415-4EDA-80C2-FBCDB9D5E515}">
      <formula1>0</formula1>
      <formula2>9999</formula2>
    </dataValidation>
    <dataValidation type="decimal" allowBlank="1" showInputMessage="1" showErrorMessage="1" prompt="Float_x000a_" sqref="J611:N611 K645:P659 K283:P386 S624:Y639 K390:P390 K394:P442 P452:P471 O453:O471 N473:P505 N452:N471 J509:P509 K452:M505 K511:P511 K513:P530 S528:Y528 O532:P595 K532:N534 K536:N536 K538:N595 K597:P598 N673:P758 K612:N641 K600:N610 S618:S620 O600:P641 O762:P776 O777:Y777 O778:X778 S155:Y156 O779:Y804 O805:X806 O807:Y834 Y806 Q850:S853 V853:Y853 Q873:X876 AB859:AB884 N762:N885 O835:P876 J779:J885 K673:M885 AB835:AB852 O877:Y885 Q854:Y872 T851:Y852 U850:Y850 Q835:Y849 N947:N950 L947:L950 N952 N954:N957 N959 L959 L954:L957 L952 K961 K968 N1646 R1119 R1125 P1125 L1116:L1117 L1119 L1125 L1123 L1121 N1121 R1123 N1119 N1125 N1123 P1123 R1116:R1117 P1121 P1119 P1117 N1117 K1667:R1048576 P1127 N1127 R1127 L1127 K1141:K1142 K1208:R1214 K1216:R1216 L1286:M1286 K1406 M1406 Q1489:Q1494 L1646 P1646 K2:P149 K151:P273 J151:J156 Q231:R231" xr:uid="{527C52A9-DE02-4C4B-B7CB-B9D5B3B133F3}">
      <formula1>0</formula1>
      <formula2>999999999</formula2>
    </dataValidation>
    <dataValidation type="decimal" allowBlank="1" showInputMessage="1" showErrorMessage="1" prompt="Float_x000a__x000a_" sqref="Q390:T390 U244:W244 U241:W242 S645:T659 S621:S623 U114:U137 U14 U139:U147 S151:T154 S283:T386 S394:T442 S1667:T1048576 S452:T471 U489 U481 U483 U485 U487 S473:T505 Q509:T509 Q511:T511 S513:T527 S529:T530 S157:T273 S597:T598 S600:S617 U621 S673:T758 T600:T623 Q391:R508 Q510:R510 Q512:R776 T763:T776 S762:S776 T850 T853 T964 T1143:T1148 S1208:T1214 S1216:T1216 T1460:T1461 T1440:T1451 V1440:V1451 T1496 T1646 P1651:P1652 T1651:T1652 U157:X159 S532:T595 S2:T137 Q2:R149 T139:T149 S148:S149 Q151:R230 Q232:R389" xr:uid="{E87CC64E-AFD0-4CFE-8752-EBEEA36DDE6A}">
      <formula1>0</formula1>
      <formula2>9999999</formula2>
    </dataValidation>
    <dataValidation type="decimal" allowBlank="1" showInputMessage="1" showErrorMessage="1" prompt="Preferably an integer, but a float acceptible if reported as a mean. 1 = Fire returns each year." sqref="Y617:Y623 Y1667:Y1048576 Y231:Y273 Y157:Y228 Y668 Y2:Y13 Y283:Y442 Y455:Y463 Y465:Y467 Y488 Y490 Y473:Y486 Y504 Y492:Y498 Y509 Y511 Y513:Y520 Y522:Y524 Y527 Y529:Y532 Y534 Y536 Y538:Y539 Y541:Y595 Y597 Y600:Y605 Y607:Y615 Y664 Y645:Y659 Y778 Y673:Y776 Y805 Y873:Y876 Y916:Y917 Y452:Y453 Y1042 Y1044 Y1059:Y1066 Y1149 Y1151:Y1160 Z1213:AB1214 Y1208:Y1214 Y1216:AB1216 Y1231 Y1356 Y1487 Y1485 Y1506:Y1510 Y1546 Y1557 Y1618:Y1620 Y113:Y154" xr:uid="{DB0CF41C-C919-4286-B69F-EBFA0046E5D7}">
      <formula1>0</formula1>
      <formula2>50</formula2>
    </dataValidation>
    <dataValidation type="decimal" allowBlank="1" showInputMessage="1" showErrorMessage="1" prompt="Float between 0-100" sqref="U673:W758 X160:X273 V1117 U245:W273 S660:Y660 S387:W389 U2:U13 U529:X595 S139:S147 S138:U138 Y229:Y230 U243:W243 S391:T393 U283:W386 S472:V472 U390:W442 X283:X442 Y468:Y472 Y464 U452:V471 S531:T531 U473:U480 U482 U484 U486 U488 Y499:Y503 Y491 Y489 Y487 U490:U505 V473:V505 W452:X505 U509:X509 U511:X511 Y525:Y526 Y521 U513:X527 S596:Y596 Y533 Y535 Y537 Y540 U160:W240 Y598 S759:W761 U597:X598 Y616 Y606 U600:U620 U622:U623 V600:X623 U645:X659 X664 T762 S665:Y665 S640:Y643 N759:P761 J596:P596 J531:P531 N472:P472 K391:P393 K387:P389 J642:P643 J660:P660 J665:P665 X673:X776 U762:W776 U853 X964 Y454 X1099 V1127 U1667:X1048576 V1119 V1121 V1123 V1125 U1208:X1214 U1216:X1216 V1398:V1399 X1398:X1399 W1546 X1646 V1651:V1652 Y14:Y112 U15:U113 V2:X149 U148:U149 U151:X154" xr:uid="{5DC5E345-33BD-4912-A4A5-6D7F04404B6C}">
      <formula1>0</formula1>
      <formula2>100</formula2>
    </dataValidation>
    <dataValidation allowBlank="1" showInputMessage="1" showErrorMessage="1" prompt="The same as Case study ID in Record Info" sqref="A795:A812 B841:B842 B851:B852 A835:A853 A859:B864 B947:B960 H961 H968 B976:B980 A875:A1044 B1111:B1113 B1190:B1196 B1292:B1300 A1646:A1048576 A1304:B1307 B1320:B1331 A1311:A1338 B1368:B1369 B1422:B1430 B1440:B1451 B1501:B1502 B1557:B1558 B1568:B1576 B1585:B1588 A1537:A1598 A1600:A1603 A1605:A1615 A1617:A1621 A1059:A1300 A1347:A1505 A1:A778" xr:uid="{387E2297-561A-4F14-BD1D-F9A1DE5748D9}"/>
    <dataValidation allowBlank="1" showInputMessage="1" showErrorMessage="1" prompt="Case study ID + .1, .2 etc for each direct fire creation PCB associated with the case study" sqref="B795:B812 B835:B840 B843:B850 B853 B875:B946 B961:B975 B981:B1044 B1059:B1110 B1197:B1291 B1646:B1048576 B1311:B1319 B1332:B1338 B1347:B1367 B1370:B1421 B1431:B1439 B1452:B1500 B1503:B1505 B1537:B1556 B1559:B1567 B1577:B1584 B1589:B1598 B1600:B1603 B1605:B1615 B1617:B1621 B1114:B1189 B1:B778" xr:uid="{541A34AB-F85A-479B-8A8B-BFF4F6715F99}"/>
    <dataValidation type="textLength" allowBlank="1" showInputMessage="1" showErrorMessage="1" sqref="J510:P510 S510:Y510" xr:uid="{B64E2CAF-51AB-4E71-8254-0196FCA4F53F}">
      <formula1>3</formula1>
      <formula2>12</formula2>
    </dataValidation>
    <dataValidation allowBlank="1" showInputMessage="1" showErrorMessage="1" prompt="One of: Seasonal + (Consistent, Backloaded, Frontloaded) or Uniform" sqref="J443:P451 S506:X508 Y505:Y508 O452 J506:P508 S443:Y451" xr:uid="{36164FA2-CD0D-4BDA-B828-253511BDEEFD}"/>
    <dataValidation allowBlank="1" showInputMessage="1" showErrorMessage="1" prompt="Study ID + letter denoting case study: 1a, 1b, 1c etc." sqref="A779:B794 A1045:B1058 A1301:B1303 A1308:B1310 A1622:B1645" xr:uid="{92873730-7446-4072-8117-21B15C75E604}"/>
    <dataValidation type="whole" allowBlank="1" showInputMessage="1" showErrorMessage="1" prompt="Integer: leave blank if all study years" sqref="H532 I1366:I1399 I934:I1361 I1401:I1048576 I1:I932" xr:uid="{5EBC4806-BBE0-4ADE-AAB6-13628BA7F06B}">
      <formula1>1900</formula1>
      <formula2>2020</formula2>
    </dataValidation>
    <dataValidation allowBlank="1" showInputMessage="1" showErrorMessage="1" prompt="The same as Case study ID in Record Info_x000a_" sqref="A813:B834 A854:B858 A865:B874 A1339:B1346 A1506:B1514" xr:uid="{E657FD02-34C7-4230-B768-7D9280E4EC6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814" yWindow="880" count="9">
        <x14:dataValidation type="list" allowBlank="1" showInputMessage="1" showErrorMessage="1" xr:uid="{ECCA9A90-D197-45A3-A1EA-F193DA92835E}">
          <x14:formula1>
            <xm:f>'IGNORE Lookups'!$J$3:$J$7</xm:f>
          </x14:formula1>
          <xm:sqref>AB1114:AB1117 AB853:AB858 AB885 AB889:AB890 AB896:AB897 AB903:AB904 AB929:AB931 AB912:AB925 AB927 AB936:AB939 AB941:AB974 AB1041:AB1044 AB1059:AB1069 AB1083:AB1099 AB1102:AB1104 AB1111 AB1667:AB1048576 AB1128:AB1134 AB1136:AB1137 AB1149 AB1151:AB1160 AB1168:AB1175 AB1197:AB1212 AB1218:AB1231 AB1245 AB1248 AB1251:AB1253 AB1256:AB1265 AB1364:AB1365 AB1370:AB1380 AB1382:AB1395 AB1401:AB1411 AB1462:AB1463 AB1468:AB1474 AB1487 AB1485 AB1496 AB1525 AB1536 AB1546 AB1550 AB1557 AB1577 AB1584:AB1588 AB1590 AB1592 AB1646:AB1652 AB759:AB834 AB1:AB757</xm:sqref>
        </x14:dataValidation>
        <x14:dataValidation type="list" allowBlank="1" showInputMessage="1" showErrorMessage="1" prompt="Presence or absence" xr:uid="{51AE9654-4FD4-4F67-B9F6-46106A866744}">
          <x14:formula1>
            <xm:f>'IGNORE Lookups'!$H$2:$H$3</xm:f>
          </x14:formula1>
          <xm:sqref>F532 H962:H967 H533:H960 H969:H1048576 H1:H531</xm:sqref>
        </x14:dataValidation>
        <x14:dataValidation type="list" allowBlank="1" showInputMessage="1" showErrorMessage="1" xr:uid="{7B5A3D93-0494-4CE3-A78C-28D2979F8317}">
          <x14:formula1>
            <xm:f>'IGNORE Lookups'!$G$3:$G$10</xm:f>
          </x14:formula1>
          <xm:sqref>G928 F935:G935 E532 G936 F1:F287 F1120 F1122 F1124 F1126 G1128:G1129 F1128:F1130 G1139:G1141 F1132:F1142 F1149:F1168 G1189:G1207 F1170:F1207 J1197:Y1212 F1208:G1226 J1215:AB1215 J1217:AB1217 V1663:AA1666 F1229:G1232 Y1232:AB1233 Y1218:Y1230 J1245:Y1248 Z1234:AB1241 J1240:Y1241 J1242:AB1244 Z1246:AB1247 J1249:AB1250 Z1254:AB1255 J1251:Y1265 J1267:AB1267 Z1266:AB1266 F1234:F1267 Y1269:AB1269 Z1268:AB1268 J1270:Y1281 AB1270:AB1286 N1282:AA1286 G1282:G1287 J1282:K1288 L1287:AB1288 L1282:M1285 J1289:Y1296 Y1313:AA1318 J1297:AA1312 G1289:G1333 J1313:X1314 G1335:G1336 Z1335:AA1346 J1319:Y1338 AB1289:AB1346 Z1319:AA1331 G1339:G1346 Y1339:Y1346 F1269:F1346 F1353:F1355 G1397:G1399 F1362:F1381 F1384:F1393 F1396:F1397 F1400:F1439 F1455:F1457 Z1485:AA1485 J1484:X1487 Y1486:AA1486 Z1487:AA1487 Y1484:AA1484 R1489:AB1494 J1489:P1494 F1468:F1495 J1497:AB1502 J1495:AB1495 J1496:S1496 U1496:Y1496 F1497:F1500 Y1503:AB1505 Y1511:AB1514 J1506:X1513 Z1506:AB1510 Z1526:AB1535 J1515:Y1545 Z1537:AB1545 Z1515:AB1524 J1546:V1546 Y1547:AB1547 X1546 J1550:Y1550 J1548:AB1549 Y1551:AB1554 F1515:F1554 F1556 J1555:AB1555 Y1556:AB1556 Z1557:AA1557 Y1558:AB1558 J1557:X1557 Y1560:AB1570 J1559:AB1559 J1571:AB1576 F1560:F1578 J1581:AB1581 Y1578:AB1578 Y1580:AB1580 J1579:AB1579 J1577:Y1577 F1581 G1582 Z1591:AB1591 J1592:Y1592 Z1582:AB1583 Z1589:AB1589 J1582:Y1582 J1584:Y1588 J1590:Y1590 F1583:F1592 J1593:AB1593 Z1594:AB1594 G1593:G1620 J1595:AB1615 J1618:X1620 Z1616:AB1620 J1616:Y1617 J1621:AB1645 F1594:F1645 U1646:W1646 K1646:K1647 M1646:M1647 O1646:O1647 Q1646:S1646 P1647:X1647 Y1646:Y1647 J1647 L1647 N1647 J1648:Y1650 K1651:O1652 Q1651:S1652 U1651:U1666 W1651:Y1652 Z1657:AA1660 V1653:Y1662 AB1653:AB1666 Z1653:AA1655 F1647:F1048576 J1653:T1666 J1218:J1231 N1218:X1231 K1218:M1228 M1229:M1231 G651:G659 F533:F650 F936:F1116 F1118 G288:G291 G148 F292:F531 G388:G389 G392 G444 G446 G448 G450 G452:G453 G455 G468:G471 F660:F934</xm:sqref>
        </x14:dataValidation>
        <x14:dataValidation type="list" allowBlank="1" showInputMessage="1" showErrorMessage="1" xr:uid="{B0B206BA-211E-4F88-A8DF-B013E07BBF3B}">
          <x14:formula1>
            <xm:f>'IGNORE Lookups'!$I$2:$I$14</xm:f>
          </x14:formula1>
          <xm:sqref>Z927:AA927 Z929:AA931 Z936:AA939 Z941:AA974 Z1041:AA1044 Z1059:AA1069 Z1083:AA1099 Z1102:AA1104 Z1111:AA1111 Z1667:AA1048576 Z1128:AA1134 Z1136:AA1137 Z1149:AA1149 Z1151:AA1160 Z1168:AA1175 Z1197:AA1212 Z1218:AA1231 Z1245:AA1245 Z1248:AA1248 Z1251:AA1253 Z1256:AA1265 Z1270:AA1281 Z1289:AA1296 Z1332:AA1334 Z1356:AA1361 Z1364:AA1365 Z1370:AA1380 Z1382:AA1395 Z1401:AA1411 Z1462:AA1463 Z1468:AA1474 Z1496:AA1496 Z1525:AA1525 Z1536:AA1536 Z1546:AA1546 Z1550:AA1550 Z1577:AA1577 Z1584:AA1588 Z1590:AA1590 Z1592:AA1592 Z1646:AA1652 Z1656:AA1656 Z1661:AA1662 Z1114:AA1117 AB758 Z1:AA925</xm:sqref>
        </x14:dataValidation>
        <x14:dataValidation type="list" allowBlank="1" showInputMessage="1" showErrorMessage="1" xr:uid="{02AF6C79-A4FD-4BC9-BA9A-EA4BBBABA122}">
          <x14:formula1>
            <xm:f>'IGNORE Lookups'!$G$3:$G$11</xm:f>
          </x14:formula1>
          <xm:sqref>AB886:AB888 AB898:AB902 AB905:AB911 J886:Y912 AB891:AB895 Y918:Y939 Y913:Y915 Z933:AD933 AD934 G929:G934 G1647:G1048576 I933 Z928:AB928 Z926:AB926 Z934:AB935 Z932:AB932 Z940:AB940 J913:X939 J941:Y946 T962:T963 J951:Y951 J960:Y960 J958:Y958 J953:Y953 M952 M954:M957 M959 M947:M950 J947:K950 J952:K952 J954:K957 J959:K959 O947:Y950 O952:Y952 O954:Y957 O959:Y959 Y962:Y967 U962:W967 T965:T967 J962:S967 X962:X963 X965:X967 Z975:AB1040 J969:Y1041 J1042:X1042 J1043:Y1043 Y1045:AB1058 Y1067:Y1069 J1044:X1069 J1070:AB1079 J1081:X1081 Y1080:AB1081 Z1082:AB1082 J1082:Y1098 J1099:W1099 Y1099:Y1113 Z1100:AB1101 J1102:X1111 Z1112:AB1113 Z1105:AB1110 Z1126:AB1126 W1125:AB1125 W1116:Y1117 K1119 K1121 K1123 K1125 K1127 M1119 M1121 M1123 M1125 M1127 O1119 O1121 O1123 O1125 O1127 Q1119 Q1123 Q1125 Q1127 S1116:U1117 W1119:AB1119 W1121:AB1121 W1123:AB1123 Q1116:Q1117 G937:G1127 V1116 M1116:M1117 S1119:U1119 Q1121:U1121 S1123:U1123 S1125:U1125 S1127:U1127 W1127:AB1127 Z1118:AB1118 Z1120:AB1120 Z1122:AB1122 Z1124:AB1124 G660:G927 G1130 G1142 F1169:G1169 G1149:G1168 G1170:G1188 G1208:G1226 G1251:G1267 G1269:G1281 G1288 G1334 G1337:G1338 G1347:G1352 G1356:G1361 J1466:Y1474 Y1475:AB1483 G1406:G1451 AB1486 Y1488:AB1488 AB1484 G1460:G1498 F1555 F1557:F1559 G1546:G1580 G1621:G1645 J1114:Y1115 P1116 O1116:O1117 N1116 J1116:K1117 F288:F291 G149:G387 G390:G391 G454 G393:G443 G445 G447 G449 G451 G456:G467 G1:G147 G472:G650</xm:sqref>
        </x14:dataValidation>
        <x14:dataValidation type="list" allowBlank="1" showInputMessage="1" showErrorMessage="1" prompt="One of: Human Deliberate, Human Accidental, Human Escaped, Lightning, Other Natural, Unknown" xr:uid="{343137CA-AF82-4E65-8843-5C96DC32839D}">
          <x14:formula1>
            <xm:f>'IGNORE Lookups'!$E$3:$E$9</xm:f>
          </x14:formula1>
          <xm:sqref>E1121:F1121 E1123:F1123 E1125:F1125 E1127:F1127 E1119:F1119 E1143:G1148 D1503:G1503 F1504:G1505 D1646:G1646 C1:C1048576</xm:sqref>
        </x14:dataValidation>
        <x14:dataValidation type="list" allowBlank="1" showInputMessage="1" showErrorMessage="1" xr:uid="{8DAC2CCB-0CED-4342-96A9-57BE810E69E7}">
          <x14:formula1>
            <xm:f>'IGNORE Lookups'!$C$23:$C$43</xm:f>
          </x14:formula1>
          <xm:sqref>E1647:E1048576 E1120 E1122 E1124 E1126 E1128:E1130 E1132:E1142 F1227:G1228 E1149:E1232 E1234:E1267 E1269:E1346 E1353:E1355 E1362:E1439 E1461:E1481 E1484:E1495 E1497:E1502 E1504:E1505 E1515:E1578 E1581 E1583:E1592 E1594:E1615 E1621:E1645 D532 F651:F659 E533:E1118 F1117 E1452:E1458 E1:E531</xm:sqref>
        </x14:dataValidation>
        <x14:dataValidation type="list" allowBlank="1" showInputMessage="1" showErrorMessage="1" prompt="Existing categories include: crop field preparation, crop residue removal, forest clearance, pasture maintenance, habitat maintenance, pyrome management, pest mangagement, arson._x000a_" xr:uid="{B1F454AF-A4C8-4075-A432-118E4FA20089}">
          <x14:formula1>
            <xm:f>'IGNORE Lookups'!$F$3:$F$27</xm:f>
          </x14:formula1>
          <xm:sqref>Z1138:AB1138 Y1216:AB1216 Y1213:AB1214 J1190:AB1196 Y1186:AB1189 J1176:AB1179 J1181:AB1185 Y1180:AB1180 J1168:Y1175 Y1161:AB1167 J1151:X1160 J1149:X1149 Y1150:AB1150 U1143:AB1148 J1143:S1148 J1139:AB1142 E1131:G1131 J1135:Y1138 Z1135:AB1135 J1128:Y1133 G1132:G1138</xm:sqref>
        </x14:dataValidation>
        <x14:dataValidation type="list" allowBlank="1" showInputMessage="1" showErrorMessage="1" xr:uid="{BFAD2F1A-2C46-445C-AF79-D660247AA46E}">
          <x14:formula1>
            <xm:f>'IGNORE Lookups'!$F$3:$F$27</xm:f>
          </x14:formula1>
          <xm:sqref>E1268:G1268 G1234:G1250 J1366:AB1369 I1362:Y1365 Z1362:AB1363 E1356:F1361 Y1361:AB1361 J1356:AB1360 J1347:AB1352 G1353:G1355 Y1353:AB1355 E1347:F1352 E1233:G1233 Z1381:AB1381 F1394:F1395 F1382:F1383 J1370:Y1395 Y1396:AB1396 G1362:G1396 J1397:AB1397 F1398:F1399 J1398:U1399 J1401:J1439 Y1398:AB1399 G1400:G1405 X1400:AB1400 I1400:V1400 M1401:M1405 N1401:V1406 X1401:Y1411 K1401:K1405 AC1416 AC1414 AC1423 AC1425 AC1432 AC1434 T1407:V1439 G1452:G1459 F1461:F1467 F1458 T1452:T1459 E1459:F1460 Z1464:AB1467 M1462:T1465 X1462:Y1465 U1452:W1465 E1440:E1451 M1407:S1461 W1398:W1451 K1407:K1451 J1452:L1465 X1412:AB1461 U1440:U1451 L1401:L1451 E1482:E1483 E1496:F1496 G1499:G1502 F1501:F1502 D1647:D1048576 E1506:G1514 G1515:G1545 E1579:F1580 E1593:F1593 E1582:F1582 G1581 G1583:G1592 E1616:E1620 D1:D531 D533:D1502 F1440:F1454 D1504:D1645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7A145-8E7A-4456-B100-3F7263D11D7D}">
  <dimension ref="A1:AD1805"/>
  <sheetViews>
    <sheetView zoomScale="40" zoomScaleNormal="40" workbookViewId="0">
      <pane ySplit="1" topLeftCell="A214" activePane="bottomLeft" state="frozen"/>
      <selection pane="bottomLeft" activeCell="E218" sqref="E215:E218"/>
    </sheetView>
  </sheetViews>
  <sheetFormatPr defaultRowHeight="14.5"/>
  <cols>
    <col min="1" max="1" width="18.36328125" customWidth="1"/>
    <col min="2" max="2" width="20.54296875" customWidth="1"/>
    <col min="3" max="3" width="20.453125" customWidth="1"/>
    <col min="4" max="4" width="27" customWidth="1"/>
    <col min="5" max="5" width="26.90625" customWidth="1"/>
    <col min="6" max="7" width="25.7265625" customWidth="1"/>
    <col min="8" max="9" width="21" customWidth="1"/>
    <col min="10" max="10" width="23" style="15" customWidth="1"/>
    <col min="11" max="11" width="23" style="107" customWidth="1"/>
    <col min="12" max="12" width="21.81640625" style="15" customWidth="1"/>
    <col min="13" max="13" width="19.36328125" style="15" customWidth="1"/>
    <col min="14" max="18" width="18.6328125" style="15" customWidth="1"/>
    <col min="19" max="19" width="19.90625" style="15" customWidth="1"/>
    <col min="20" max="21" width="21.81640625" style="15" customWidth="1"/>
    <col min="22" max="22" width="23" style="15" customWidth="1"/>
    <col min="23" max="23" width="21.1796875" style="15" customWidth="1"/>
    <col min="24" max="24" width="22.54296875" customWidth="1"/>
    <col min="25" max="25" width="23.26953125" customWidth="1"/>
    <col min="26" max="26" width="29.26953125" customWidth="1"/>
    <col min="27" max="27" width="41.6328125" customWidth="1"/>
    <col min="28" max="28" width="48" customWidth="1"/>
  </cols>
  <sheetData>
    <row r="1" spans="1:28" ht="72.5" customHeight="1" thickBot="1">
      <c r="A1" s="90" t="s">
        <v>2296</v>
      </c>
      <c r="B1" s="16" t="s">
        <v>1153</v>
      </c>
      <c r="C1" s="2" t="s">
        <v>7</v>
      </c>
      <c r="D1" s="2" t="s">
        <v>8</v>
      </c>
      <c r="E1" s="2" t="s">
        <v>2317</v>
      </c>
      <c r="F1" s="16" t="s">
        <v>2473</v>
      </c>
      <c r="G1" s="16" t="s">
        <v>2483</v>
      </c>
      <c r="H1" s="16" t="s">
        <v>530</v>
      </c>
      <c r="I1" s="2" t="s">
        <v>174</v>
      </c>
      <c r="J1" s="76" t="s">
        <v>2395</v>
      </c>
      <c r="K1" s="114" t="s">
        <v>1272</v>
      </c>
      <c r="L1" s="76" t="s">
        <v>2389</v>
      </c>
      <c r="M1" s="76" t="s">
        <v>1271</v>
      </c>
      <c r="N1" s="76" t="s">
        <v>2388</v>
      </c>
      <c r="O1" s="76" t="s">
        <v>1270</v>
      </c>
      <c r="P1" s="76" t="s">
        <v>2390</v>
      </c>
      <c r="Q1" s="76" t="s">
        <v>2471</v>
      </c>
      <c r="R1" s="76" t="s">
        <v>2472</v>
      </c>
      <c r="S1" s="76" t="s">
        <v>1249</v>
      </c>
      <c r="T1" s="76" t="s">
        <v>2392</v>
      </c>
      <c r="U1" s="76" t="s">
        <v>1488</v>
      </c>
      <c r="V1" s="76" t="s">
        <v>2393</v>
      </c>
      <c r="W1" s="76" t="s">
        <v>36</v>
      </c>
      <c r="X1" s="2" t="s">
        <v>9</v>
      </c>
      <c r="Y1" s="2" t="s">
        <v>10</v>
      </c>
      <c r="Z1" s="18" t="s">
        <v>37</v>
      </c>
      <c r="AA1" s="18" t="s">
        <v>0</v>
      </c>
      <c r="AB1" s="17" t="s">
        <v>117</v>
      </c>
    </row>
    <row r="2" spans="1:28" ht="33" customHeight="1">
      <c r="A2" s="7" t="str">
        <f>'Reported burning'!A2</f>
        <v>1a</v>
      </c>
      <c r="B2" s="7" t="str">
        <f>'Reported burning'!B2</f>
        <v>1a.1</v>
      </c>
      <c r="C2" s="7" t="str">
        <f>'Reported burning'!C2</f>
        <v>Human, deliberate</v>
      </c>
      <c r="D2" s="7" t="str">
        <f>'Reported burning'!D2</f>
        <v>Pasture renewal</v>
      </c>
      <c r="E2" s="7" t="str">
        <f>'Reported burning'!E2</f>
        <v>Cattle, Extensive</v>
      </c>
      <c r="F2" s="7" t="str">
        <f>'Reported burning'!F2</f>
        <v>Pasture</v>
      </c>
      <c r="G2" s="7">
        <f>'Reported burning'!G2</f>
        <v>0</v>
      </c>
      <c r="H2" s="7" t="str">
        <f>'Reported burning'!H2</f>
        <v>Presence</v>
      </c>
      <c r="I2" s="33"/>
      <c r="J2" s="109" t="s">
        <v>2308</v>
      </c>
      <c r="K2" s="115" t="s">
        <v>2308</v>
      </c>
      <c r="L2" s="109" t="s">
        <v>2308</v>
      </c>
      <c r="M2" s="109" t="s">
        <v>2308</v>
      </c>
      <c r="N2" s="109" t="s">
        <v>2308</v>
      </c>
      <c r="O2" s="109" t="s">
        <v>2308</v>
      </c>
      <c r="P2" s="109" t="s">
        <v>2308</v>
      </c>
      <c r="Q2" s="109" t="s">
        <v>2308</v>
      </c>
      <c r="R2" s="109" t="s">
        <v>2308</v>
      </c>
      <c r="S2" s="109" t="s">
        <v>2308</v>
      </c>
      <c r="T2" s="109" t="s">
        <v>2308</v>
      </c>
      <c r="U2" s="109" t="s">
        <v>2308</v>
      </c>
      <c r="V2" s="109" t="s">
        <v>2308</v>
      </c>
      <c r="W2" s="109" t="s">
        <v>2308</v>
      </c>
      <c r="X2" s="33" t="s">
        <v>34</v>
      </c>
      <c r="Y2" s="33" t="s">
        <v>35</v>
      </c>
      <c r="Z2" s="33" t="s">
        <v>64</v>
      </c>
      <c r="AA2" s="33"/>
      <c r="AB2" s="33"/>
    </row>
    <row r="3" spans="1:28" ht="55.5" customHeight="1">
      <c r="A3" s="7" t="str">
        <f>'Reported burning'!A3</f>
        <v>1a</v>
      </c>
      <c r="B3" s="7" t="str">
        <f>'Reported burning'!B3</f>
        <v>1a.2</v>
      </c>
      <c r="C3" s="7" t="str">
        <f>'Reported burning'!C3</f>
        <v>Human, deliberate</v>
      </c>
      <c r="D3" s="7" t="str">
        <f>'Reported burning'!D3</f>
        <v>Pest management</v>
      </c>
      <c r="E3" s="7" t="str">
        <f>'Reported burning'!E3</f>
        <v>Cattle, Extensive</v>
      </c>
      <c r="F3" s="7" t="str">
        <f>'Reported burning'!F3</f>
        <v>Pasture</v>
      </c>
      <c r="G3" s="7">
        <f>'Reported burning'!G3</f>
        <v>0</v>
      </c>
      <c r="H3" s="7" t="str">
        <f>'Reported burning'!H3</f>
        <v>Presence</v>
      </c>
      <c r="I3" s="4"/>
      <c r="J3" s="84" t="s">
        <v>2308</v>
      </c>
      <c r="K3" s="116" t="s">
        <v>2308</v>
      </c>
      <c r="L3" s="84" t="s">
        <v>2308</v>
      </c>
      <c r="M3" s="84" t="s">
        <v>2308</v>
      </c>
      <c r="N3" s="84" t="s">
        <v>2308</v>
      </c>
      <c r="O3" s="84" t="s">
        <v>2308</v>
      </c>
      <c r="P3" s="84" t="s">
        <v>2308</v>
      </c>
      <c r="Q3" s="109" t="s">
        <v>2308</v>
      </c>
      <c r="R3" s="109" t="s">
        <v>2308</v>
      </c>
      <c r="S3" s="84" t="s">
        <v>2308</v>
      </c>
      <c r="T3" s="84" t="s">
        <v>2308</v>
      </c>
      <c r="U3" s="84" t="s">
        <v>2308</v>
      </c>
      <c r="V3" s="84" t="s">
        <v>2308</v>
      </c>
      <c r="W3" s="84" t="s">
        <v>2308</v>
      </c>
      <c r="X3" s="4" t="s">
        <v>38</v>
      </c>
      <c r="Y3" s="4" t="s">
        <v>34</v>
      </c>
      <c r="Z3" s="4" t="s">
        <v>64</v>
      </c>
      <c r="AA3" s="5" t="s">
        <v>39</v>
      </c>
      <c r="AB3" s="4"/>
    </row>
    <row r="4" spans="1:28" ht="43.5" customHeight="1">
      <c r="A4" s="7" t="str">
        <f>'Reported burning'!A4</f>
        <v>1a</v>
      </c>
      <c r="B4" s="7" t="str">
        <f>'Reported burning'!B4</f>
        <v>1a.3</v>
      </c>
      <c r="C4" s="7" t="str">
        <f>'Reported burning'!C4</f>
        <v>Human, deliberate</v>
      </c>
      <c r="D4" s="7" t="str">
        <f>'Reported burning'!D4</f>
        <v>Crop field preparation</v>
      </c>
      <c r="E4" s="7" t="str">
        <f>'Reported burning'!E4</f>
        <v>Cropping, Swidden</v>
      </c>
      <c r="F4" s="7" t="str">
        <f>'Reported burning'!F4</f>
        <v>Secondary Vegetation</v>
      </c>
      <c r="G4" s="7">
        <f>'Reported burning'!G4</f>
        <v>0</v>
      </c>
      <c r="H4" s="7" t="str">
        <f>'Reported burning'!H4</f>
        <v>Presence</v>
      </c>
      <c r="I4" s="23"/>
      <c r="J4" s="84" t="s">
        <v>2308</v>
      </c>
      <c r="K4" s="116" t="s">
        <v>2308</v>
      </c>
      <c r="L4" s="84" t="s">
        <v>2308</v>
      </c>
      <c r="M4" s="84" t="s">
        <v>2308</v>
      </c>
      <c r="N4" s="84" t="s">
        <v>2308</v>
      </c>
      <c r="O4" s="84" t="s">
        <v>2308</v>
      </c>
      <c r="P4" s="84" t="s">
        <v>2308</v>
      </c>
      <c r="Q4" s="109" t="s">
        <v>2308</v>
      </c>
      <c r="R4" s="109" t="s">
        <v>2308</v>
      </c>
      <c r="S4" s="84" t="s">
        <v>2308</v>
      </c>
      <c r="T4" s="84" t="s">
        <v>2308</v>
      </c>
      <c r="U4" s="84" t="s">
        <v>2308</v>
      </c>
      <c r="V4" s="84" t="s">
        <v>2308</v>
      </c>
      <c r="W4" s="84" t="s">
        <v>2308</v>
      </c>
      <c r="X4" s="23" t="s">
        <v>68</v>
      </c>
      <c r="Y4" s="23" t="s">
        <v>35</v>
      </c>
      <c r="Z4" s="23" t="s">
        <v>64</v>
      </c>
      <c r="AA4" s="23"/>
      <c r="AB4" s="23"/>
    </row>
    <row r="5" spans="1:28" ht="44.5" customHeight="1">
      <c r="A5" s="7" t="str">
        <f>'Reported burning'!A5</f>
        <v>1a</v>
      </c>
      <c r="B5" s="7" t="str">
        <f>'Reported burning'!B5</f>
        <v>1a.4</v>
      </c>
      <c r="C5" s="7" t="str">
        <f>'Reported burning'!C5</f>
        <v>Human, escaped</v>
      </c>
      <c r="D5" s="7" t="str">
        <f>'Reported burning'!D5</f>
        <v>Pasture renewal</v>
      </c>
      <c r="E5" s="7" t="str">
        <f>'Reported burning'!E5</f>
        <v>Cattle, Extensive</v>
      </c>
      <c r="F5" s="7" t="str">
        <f>'Reported burning'!F5</f>
        <v>Mixed</v>
      </c>
      <c r="G5" s="7">
        <f>'Reported burning'!G5</f>
        <v>0</v>
      </c>
      <c r="H5" s="7" t="str">
        <f>'Reported burning'!H5</f>
        <v>Presence</v>
      </c>
      <c r="I5" s="4"/>
      <c r="J5" s="84" t="s">
        <v>2308</v>
      </c>
      <c r="K5" s="116" t="s">
        <v>2308</v>
      </c>
      <c r="L5" s="84" t="s">
        <v>2308</v>
      </c>
      <c r="M5" s="84" t="s">
        <v>2308</v>
      </c>
      <c r="N5" s="84" t="s">
        <v>2308</v>
      </c>
      <c r="O5" s="84" t="s">
        <v>2308</v>
      </c>
      <c r="P5" s="84" t="s">
        <v>2308</v>
      </c>
      <c r="Q5" s="109" t="s">
        <v>2308</v>
      </c>
      <c r="R5" s="109" t="s">
        <v>2308</v>
      </c>
      <c r="S5" s="84" t="s">
        <v>2308</v>
      </c>
      <c r="T5" s="84" t="s">
        <v>2308</v>
      </c>
      <c r="U5" s="84" t="s">
        <v>2308</v>
      </c>
      <c r="V5" s="84" t="s">
        <v>2308</v>
      </c>
      <c r="W5" s="84" t="s">
        <v>2308</v>
      </c>
      <c r="X5" s="4" t="s">
        <v>34</v>
      </c>
      <c r="Y5" s="4" t="s">
        <v>35</v>
      </c>
      <c r="Z5" s="4" t="s">
        <v>64</v>
      </c>
      <c r="AA5" s="4"/>
      <c r="AB5" s="4"/>
    </row>
    <row r="6" spans="1:28" ht="41.5" customHeight="1">
      <c r="A6" s="7" t="str">
        <f>'Reported burning'!A6</f>
        <v>1a</v>
      </c>
      <c r="B6" s="7" t="str">
        <f>'Reported burning'!B6</f>
        <v>1a.5</v>
      </c>
      <c r="C6" s="7" t="str">
        <f>'Reported burning'!C6</f>
        <v>Human, deliberate</v>
      </c>
      <c r="D6" s="7" t="str">
        <f>'Reported burning'!D6</f>
        <v>Arson</v>
      </c>
      <c r="E6" s="7" t="str">
        <f>'Reported burning'!E6</f>
        <v>ND</v>
      </c>
      <c r="F6" s="7" t="str">
        <f>'Reported burning'!F6</f>
        <v>Mixed</v>
      </c>
      <c r="G6" s="7">
        <f>'Reported burning'!G6</f>
        <v>0</v>
      </c>
      <c r="H6" s="7" t="str">
        <f>'Reported burning'!H6</f>
        <v>Presence</v>
      </c>
      <c r="I6" s="4"/>
      <c r="J6" s="84" t="s">
        <v>2308</v>
      </c>
      <c r="K6" s="116" t="s">
        <v>2308</v>
      </c>
      <c r="L6" s="84" t="s">
        <v>2308</v>
      </c>
      <c r="M6" s="84" t="s">
        <v>2308</v>
      </c>
      <c r="N6" s="84" t="s">
        <v>2308</v>
      </c>
      <c r="O6" s="84" t="s">
        <v>2308</v>
      </c>
      <c r="P6" s="84" t="s">
        <v>2308</v>
      </c>
      <c r="Q6" s="109" t="s">
        <v>2308</v>
      </c>
      <c r="R6" s="109" t="s">
        <v>2308</v>
      </c>
      <c r="S6" s="84" t="s">
        <v>2308</v>
      </c>
      <c r="T6" s="84" t="s">
        <v>2308</v>
      </c>
      <c r="U6" s="84" t="s">
        <v>2308</v>
      </c>
      <c r="V6" s="84" t="s">
        <v>2308</v>
      </c>
      <c r="W6" s="84" t="s">
        <v>2308</v>
      </c>
      <c r="X6" s="4" t="s">
        <v>34</v>
      </c>
      <c r="Y6" s="4" t="s">
        <v>35</v>
      </c>
      <c r="Z6" s="4" t="s">
        <v>64</v>
      </c>
      <c r="AA6" s="4"/>
      <c r="AB6" s="4"/>
    </row>
    <row r="7" spans="1:28" ht="61" customHeight="1">
      <c r="A7" s="7" t="str">
        <f>'Reported burning'!A7</f>
        <v>1a</v>
      </c>
      <c r="B7" s="7" t="str">
        <f>'Reported burning'!B7</f>
        <v>1a.6</v>
      </c>
      <c r="C7" s="7" t="str">
        <f>'Reported burning'!C7</f>
        <v>Human, deliberate</v>
      </c>
      <c r="D7" s="7" t="str">
        <f>'Reported burning'!D7</f>
        <v>Forest management</v>
      </c>
      <c r="E7" s="7" t="str">
        <f>'Reported burning'!E7</f>
        <v>Forestry, Traditional</v>
      </c>
      <c r="F7" s="7" t="str">
        <f>'Reported burning'!F7</f>
        <v>Shrubland (Mixed forest &amp; grassland)</v>
      </c>
      <c r="G7" s="7">
        <f>'Reported burning'!G7</f>
        <v>0</v>
      </c>
      <c r="H7" s="7" t="str">
        <f>'Reported burning'!H7</f>
        <v>Presence</v>
      </c>
      <c r="I7" s="4"/>
      <c r="J7" s="22" t="s">
        <v>2308</v>
      </c>
      <c r="K7" s="110" t="s">
        <v>2308</v>
      </c>
      <c r="L7" s="22" t="s">
        <v>2308</v>
      </c>
      <c r="M7" s="22" t="s">
        <v>2308</v>
      </c>
      <c r="N7" s="22" t="s">
        <v>2308</v>
      </c>
      <c r="O7" s="22" t="s">
        <v>2308</v>
      </c>
      <c r="P7" s="22" t="s">
        <v>2308</v>
      </c>
      <c r="Q7" s="109" t="s">
        <v>2308</v>
      </c>
      <c r="R7" s="109" t="s">
        <v>2308</v>
      </c>
      <c r="S7" s="22" t="s">
        <v>2308</v>
      </c>
      <c r="T7" s="22" t="s">
        <v>2308</v>
      </c>
      <c r="U7" s="22" t="s">
        <v>2308</v>
      </c>
      <c r="V7" s="22" t="s">
        <v>2308</v>
      </c>
      <c r="W7" s="22" t="s">
        <v>2308</v>
      </c>
      <c r="X7" s="4" t="s">
        <v>38</v>
      </c>
      <c r="Y7" s="4" t="s">
        <v>35</v>
      </c>
      <c r="Z7" s="4" t="s">
        <v>64</v>
      </c>
      <c r="AA7" s="5" t="s">
        <v>63</v>
      </c>
      <c r="AB7" s="4"/>
    </row>
    <row r="8" spans="1:28" ht="49.5" customHeight="1">
      <c r="A8" s="7" t="str">
        <f>'Reported burning'!A8</f>
        <v>1b</v>
      </c>
      <c r="B8" s="7" t="str">
        <f>'Reported burning'!B8</f>
        <v>1b.1</v>
      </c>
      <c r="C8" s="7" t="str">
        <f>'Reported burning'!C8</f>
        <v>Human, deliberate</v>
      </c>
      <c r="D8" s="7" t="str">
        <f>'Reported burning'!D8</f>
        <v>Pasture renewal</v>
      </c>
      <c r="E8" s="7" t="str">
        <f>'Reported burning'!E8</f>
        <v>Cattle, Extensive</v>
      </c>
      <c r="F8" s="7" t="str">
        <f>'Reported burning'!F8</f>
        <v>Pasture</v>
      </c>
      <c r="G8" s="7">
        <f>'Reported burning'!G8</f>
        <v>0</v>
      </c>
      <c r="H8" s="7" t="str">
        <f>'Reported burning'!H8</f>
        <v>Presence</v>
      </c>
      <c r="I8" s="12"/>
      <c r="J8" s="22" t="s">
        <v>2308</v>
      </c>
      <c r="K8" s="110" t="s">
        <v>2308</v>
      </c>
      <c r="L8" s="22" t="s">
        <v>2308</v>
      </c>
      <c r="M8" s="22" t="s">
        <v>2308</v>
      </c>
      <c r="N8" s="22" t="s">
        <v>2308</v>
      </c>
      <c r="O8" s="22" t="s">
        <v>2308</v>
      </c>
      <c r="P8" s="22" t="s">
        <v>2308</v>
      </c>
      <c r="Q8" s="109" t="s">
        <v>2308</v>
      </c>
      <c r="R8" s="109" t="s">
        <v>2308</v>
      </c>
      <c r="S8" s="22" t="s">
        <v>2308</v>
      </c>
      <c r="T8" s="22" t="s">
        <v>2308</v>
      </c>
      <c r="U8" s="22" t="s">
        <v>2308</v>
      </c>
      <c r="V8" s="22" t="s">
        <v>2308</v>
      </c>
      <c r="W8" s="22" t="s">
        <v>2308</v>
      </c>
      <c r="X8" s="4" t="s">
        <v>34</v>
      </c>
      <c r="Y8" s="4" t="s">
        <v>35</v>
      </c>
      <c r="Z8" s="4" t="s">
        <v>64</v>
      </c>
      <c r="AA8" s="19" t="s">
        <v>48</v>
      </c>
      <c r="AB8" s="4"/>
    </row>
    <row r="9" spans="1:28" ht="48" customHeight="1">
      <c r="A9" s="7" t="str">
        <f>'Reported burning'!A9</f>
        <v>1c</v>
      </c>
      <c r="B9" s="7" t="str">
        <f>'Reported burning'!B9</f>
        <v>1c.1</v>
      </c>
      <c r="C9" s="7" t="str">
        <f>'Reported burning'!C9</f>
        <v>Human, deliberate</v>
      </c>
      <c r="D9" s="7" t="str">
        <f>'Reported burning'!D9</f>
        <v>Crop field preparation</v>
      </c>
      <c r="E9" s="7" t="str">
        <f>'Reported burning'!E9</f>
        <v>Cropping, Monoculture, Subsistence-oriented</v>
      </c>
      <c r="F9" s="7" t="str">
        <f>'Reported burning'!F9</f>
        <v>Cropland</v>
      </c>
      <c r="G9" s="7">
        <f>'Reported burning'!G9</f>
        <v>0</v>
      </c>
      <c r="H9" s="7" t="str">
        <f>'Reported burning'!H9</f>
        <v>Presence</v>
      </c>
      <c r="I9" s="12"/>
      <c r="J9" s="22" t="s">
        <v>2308</v>
      </c>
      <c r="K9" s="110" t="s">
        <v>2308</v>
      </c>
      <c r="L9" s="22" t="s">
        <v>2308</v>
      </c>
      <c r="M9" s="22" t="s">
        <v>2308</v>
      </c>
      <c r="N9" s="22" t="s">
        <v>2308</v>
      </c>
      <c r="O9" s="22" t="s">
        <v>2308</v>
      </c>
      <c r="P9" s="22" t="s">
        <v>2308</v>
      </c>
      <c r="Q9" s="109" t="s">
        <v>2308</v>
      </c>
      <c r="R9" s="109" t="s">
        <v>2308</v>
      </c>
      <c r="S9" s="22" t="s">
        <v>2308</v>
      </c>
      <c r="T9" s="22" t="s">
        <v>2308</v>
      </c>
      <c r="U9" s="22" t="s">
        <v>2308</v>
      </c>
      <c r="V9" s="22" t="s">
        <v>2308</v>
      </c>
      <c r="W9" s="22" t="s">
        <v>2308</v>
      </c>
      <c r="X9" s="4" t="s">
        <v>68</v>
      </c>
      <c r="Y9" s="4" t="s">
        <v>35</v>
      </c>
      <c r="Z9" s="4" t="s">
        <v>64</v>
      </c>
      <c r="AA9" s="5" t="s">
        <v>50</v>
      </c>
      <c r="AB9" s="4"/>
    </row>
    <row r="10" spans="1:28" ht="49.5" customHeight="1">
      <c r="A10" s="7" t="str">
        <f>'Reported burning'!A10</f>
        <v>1d</v>
      </c>
      <c r="B10" s="7" t="str">
        <f>'Reported burning'!B10</f>
        <v>1d.1</v>
      </c>
      <c r="C10" s="7" t="str">
        <f>'Reported burning'!C10</f>
        <v>Human, deliberate</v>
      </c>
      <c r="D10" s="7" t="str">
        <f>'Reported burning'!D10</f>
        <v>Pasture renewal</v>
      </c>
      <c r="E10" s="7" t="str">
        <f>'Reported burning'!E10</f>
        <v>Cattle, Extensive</v>
      </c>
      <c r="F10" s="7" t="str">
        <f>'Reported burning'!F10</f>
        <v>Pasture</v>
      </c>
      <c r="G10" s="7">
        <f>'Reported burning'!G10</f>
        <v>0</v>
      </c>
      <c r="H10" s="7" t="str">
        <f>'Reported burning'!H10</f>
        <v>Presence</v>
      </c>
      <c r="I10" s="12"/>
      <c r="J10" s="22" t="s">
        <v>2308</v>
      </c>
      <c r="K10" s="110" t="s">
        <v>2308</v>
      </c>
      <c r="L10" s="22" t="s">
        <v>2308</v>
      </c>
      <c r="M10" s="22" t="s">
        <v>2308</v>
      </c>
      <c r="N10" s="22" t="s">
        <v>2308</v>
      </c>
      <c r="O10" s="22" t="s">
        <v>2308</v>
      </c>
      <c r="P10" s="22" t="s">
        <v>2308</v>
      </c>
      <c r="Q10" s="109" t="s">
        <v>2308</v>
      </c>
      <c r="R10" s="109" t="s">
        <v>2308</v>
      </c>
      <c r="S10" s="22" t="s">
        <v>2308</v>
      </c>
      <c r="T10" s="22" t="s">
        <v>2308</v>
      </c>
      <c r="U10" s="22" t="s">
        <v>2308</v>
      </c>
      <c r="V10" s="22" t="s">
        <v>2308</v>
      </c>
      <c r="W10" s="22" t="s">
        <v>2308</v>
      </c>
      <c r="X10" s="4" t="s">
        <v>34</v>
      </c>
      <c r="Y10" s="4" t="s">
        <v>35</v>
      </c>
      <c r="Z10" s="4" t="s">
        <v>64</v>
      </c>
      <c r="AA10" s="5" t="s">
        <v>49</v>
      </c>
      <c r="AB10" s="4"/>
    </row>
    <row r="11" spans="1:28" ht="60.5" customHeight="1">
      <c r="A11" s="7" t="str">
        <f>'Reported burning'!A11</f>
        <v>1e</v>
      </c>
      <c r="B11" s="7" t="str">
        <f>'Reported burning'!B11</f>
        <v>1e.1</v>
      </c>
      <c r="C11" s="7" t="str">
        <f>'Reported burning'!C11</f>
        <v>Human, deliberate</v>
      </c>
      <c r="D11" s="7" t="str">
        <f>'Reported burning'!D11</f>
        <v>Pasture renewal</v>
      </c>
      <c r="E11" s="7" t="str">
        <f>'Reported burning'!E11</f>
        <v>Cattle, Extensive</v>
      </c>
      <c r="F11" s="7" t="str">
        <f>'Reported burning'!F11</f>
        <v>Pasture</v>
      </c>
      <c r="G11" s="7">
        <f>'Reported burning'!G11</f>
        <v>0</v>
      </c>
      <c r="H11" s="7" t="str">
        <f>'Reported burning'!H11</f>
        <v>Presence</v>
      </c>
      <c r="I11" s="4"/>
      <c r="J11" s="22" t="s">
        <v>2308</v>
      </c>
      <c r="K11" s="110" t="s">
        <v>2308</v>
      </c>
      <c r="L11" s="22" t="s">
        <v>2308</v>
      </c>
      <c r="M11" s="22" t="s">
        <v>2308</v>
      </c>
      <c r="N11" s="22" t="s">
        <v>2308</v>
      </c>
      <c r="O11" s="22" t="s">
        <v>2308</v>
      </c>
      <c r="P11" s="22" t="s">
        <v>2308</v>
      </c>
      <c r="Q11" s="109" t="s">
        <v>2308</v>
      </c>
      <c r="R11" s="109" t="s">
        <v>2308</v>
      </c>
      <c r="S11" s="22" t="s">
        <v>2308</v>
      </c>
      <c r="T11" s="22" t="s">
        <v>2308</v>
      </c>
      <c r="U11" s="22" t="s">
        <v>2308</v>
      </c>
      <c r="V11" s="22" t="s">
        <v>2308</v>
      </c>
      <c r="W11" s="22" t="s">
        <v>2308</v>
      </c>
      <c r="X11" s="4" t="s">
        <v>34</v>
      </c>
      <c r="Y11" s="4" t="s">
        <v>35</v>
      </c>
      <c r="Z11" s="4" t="s">
        <v>64</v>
      </c>
      <c r="AA11" s="5" t="s">
        <v>56</v>
      </c>
      <c r="AB11" s="4"/>
    </row>
    <row r="12" spans="1:28" ht="53.5" customHeight="1">
      <c r="A12" s="7" t="str">
        <f>'Reported burning'!A12</f>
        <v>1e</v>
      </c>
      <c r="B12" s="7" t="str">
        <f>'Reported burning'!B12</f>
        <v>1e.2</v>
      </c>
      <c r="C12" s="7" t="str">
        <f>'Reported burning'!C12</f>
        <v>Human, deliberate</v>
      </c>
      <c r="D12" s="7" t="str">
        <f>'Reported burning'!D12</f>
        <v>Conservation</v>
      </c>
      <c r="E12" s="7" t="str">
        <f>'Reported burning'!E12</f>
        <v>Biodiversity conservation</v>
      </c>
      <c r="F12" s="7" t="str">
        <f>'Reported burning'!F12</f>
        <v>Grassland</v>
      </c>
      <c r="G12" s="7">
        <f>'Reported burning'!G12</f>
        <v>0</v>
      </c>
      <c r="H12" s="7" t="str">
        <f>'Reported burning'!H12</f>
        <v>Presence</v>
      </c>
      <c r="I12" s="4"/>
      <c r="J12" s="22" t="s">
        <v>2308</v>
      </c>
      <c r="K12" s="110" t="s">
        <v>2308</v>
      </c>
      <c r="L12" s="22" t="s">
        <v>2308</v>
      </c>
      <c r="M12" s="22" t="s">
        <v>2308</v>
      </c>
      <c r="N12" s="22" t="s">
        <v>2308</v>
      </c>
      <c r="O12" s="22" t="s">
        <v>2308</v>
      </c>
      <c r="P12" s="22" t="s">
        <v>2308</v>
      </c>
      <c r="Q12" s="109" t="s">
        <v>2308</v>
      </c>
      <c r="R12" s="109" t="s">
        <v>2308</v>
      </c>
      <c r="S12" s="22" t="s">
        <v>2308</v>
      </c>
      <c r="T12" s="22" t="s">
        <v>2308</v>
      </c>
      <c r="U12" s="22" t="s">
        <v>2308</v>
      </c>
      <c r="V12" s="22" t="s">
        <v>2308</v>
      </c>
      <c r="W12" s="22" t="s">
        <v>2308</v>
      </c>
      <c r="X12" s="4" t="s">
        <v>34</v>
      </c>
      <c r="Y12" s="4" t="s">
        <v>35</v>
      </c>
      <c r="Z12" s="4" t="s">
        <v>64</v>
      </c>
      <c r="AA12" s="20" t="s">
        <v>52</v>
      </c>
      <c r="AB12" s="4"/>
    </row>
    <row r="13" spans="1:28" ht="62.5" customHeight="1">
      <c r="A13" s="7" t="str">
        <f>'Reported burning'!A13</f>
        <v>1f</v>
      </c>
      <c r="B13" s="7" t="str">
        <f>'Reported burning'!B13</f>
        <v>1f.1</v>
      </c>
      <c r="C13" s="7" t="str">
        <f>'Reported burning'!C13</f>
        <v>Human, deliberate</v>
      </c>
      <c r="D13" s="7" t="str">
        <f>'Reported burning'!D13</f>
        <v>Crop field preparation</v>
      </c>
      <c r="E13" s="7" t="str">
        <f>'Reported burning'!E13</f>
        <v>Cropping, Swidden</v>
      </c>
      <c r="F13" s="7" t="str">
        <f>'Reported burning'!F13</f>
        <v>Secondary Vegetation</v>
      </c>
      <c r="G13" s="7">
        <f>'Reported burning'!G13</f>
        <v>0</v>
      </c>
      <c r="H13" s="7" t="str">
        <f>'Reported burning'!H13</f>
        <v>Presence</v>
      </c>
      <c r="I13" s="21"/>
      <c r="J13" s="77" t="s">
        <v>2308</v>
      </c>
      <c r="K13" s="117" t="s">
        <v>2308</v>
      </c>
      <c r="L13" s="77" t="s">
        <v>2308</v>
      </c>
      <c r="M13" s="77" t="s">
        <v>2308</v>
      </c>
      <c r="N13" s="77" t="s">
        <v>2308</v>
      </c>
      <c r="O13" s="77" t="s">
        <v>2308</v>
      </c>
      <c r="P13" s="77" t="s">
        <v>2308</v>
      </c>
      <c r="Q13" s="109" t="s">
        <v>2308</v>
      </c>
      <c r="R13" s="109" t="s">
        <v>2308</v>
      </c>
      <c r="S13" s="77" t="s">
        <v>2308</v>
      </c>
      <c r="T13" s="77" t="s">
        <v>2308</v>
      </c>
      <c r="U13" s="77" t="s">
        <v>2308</v>
      </c>
      <c r="V13" s="77" t="s">
        <v>2308</v>
      </c>
      <c r="W13" s="77" t="s">
        <v>2308</v>
      </c>
      <c r="X13" s="9" t="s">
        <v>75</v>
      </c>
      <c r="Y13" s="9" t="s">
        <v>35</v>
      </c>
      <c r="Z13" s="9" t="s">
        <v>76</v>
      </c>
      <c r="AA13" s="10" t="s">
        <v>77</v>
      </c>
      <c r="AB13" s="4"/>
    </row>
    <row r="14" spans="1:28" ht="122.5" customHeight="1">
      <c r="A14" s="7" t="str">
        <f>'Reported burning'!A14</f>
        <v>2a</v>
      </c>
      <c r="B14" s="7" t="str">
        <f>'Reported burning'!B14</f>
        <v>2a.1</v>
      </c>
      <c r="C14" s="7" t="str">
        <f>'Reported burning'!C14</f>
        <v>Human, deliberate</v>
      </c>
      <c r="D14" s="7" t="str">
        <f>'Reported burning'!D14</f>
        <v>Crop residue burning</v>
      </c>
      <c r="E14" s="7" t="str">
        <f>'Reported burning'!E14</f>
        <v>Cropping, Monoculture, Market-oriented</v>
      </c>
      <c r="F14" s="7" t="str">
        <f>'Reported burning'!F14</f>
        <v>Cropland</v>
      </c>
      <c r="G14" s="7" t="str">
        <f>'Reported burning'!G14</f>
        <v>ND</v>
      </c>
      <c r="H14" s="7" t="str">
        <f>'Reported burning'!H14</f>
        <v>Presence</v>
      </c>
      <c r="I14" s="12"/>
      <c r="J14" s="22" t="s">
        <v>2308</v>
      </c>
      <c r="K14" s="110" t="s">
        <v>2308</v>
      </c>
      <c r="L14" s="22" t="s">
        <v>2308</v>
      </c>
      <c r="M14" s="22" t="s">
        <v>2308</v>
      </c>
      <c r="N14" s="22" t="s">
        <v>2308</v>
      </c>
      <c r="O14" s="22" t="s">
        <v>2308</v>
      </c>
      <c r="P14" s="22" t="s">
        <v>2308</v>
      </c>
      <c r="Q14" s="109" t="s">
        <v>2308</v>
      </c>
      <c r="R14" s="109" t="s">
        <v>2308</v>
      </c>
      <c r="S14" s="94" t="s">
        <v>2426</v>
      </c>
      <c r="T14" s="94" t="s">
        <v>2308</v>
      </c>
      <c r="U14" s="94" t="s">
        <v>2308</v>
      </c>
      <c r="V14" s="94" t="s">
        <v>2308</v>
      </c>
      <c r="W14" s="22" t="s">
        <v>2407</v>
      </c>
      <c r="X14" s="4" t="s">
        <v>75</v>
      </c>
      <c r="Y14" s="4" t="s">
        <v>35</v>
      </c>
      <c r="Z14" s="4" t="s">
        <v>64</v>
      </c>
      <c r="AA14" s="5" t="s">
        <v>118</v>
      </c>
      <c r="AB14" s="5" t="s">
        <v>119</v>
      </c>
    </row>
    <row r="15" spans="1:28" ht="124.5" customHeight="1">
      <c r="A15" s="7" t="str">
        <f>'Reported burning'!A15</f>
        <v>2a</v>
      </c>
      <c r="B15" s="7" t="str">
        <f>'Reported burning'!B15</f>
        <v>2a.2</v>
      </c>
      <c r="C15" s="7" t="str">
        <f>'Reported burning'!C15</f>
        <v>Human, deliberate</v>
      </c>
      <c r="D15" s="7" t="str">
        <f>'Reported burning'!D15</f>
        <v>Crop residue burning</v>
      </c>
      <c r="E15" s="7" t="str">
        <f>'Reported burning'!E15</f>
        <v>Cropping, Monoculture, Subsistence-oriented</v>
      </c>
      <c r="F15" s="7" t="str">
        <f>'Reported burning'!F15</f>
        <v>Cropland</v>
      </c>
      <c r="G15" s="7" t="str">
        <f>'Reported burning'!G15</f>
        <v>ND</v>
      </c>
      <c r="H15" s="7" t="str">
        <f>'Reported burning'!H15</f>
        <v>Presence</v>
      </c>
      <c r="I15" s="24"/>
      <c r="J15" s="84" t="s">
        <v>2308</v>
      </c>
      <c r="K15" s="116" t="s">
        <v>2308</v>
      </c>
      <c r="L15" s="84" t="s">
        <v>2308</v>
      </c>
      <c r="M15" s="22" t="s">
        <v>2308</v>
      </c>
      <c r="N15" s="84" t="s">
        <v>2308</v>
      </c>
      <c r="O15" s="84" t="s">
        <v>2308</v>
      </c>
      <c r="P15" s="84" t="s">
        <v>2308</v>
      </c>
      <c r="Q15" s="109" t="s">
        <v>2308</v>
      </c>
      <c r="R15" s="109" t="s">
        <v>2308</v>
      </c>
      <c r="S15" s="94" t="s">
        <v>2422</v>
      </c>
      <c r="T15" s="94" t="s">
        <v>2308</v>
      </c>
      <c r="U15" s="94" t="s">
        <v>2308</v>
      </c>
      <c r="V15" s="94" t="s">
        <v>2308</v>
      </c>
      <c r="W15" s="22" t="s">
        <v>2407</v>
      </c>
      <c r="X15" s="4" t="s">
        <v>75</v>
      </c>
      <c r="Y15" s="4" t="s">
        <v>35</v>
      </c>
      <c r="Z15" s="4" t="s">
        <v>64</v>
      </c>
      <c r="AA15" s="5" t="s">
        <v>118</v>
      </c>
      <c r="AB15" s="5" t="s">
        <v>121</v>
      </c>
    </row>
    <row r="16" spans="1:28" ht="122.5" customHeight="1">
      <c r="A16" s="7" t="str">
        <f>'Reported burning'!A16</f>
        <v>2aa</v>
      </c>
      <c r="B16" s="7" t="str">
        <f>'Reported burning'!B16</f>
        <v>2a.1</v>
      </c>
      <c r="C16" s="7" t="str">
        <f>'Reported burning'!C16</f>
        <v>Human, deliberate</v>
      </c>
      <c r="D16" s="7" t="str">
        <f>'Reported burning'!D16</f>
        <v>Crop residue burning</v>
      </c>
      <c r="E16" s="7" t="str">
        <f>'Reported burning'!E16</f>
        <v>Cropping, Monoculture, Market-oriented</v>
      </c>
      <c r="F16" s="7" t="str">
        <f>'Reported burning'!F16</f>
        <v>Cropland</v>
      </c>
      <c r="G16" s="7" t="str">
        <f>'Reported burning'!G16</f>
        <v>ND</v>
      </c>
      <c r="H16" s="7" t="str">
        <f>'Reported burning'!H16</f>
        <v>Presence</v>
      </c>
      <c r="I16" s="12"/>
      <c r="J16" s="22" t="s">
        <v>2308</v>
      </c>
      <c r="K16" s="110" t="s">
        <v>2308</v>
      </c>
      <c r="L16" s="22" t="s">
        <v>2308</v>
      </c>
      <c r="M16" s="22" t="s">
        <v>2308</v>
      </c>
      <c r="N16" s="22" t="s">
        <v>2308</v>
      </c>
      <c r="O16" s="22" t="s">
        <v>2308</v>
      </c>
      <c r="P16" s="22" t="s">
        <v>2308</v>
      </c>
      <c r="Q16" s="109" t="s">
        <v>2308</v>
      </c>
      <c r="R16" s="109" t="s">
        <v>2308</v>
      </c>
      <c r="S16" s="94" t="s">
        <v>2422</v>
      </c>
      <c r="T16" s="94" t="s">
        <v>2308</v>
      </c>
      <c r="U16" s="94" t="s">
        <v>2308</v>
      </c>
      <c r="V16" s="94" t="s">
        <v>2308</v>
      </c>
      <c r="W16" s="22" t="s">
        <v>2407</v>
      </c>
      <c r="X16" s="4" t="s">
        <v>75</v>
      </c>
      <c r="Y16" s="4" t="s">
        <v>35</v>
      </c>
      <c r="Z16" s="4" t="s">
        <v>64</v>
      </c>
      <c r="AA16" s="5" t="s">
        <v>118</v>
      </c>
      <c r="AB16" s="5" t="s">
        <v>2293</v>
      </c>
    </row>
    <row r="17" spans="1:28" ht="114.5" customHeight="1">
      <c r="A17" s="7" t="str">
        <f>'Reported burning'!A17</f>
        <v>2ab</v>
      </c>
      <c r="B17" s="7" t="str">
        <f>'Reported burning'!B17</f>
        <v>2ab.1</v>
      </c>
      <c r="C17" s="7" t="str">
        <f>'Reported burning'!C17</f>
        <v>Human, deliberate</v>
      </c>
      <c r="D17" s="7" t="str">
        <f>'Reported burning'!D17</f>
        <v>Crop residue burning</v>
      </c>
      <c r="E17" s="7" t="str">
        <f>'Reported burning'!E17</f>
        <v>Cropping, Monoculture, Market-oriented</v>
      </c>
      <c r="F17" s="7" t="str">
        <f>'Reported burning'!F17</f>
        <v>Cropland</v>
      </c>
      <c r="G17" s="7" t="str">
        <f>'Reported burning'!G17</f>
        <v>ND</v>
      </c>
      <c r="H17" s="7" t="str">
        <f>'Reported burning'!H17</f>
        <v>Presence</v>
      </c>
      <c r="I17" s="12"/>
      <c r="J17" s="22" t="s">
        <v>2308</v>
      </c>
      <c r="K17" s="110" t="s">
        <v>2308</v>
      </c>
      <c r="L17" s="22" t="s">
        <v>2308</v>
      </c>
      <c r="M17" s="22" t="s">
        <v>2308</v>
      </c>
      <c r="N17" s="22" t="s">
        <v>2308</v>
      </c>
      <c r="O17" s="22" t="s">
        <v>2308</v>
      </c>
      <c r="P17" s="22" t="s">
        <v>2308</v>
      </c>
      <c r="Q17" s="109" t="s">
        <v>2308</v>
      </c>
      <c r="R17" s="109" t="s">
        <v>2308</v>
      </c>
      <c r="S17" s="94" t="s">
        <v>2423</v>
      </c>
      <c r="T17" s="94" t="s">
        <v>2308</v>
      </c>
      <c r="U17" s="94" t="s">
        <v>2308</v>
      </c>
      <c r="V17" s="94" t="s">
        <v>2308</v>
      </c>
      <c r="W17" s="22" t="s">
        <v>2407</v>
      </c>
      <c r="X17" s="4" t="s">
        <v>75</v>
      </c>
      <c r="Y17" s="4" t="s">
        <v>35</v>
      </c>
      <c r="Z17" s="4" t="s">
        <v>64</v>
      </c>
      <c r="AA17" s="5" t="s">
        <v>118</v>
      </c>
      <c r="AB17" s="5" t="s">
        <v>2293</v>
      </c>
    </row>
    <row r="18" spans="1:28" ht="111.5" customHeight="1">
      <c r="A18" s="7" t="str">
        <f>'Reported burning'!A18</f>
        <v>2ac</v>
      </c>
      <c r="B18" s="7" t="str">
        <f>'Reported burning'!B18</f>
        <v>2ac.1</v>
      </c>
      <c r="C18" s="7" t="str">
        <f>'Reported burning'!C18</f>
        <v>Human, deliberate</v>
      </c>
      <c r="D18" s="7" t="str">
        <f>'Reported burning'!D18</f>
        <v>Crop residue burning</v>
      </c>
      <c r="E18" s="7" t="str">
        <f>'Reported burning'!E18</f>
        <v>Cropping, Monoculture, Market-oriented</v>
      </c>
      <c r="F18" s="7" t="str">
        <f>'Reported burning'!F18</f>
        <v>Cropland</v>
      </c>
      <c r="G18" s="7" t="str">
        <f>'Reported burning'!G18</f>
        <v>ND</v>
      </c>
      <c r="H18" s="7" t="str">
        <f>'Reported burning'!H18</f>
        <v>Presence</v>
      </c>
      <c r="I18" s="12"/>
      <c r="J18" s="22" t="s">
        <v>2308</v>
      </c>
      <c r="K18" s="110" t="s">
        <v>2308</v>
      </c>
      <c r="L18" s="22" t="s">
        <v>2308</v>
      </c>
      <c r="M18" s="22" t="s">
        <v>2308</v>
      </c>
      <c r="N18" s="22" t="s">
        <v>2308</v>
      </c>
      <c r="O18" s="22" t="s">
        <v>2308</v>
      </c>
      <c r="P18" s="22" t="s">
        <v>2308</v>
      </c>
      <c r="Q18" s="109" t="s">
        <v>2308</v>
      </c>
      <c r="R18" s="109" t="s">
        <v>2308</v>
      </c>
      <c r="S18" s="94" t="s">
        <v>2425</v>
      </c>
      <c r="T18" s="94" t="s">
        <v>2308</v>
      </c>
      <c r="U18" s="94" t="s">
        <v>2308</v>
      </c>
      <c r="V18" s="94" t="s">
        <v>2308</v>
      </c>
      <c r="W18" s="22" t="s">
        <v>2407</v>
      </c>
      <c r="X18" s="4" t="s">
        <v>75</v>
      </c>
      <c r="Y18" s="4" t="s">
        <v>35</v>
      </c>
      <c r="Z18" s="4" t="s">
        <v>64</v>
      </c>
      <c r="AA18" s="5" t="s">
        <v>118</v>
      </c>
      <c r="AB18" s="5" t="s">
        <v>2293</v>
      </c>
    </row>
    <row r="19" spans="1:28" ht="115" customHeight="1">
      <c r="A19" s="7" t="str">
        <f>'Reported burning'!A19</f>
        <v>2ad</v>
      </c>
      <c r="B19" s="7" t="str">
        <f>'Reported burning'!B19</f>
        <v>2ad.1</v>
      </c>
      <c r="C19" s="7" t="str">
        <f>'Reported burning'!C19</f>
        <v>Human, deliberate</v>
      </c>
      <c r="D19" s="7" t="str">
        <f>'Reported burning'!D19</f>
        <v>Crop residue burning</v>
      </c>
      <c r="E19" s="7" t="str">
        <f>'Reported burning'!E19</f>
        <v>Cropping, Monoculture, Market-oriented</v>
      </c>
      <c r="F19" s="7" t="str">
        <f>'Reported burning'!F19</f>
        <v>Cropland</v>
      </c>
      <c r="G19" s="7" t="str">
        <f>'Reported burning'!G19</f>
        <v>ND</v>
      </c>
      <c r="H19" s="7" t="str">
        <f>'Reported burning'!H19</f>
        <v>Presence</v>
      </c>
      <c r="I19" s="12"/>
      <c r="J19" s="22" t="s">
        <v>2308</v>
      </c>
      <c r="K19" s="110" t="s">
        <v>2308</v>
      </c>
      <c r="L19" s="22" t="s">
        <v>2308</v>
      </c>
      <c r="M19" s="22" t="s">
        <v>2308</v>
      </c>
      <c r="N19" s="22" t="s">
        <v>2308</v>
      </c>
      <c r="O19" s="22" t="s">
        <v>2308</v>
      </c>
      <c r="P19" s="22" t="s">
        <v>2308</v>
      </c>
      <c r="Q19" s="109" t="s">
        <v>2308</v>
      </c>
      <c r="R19" s="109" t="s">
        <v>2308</v>
      </c>
      <c r="S19" s="94" t="s">
        <v>2424</v>
      </c>
      <c r="T19" s="94" t="s">
        <v>2308</v>
      </c>
      <c r="U19" s="94" t="s">
        <v>2308</v>
      </c>
      <c r="V19" s="94" t="s">
        <v>2308</v>
      </c>
      <c r="W19" s="22" t="s">
        <v>2407</v>
      </c>
      <c r="X19" s="4" t="s">
        <v>75</v>
      </c>
      <c r="Y19" s="4" t="s">
        <v>35</v>
      </c>
      <c r="Z19" s="4" t="s">
        <v>64</v>
      </c>
      <c r="AA19" s="5" t="s">
        <v>118</v>
      </c>
      <c r="AB19" s="5" t="s">
        <v>2293</v>
      </c>
    </row>
    <row r="20" spans="1:28" ht="76.5" customHeight="1">
      <c r="A20" s="7" t="str">
        <f>'Reported burning'!A20</f>
        <v>2ae</v>
      </c>
      <c r="B20" s="7" t="str">
        <f>'Reported burning'!B20</f>
        <v>2ae.1</v>
      </c>
      <c r="C20" s="7" t="str">
        <f>'Reported burning'!C20</f>
        <v>Human, deliberate</v>
      </c>
      <c r="D20" s="7" t="str">
        <f>'Reported burning'!D20</f>
        <v>Crop residue burning</v>
      </c>
      <c r="E20" s="7" t="str">
        <f>'Reported burning'!E20</f>
        <v>Cropping, Monoculture, Market-oriented</v>
      </c>
      <c r="F20" s="7" t="str">
        <f>'Reported burning'!F20</f>
        <v>Cropland</v>
      </c>
      <c r="G20" s="7" t="str">
        <f>'Reported burning'!G20</f>
        <v>ND</v>
      </c>
      <c r="H20" s="7" t="str">
        <f>'Reported burning'!H20</f>
        <v>Presence</v>
      </c>
      <c r="I20" s="12"/>
      <c r="J20" s="22" t="s">
        <v>2308</v>
      </c>
      <c r="K20" s="110" t="s">
        <v>2308</v>
      </c>
      <c r="L20" s="22" t="s">
        <v>2308</v>
      </c>
      <c r="M20" s="22" t="s">
        <v>2308</v>
      </c>
      <c r="N20" s="22" t="s">
        <v>2308</v>
      </c>
      <c r="O20" s="22" t="s">
        <v>2308</v>
      </c>
      <c r="P20" s="22" t="s">
        <v>2308</v>
      </c>
      <c r="Q20" s="109" t="s">
        <v>2308</v>
      </c>
      <c r="R20" s="109" t="s">
        <v>2308</v>
      </c>
      <c r="S20" s="94" t="s">
        <v>2426</v>
      </c>
      <c r="T20" s="94" t="s">
        <v>2308</v>
      </c>
      <c r="U20" s="94" t="s">
        <v>2308</v>
      </c>
      <c r="V20" s="94" t="s">
        <v>2308</v>
      </c>
      <c r="W20" s="22" t="s">
        <v>2407</v>
      </c>
      <c r="X20" s="4" t="s">
        <v>75</v>
      </c>
      <c r="Y20" s="4" t="s">
        <v>35</v>
      </c>
      <c r="Z20" s="4" t="s">
        <v>64</v>
      </c>
      <c r="AA20" s="5" t="s">
        <v>118</v>
      </c>
      <c r="AB20" s="5" t="s">
        <v>2293</v>
      </c>
    </row>
    <row r="21" spans="1:28" ht="78" customHeight="1">
      <c r="A21" s="7" t="str">
        <f>'Reported burning'!A21</f>
        <v>2af</v>
      </c>
      <c r="B21" s="7" t="str">
        <f>'Reported burning'!B21</f>
        <v>2af.1</v>
      </c>
      <c r="C21" s="7" t="str">
        <f>'Reported burning'!C21</f>
        <v>Human, deliberate</v>
      </c>
      <c r="D21" s="7" t="str">
        <f>'Reported burning'!D21</f>
        <v>Crop residue burning</v>
      </c>
      <c r="E21" s="7" t="str">
        <f>'Reported burning'!E21</f>
        <v>Cropping, Monoculture, Market-oriented</v>
      </c>
      <c r="F21" s="7" t="str">
        <f>'Reported burning'!F21</f>
        <v>Cropland</v>
      </c>
      <c r="G21" s="7" t="str">
        <f>'Reported burning'!G21</f>
        <v>ND</v>
      </c>
      <c r="H21" s="7" t="str">
        <f>'Reported burning'!H21</f>
        <v>Presence</v>
      </c>
      <c r="I21" s="12"/>
      <c r="J21" s="22" t="s">
        <v>2308</v>
      </c>
      <c r="K21" s="110" t="s">
        <v>2308</v>
      </c>
      <c r="L21" s="22" t="s">
        <v>2308</v>
      </c>
      <c r="M21" s="22" t="s">
        <v>2308</v>
      </c>
      <c r="N21" s="22" t="s">
        <v>2308</v>
      </c>
      <c r="O21" s="22" t="s">
        <v>2308</v>
      </c>
      <c r="P21" s="22" t="s">
        <v>2308</v>
      </c>
      <c r="Q21" s="109" t="s">
        <v>2308</v>
      </c>
      <c r="R21" s="109" t="s">
        <v>2308</v>
      </c>
      <c r="S21" s="94" t="s">
        <v>2427</v>
      </c>
      <c r="T21" s="94" t="s">
        <v>2308</v>
      </c>
      <c r="U21" s="94" t="s">
        <v>2308</v>
      </c>
      <c r="V21" s="94" t="s">
        <v>2308</v>
      </c>
      <c r="W21" s="22" t="s">
        <v>2407</v>
      </c>
      <c r="X21" s="4" t="s">
        <v>75</v>
      </c>
      <c r="Y21" s="4" t="s">
        <v>35</v>
      </c>
      <c r="Z21" s="4" t="s">
        <v>64</v>
      </c>
      <c r="AA21" s="5" t="s">
        <v>118</v>
      </c>
      <c r="AB21" s="5" t="s">
        <v>2293</v>
      </c>
    </row>
    <row r="22" spans="1:28" ht="70.5" customHeight="1">
      <c r="A22" s="7" t="str">
        <f>'Reported burning'!A22</f>
        <v>2ag</v>
      </c>
      <c r="B22" s="7" t="str">
        <f>'Reported burning'!B22</f>
        <v>2ag.1</v>
      </c>
      <c r="C22" s="7" t="str">
        <f>'Reported burning'!C22</f>
        <v>Human, deliberate</v>
      </c>
      <c r="D22" s="7" t="str">
        <f>'Reported burning'!D22</f>
        <v>Crop residue burning</v>
      </c>
      <c r="E22" s="7" t="str">
        <f>'Reported burning'!E22</f>
        <v>Cropping, Monoculture, Market-oriented</v>
      </c>
      <c r="F22" s="7" t="str">
        <f>'Reported burning'!F22</f>
        <v>Cropland</v>
      </c>
      <c r="G22" s="7" t="str">
        <f>'Reported burning'!G22</f>
        <v>ND</v>
      </c>
      <c r="H22" s="7" t="str">
        <f>'Reported burning'!H22</f>
        <v>Presence</v>
      </c>
      <c r="I22" s="12"/>
      <c r="J22" s="22" t="s">
        <v>2308</v>
      </c>
      <c r="K22" s="110" t="s">
        <v>2308</v>
      </c>
      <c r="L22" s="22" t="s">
        <v>2308</v>
      </c>
      <c r="M22" s="22" t="s">
        <v>2308</v>
      </c>
      <c r="N22" s="22" t="s">
        <v>2308</v>
      </c>
      <c r="O22" s="22" t="s">
        <v>2308</v>
      </c>
      <c r="P22" s="22" t="s">
        <v>2308</v>
      </c>
      <c r="Q22" s="109" t="s">
        <v>2308</v>
      </c>
      <c r="R22" s="109" t="s">
        <v>2308</v>
      </c>
      <c r="S22" s="94" t="s">
        <v>2425</v>
      </c>
      <c r="T22" s="94" t="s">
        <v>2308</v>
      </c>
      <c r="U22" s="94" t="s">
        <v>2308</v>
      </c>
      <c r="V22" s="94" t="s">
        <v>2308</v>
      </c>
      <c r="W22" s="22" t="s">
        <v>2407</v>
      </c>
      <c r="X22" s="4" t="s">
        <v>75</v>
      </c>
      <c r="Y22" s="4" t="s">
        <v>35</v>
      </c>
      <c r="Z22" s="4" t="s">
        <v>64</v>
      </c>
      <c r="AA22" s="5" t="s">
        <v>118</v>
      </c>
      <c r="AB22" s="5" t="s">
        <v>2293</v>
      </c>
    </row>
    <row r="23" spans="1:28" ht="89" customHeight="1">
      <c r="A23" s="7" t="str">
        <f>'Reported burning'!A23</f>
        <v>2ah</v>
      </c>
      <c r="B23" s="7" t="str">
        <f>'Reported burning'!B23</f>
        <v>2ah.1</v>
      </c>
      <c r="C23" s="7" t="str">
        <f>'Reported burning'!C23</f>
        <v>Human, deliberate</v>
      </c>
      <c r="D23" s="7" t="str">
        <f>'Reported burning'!D23</f>
        <v>Crop residue burning</v>
      </c>
      <c r="E23" s="7" t="str">
        <f>'Reported burning'!E23</f>
        <v>Cropping, Monoculture, Market-oriented</v>
      </c>
      <c r="F23" s="7" t="str">
        <f>'Reported burning'!F23</f>
        <v>Cropland</v>
      </c>
      <c r="G23" s="7" t="str">
        <f>'Reported burning'!G23</f>
        <v>ND</v>
      </c>
      <c r="H23" s="7" t="str">
        <f>'Reported burning'!H23</f>
        <v>Presence</v>
      </c>
      <c r="I23" s="12"/>
      <c r="J23" s="22" t="s">
        <v>2308</v>
      </c>
      <c r="K23" s="110" t="s">
        <v>2308</v>
      </c>
      <c r="L23" s="22" t="s">
        <v>2308</v>
      </c>
      <c r="M23" s="22" t="s">
        <v>2308</v>
      </c>
      <c r="N23" s="22" t="s">
        <v>2308</v>
      </c>
      <c r="O23" s="22" t="s">
        <v>2308</v>
      </c>
      <c r="P23" s="22" t="s">
        <v>2308</v>
      </c>
      <c r="Q23" s="109" t="s">
        <v>2308</v>
      </c>
      <c r="R23" s="109" t="s">
        <v>2308</v>
      </c>
      <c r="S23" s="94" t="s">
        <v>2426</v>
      </c>
      <c r="T23" s="94" t="s">
        <v>2308</v>
      </c>
      <c r="U23" s="94" t="s">
        <v>2308</v>
      </c>
      <c r="V23" s="94" t="s">
        <v>2308</v>
      </c>
      <c r="W23" s="22" t="s">
        <v>2407</v>
      </c>
      <c r="X23" s="4" t="s">
        <v>75</v>
      </c>
      <c r="Y23" s="4" t="s">
        <v>35</v>
      </c>
      <c r="Z23" s="4" t="s">
        <v>64</v>
      </c>
      <c r="AA23" s="5" t="s">
        <v>118</v>
      </c>
      <c r="AB23" s="5" t="s">
        <v>2293</v>
      </c>
    </row>
    <row r="24" spans="1:28" ht="88.5" customHeight="1">
      <c r="A24" s="7" t="str">
        <f>'Reported burning'!A24</f>
        <v>2ai</v>
      </c>
      <c r="B24" s="7" t="str">
        <f>'Reported burning'!B24</f>
        <v>2ai.1</v>
      </c>
      <c r="C24" s="7" t="str">
        <f>'Reported burning'!C24</f>
        <v>Human, deliberate</v>
      </c>
      <c r="D24" s="7" t="str">
        <f>'Reported burning'!D24</f>
        <v>Crop residue burning</v>
      </c>
      <c r="E24" s="7" t="str">
        <f>'Reported burning'!E24</f>
        <v>Cropping, Monoculture, Market-oriented</v>
      </c>
      <c r="F24" s="7" t="str">
        <f>'Reported burning'!F24</f>
        <v>Cropland</v>
      </c>
      <c r="G24" s="7" t="str">
        <f>'Reported burning'!G24</f>
        <v>ND</v>
      </c>
      <c r="H24" s="7" t="str">
        <f>'Reported burning'!H24</f>
        <v>Presence</v>
      </c>
      <c r="I24" s="12"/>
      <c r="J24" s="22" t="s">
        <v>2308</v>
      </c>
      <c r="K24" s="110" t="s">
        <v>2308</v>
      </c>
      <c r="L24" s="22" t="s">
        <v>2308</v>
      </c>
      <c r="M24" s="22" t="s">
        <v>2308</v>
      </c>
      <c r="N24" s="22" t="s">
        <v>2308</v>
      </c>
      <c r="O24" s="22" t="s">
        <v>2308</v>
      </c>
      <c r="P24" s="22" t="s">
        <v>2308</v>
      </c>
      <c r="Q24" s="109" t="s">
        <v>2308</v>
      </c>
      <c r="R24" s="109" t="s">
        <v>2308</v>
      </c>
      <c r="S24" s="94" t="s">
        <v>2426</v>
      </c>
      <c r="T24" s="94" t="s">
        <v>2308</v>
      </c>
      <c r="U24" s="94" t="s">
        <v>2308</v>
      </c>
      <c r="V24" s="94" t="s">
        <v>2308</v>
      </c>
      <c r="W24" s="22" t="s">
        <v>2407</v>
      </c>
      <c r="X24" s="4" t="s">
        <v>75</v>
      </c>
      <c r="Y24" s="4" t="s">
        <v>35</v>
      </c>
      <c r="Z24" s="4" t="s">
        <v>64</v>
      </c>
      <c r="AA24" s="5" t="s">
        <v>118</v>
      </c>
      <c r="AB24" s="5" t="s">
        <v>2293</v>
      </c>
    </row>
    <row r="25" spans="1:28" ht="87" customHeight="1">
      <c r="A25" s="7" t="str">
        <f>'Reported burning'!A25</f>
        <v>2aj</v>
      </c>
      <c r="B25" s="7" t="str">
        <f>'Reported burning'!B25</f>
        <v>2aj.1</v>
      </c>
      <c r="C25" s="7" t="str">
        <f>'Reported burning'!C25</f>
        <v>Human, deliberate</v>
      </c>
      <c r="D25" s="7" t="str">
        <f>'Reported burning'!D25</f>
        <v>Crop residue burning</v>
      </c>
      <c r="E25" s="7" t="str">
        <f>'Reported burning'!E25</f>
        <v>Cropping, Monoculture, Market-oriented</v>
      </c>
      <c r="F25" s="7" t="str">
        <f>'Reported burning'!F25</f>
        <v>Cropland</v>
      </c>
      <c r="G25" s="7" t="str">
        <f>'Reported burning'!G25</f>
        <v>ND</v>
      </c>
      <c r="H25" s="7" t="str">
        <f>'Reported burning'!H25</f>
        <v>Presence</v>
      </c>
      <c r="I25" s="12"/>
      <c r="J25" s="22" t="s">
        <v>2308</v>
      </c>
      <c r="K25" s="110" t="s">
        <v>2308</v>
      </c>
      <c r="L25" s="22" t="s">
        <v>2308</v>
      </c>
      <c r="M25" s="22" t="s">
        <v>2308</v>
      </c>
      <c r="N25" s="22" t="s">
        <v>2308</v>
      </c>
      <c r="O25" s="22" t="s">
        <v>2308</v>
      </c>
      <c r="P25" s="22" t="s">
        <v>2308</v>
      </c>
      <c r="Q25" s="109" t="s">
        <v>2308</v>
      </c>
      <c r="R25" s="109" t="s">
        <v>2308</v>
      </c>
      <c r="S25" s="94" t="s">
        <v>2396</v>
      </c>
      <c r="T25" s="94" t="s">
        <v>2308</v>
      </c>
      <c r="U25" s="94" t="s">
        <v>2308</v>
      </c>
      <c r="V25" s="94" t="s">
        <v>2308</v>
      </c>
      <c r="W25" s="22" t="s">
        <v>2407</v>
      </c>
      <c r="X25" s="4" t="s">
        <v>75</v>
      </c>
      <c r="Y25" s="4" t="s">
        <v>35</v>
      </c>
      <c r="Z25" s="4" t="s">
        <v>64</v>
      </c>
      <c r="AA25" s="5" t="s">
        <v>118</v>
      </c>
      <c r="AB25" s="5" t="s">
        <v>2293</v>
      </c>
    </row>
    <row r="26" spans="1:28" ht="152" customHeight="1">
      <c r="A26" s="7" t="str">
        <f>'Reported burning'!A26</f>
        <v>2ak</v>
      </c>
      <c r="B26" s="7" t="str">
        <f>'Reported burning'!B26</f>
        <v>2ak.1</v>
      </c>
      <c r="C26" s="7" t="str">
        <f>'Reported burning'!C26</f>
        <v>Human, deliberate</v>
      </c>
      <c r="D26" s="7" t="str">
        <f>'Reported burning'!D26</f>
        <v>Crop residue burning</v>
      </c>
      <c r="E26" s="7" t="str">
        <f>'Reported burning'!E26</f>
        <v>Cropping, Monoculture, Market-oriented</v>
      </c>
      <c r="F26" s="7" t="str">
        <f>'Reported burning'!F26</f>
        <v>Cropland</v>
      </c>
      <c r="G26" s="7" t="str">
        <f>'Reported burning'!G26</f>
        <v>ND</v>
      </c>
      <c r="H26" s="7" t="str">
        <f>'Reported burning'!H26</f>
        <v>Presence</v>
      </c>
      <c r="I26" s="12"/>
      <c r="J26" s="22" t="s">
        <v>2308</v>
      </c>
      <c r="K26" s="110" t="s">
        <v>2308</v>
      </c>
      <c r="L26" s="22" t="s">
        <v>2308</v>
      </c>
      <c r="M26" s="22" t="s">
        <v>2308</v>
      </c>
      <c r="N26" s="22" t="s">
        <v>2308</v>
      </c>
      <c r="O26" s="22" t="s">
        <v>2308</v>
      </c>
      <c r="P26" s="22" t="s">
        <v>2308</v>
      </c>
      <c r="Q26" s="109" t="s">
        <v>2308</v>
      </c>
      <c r="R26" s="109" t="s">
        <v>2308</v>
      </c>
      <c r="S26" s="94" t="s">
        <v>2427</v>
      </c>
      <c r="T26" s="94" t="s">
        <v>2308</v>
      </c>
      <c r="U26" s="94" t="s">
        <v>2308</v>
      </c>
      <c r="V26" s="94" t="s">
        <v>2308</v>
      </c>
      <c r="W26" s="22" t="s">
        <v>2407</v>
      </c>
      <c r="X26" s="4" t="s">
        <v>75</v>
      </c>
      <c r="Y26" s="4" t="s">
        <v>35</v>
      </c>
      <c r="Z26" s="4" t="s">
        <v>64</v>
      </c>
      <c r="AA26" s="5" t="s">
        <v>118</v>
      </c>
      <c r="AB26" s="5" t="s">
        <v>2293</v>
      </c>
    </row>
    <row r="27" spans="1:28" ht="140" customHeight="1">
      <c r="A27" s="7" t="str">
        <f>'Reported burning'!A27</f>
        <v>2al</v>
      </c>
      <c r="B27" s="7" t="str">
        <f>'Reported burning'!B27</f>
        <v>2al.1</v>
      </c>
      <c r="C27" s="7" t="str">
        <f>'Reported burning'!C27</f>
        <v>Human, deliberate</v>
      </c>
      <c r="D27" s="7" t="str">
        <f>'Reported burning'!D27</f>
        <v>Crop residue burning</v>
      </c>
      <c r="E27" s="7" t="str">
        <f>'Reported burning'!E27</f>
        <v>Cropping, Monoculture, Market-oriented</v>
      </c>
      <c r="F27" s="7" t="str">
        <f>'Reported burning'!F27</f>
        <v>Cropland</v>
      </c>
      <c r="G27" s="7" t="str">
        <f>'Reported burning'!G27</f>
        <v>ND</v>
      </c>
      <c r="H27" s="7" t="str">
        <f>'Reported burning'!H27</f>
        <v>Presence</v>
      </c>
      <c r="I27" s="12"/>
      <c r="J27" s="22" t="s">
        <v>2308</v>
      </c>
      <c r="K27" s="110" t="s">
        <v>2308</v>
      </c>
      <c r="L27" s="22" t="s">
        <v>2308</v>
      </c>
      <c r="M27" s="22" t="s">
        <v>2308</v>
      </c>
      <c r="N27" s="22" t="s">
        <v>2308</v>
      </c>
      <c r="O27" s="22" t="s">
        <v>2308</v>
      </c>
      <c r="P27" s="22" t="s">
        <v>2308</v>
      </c>
      <c r="Q27" s="109" t="s">
        <v>2308</v>
      </c>
      <c r="R27" s="109" t="s">
        <v>2308</v>
      </c>
      <c r="S27" s="94" t="s">
        <v>2425</v>
      </c>
      <c r="T27" s="94" t="s">
        <v>2308</v>
      </c>
      <c r="U27" s="94" t="s">
        <v>2308</v>
      </c>
      <c r="V27" s="94" t="s">
        <v>2308</v>
      </c>
      <c r="W27" s="22" t="s">
        <v>2407</v>
      </c>
      <c r="X27" s="4" t="s">
        <v>75</v>
      </c>
      <c r="Y27" s="4" t="s">
        <v>35</v>
      </c>
      <c r="Z27" s="4" t="s">
        <v>64</v>
      </c>
      <c r="AA27" s="5" t="s">
        <v>118</v>
      </c>
      <c r="AB27" s="5" t="s">
        <v>2293</v>
      </c>
    </row>
    <row r="28" spans="1:28" ht="43" customHeight="1">
      <c r="A28" s="7" t="str">
        <f>'Reported burning'!A28</f>
        <v>2am</v>
      </c>
      <c r="B28" s="7" t="str">
        <f>'Reported burning'!B28</f>
        <v>2am.1</v>
      </c>
      <c r="C28" s="7" t="str">
        <f>'Reported burning'!C28</f>
        <v>Human, deliberate</v>
      </c>
      <c r="D28" s="7" t="str">
        <f>'Reported burning'!D28</f>
        <v>Crop residue burning</v>
      </c>
      <c r="E28" s="7" t="str">
        <f>'Reported burning'!E28</f>
        <v>Cropping, Monoculture, Market-oriented</v>
      </c>
      <c r="F28" s="7" t="str">
        <f>'Reported burning'!F28</f>
        <v>Cropland</v>
      </c>
      <c r="G28" s="7" t="str">
        <f>'Reported burning'!G28</f>
        <v>ND</v>
      </c>
      <c r="H28" s="7" t="str">
        <f>'Reported burning'!H28</f>
        <v>Presence</v>
      </c>
      <c r="I28" s="12"/>
      <c r="J28" s="22" t="s">
        <v>2308</v>
      </c>
      <c r="K28" s="110" t="s">
        <v>2308</v>
      </c>
      <c r="L28" s="22" t="s">
        <v>2308</v>
      </c>
      <c r="M28" s="22" t="s">
        <v>2308</v>
      </c>
      <c r="N28" s="22" t="s">
        <v>2308</v>
      </c>
      <c r="O28" s="22" t="s">
        <v>2308</v>
      </c>
      <c r="P28" s="22" t="s">
        <v>2308</v>
      </c>
      <c r="Q28" s="109" t="s">
        <v>2308</v>
      </c>
      <c r="R28" s="109" t="s">
        <v>2308</v>
      </c>
      <c r="S28" s="94" t="s">
        <v>2427</v>
      </c>
      <c r="T28" s="94" t="s">
        <v>2308</v>
      </c>
      <c r="U28" s="94" t="s">
        <v>2308</v>
      </c>
      <c r="V28" s="94" t="s">
        <v>2308</v>
      </c>
      <c r="W28" s="22" t="s">
        <v>2407</v>
      </c>
      <c r="X28" s="4" t="s">
        <v>75</v>
      </c>
      <c r="Y28" s="4" t="s">
        <v>35</v>
      </c>
      <c r="Z28" s="4" t="s">
        <v>64</v>
      </c>
      <c r="AA28" s="5" t="s">
        <v>118</v>
      </c>
      <c r="AB28" s="5" t="s">
        <v>2293</v>
      </c>
    </row>
    <row r="29" spans="1:28" ht="56" customHeight="1">
      <c r="A29" s="7" t="str">
        <f>'Reported burning'!A29</f>
        <v>2an</v>
      </c>
      <c r="B29" s="7" t="str">
        <f>'Reported burning'!B29</f>
        <v>2an.1</v>
      </c>
      <c r="C29" s="7" t="str">
        <f>'Reported burning'!C29</f>
        <v>Human, deliberate</v>
      </c>
      <c r="D29" s="7" t="str">
        <f>'Reported burning'!D29</f>
        <v>Crop residue burning</v>
      </c>
      <c r="E29" s="7" t="str">
        <f>'Reported burning'!E29</f>
        <v>Cropping, Monoculture, Market-oriented</v>
      </c>
      <c r="F29" s="7" t="str">
        <f>'Reported burning'!F29</f>
        <v>Cropland</v>
      </c>
      <c r="G29" s="7" t="str">
        <f>'Reported burning'!G29</f>
        <v>ND</v>
      </c>
      <c r="H29" s="7" t="str">
        <f>'Reported burning'!H29</f>
        <v>Presence</v>
      </c>
      <c r="I29" s="12"/>
      <c r="J29" s="22" t="s">
        <v>2308</v>
      </c>
      <c r="K29" s="110" t="s">
        <v>2308</v>
      </c>
      <c r="L29" s="22" t="s">
        <v>2308</v>
      </c>
      <c r="M29" s="22" t="s">
        <v>2308</v>
      </c>
      <c r="N29" s="22" t="s">
        <v>2308</v>
      </c>
      <c r="O29" s="22" t="s">
        <v>2308</v>
      </c>
      <c r="P29" s="22" t="s">
        <v>2308</v>
      </c>
      <c r="Q29" s="109" t="s">
        <v>2308</v>
      </c>
      <c r="R29" s="109" t="s">
        <v>2308</v>
      </c>
      <c r="S29" s="94" t="s">
        <v>2427</v>
      </c>
      <c r="T29" s="94" t="s">
        <v>2308</v>
      </c>
      <c r="U29" s="94" t="s">
        <v>2308</v>
      </c>
      <c r="V29" s="94" t="s">
        <v>2308</v>
      </c>
      <c r="W29" s="22" t="s">
        <v>2407</v>
      </c>
      <c r="X29" s="4" t="s">
        <v>75</v>
      </c>
      <c r="Y29" s="4" t="s">
        <v>35</v>
      </c>
      <c r="Z29" s="4" t="s">
        <v>64</v>
      </c>
      <c r="AA29" s="5" t="s">
        <v>118</v>
      </c>
      <c r="AB29" s="5" t="s">
        <v>2293</v>
      </c>
    </row>
    <row r="30" spans="1:28" ht="55" customHeight="1">
      <c r="A30" s="7" t="str">
        <f>'Reported burning'!A30</f>
        <v>2ao</v>
      </c>
      <c r="B30" s="7" t="str">
        <f>'Reported burning'!B30</f>
        <v>2ao.1</v>
      </c>
      <c r="C30" s="7" t="str">
        <f>'Reported burning'!C30</f>
        <v>Human, deliberate</v>
      </c>
      <c r="D30" s="7" t="str">
        <f>'Reported burning'!D30</f>
        <v>Crop residue burning</v>
      </c>
      <c r="E30" s="7" t="str">
        <f>'Reported burning'!E30</f>
        <v>Cropping, Monoculture, Market-oriented</v>
      </c>
      <c r="F30" s="7" t="str">
        <f>'Reported burning'!F30</f>
        <v>Cropland</v>
      </c>
      <c r="G30" s="7" t="str">
        <f>'Reported burning'!G30</f>
        <v>ND</v>
      </c>
      <c r="H30" s="7" t="str">
        <f>'Reported burning'!H30</f>
        <v>Presence</v>
      </c>
      <c r="I30" s="12"/>
      <c r="J30" s="22" t="s">
        <v>2308</v>
      </c>
      <c r="K30" s="110" t="s">
        <v>2308</v>
      </c>
      <c r="L30" s="22" t="s">
        <v>2308</v>
      </c>
      <c r="M30" s="22" t="s">
        <v>2308</v>
      </c>
      <c r="N30" s="22" t="s">
        <v>2308</v>
      </c>
      <c r="O30" s="22" t="s">
        <v>2308</v>
      </c>
      <c r="P30" s="22" t="s">
        <v>2308</v>
      </c>
      <c r="Q30" s="109" t="s">
        <v>2308</v>
      </c>
      <c r="R30" s="109" t="s">
        <v>2308</v>
      </c>
      <c r="S30" s="94" t="s">
        <v>2425</v>
      </c>
      <c r="T30" s="94" t="s">
        <v>2308</v>
      </c>
      <c r="U30" s="94" t="s">
        <v>2308</v>
      </c>
      <c r="V30" s="94" t="s">
        <v>2308</v>
      </c>
      <c r="W30" s="22" t="s">
        <v>2407</v>
      </c>
      <c r="X30" s="4" t="s">
        <v>75</v>
      </c>
      <c r="Y30" s="4" t="s">
        <v>35</v>
      </c>
      <c r="Z30" s="4" t="s">
        <v>64</v>
      </c>
      <c r="AA30" s="5" t="s">
        <v>118</v>
      </c>
      <c r="AB30" s="5" t="s">
        <v>2293</v>
      </c>
    </row>
    <row r="31" spans="1:28" ht="63.5" customHeight="1">
      <c r="A31" s="7" t="str">
        <f>'Reported burning'!A31</f>
        <v>2ap</v>
      </c>
      <c r="B31" s="7" t="str">
        <f>'Reported burning'!B31</f>
        <v>2ap.1</v>
      </c>
      <c r="C31" s="7" t="str">
        <f>'Reported burning'!C31</f>
        <v>Human, deliberate</v>
      </c>
      <c r="D31" s="7" t="str">
        <f>'Reported burning'!D31</f>
        <v>Crop residue burning</v>
      </c>
      <c r="E31" s="7" t="str">
        <f>'Reported burning'!E31</f>
        <v>Cropping, Monoculture, Market-oriented</v>
      </c>
      <c r="F31" s="7" t="str">
        <f>'Reported burning'!F31</f>
        <v>Cropland</v>
      </c>
      <c r="G31" s="7" t="str">
        <f>'Reported burning'!G31</f>
        <v>ND</v>
      </c>
      <c r="H31" s="7" t="str">
        <f>'Reported burning'!H31</f>
        <v>Presence</v>
      </c>
      <c r="I31" s="12"/>
      <c r="J31" s="22" t="s">
        <v>2308</v>
      </c>
      <c r="K31" s="110" t="s">
        <v>2308</v>
      </c>
      <c r="L31" s="22" t="s">
        <v>2308</v>
      </c>
      <c r="M31" s="22" t="s">
        <v>2308</v>
      </c>
      <c r="N31" s="22" t="s">
        <v>2308</v>
      </c>
      <c r="O31" s="22" t="s">
        <v>2308</v>
      </c>
      <c r="P31" s="22" t="s">
        <v>2308</v>
      </c>
      <c r="Q31" s="109" t="s">
        <v>2308</v>
      </c>
      <c r="R31" s="109" t="s">
        <v>2308</v>
      </c>
      <c r="S31" s="94" t="s">
        <v>2427</v>
      </c>
      <c r="T31" s="94" t="s">
        <v>2308</v>
      </c>
      <c r="U31" s="94" t="s">
        <v>2308</v>
      </c>
      <c r="V31" s="94" t="s">
        <v>2308</v>
      </c>
      <c r="W31" s="22" t="s">
        <v>2407</v>
      </c>
      <c r="X31" s="4" t="s">
        <v>75</v>
      </c>
      <c r="Y31" s="4" t="s">
        <v>35</v>
      </c>
      <c r="Z31" s="4" t="s">
        <v>64</v>
      </c>
      <c r="AA31" s="5" t="s">
        <v>118</v>
      </c>
      <c r="AB31" s="5" t="s">
        <v>2293</v>
      </c>
    </row>
    <row r="32" spans="1:28" ht="58">
      <c r="A32" s="7" t="str">
        <f>'Reported burning'!A32</f>
        <v>2aq</v>
      </c>
      <c r="B32" s="7" t="str">
        <f>'Reported burning'!B32</f>
        <v>2aq.1</v>
      </c>
      <c r="C32" s="7" t="str">
        <f>'Reported burning'!C32</f>
        <v>Human, deliberate</v>
      </c>
      <c r="D32" s="7" t="str">
        <f>'Reported burning'!D32</f>
        <v>Crop residue burning</v>
      </c>
      <c r="E32" s="7" t="str">
        <f>'Reported burning'!E32</f>
        <v>Cropping, Monoculture, Market-oriented</v>
      </c>
      <c r="F32" s="7" t="str">
        <f>'Reported burning'!F32</f>
        <v>Cropland</v>
      </c>
      <c r="G32" s="7" t="str">
        <f>'Reported burning'!G32</f>
        <v>ND</v>
      </c>
      <c r="H32" s="7" t="str">
        <f>'Reported burning'!H32</f>
        <v>Presence</v>
      </c>
      <c r="I32" s="12"/>
      <c r="J32" s="22" t="s">
        <v>2308</v>
      </c>
      <c r="K32" s="110" t="s">
        <v>2308</v>
      </c>
      <c r="L32" s="22" t="s">
        <v>2308</v>
      </c>
      <c r="M32" s="22" t="s">
        <v>2308</v>
      </c>
      <c r="N32" s="22" t="s">
        <v>2308</v>
      </c>
      <c r="O32" s="22" t="s">
        <v>2308</v>
      </c>
      <c r="P32" s="22" t="s">
        <v>2308</v>
      </c>
      <c r="Q32" s="109" t="s">
        <v>2308</v>
      </c>
      <c r="R32" s="109" t="s">
        <v>2308</v>
      </c>
      <c r="S32" s="94" t="s">
        <v>2427</v>
      </c>
      <c r="T32" s="94" t="s">
        <v>2308</v>
      </c>
      <c r="U32" s="94" t="s">
        <v>2308</v>
      </c>
      <c r="V32" s="94" t="s">
        <v>2308</v>
      </c>
      <c r="W32" s="22" t="s">
        <v>2407</v>
      </c>
      <c r="X32" s="4" t="s">
        <v>75</v>
      </c>
      <c r="Y32" s="4" t="s">
        <v>35</v>
      </c>
      <c r="Z32" s="4" t="s">
        <v>64</v>
      </c>
      <c r="AA32" s="5" t="s">
        <v>118</v>
      </c>
      <c r="AB32" s="5" t="s">
        <v>2293</v>
      </c>
    </row>
    <row r="33" spans="1:28" ht="58">
      <c r="A33" s="7" t="str">
        <f>'Reported burning'!A33</f>
        <v>2ar</v>
      </c>
      <c r="B33" s="7" t="str">
        <f>'Reported burning'!B33</f>
        <v>2ar.1</v>
      </c>
      <c r="C33" s="7" t="str">
        <f>'Reported burning'!C33</f>
        <v>Human, deliberate</v>
      </c>
      <c r="D33" s="7" t="str">
        <f>'Reported burning'!D33</f>
        <v>Crop residue burning</v>
      </c>
      <c r="E33" s="7" t="str">
        <f>'Reported burning'!E33</f>
        <v>Cropping, Monoculture, Market-oriented</v>
      </c>
      <c r="F33" s="7" t="str">
        <f>'Reported burning'!F33</f>
        <v>Cropland</v>
      </c>
      <c r="G33" s="7" t="str">
        <f>'Reported burning'!G33</f>
        <v>ND</v>
      </c>
      <c r="H33" s="7" t="str">
        <f>'Reported burning'!H33</f>
        <v>Presence</v>
      </c>
      <c r="I33" s="12"/>
      <c r="J33" s="22" t="s">
        <v>2308</v>
      </c>
      <c r="K33" s="110" t="s">
        <v>2308</v>
      </c>
      <c r="L33" s="22" t="s">
        <v>2308</v>
      </c>
      <c r="M33" s="22" t="s">
        <v>2308</v>
      </c>
      <c r="N33" s="22" t="s">
        <v>2308</v>
      </c>
      <c r="O33" s="22" t="s">
        <v>2308</v>
      </c>
      <c r="P33" s="22" t="s">
        <v>2308</v>
      </c>
      <c r="Q33" s="109" t="s">
        <v>2308</v>
      </c>
      <c r="R33" s="109" t="s">
        <v>2308</v>
      </c>
      <c r="S33" s="94" t="s">
        <v>2427</v>
      </c>
      <c r="T33" s="94" t="s">
        <v>2308</v>
      </c>
      <c r="U33" s="94" t="s">
        <v>2308</v>
      </c>
      <c r="V33" s="94" t="s">
        <v>2308</v>
      </c>
      <c r="W33" s="22" t="s">
        <v>2407</v>
      </c>
      <c r="X33" s="4" t="s">
        <v>75</v>
      </c>
      <c r="Y33" s="4" t="s">
        <v>35</v>
      </c>
      <c r="Z33" s="4" t="s">
        <v>64</v>
      </c>
      <c r="AA33" s="5" t="s">
        <v>118</v>
      </c>
      <c r="AB33" s="5" t="s">
        <v>2293</v>
      </c>
    </row>
    <row r="34" spans="1:28" ht="58">
      <c r="A34" s="7" t="str">
        <f>'Reported burning'!A34</f>
        <v>2as</v>
      </c>
      <c r="B34" s="7" t="str">
        <f>'Reported burning'!B34</f>
        <v>2as.1</v>
      </c>
      <c r="C34" s="7" t="str">
        <f>'Reported burning'!C34</f>
        <v>Human, deliberate</v>
      </c>
      <c r="D34" s="7" t="str">
        <f>'Reported burning'!D34</f>
        <v>Crop residue burning</v>
      </c>
      <c r="E34" s="7" t="str">
        <f>'Reported burning'!E34</f>
        <v>Cropping, Monoculture, Market-oriented</v>
      </c>
      <c r="F34" s="7" t="str">
        <f>'Reported burning'!F34</f>
        <v>Cropland</v>
      </c>
      <c r="G34" s="7" t="str">
        <f>'Reported burning'!G34</f>
        <v>ND</v>
      </c>
      <c r="H34" s="7" t="str">
        <f>'Reported burning'!H34</f>
        <v>Presence</v>
      </c>
      <c r="I34" s="12"/>
      <c r="J34" s="22" t="s">
        <v>2308</v>
      </c>
      <c r="K34" s="110" t="s">
        <v>2308</v>
      </c>
      <c r="L34" s="22" t="s">
        <v>2308</v>
      </c>
      <c r="M34" s="22" t="s">
        <v>2308</v>
      </c>
      <c r="N34" s="22" t="s">
        <v>2308</v>
      </c>
      <c r="O34" s="22" t="s">
        <v>2308</v>
      </c>
      <c r="P34" s="22" t="s">
        <v>2308</v>
      </c>
      <c r="Q34" s="109" t="s">
        <v>2308</v>
      </c>
      <c r="R34" s="109" t="s">
        <v>2308</v>
      </c>
      <c r="S34" s="94" t="s">
        <v>2427</v>
      </c>
      <c r="T34" s="94" t="s">
        <v>2308</v>
      </c>
      <c r="U34" s="94" t="s">
        <v>2308</v>
      </c>
      <c r="V34" s="94" t="s">
        <v>2308</v>
      </c>
      <c r="W34" s="22" t="s">
        <v>2407</v>
      </c>
      <c r="X34" s="4" t="s">
        <v>75</v>
      </c>
      <c r="Y34" s="4" t="s">
        <v>35</v>
      </c>
      <c r="Z34" s="4" t="s">
        <v>64</v>
      </c>
      <c r="AA34" s="5" t="s">
        <v>118</v>
      </c>
      <c r="AB34" s="5" t="s">
        <v>2293</v>
      </c>
    </row>
    <row r="35" spans="1:28" ht="58">
      <c r="A35" s="7" t="str">
        <f>'Reported burning'!A35</f>
        <v>2at</v>
      </c>
      <c r="B35" s="7" t="str">
        <f>'Reported burning'!B35</f>
        <v>2at.1</v>
      </c>
      <c r="C35" s="7" t="str">
        <f>'Reported burning'!C35</f>
        <v>Human, deliberate</v>
      </c>
      <c r="D35" s="7" t="str">
        <f>'Reported burning'!D35</f>
        <v>Crop residue burning</v>
      </c>
      <c r="E35" s="7" t="str">
        <f>'Reported burning'!E35</f>
        <v>Cropping, Monoculture, Market-oriented</v>
      </c>
      <c r="F35" s="7" t="str">
        <f>'Reported burning'!F35</f>
        <v>Cropland</v>
      </c>
      <c r="G35" s="7" t="str">
        <f>'Reported burning'!G35</f>
        <v>ND</v>
      </c>
      <c r="H35" s="7" t="str">
        <f>'Reported burning'!H35</f>
        <v>Presence</v>
      </c>
      <c r="I35" s="12"/>
      <c r="J35" s="22" t="s">
        <v>2308</v>
      </c>
      <c r="K35" s="110" t="s">
        <v>2308</v>
      </c>
      <c r="L35" s="22" t="s">
        <v>2308</v>
      </c>
      <c r="M35" s="22" t="s">
        <v>2308</v>
      </c>
      <c r="N35" s="22" t="s">
        <v>2308</v>
      </c>
      <c r="O35" s="22" t="s">
        <v>2308</v>
      </c>
      <c r="P35" s="22" t="s">
        <v>2308</v>
      </c>
      <c r="Q35" s="109" t="s">
        <v>2308</v>
      </c>
      <c r="R35" s="109" t="s">
        <v>2308</v>
      </c>
      <c r="S35" s="94" t="s">
        <v>2427</v>
      </c>
      <c r="T35" s="94" t="s">
        <v>2308</v>
      </c>
      <c r="U35" s="94" t="s">
        <v>2308</v>
      </c>
      <c r="V35" s="94" t="s">
        <v>2308</v>
      </c>
      <c r="W35" s="22" t="s">
        <v>2407</v>
      </c>
      <c r="X35" s="4" t="s">
        <v>75</v>
      </c>
      <c r="Y35" s="4" t="s">
        <v>35</v>
      </c>
      <c r="Z35" s="4" t="s">
        <v>64</v>
      </c>
      <c r="AA35" s="5" t="s">
        <v>118</v>
      </c>
      <c r="AB35" s="5" t="s">
        <v>2293</v>
      </c>
    </row>
    <row r="36" spans="1:28" ht="58">
      <c r="A36" s="7" t="str">
        <f>'Reported burning'!A36</f>
        <v>2au</v>
      </c>
      <c r="B36" s="7" t="str">
        <f>'Reported burning'!B36</f>
        <v>2au.1</v>
      </c>
      <c r="C36" s="7" t="str">
        <f>'Reported burning'!C36</f>
        <v>Human, deliberate</v>
      </c>
      <c r="D36" s="7" t="str">
        <f>'Reported burning'!D36</f>
        <v>Crop residue burning</v>
      </c>
      <c r="E36" s="7" t="str">
        <f>'Reported burning'!E36</f>
        <v>Cropping, Monoculture, Market-oriented</v>
      </c>
      <c r="F36" s="7" t="str">
        <f>'Reported burning'!F36</f>
        <v>Cropland</v>
      </c>
      <c r="G36" s="7" t="str">
        <f>'Reported burning'!G36</f>
        <v>ND</v>
      </c>
      <c r="H36" s="7" t="str">
        <f>'Reported burning'!H36</f>
        <v>Presence</v>
      </c>
      <c r="I36" s="12"/>
      <c r="J36" s="22" t="s">
        <v>2308</v>
      </c>
      <c r="K36" s="110" t="s">
        <v>2308</v>
      </c>
      <c r="L36" s="22" t="s">
        <v>2308</v>
      </c>
      <c r="M36" s="22" t="s">
        <v>2308</v>
      </c>
      <c r="N36" s="22" t="s">
        <v>2308</v>
      </c>
      <c r="O36" s="22" t="s">
        <v>2308</v>
      </c>
      <c r="P36" s="22" t="s">
        <v>2308</v>
      </c>
      <c r="Q36" s="109" t="s">
        <v>2308</v>
      </c>
      <c r="R36" s="109" t="s">
        <v>2308</v>
      </c>
      <c r="S36" s="94" t="s">
        <v>2426</v>
      </c>
      <c r="T36" s="94" t="s">
        <v>2308</v>
      </c>
      <c r="U36" s="94" t="s">
        <v>2308</v>
      </c>
      <c r="V36" s="94" t="s">
        <v>2308</v>
      </c>
      <c r="W36" s="22" t="s">
        <v>2407</v>
      </c>
      <c r="X36" s="4" t="s">
        <v>75</v>
      </c>
      <c r="Y36" s="4" t="s">
        <v>35</v>
      </c>
      <c r="Z36" s="4" t="s">
        <v>64</v>
      </c>
      <c r="AA36" s="5" t="s">
        <v>118</v>
      </c>
      <c r="AB36" s="5" t="s">
        <v>2293</v>
      </c>
    </row>
    <row r="37" spans="1:28" ht="58">
      <c r="A37" s="7" t="str">
        <f>'Reported burning'!A37</f>
        <v>2av</v>
      </c>
      <c r="B37" s="7" t="str">
        <f>'Reported burning'!B37</f>
        <v>2av.1</v>
      </c>
      <c r="C37" s="7" t="str">
        <f>'Reported burning'!C37</f>
        <v>Human, deliberate</v>
      </c>
      <c r="D37" s="7" t="str">
        <f>'Reported burning'!D37</f>
        <v>Crop residue burning</v>
      </c>
      <c r="E37" s="7" t="str">
        <f>'Reported burning'!E37</f>
        <v>Cropping, Monoculture, Market-oriented</v>
      </c>
      <c r="F37" s="7" t="str">
        <f>'Reported burning'!F37</f>
        <v>Cropland</v>
      </c>
      <c r="G37" s="7" t="str">
        <f>'Reported burning'!G37</f>
        <v>ND</v>
      </c>
      <c r="H37" s="7" t="str">
        <f>'Reported burning'!H37</f>
        <v>Presence</v>
      </c>
      <c r="I37" s="12"/>
      <c r="J37" s="22" t="s">
        <v>2308</v>
      </c>
      <c r="K37" s="110" t="s">
        <v>2308</v>
      </c>
      <c r="L37" s="22" t="s">
        <v>2308</v>
      </c>
      <c r="M37" s="22" t="s">
        <v>2308</v>
      </c>
      <c r="N37" s="22" t="s">
        <v>2308</v>
      </c>
      <c r="O37" s="22" t="s">
        <v>2308</v>
      </c>
      <c r="P37" s="22" t="s">
        <v>2308</v>
      </c>
      <c r="Q37" s="109" t="s">
        <v>2308</v>
      </c>
      <c r="R37" s="109" t="s">
        <v>2308</v>
      </c>
      <c r="S37" s="94" t="s">
        <v>2427</v>
      </c>
      <c r="T37" s="94" t="s">
        <v>2308</v>
      </c>
      <c r="U37" s="94" t="s">
        <v>2308</v>
      </c>
      <c r="V37" s="94" t="s">
        <v>2308</v>
      </c>
      <c r="W37" s="22" t="s">
        <v>2407</v>
      </c>
      <c r="X37" s="4" t="s">
        <v>75</v>
      </c>
      <c r="Y37" s="4" t="s">
        <v>35</v>
      </c>
      <c r="Z37" s="4" t="s">
        <v>64</v>
      </c>
      <c r="AA37" s="5" t="s">
        <v>118</v>
      </c>
      <c r="AB37" s="5" t="s">
        <v>2293</v>
      </c>
    </row>
    <row r="38" spans="1:28" ht="125.5" customHeight="1">
      <c r="A38" s="7" t="str">
        <f>'Reported burning'!A38</f>
        <v>2aw</v>
      </c>
      <c r="B38" s="7" t="str">
        <f>'Reported burning'!B38</f>
        <v>2aw.1</v>
      </c>
      <c r="C38" s="7" t="str">
        <f>'Reported burning'!C38</f>
        <v>Human, deliberate</v>
      </c>
      <c r="D38" s="7" t="str">
        <f>'Reported burning'!D38</f>
        <v>Crop residue burning</v>
      </c>
      <c r="E38" s="7" t="str">
        <f>'Reported burning'!E38</f>
        <v>Cropping, Monoculture, Market-oriented</v>
      </c>
      <c r="F38" s="7" t="str">
        <f>'Reported burning'!F38</f>
        <v>Cropland</v>
      </c>
      <c r="G38" s="7" t="str">
        <f>'Reported burning'!G38</f>
        <v>ND</v>
      </c>
      <c r="H38" s="7" t="str">
        <f>'Reported burning'!H38</f>
        <v>Presence</v>
      </c>
      <c r="I38" s="12"/>
      <c r="J38" s="22" t="s">
        <v>2308</v>
      </c>
      <c r="K38" s="110" t="s">
        <v>2308</v>
      </c>
      <c r="L38" s="22" t="s">
        <v>2308</v>
      </c>
      <c r="M38" s="22" t="s">
        <v>2308</v>
      </c>
      <c r="N38" s="22" t="s">
        <v>2308</v>
      </c>
      <c r="O38" s="22" t="s">
        <v>2308</v>
      </c>
      <c r="P38" s="22" t="s">
        <v>2308</v>
      </c>
      <c r="Q38" s="109" t="s">
        <v>2308</v>
      </c>
      <c r="R38" s="109" t="s">
        <v>2308</v>
      </c>
      <c r="S38" s="94" t="s">
        <v>2427</v>
      </c>
      <c r="T38" s="94" t="s">
        <v>2308</v>
      </c>
      <c r="U38" s="94" t="s">
        <v>2308</v>
      </c>
      <c r="V38" s="94" t="s">
        <v>2308</v>
      </c>
      <c r="W38" s="22" t="s">
        <v>2407</v>
      </c>
      <c r="X38" s="4" t="s">
        <v>75</v>
      </c>
      <c r="Y38" s="4" t="s">
        <v>35</v>
      </c>
      <c r="Z38" s="4" t="s">
        <v>64</v>
      </c>
      <c r="AA38" s="5" t="s">
        <v>118</v>
      </c>
      <c r="AB38" s="5" t="s">
        <v>2293</v>
      </c>
    </row>
    <row r="39" spans="1:28" ht="127" customHeight="1">
      <c r="A39" s="7" t="str">
        <f>'Reported burning'!A39</f>
        <v>2ax</v>
      </c>
      <c r="B39" s="7" t="str">
        <f>'Reported burning'!B39</f>
        <v>2ax.1</v>
      </c>
      <c r="C39" s="7" t="str">
        <f>'Reported burning'!C39</f>
        <v>Human, deliberate</v>
      </c>
      <c r="D39" s="7" t="str">
        <f>'Reported burning'!D39</f>
        <v>Crop residue burning</v>
      </c>
      <c r="E39" s="7" t="str">
        <f>'Reported burning'!E39</f>
        <v>Cropping, Monoculture, Market-oriented</v>
      </c>
      <c r="F39" s="7" t="str">
        <f>'Reported burning'!F39</f>
        <v>Cropland</v>
      </c>
      <c r="G39" s="7" t="str">
        <f>'Reported burning'!G39</f>
        <v>ND</v>
      </c>
      <c r="H39" s="7" t="str">
        <f>'Reported burning'!H39</f>
        <v>Presence</v>
      </c>
      <c r="I39" s="12"/>
      <c r="J39" s="22" t="s">
        <v>2308</v>
      </c>
      <c r="K39" s="110" t="s">
        <v>2308</v>
      </c>
      <c r="L39" s="22" t="s">
        <v>2308</v>
      </c>
      <c r="M39" s="22" t="s">
        <v>2308</v>
      </c>
      <c r="N39" s="22" t="s">
        <v>2308</v>
      </c>
      <c r="O39" s="22" t="s">
        <v>2308</v>
      </c>
      <c r="P39" s="22" t="s">
        <v>2308</v>
      </c>
      <c r="Q39" s="109" t="s">
        <v>2308</v>
      </c>
      <c r="R39" s="109" t="s">
        <v>2308</v>
      </c>
      <c r="S39" s="94" t="s">
        <v>2427</v>
      </c>
      <c r="T39" s="94" t="s">
        <v>2308</v>
      </c>
      <c r="U39" s="94" t="s">
        <v>2308</v>
      </c>
      <c r="V39" s="94" t="s">
        <v>2308</v>
      </c>
      <c r="W39" s="22" t="s">
        <v>2407</v>
      </c>
      <c r="X39" s="4" t="s">
        <v>75</v>
      </c>
      <c r="Y39" s="4" t="s">
        <v>35</v>
      </c>
      <c r="Z39" s="4" t="s">
        <v>64</v>
      </c>
      <c r="AA39" s="5" t="s">
        <v>118</v>
      </c>
      <c r="AB39" s="5" t="s">
        <v>2293</v>
      </c>
    </row>
    <row r="40" spans="1:28" ht="124" customHeight="1">
      <c r="A40" s="7" t="str">
        <f>'Reported burning'!A40</f>
        <v>2ay</v>
      </c>
      <c r="B40" s="7" t="str">
        <f>'Reported burning'!B40</f>
        <v>2ay.1</v>
      </c>
      <c r="C40" s="7" t="str">
        <f>'Reported burning'!C40</f>
        <v>Human, deliberate</v>
      </c>
      <c r="D40" s="7" t="str">
        <f>'Reported burning'!D40</f>
        <v>Crop residue burning</v>
      </c>
      <c r="E40" s="7" t="str">
        <f>'Reported burning'!E40</f>
        <v>Cropping, Monoculture, Market-oriented</v>
      </c>
      <c r="F40" s="7" t="str">
        <f>'Reported burning'!F40</f>
        <v>Cropland</v>
      </c>
      <c r="G40" s="7" t="str">
        <f>'Reported burning'!G40</f>
        <v>ND</v>
      </c>
      <c r="H40" s="7" t="str">
        <f>'Reported burning'!H40</f>
        <v>Presence</v>
      </c>
      <c r="I40" s="12"/>
      <c r="J40" s="22" t="s">
        <v>2308</v>
      </c>
      <c r="K40" s="110" t="s">
        <v>2308</v>
      </c>
      <c r="L40" s="22" t="s">
        <v>2308</v>
      </c>
      <c r="M40" s="22" t="s">
        <v>2308</v>
      </c>
      <c r="N40" s="22" t="s">
        <v>2308</v>
      </c>
      <c r="O40" s="22" t="s">
        <v>2308</v>
      </c>
      <c r="P40" s="22" t="s">
        <v>2308</v>
      </c>
      <c r="Q40" s="109" t="s">
        <v>2308</v>
      </c>
      <c r="R40" s="109" t="s">
        <v>2308</v>
      </c>
      <c r="S40" s="94" t="s">
        <v>2427</v>
      </c>
      <c r="T40" s="94" t="s">
        <v>2308</v>
      </c>
      <c r="U40" s="94" t="s">
        <v>2308</v>
      </c>
      <c r="V40" s="94" t="s">
        <v>2308</v>
      </c>
      <c r="W40" s="22" t="s">
        <v>2407</v>
      </c>
      <c r="X40" s="4" t="s">
        <v>75</v>
      </c>
      <c r="Y40" s="4" t="s">
        <v>35</v>
      </c>
      <c r="Z40" s="4" t="s">
        <v>64</v>
      </c>
      <c r="AA40" s="5" t="s">
        <v>118</v>
      </c>
      <c r="AB40" s="5" t="s">
        <v>2293</v>
      </c>
    </row>
    <row r="41" spans="1:28" ht="64" customHeight="1">
      <c r="A41" s="7" t="str">
        <f>'Reported burning'!A41</f>
        <v>2az</v>
      </c>
      <c r="B41" s="7" t="str">
        <f>'Reported burning'!B41</f>
        <v>2az.1</v>
      </c>
      <c r="C41" s="7" t="str">
        <f>'Reported burning'!C41</f>
        <v>Human, deliberate</v>
      </c>
      <c r="D41" s="7" t="str">
        <f>'Reported burning'!D41</f>
        <v>Crop residue burning</v>
      </c>
      <c r="E41" s="7" t="str">
        <f>'Reported burning'!E41</f>
        <v>Cropping, Monoculture, Market-oriented</v>
      </c>
      <c r="F41" s="7" t="str">
        <f>'Reported burning'!F41</f>
        <v>Cropland</v>
      </c>
      <c r="G41" s="7" t="str">
        <f>'Reported burning'!G41</f>
        <v>ND</v>
      </c>
      <c r="H41" s="7" t="str">
        <f>'Reported burning'!H41</f>
        <v>Presence</v>
      </c>
      <c r="I41" s="12"/>
      <c r="J41" s="22" t="s">
        <v>2308</v>
      </c>
      <c r="K41" s="110" t="s">
        <v>2308</v>
      </c>
      <c r="L41" s="22" t="s">
        <v>2308</v>
      </c>
      <c r="M41" s="22" t="s">
        <v>2308</v>
      </c>
      <c r="N41" s="22" t="s">
        <v>2308</v>
      </c>
      <c r="O41" s="22" t="s">
        <v>2308</v>
      </c>
      <c r="P41" s="22" t="s">
        <v>2308</v>
      </c>
      <c r="Q41" s="109" t="s">
        <v>2308</v>
      </c>
      <c r="R41" s="109" t="s">
        <v>2308</v>
      </c>
      <c r="S41" s="94" t="s">
        <v>2425</v>
      </c>
      <c r="T41" s="94" t="s">
        <v>2308</v>
      </c>
      <c r="U41" s="94" t="s">
        <v>2308</v>
      </c>
      <c r="V41" s="94" t="s">
        <v>2308</v>
      </c>
      <c r="W41" s="22" t="s">
        <v>2407</v>
      </c>
      <c r="X41" s="4" t="s">
        <v>75</v>
      </c>
      <c r="Y41" s="4" t="s">
        <v>35</v>
      </c>
      <c r="Z41" s="4" t="s">
        <v>64</v>
      </c>
      <c r="AA41" s="5" t="s">
        <v>118</v>
      </c>
      <c r="AB41" s="5" t="s">
        <v>2293</v>
      </c>
    </row>
    <row r="42" spans="1:28" ht="78" customHeight="1">
      <c r="A42" s="7" t="str">
        <f>'Reported burning'!A42</f>
        <v>2aaa</v>
      </c>
      <c r="B42" s="7" t="str">
        <f>'Reported burning'!B42</f>
        <v>2aaa.1</v>
      </c>
      <c r="C42" s="7" t="str">
        <f>'Reported burning'!C42</f>
        <v>Human, deliberate</v>
      </c>
      <c r="D42" s="7" t="str">
        <f>'Reported burning'!D42</f>
        <v>Crop residue burning</v>
      </c>
      <c r="E42" s="7" t="str">
        <f>'Reported burning'!E42</f>
        <v>Cropping, Monoculture, Market-oriented</v>
      </c>
      <c r="F42" s="7" t="str">
        <f>'Reported burning'!F42</f>
        <v>Cropland</v>
      </c>
      <c r="G42" s="7" t="str">
        <f>'Reported burning'!G42</f>
        <v>ND</v>
      </c>
      <c r="H42" s="7" t="str">
        <f>'Reported burning'!H42</f>
        <v>Presence</v>
      </c>
      <c r="I42" s="12"/>
      <c r="J42" s="22" t="s">
        <v>2308</v>
      </c>
      <c r="K42" s="110" t="s">
        <v>2308</v>
      </c>
      <c r="L42" s="22" t="s">
        <v>2308</v>
      </c>
      <c r="M42" s="22" t="s">
        <v>2308</v>
      </c>
      <c r="N42" s="22" t="s">
        <v>2308</v>
      </c>
      <c r="O42" s="22" t="s">
        <v>2308</v>
      </c>
      <c r="P42" s="22" t="s">
        <v>2308</v>
      </c>
      <c r="Q42" s="109" t="s">
        <v>2308</v>
      </c>
      <c r="R42" s="109" t="s">
        <v>2308</v>
      </c>
      <c r="S42" s="94" t="s">
        <v>2427</v>
      </c>
      <c r="T42" s="94" t="s">
        <v>2308</v>
      </c>
      <c r="U42" s="94" t="s">
        <v>2308</v>
      </c>
      <c r="V42" s="94" t="s">
        <v>2308</v>
      </c>
      <c r="W42" s="22" t="s">
        <v>2407</v>
      </c>
      <c r="X42" s="4" t="s">
        <v>75</v>
      </c>
      <c r="Y42" s="4" t="s">
        <v>35</v>
      </c>
      <c r="Z42" s="4" t="s">
        <v>64</v>
      </c>
      <c r="AA42" s="5" t="s">
        <v>118</v>
      </c>
      <c r="AB42" s="5" t="s">
        <v>2293</v>
      </c>
    </row>
    <row r="43" spans="1:28" ht="67" customHeight="1">
      <c r="A43" s="7" t="str">
        <f>'Reported burning'!A43</f>
        <v>2aab</v>
      </c>
      <c r="B43" s="7" t="str">
        <f>'Reported burning'!B43</f>
        <v>2aab.1</v>
      </c>
      <c r="C43" s="7" t="str">
        <f>'Reported burning'!C43</f>
        <v>Human, deliberate</v>
      </c>
      <c r="D43" s="7" t="str">
        <f>'Reported burning'!D43</f>
        <v>Crop residue burning</v>
      </c>
      <c r="E43" s="7" t="str">
        <f>'Reported burning'!E43</f>
        <v>Cropping, Monoculture, Market-oriented</v>
      </c>
      <c r="F43" s="7" t="str">
        <f>'Reported burning'!F43</f>
        <v>Cropland</v>
      </c>
      <c r="G43" s="7" t="str">
        <f>'Reported burning'!G43</f>
        <v>ND</v>
      </c>
      <c r="H43" s="7" t="str">
        <f>'Reported burning'!H43</f>
        <v>Presence</v>
      </c>
      <c r="I43" s="12"/>
      <c r="J43" s="22" t="s">
        <v>2308</v>
      </c>
      <c r="K43" s="110" t="s">
        <v>2308</v>
      </c>
      <c r="L43" s="22" t="s">
        <v>2308</v>
      </c>
      <c r="M43" s="22" t="s">
        <v>2308</v>
      </c>
      <c r="N43" s="22" t="s">
        <v>2308</v>
      </c>
      <c r="O43" s="22" t="s">
        <v>2308</v>
      </c>
      <c r="P43" s="22" t="s">
        <v>2308</v>
      </c>
      <c r="Q43" s="109" t="s">
        <v>2308</v>
      </c>
      <c r="R43" s="109" t="s">
        <v>2308</v>
      </c>
      <c r="S43" s="94" t="s">
        <v>2427</v>
      </c>
      <c r="T43" s="94" t="s">
        <v>2308</v>
      </c>
      <c r="U43" s="94" t="s">
        <v>2308</v>
      </c>
      <c r="V43" s="94" t="s">
        <v>2308</v>
      </c>
      <c r="W43" s="22" t="s">
        <v>2407</v>
      </c>
      <c r="X43" s="4" t="s">
        <v>75</v>
      </c>
      <c r="Y43" s="4" t="s">
        <v>35</v>
      </c>
      <c r="Z43" s="4" t="s">
        <v>64</v>
      </c>
      <c r="AA43" s="5" t="s">
        <v>118</v>
      </c>
      <c r="AB43" s="5" t="s">
        <v>2293</v>
      </c>
    </row>
    <row r="44" spans="1:28" ht="72" customHeight="1">
      <c r="A44" s="7" t="str">
        <f>'Reported burning'!A44</f>
        <v>2aac</v>
      </c>
      <c r="B44" s="7" t="str">
        <f>'Reported burning'!B44</f>
        <v>2aac.1</v>
      </c>
      <c r="C44" s="7" t="str">
        <f>'Reported burning'!C44</f>
        <v>Human, deliberate</v>
      </c>
      <c r="D44" s="7" t="str">
        <f>'Reported burning'!D44</f>
        <v>Crop residue burning</v>
      </c>
      <c r="E44" s="7" t="str">
        <f>'Reported burning'!E44</f>
        <v>Cropping, Monoculture, Market-oriented</v>
      </c>
      <c r="F44" s="7" t="str">
        <f>'Reported burning'!F44</f>
        <v>Cropland</v>
      </c>
      <c r="G44" s="7" t="str">
        <f>'Reported burning'!G44</f>
        <v>ND</v>
      </c>
      <c r="H44" s="7" t="str">
        <f>'Reported burning'!H44</f>
        <v>Presence</v>
      </c>
      <c r="I44" s="12"/>
      <c r="J44" s="22" t="s">
        <v>2308</v>
      </c>
      <c r="K44" s="110" t="s">
        <v>2308</v>
      </c>
      <c r="L44" s="22" t="s">
        <v>2308</v>
      </c>
      <c r="M44" s="22" t="s">
        <v>2308</v>
      </c>
      <c r="N44" s="22" t="s">
        <v>2308</v>
      </c>
      <c r="O44" s="22" t="s">
        <v>2308</v>
      </c>
      <c r="P44" s="22" t="s">
        <v>2308</v>
      </c>
      <c r="Q44" s="109" t="s">
        <v>2308</v>
      </c>
      <c r="R44" s="109" t="s">
        <v>2308</v>
      </c>
      <c r="S44" s="94" t="s">
        <v>2427</v>
      </c>
      <c r="T44" s="94" t="s">
        <v>2308</v>
      </c>
      <c r="U44" s="94" t="s">
        <v>2308</v>
      </c>
      <c r="V44" s="94" t="s">
        <v>2308</v>
      </c>
      <c r="W44" s="22" t="s">
        <v>2407</v>
      </c>
      <c r="X44" s="4" t="s">
        <v>75</v>
      </c>
      <c r="Y44" s="4" t="s">
        <v>35</v>
      </c>
      <c r="Z44" s="4" t="s">
        <v>64</v>
      </c>
      <c r="AA44" s="5" t="s">
        <v>118</v>
      </c>
      <c r="AB44" s="5" t="s">
        <v>2293</v>
      </c>
    </row>
    <row r="45" spans="1:28" ht="72" customHeight="1">
      <c r="A45" s="7" t="str">
        <f>'Reported burning'!A45</f>
        <v>2aad</v>
      </c>
      <c r="B45" s="7" t="str">
        <f>'Reported burning'!B45</f>
        <v>2aad.1</v>
      </c>
      <c r="C45" s="7" t="str">
        <f>'Reported burning'!C45</f>
        <v>Human, deliberate</v>
      </c>
      <c r="D45" s="7" t="str">
        <f>'Reported burning'!D45</f>
        <v>Crop residue burning</v>
      </c>
      <c r="E45" s="7" t="str">
        <f>'Reported burning'!E45</f>
        <v>Cropping, Monoculture, Market-oriented</v>
      </c>
      <c r="F45" s="7" t="str">
        <f>'Reported burning'!F45</f>
        <v>Cropland</v>
      </c>
      <c r="G45" s="7" t="str">
        <f>'Reported burning'!G45</f>
        <v>ND</v>
      </c>
      <c r="H45" s="7" t="str">
        <f>'Reported burning'!H45</f>
        <v>Presence</v>
      </c>
      <c r="I45" s="12"/>
      <c r="J45" s="22" t="s">
        <v>2308</v>
      </c>
      <c r="K45" s="110" t="s">
        <v>2308</v>
      </c>
      <c r="L45" s="22" t="s">
        <v>2308</v>
      </c>
      <c r="M45" s="22" t="s">
        <v>2308</v>
      </c>
      <c r="N45" s="22" t="s">
        <v>2308</v>
      </c>
      <c r="O45" s="22" t="s">
        <v>2308</v>
      </c>
      <c r="P45" s="22" t="s">
        <v>2308</v>
      </c>
      <c r="Q45" s="109" t="s">
        <v>2308</v>
      </c>
      <c r="R45" s="109" t="s">
        <v>2308</v>
      </c>
      <c r="S45" s="94" t="s">
        <v>2426</v>
      </c>
      <c r="T45" s="94" t="s">
        <v>2308</v>
      </c>
      <c r="U45" s="94" t="s">
        <v>2308</v>
      </c>
      <c r="V45" s="94" t="s">
        <v>2308</v>
      </c>
      <c r="W45" s="22" t="s">
        <v>2407</v>
      </c>
      <c r="X45" s="4" t="s">
        <v>75</v>
      </c>
      <c r="Y45" s="4" t="s">
        <v>35</v>
      </c>
      <c r="Z45" s="4" t="s">
        <v>64</v>
      </c>
      <c r="AA45" s="5" t="s">
        <v>118</v>
      </c>
      <c r="AB45" s="5" t="s">
        <v>2293</v>
      </c>
    </row>
    <row r="46" spans="1:28" ht="97" customHeight="1">
      <c r="A46" s="7" t="str">
        <f>'Reported burning'!A46</f>
        <v>2b</v>
      </c>
      <c r="B46" s="7" t="str">
        <f>'Reported burning'!B46</f>
        <v>2b.1</v>
      </c>
      <c r="C46" s="7" t="str">
        <f>'Reported burning'!C46</f>
        <v>Human, deliberate</v>
      </c>
      <c r="D46" s="7" t="str">
        <f>'Reported burning'!D46</f>
        <v>Crop residue burning</v>
      </c>
      <c r="E46" s="7" t="str">
        <f>'Reported burning'!E46</f>
        <v>Cropping, Monoculture, Market-oriented</v>
      </c>
      <c r="F46" s="7" t="str">
        <f>'Reported burning'!F46</f>
        <v>Cropland</v>
      </c>
      <c r="G46" s="7" t="str">
        <f>'Reported burning'!G46</f>
        <v>ND</v>
      </c>
      <c r="H46" s="7" t="str">
        <f>'Reported burning'!H46</f>
        <v>Presence</v>
      </c>
      <c r="I46" s="24"/>
      <c r="J46" s="84" t="s">
        <v>2308</v>
      </c>
      <c r="K46" s="116" t="s">
        <v>2308</v>
      </c>
      <c r="L46" s="84" t="s">
        <v>2308</v>
      </c>
      <c r="M46" s="22" t="s">
        <v>2308</v>
      </c>
      <c r="N46" s="84" t="s">
        <v>2308</v>
      </c>
      <c r="O46" s="84" t="s">
        <v>2308</v>
      </c>
      <c r="P46" s="84" t="s">
        <v>2308</v>
      </c>
      <c r="Q46" s="109" t="s">
        <v>2308</v>
      </c>
      <c r="R46" s="109" t="s">
        <v>2308</v>
      </c>
      <c r="S46" s="94" t="s">
        <v>2421</v>
      </c>
      <c r="T46" s="94" t="s">
        <v>2308</v>
      </c>
      <c r="U46" s="94" t="s">
        <v>2308</v>
      </c>
      <c r="V46" s="94" t="s">
        <v>2308</v>
      </c>
      <c r="W46" s="22" t="s">
        <v>2407</v>
      </c>
      <c r="X46" s="23" t="s">
        <v>75</v>
      </c>
      <c r="Y46" s="23" t="s">
        <v>35</v>
      </c>
      <c r="Z46" s="4" t="s">
        <v>64</v>
      </c>
      <c r="AA46" s="5" t="s">
        <v>118</v>
      </c>
      <c r="AB46" s="5" t="s">
        <v>122</v>
      </c>
    </row>
    <row r="47" spans="1:28" ht="92" customHeight="1">
      <c r="A47" s="7" t="str">
        <f>'Reported burning'!A47</f>
        <v>2b</v>
      </c>
      <c r="B47" s="7" t="str">
        <f>'Reported burning'!B47</f>
        <v>2b.2</v>
      </c>
      <c r="C47" s="7" t="str">
        <f>'Reported burning'!C47</f>
        <v>Human, deliberate</v>
      </c>
      <c r="D47" s="7" t="str">
        <f>'Reported burning'!D47</f>
        <v>Crop residue burning</v>
      </c>
      <c r="E47" s="7" t="str">
        <f>'Reported burning'!E47</f>
        <v>Cropping, Monoculture, Subsistence-oriented</v>
      </c>
      <c r="F47" s="7" t="str">
        <f>'Reported burning'!F47</f>
        <v>Cropland</v>
      </c>
      <c r="G47" s="7" t="str">
        <f>'Reported burning'!G47</f>
        <v>ND</v>
      </c>
      <c r="H47" s="7" t="str">
        <f>'Reported burning'!H47</f>
        <v>Presence</v>
      </c>
      <c r="I47" s="24"/>
      <c r="J47" s="84" t="s">
        <v>2308</v>
      </c>
      <c r="K47" s="116" t="s">
        <v>2308</v>
      </c>
      <c r="L47" s="84" t="s">
        <v>2308</v>
      </c>
      <c r="M47" s="22" t="s">
        <v>2308</v>
      </c>
      <c r="N47" s="84" t="s">
        <v>2308</v>
      </c>
      <c r="O47" s="84" t="s">
        <v>2308</v>
      </c>
      <c r="P47" s="84" t="s">
        <v>2308</v>
      </c>
      <c r="Q47" s="109" t="s">
        <v>2308</v>
      </c>
      <c r="R47" s="109" t="s">
        <v>2308</v>
      </c>
      <c r="S47" s="94" t="s">
        <v>2406</v>
      </c>
      <c r="T47" s="94" t="s">
        <v>2308</v>
      </c>
      <c r="U47" s="94" t="s">
        <v>2308</v>
      </c>
      <c r="V47" s="94" t="s">
        <v>2308</v>
      </c>
      <c r="W47" s="22" t="s">
        <v>2407</v>
      </c>
      <c r="X47" s="4" t="s">
        <v>75</v>
      </c>
      <c r="Y47" s="4" t="s">
        <v>35</v>
      </c>
      <c r="Z47" s="4" t="s">
        <v>64</v>
      </c>
      <c r="AA47" s="5" t="s">
        <v>118</v>
      </c>
      <c r="AB47" s="5" t="s">
        <v>123</v>
      </c>
    </row>
    <row r="48" spans="1:28" ht="69.5" customHeight="1">
      <c r="A48" s="7" t="str">
        <f>'Reported burning'!A48</f>
        <v>2ba</v>
      </c>
      <c r="B48" s="7" t="str">
        <f>'Reported burning'!B48</f>
        <v>2ba.1</v>
      </c>
      <c r="C48" s="7" t="str">
        <f>'Reported burning'!C48</f>
        <v>Human, deliberate</v>
      </c>
      <c r="D48" s="7" t="str">
        <f>'Reported burning'!D48</f>
        <v>Crop residue burning</v>
      </c>
      <c r="E48" s="7" t="str">
        <f>'Reported burning'!E48</f>
        <v>Cropping, Monoculture, Market-oriented</v>
      </c>
      <c r="F48" s="7" t="str">
        <f>'Reported burning'!F48</f>
        <v>Cropland</v>
      </c>
      <c r="G48" s="7" t="str">
        <f>'Reported burning'!G48</f>
        <v>ND</v>
      </c>
      <c r="H48" s="7" t="str">
        <f>'Reported burning'!H48</f>
        <v>Presence</v>
      </c>
      <c r="I48" s="24"/>
      <c r="J48" s="84" t="s">
        <v>2308</v>
      </c>
      <c r="K48" s="116" t="s">
        <v>2308</v>
      </c>
      <c r="L48" s="84" t="s">
        <v>2308</v>
      </c>
      <c r="M48" s="22" t="s">
        <v>2308</v>
      </c>
      <c r="N48" s="84" t="s">
        <v>2308</v>
      </c>
      <c r="O48" s="84" t="s">
        <v>2308</v>
      </c>
      <c r="P48" s="84" t="s">
        <v>2308</v>
      </c>
      <c r="Q48" s="109" t="s">
        <v>2308</v>
      </c>
      <c r="R48" s="109" t="s">
        <v>2308</v>
      </c>
      <c r="S48" s="94" t="s">
        <v>2560</v>
      </c>
      <c r="T48" s="94" t="s">
        <v>2308</v>
      </c>
      <c r="U48" s="94" t="s">
        <v>2308</v>
      </c>
      <c r="V48" s="94" t="s">
        <v>2308</v>
      </c>
      <c r="W48" s="22" t="s">
        <v>2407</v>
      </c>
      <c r="X48" s="4" t="s">
        <v>75</v>
      </c>
      <c r="Y48" s="4" t="s">
        <v>35</v>
      </c>
      <c r="Z48" s="4" t="s">
        <v>64</v>
      </c>
      <c r="AA48" s="5" t="s">
        <v>118</v>
      </c>
      <c r="AB48" s="5" t="s">
        <v>2293</v>
      </c>
    </row>
    <row r="49" spans="1:28" ht="69.5" customHeight="1">
      <c r="A49" s="7" t="str">
        <f>'Reported burning'!A49</f>
        <v>2bb</v>
      </c>
      <c r="B49" s="7" t="str">
        <f>'Reported burning'!B49</f>
        <v>2bb.1</v>
      </c>
      <c r="C49" s="7" t="str">
        <f>'Reported burning'!C49</f>
        <v>Human, deliberate</v>
      </c>
      <c r="D49" s="7" t="str">
        <f>'Reported burning'!D49</f>
        <v>Crop residue burning</v>
      </c>
      <c r="E49" s="7" t="str">
        <f>'Reported burning'!E49</f>
        <v>Cropping, Monoculture, Market-oriented</v>
      </c>
      <c r="F49" s="7" t="str">
        <f>'Reported burning'!F49</f>
        <v>Cropland</v>
      </c>
      <c r="G49" s="7" t="str">
        <f>'Reported burning'!G49</f>
        <v>ND</v>
      </c>
      <c r="H49" s="7" t="str">
        <f>'Reported burning'!H49</f>
        <v>Presence</v>
      </c>
      <c r="I49" s="24"/>
      <c r="J49" s="84" t="s">
        <v>2308</v>
      </c>
      <c r="K49" s="116" t="s">
        <v>2308</v>
      </c>
      <c r="L49" s="84" t="s">
        <v>2308</v>
      </c>
      <c r="M49" s="22" t="s">
        <v>2308</v>
      </c>
      <c r="N49" s="84" t="s">
        <v>2308</v>
      </c>
      <c r="O49" s="84" t="s">
        <v>2308</v>
      </c>
      <c r="P49" s="84" t="s">
        <v>2308</v>
      </c>
      <c r="Q49" s="109" t="s">
        <v>2308</v>
      </c>
      <c r="R49" s="109" t="s">
        <v>2308</v>
      </c>
      <c r="S49" s="94" t="s">
        <v>2421</v>
      </c>
      <c r="T49" s="94" t="s">
        <v>2308</v>
      </c>
      <c r="U49" s="94" t="s">
        <v>2308</v>
      </c>
      <c r="V49" s="94" t="s">
        <v>2308</v>
      </c>
      <c r="W49" s="22" t="s">
        <v>2407</v>
      </c>
      <c r="X49" s="4" t="s">
        <v>75</v>
      </c>
      <c r="Y49" s="4" t="s">
        <v>35</v>
      </c>
      <c r="Z49" s="4" t="s">
        <v>64</v>
      </c>
      <c r="AA49" s="5" t="s">
        <v>118</v>
      </c>
      <c r="AB49" s="5" t="s">
        <v>2293</v>
      </c>
    </row>
    <row r="50" spans="1:28" ht="69.5" customHeight="1">
      <c r="A50" s="7" t="str">
        <f>'Reported burning'!A50</f>
        <v>2bc</v>
      </c>
      <c r="B50" s="7" t="str">
        <f>'Reported burning'!B50</f>
        <v>2bc.1</v>
      </c>
      <c r="C50" s="7" t="str">
        <f>'Reported burning'!C50</f>
        <v>Human, deliberate</v>
      </c>
      <c r="D50" s="7" t="str">
        <f>'Reported burning'!D50</f>
        <v>Crop residue burning</v>
      </c>
      <c r="E50" s="7" t="str">
        <f>'Reported burning'!E50</f>
        <v>Cropping, Monoculture, Market-oriented</v>
      </c>
      <c r="F50" s="7" t="str">
        <f>'Reported burning'!F50</f>
        <v>Cropland</v>
      </c>
      <c r="G50" s="7" t="str">
        <f>'Reported burning'!G50</f>
        <v>ND</v>
      </c>
      <c r="H50" s="7" t="str">
        <f>'Reported burning'!H50</f>
        <v>Presence</v>
      </c>
      <c r="I50" s="24"/>
      <c r="J50" s="84" t="s">
        <v>2308</v>
      </c>
      <c r="K50" s="116" t="s">
        <v>2308</v>
      </c>
      <c r="L50" s="84" t="s">
        <v>2308</v>
      </c>
      <c r="M50" s="22" t="s">
        <v>2308</v>
      </c>
      <c r="N50" s="84" t="s">
        <v>2308</v>
      </c>
      <c r="O50" s="84" t="s">
        <v>2308</v>
      </c>
      <c r="P50" s="84" t="s">
        <v>2308</v>
      </c>
      <c r="Q50" s="109" t="s">
        <v>2308</v>
      </c>
      <c r="R50" s="109" t="s">
        <v>2308</v>
      </c>
      <c r="S50" s="94" t="s">
        <v>2422</v>
      </c>
      <c r="T50" s="94" t="s">
        <v>2308</v>
      </c>
      <c r="U50" s="94" t="s">
        <v>2308</v>
      </c>
      <c r="V50" s="94" t="s">
        <v>2308</v>
      </c>
      <c r="W50" s="22" t="s">
        <v>2407</v>
      </c>
      <c r="X50" s="4" t="s">
        <v>75</v>
      </c>
      <c r="Y50" s="4" t="s">
        <v>35</v>
      </c>
      <c r="Z50" s="4" t="s">
        <v>64</v>
      </c>
      <c r="AA50" s="5" t="s">
        <v>118</v>
      </c>
      <c r="AB50" s="5" t="s">
        <v>2293</v>
      </c>
    </row>
    <row r="51" spans="1:28" ht="69.5" customHeight="1">
      <c r="A51" s="7" t="str">
        <f>'Reported burning'!A51</f>
        <v>2bd</v>
      </c>
      <c r="B51" s="7" t="str">
        <f>'Reported burning'!B51</f>
        <v>2bd.1</v>
      </c>
      <c r="C51" s="7" t="str">
        <f>'Reported burning'!C51</f>
        <v>Human, deliberate</v>
      </c>
      <c r="D51" s="7" t="str">
        <f>'Reported burning'!D51</f>
        <v>Crop residue burning</v>
      </c>
      <c r="E51" s="7" t="str">
        <f>'Reported burning'!E51</f>
        <v>Cropping, Monoculture, Market-oriented</v>
      </c>
      <c r="F51" s="7" t="str">
        <f>'Reported burning'!F51</f>
        <v>Cropland</v>
      </c>
      <c r="G51" s="7" t="str">
        <f>'Reported burning'!G51</f>
        <v>ND</v>
      </c>
      <c r="H51" s="7" t="str">
        <f>'Reported burning'!H51</f>
        <v>Presence</v>
      </c>
      <c r="I51" s="24"/>
      <c r="J51" s="84" t="s">
        <v>2308</v>
      </c>
      <c r="K51" s="116" t="s">
        <v>2308</v>
      </c>
      <c r="L51" s="84" t="s">
        <v>2308</v>
      </c>
      <c r="M51" s="22" t="s">
        <v>2308</v>
      </c>
      <c r="N51" s="84" t="s">
        <v>2308</v>
      </c>
      <c r="O51" s="84" t="s">
        <v>2308</v>
      </c>
      <c r="P51" s="84" t="s">
        <v>2308</v>
      </c>
      <c r="Q51" s="109" t="s">
        <v>2308</v>
      </c>
      <c r="R51" s="109" t="s">
        <v>2308</v>
      </c>
      <c r="S51" s="94" t="s">
        <v>2560</v>
      </c>
      <c r="T51" s="94" t="s">
        <v>2308</v>
      </c>
      <c r="U51" s="94" t="s">
        <v>2308</v>
      </c>
      <c r="V51" s="94" t="s">
        <v>2308</v>
      </c>
      <c r="W51" s="22" t="s">
        <v>2407</v>
      </c>
      <c r="X51" s="4" t="s">
        <v>75</v>
      </c>
      <c r="Y51" s="4" t="s">
        <v>35</v>
      </c>
      <c r="Z51" s="4" t="s">
        <v>64</v>
      </c>
      <c r="AA51" s="5" t="s">
        <v>118</v>
      </c>
      <c r="AB51" s="5" t="s">
        <v>2293</v>
      </c>
    </row>
    <row r="52" spans="1:28" ht="69.5" customHeight="1">
      <c r="A52" s="7" t="str">
        <f>'Reported burning'!A52</f>
        <v>2be</v>
      </c>
      <c r="B52" s="7" t="str">
        <f>'Reported burning'!B52</f>
        <v>2be.1</v>
      </c>
      <c r="C52" s="7" t="str">
        <f>'Reported burning'!C52</f>
        <v>Human, deliberate</v>
      </c>
      <c r="D52" s="7" t="str">
        <f>'Reported burning'!D52</f>
        <v>Crop residue burning</v>
      </c>
      <c r="E52" s="7" t="str">
        <f>'Reported burning'!E52</f>
        <v>Cropping, Monoculture, Market-oriented</v>
      </c>
      <c r="F52" s="7" t="str">
        <f>'Reported burning'!F52</f>
        <v>Cropland</v>
      </c>
      <c r="G52" s="7" t="str">
        <f>'Reported burning'!G52</f>
        <v>ND</v>
      </c>
      <c r="H52" s="7" t="str">
        <f>'Reported burning'!H52</f>
        <v>Presence</v>
      </c>
      <c r="I52" s="24"/>
      <c r="J52" s="84" t="s">
        <v>2308</v>
      </c>
      <c r="K52" s="116" t="s">
        <v>2308</v>
      </c>
      <c r="L52" s="84" t="s">
        <v>2308</v>
      </c>
      <c r="M52" s="22" t="s">
        <v>2308</v>
      </c>
      <c r="N52" s="84" t="s">
        <v>2308</v>
      </c>
      <c r="O52" s="84" t="s">
        <v>2308</v>
      </c>
      <c r="P52" s="84" t="s">
        <v>2308</v>
      </c>
      <c r="Q52" s="109" t="s">
        <v>2308</v>
      </c>
      <c r="R52" s="109" t="s">
        <v>2308</v>
      </c>
      <c r="S52" s="94" t="s">
        <v>2560</v>
      </c>
      <c r="T52" s="94" t="s">
        <v>2308</v>
      </c>
      <c r="U52" s="94" t="s">
        <v>2308</v>
      </c>
      <c r="V52" s="94" t="s">
        <v>2308</v>
      </c>
      <c r="W52" s="22" t="s">
        <v>2407</v>
      </c>
      <c r="X52" s="4" t="s">
        <v>75</v>
      </c>
      <c r="Y52" s="4" t="s">
        <v>35</v>
      </c>
      <c r="Z52" s="4" t="s">
        <v>64</v>
      </c>
      <c r="AA52" s="5" t="s">
        <v>118</v>
      </c>
      <c r="AB52" s="5" t="s">
        <v>2293</v>
      </c>
    </row>
    <row r="53" spans="1:28" ht="69.5" customHeight="1">
      <c r="A53" s="7" t="str">
        <f>'Reported burning'!A53</f>
        <v>2bf</v>
      </c>
      <c r="B53" s="7" t="str">
        <f>'Reported burning'!B53</f>
        <v>2bf.1</v>
      </c>
      <c r="C53" s="7" t="str">
        <f>'Reported burning'!C53</f>
        <v>Human, deliberate</v>
      </c>
      <c r="D53" s="7" t="str">
        <f>'Reported burning'!D53</f>
        <v>Crop residue burning</v>
      </c>
      <c r="E53" s="7" t="str">
        <f>'Reported burning'!E53</f>
        <v>Cropping, Monoculture, Market-oriented</v>
      </c>
      <c r="F53" s="7" t="str">
        <f>'Reported burning'!F53</f>
        <v>Cropland</v>
      </c>
      <c r="G53" s="7" t="str">
        <f>'Reported burning'!G53</f>
        <v>ND</v>
      </c>
      <c r="H53" s="7" t="str">
        <f>'Reported burning'!H53</f>
        <v>Presence</v>
      </c>
      <c r="I53" s="24"/>
      <c r="J53" s="84" t="s">
        <v>2308</v>
      </c>
      <c r="K53" s="116" t="s">
        <v>2308</v>
      </c>
      <c r="L53" s="84" t="s">
        <v>2308</v>
      </c>
      <c r="M53" s="22" t="s">
        <v>2308</v>
      </c>
      <c r="N53" s="84" t="s">
        <v>2308</v>
      </c>
      <c r="O53" s="84" t="s">
        <v>2308</v>
      </c>
      <c r="P53" s="84" t="s">
        <v>2308</v>
      </c>
      <c r="Q53" s="109" t="s">
        <v>2308</v>
      </c>
      <c r="R53" s="109" t="s">
        <v>2308</v>
      </c>
      <c r="S53" s="94" t="s">
        <v>2408</v>
      </c>
      <c r="T53" s="94" t="s">
        <v>2308</v>
      </c>
      <c r="U53" s="94" t="s">
        <v>2308</v>
      </c>
      <c r="V53" s="94" t="s">
        <v>2308</v>
      </c>
      <c r="W53" s="22" t="s">
        <v>2407</v>
      </c>
      <c r="X53" s="4" t="s">
        <v>75</v>
      </c>
      <c r="Y53" s="4" t="s">
        <v>35</v>
      </c>
      <c r="Z53" s="4" t="s">
        <v>64</v>
      </c>
      <c r="AA53" s="5" t="s">
        <v>118</v>
      </c>
      <c r="AB53" s="5" t="s">
        <v>2293</v>
      </c>
    </row>
    <row r="54" spans="1:28" ht="69.5" customHeight="1">
      <c r="A54" s="7" t="str">
        <f>'Reported burning'!A54</f>
        <v>2bg</v>
      </c>
      <c r="B54" s="7" t="str">
        <f>'Reported burning'!B54</f>
        <v>2bg.1</v>
      </c>
      <c r="C54" s="7" t="str">
        <f>'Reported burning'!C54</f>
        <v>Human, deliberate</v>
      </c>
      <c r="D54" s="7" t="str">
        <f>'Reported burning'!D54</f>
        <v>Crop residue burning</v>
      </c>
      <c r="E54" s="7" t="str">
        <f>'Reported burning'!E54</f>
        <v>Cropping, Monoculture, Market-oriented</v>
      </c>
      <c r="F54" s="7" t="str">
        <f>'Reported burning'!F54</f>
        <v>Cropland</v>
      </c>
      <c r="G54" s="7" t="str">
        <f>'Reported burning'!G54</f>
        <v>ND</v>
      </c>
      <c r="H54" s="7" t="str">
        <f>'Reported burning'!H54</f>
        <v>Presence</v>
      </c>
      <c r="I54" s="24"/>
      <c r="J54" s="84" t="s">
        <v>2308</v>
      </c>
      <c r="K54" s="116" t="s">
        <v>2308</v>
      </c>
      <c r="L54" s="84" t="s">
        <v>2308</v>
      </c>
      <c r="M54" s="22" t="s">
        <v>2308</v>
      </c>
      <c r="N54" s="84" t="s">
        <v>2308</v>
      </c>
      <c r="O54" s="84" t="s">
        <v>2308</v>
      </c>
      <c r="P54" s="84" t="s">
        <v>2308</v>
      </c>
      <c r="Q54" s="109" t="s">
        <v>2308</v>
      </c>
      <c r="R54" s="109" t="s">
        <v>2308</v>
      </c>
      <c r="S54" s="94" t="s">
        <v>2422</v>
      </c>
      <c r="T54" s="94" t="s">
        <v>2308</v>
      </c>
      <c r="U54" s="94" t="s">
        <v>2308</v>
      </c>
      <c r="V54" s="94" t="s">
        <v>2308</v>
      </c>
      <c r="W54" s="22" t="s">
        <v>2407</v>
      </c>
      <c r="X54" s="4" t="s">
        <v>75</v>
      </c>
      <c r="Y54" s="4" t="s">
        <v>35</v>
      </c>
      <c r="Z54" s="4" t="s">
        <v>64</v>
      </c>
      <c r="AA54" s="5" t="s">
        <v>118</v>
      </c>
      <c r="AB54" s="5" t="s">
        <v>2293</v>
      </c>
    </row>
    <row r="55" spans="1:28" ht="69.5" customHeight="1">
      <c r="A55" s="7" t="str">
        <f>'Reported burning'!A55</f>
        <v>2bh</v>
      </c>
      <c r="B55" s="7" t="str">
        <f>'Reported burning'!B55</f>
        <v>2bh.1</v>
      </c>
      <c r="C55" s="7" t="str">
        <f>'Reported burning'!C55</f>
        <v>Human, deliberate</v>
      </c>
      <c r="D55" s="7" t="str">
        <f>'Reported burning'!D55</f>
        <v>Crop residue burning</v>
      </c>
      <c r="E55" s="7" t="str">
        <f>'Reported burning'!E55</f>
        <v>Cropping, Monoculture, Market-oriented</v>
      </c>
      <c r="F55" s="7" t="str">
        <f>'Reported burning'!F55</f>
        <v>Cropland</v>
      </c>
      <c r="G55" s="7" t="str">
        <f>'Reported burning'!G55</f>
        <v>ND</v>
      </c>
      <c r="H55" s="7" t="str">
        <f>'Reported burning'!H55</f>
        <v>Presence</v>
      </c>
      <c r="I55" s="24"/>
      <c r="J55" s="84" t="s">
        <v>2308</v>
      </c>
      <c r="K55" s="116" t="s">
        <v>2308</v>
      </c>
      <c r="L55" s="84" t="s">
        <v>2308</v>
      </c>
      <c r="M55" s="22" t="s">
        <v>2308</v>
      </c>
      <c r="N55" s="84" t="s">
        <v>2308</v>
      </c>
      <c r="O55" s="84" t="s">
        <v>2308</v>
      </c>
      <c r="P55" s="84" t="s">
        <v>2308</v>
      </c>
      <c r="Q55" s="109" t="s">
        <v>2308</v>
      </c>
      <c r="R55" s="109" t="s">
        <v>2308</v>
      </c>
      <c r="S55" s="94" t="s">
        <v>2421</v>
      </c>
      <c r="T55" s="94" t="s">
        <v>2308</v>
      </c>
      <c r="U55" s="94" t="s">
        <v>2308</v>
      </c>
      <c r="V55" s="94" t="s">
        <v>2308</v>
      </c>
      <c r="W55" s="22" t="s">
        <v>2407</v>
      </c>
      <c r="X55" s="4" t="s">
        <v>75</v>
      </c>
      <c r="Y55" s="4" t="s">
        <v>35</v>
      </c>
      <c r="Z55" s="4" t="s">
        <v>64</v>
      </c>
      <c r="AA55" s="5" t="s">
        <v>118</v>
      </c>
      <c r="AB55" s="5" t="s">
        <v>2293</v>
      </c>
    </row>
    <row r="56" spans="1:28" ht="69.5" customHeight="1">
      <c r="A56" s="7" t="str">
        <f>'Reported burning'!A56</f>
        <v>2bi</v>
      </c>
      <c r="B56" s="7" t="str">
        <f>'Reported burning'!B56</f>
        <v>2bi.1</v>
      </c>
      <c r="C56" s="7" t="str">
        <f>'Reported burning'!C56</f>
        <v>Human, deliberate</v>
      </c>
      <c r="D56" s="7" t="str">
        <f>'Reported burning'!D56</f>
        <v>Crop residue burning</v>
      </c>
      <c r="E56" s="7" t="str">
        <f>'Reported burning'!E56</f>
        <v>Cropping, Monoculture, Market-oriented</v>
      </c>
      <c r="F56" s="7" t="str">
        <f>'Reported burning'!F56</f>
        <v>Cropland</v>
      </c>
      <c r="G56" s="7" t="str">
        <f>'Reported burning'!G56</f>
        <v>ND</v>
      </c>
      <c r="H56" s="7" t="str">
        <f>'Reported burning'!H56</f>
        <v>Presence</v>
      </c>
      <c r="I56" s="24"/>
      <c r="J56" s="84" t="s">
        <v>2308</v>
      </c>
      <c r="K56" s="116" t="s">
        <v>2308</v>
      </c>
      <c r="L56" s="84" t="s">
        <v>2308</v>
      </c>
      <c r="M56" s="22" t="s">
        <v>2308</v>
      </c>
      <c r="N56" s="84" t="s">
        <v>2308</v>
      </c>
      <c r="O56" s="84" t="s">
        <v>2308</v>
      </c>
      <c r="P56" s="84" t="s">
        <v>2308</v>
      </c>
      <c r="Q56" s="109" t="s">
        <v>2308</v>
      </c>
      <c r="R56" s="109" t="s">
        <v>2308</v>
      </c>
      <c r="S56" s="94" t="s">
        <v>2408</v>
      </c>
      <c r="T56" s="94" t="s">
        <v>2308</v>
      </c>
      <c r="U56" s="94" t="s">
        <v>2308</v>
      </c>
      <c r="V56" s="94" t="s">
        <v>2308</v>
      </c>
      <c r="W56" s="22" t="s">
        <v>2407</v>
      </c>
      <c r="X56" s="4" t="s">
        <v>75</v>
      </c>
      <c r="Y56" s="4" t="s">
        <v>35</v>
      </c>
      <c r="Z56" s="4" t="s">
        <v>64</v>
      </c>
      <c r="AA56" s="5" t="s">
        <v>118</v>
      </c>
      <c r="AB56" s="5" t="s">
        <v>2293</v>
      </c>
    </row>
    <row r="57" spans="1:28" ht="69.5" customHeight="1">
      <c r="A57" s="7" t="str">
        <f>'Reported burning'!A57</f>
        <v>2bj</v>
      </c>
      <c r="B57" s="7" t="str">
        <f>'Reported burning'!B57</f>
        <v>2bj.1</v>
      </c>
      <c r="C57" s="7" t="str">
        <f>'Reported burning'!C57</f>
        <v>Human, deliberate</v>
      </c>
      <c r="D57" s="7" t="str">
        <f>'Reported burning'!D57</f>
        <v>Crop residue burning</v>
      </c>
      <c r="E57" s="7" t="str">
        <f>'Reported burning'!E57</f>
        <v>Cropping, Monoculture, Market-oriented</v>
      </c>
      <c r="F57" s="7" t="str">
        <f>'Reported burning'!F57</f>
        <v>Cropland</v>
      </c>
      <c r="G57" s="7" t="str">
        <f>'Reported burning'!G57</f>
        <v>ND</v>
      </c>
      <c r="H57" s="7" t="str">
        <f>'Reported burning'!H57</f>
        <v>Presence</v>
      </c>
      <c r="I57" s="24"/>
      <c r="J57" s="84" t="s">
        <v>2308</v>
      </c>
      <c r="K57" s="116" t="s">
        <v>2308</v>
      </c>
      <c r="L57" s="84" t="s">
        <v>2308</v>
      </c>
      <c r="M57" s="22" t="s">
        <v>2308</v>
      </c>
      <c r="N57" s="84" t="s">
        <v>2308</v>
      </c>
      <c r="O57" s="84" t="s">
        <v>2308</v>
      </c>
      <c r="P57" s="84" t="s">
        <v>2308</v>
      </c>
      <c r="Q57" s="109" t="s">
        <v>2308</v>
      </c>
      <c r="R57" s="109" t="s">
        <v>2308</v>
      </c>
      <c r="S57" s="94" t="s">
        <v>2424</v>
      </c>
      <c r="T57" s="94" t="s">
        <v>2308</v>
      </c>
      <c r="U57" s="94" t="s">
        <v>2308</v>
      </c>
      <c r="V57" s="94" t="s">
        <v>2308</v>
      </c>
      <c r="W57" s="22" t="s">
        <v>2407</v>
      </c>
      <c r="X57" s="4" t="s">
        <v>75</v>
      </c>
      <c r="Y57" s="4" t="s">
        <v>35</v>
      </c>
      <c r="Z57" s="4" t="s">
        <v>64</v>
      </c>
      <c r="AA57" s="5" t="s">
        <v>118</v>
      </c>
      <c r="AB57" s="5" t="s">
        <v>2293</v>
      </c>
    </row>
    <row r="58" spans="1:28" ht="69.5" customHeight="1">
      <c r="A58" s="7" t="str">
        <f>'Reported burning'!A58</f>
        <v>2bk</v>
      </c>
      <c r="B58" s="7" t="str">
        <f>'Reported burning'!B58</f>
        <v>2bk.1</v>
      </c>
      <c r="C58" s="7" t="str">
        <f>'Reported burning'!C58</f>
        <v>Human, deliberate</v>
      </c>
      <c r="D58" s="7" t="str">
        <f>'Reported burning'!D58</f>
        <v>Crop residue burning</v>
      </c>
      <c r="E58" s="7" t="str">
        <f>'Reported burning'!E58</f>
        <v>Cropping, Monoculture, Market-oriented</v>
      </c>
      <c r="F58" s="7" t="str">
        <f>'Reported burning'!F58</f>
        <v>Cropland</v>
      </c>
      <c r="G58" s="7" t="str">
        <f>'Reported burning'!G58</f>
        <v>ND</v>
      </c>
      <c r="H58" s="7" t="str">
        <f>'Reported burning'!H58</f>
        <v>Presence</v>
      </c>
      <c r="I58" s="24"/>
      <c r="J58" s="84" t="s">
        <v>2308</v>
      </c>
      <c r="K58" s="116" t="s">
        <v>2308</v>
      </c>
      <c r="L58" s="84" t="s">
        <v>2308</v>
      </c>
      <c r="M58" s="22" t="s">
        <v>2308</v>
      </c>
      <c r="N58" s="84" t="s">
        <v>2308</v>
      </c>
      <c r="O58" s="84" t="s">
        <v>2308</v>
      </c>
      <c r="P58" s="84" t="s">
        <v>2308</v>
      </c>
      <c r="Q58" s="109" t="s">
        <v>2308</v>
      </c>
      <c r="R58" s="109" t="s">
        <v>2308</v>
      </c>
      <c r="S58" s="94" t="s">
        <v>2408</v>
      </c>
      <c r="T58" s="94" t="s">
        <v>2308</v>
      </c>
      <c r="U58" s="94" t="s">
        <v>2308</v>
      </c>
      <c r="V58" s="94" t="s">
        <v>2308</v>
      </c>
      <c r="W58" s="22" t="s">
        <v>2407</v>
      </c>
      <c r="X58" s="4" t="s">
        <v>75</v>
      </c>
      <c r="Y58" s="4" t="s">
        <v>35</v>
      </c>
      <c r="Z58" s="4" t="s">
        <v>64</v>
      </c>
      <c r="AA58" s="5" t="s">
        <v>118</v>
      </c>
      <c r="AB58" s="5" t="s">
        <v>2293</v>
      </c>
    </row>
    <row r="59" spans="1:28" ht="69.5" customHeight="1">
      <c r="A59" s="7" t="str">
        <f>'Reported burning'!A59</f>
        <v>2bl</v>
      </c>
      <c r="B59" s="7" t="str">
        <f>'Reported burning'!B59</f>
        <v>2bl.1</v>
      </c>
      <c r="C59" s="7" t="str">
        <f>'Reported burning'!C59</f>
        <v>Human, deliberate</v>
      </c>
      <c r="D59" s="7" t="str">
        <f>'Reported burning'!D59</f>
        <v>Crop residue burning</v>
      </c>
      <c r="E59" s="7" t="str">
        <f>'Reported burning'!E59</f>
        <v>Cropping, Monoculture, Market-oriented</v>
      </c>
      <c r="F59" s="7" t="str">
        <f>'Reported burning'!F59</f>
        <v>Cropland</v>
      </c>
      <c r="G59" s="7" t="str">
        <f>'Reported burning'!G59</f>
        <v>ND</v>
      </c>
      <c r="H59" s="7" t="str">
        <f>'Reported burning'!H59</f>
        <v>Presence</v>
      </c>
      <c r="I59" s="24"/>
      <c r="J59" s="84" t="s">
        <v>2308</v>
      </c>
      <c r="K59" s="116" t="s">
        <v>2308</v>
      </c>
      <c r="L59" s="84" t="s">
        <v>2308</v>
      </c>
      <c r="M59" s="22" t="s">
        <v>2308</v>
      </c>
      <c r="N59" s="84" t="s">
        <v>2308</v>
      </c>
      <c r="O59" s="84" t="s">
        <v>2308</v>
      </c>
      <c r="P59" s="84" t="s">
        <v>2308</v>
      </c>
      <c r="Q59" s="109" t="s">
        <v>2308</v>
      </c>
      <c r="R59" s="109" t="s">
        <v>2308</v>
      </c>
      <c r="S59" s="94" t="s">
        <v>2408</v>
      </c>
      <c r="T59" s="94" t="s">
        <v>2308</v>
      </c>
      <c r="U59" s="94" t="s">
        <v>2308</v>
      </c>
      <c r="V59" s="94" t="s">
        <v>2308</v>
      </c>
      <c r="W59" s="22" t="s">
        <v>2407</v>
      </c>
      <c r="X59" s="4" t="s">
        <v>75</v>
      </c>
      <c r="Y59" s="4" t="s">
        <v>35</v>
      </c>
      <c r="Z59" s="4" t="s">
        <v>64</v>
      </c>
      <c r="AA59" s="5" t="s">
        <v>118</v>
      </c>
      <c r="AB59" s="5" t="s">
        <v>2293</v>
      </c>
    </row>
    <row r="60" spans="1:28" ht="69.5" customHeight="1">
      <c r="A60" s="7" t="str">
        <f>'Reported burning'!A60</f>
        <v>2bm</v>
      </c>
      <c r="B60" s="7" t="str">
        <f>'Reported burning'!B60</f>
        <v>2bm.1</v>
      </c>
      <c r="C60" s="7" t="str">
        <f>'Reported burning'!C60</f>
        <v>Human, deliberate</v>
      </c>
      <c r="D60" s="7" t="str">
        <f>'Reported burning'!D60</f>
        <v>Crop residue burning</v>
      </c>
      <c r="E60" s="7" t="str">
        <f>'Reported burning'!E60</f>
        <v>Cropping, Monoculture, Market-oriented</v>
      </c>
      <c r="F60" s="7" t="str">
        <f>'Reported burning'!F60</f>
        <v>Cropland</v>
      </c>
      <c r="G60" s="7" t="str">
        <f>'Reported burning'!G60</f>
        <v>ND</v>
      </c>
      <c r="H60" s="7" t="str">
        <f>'Reported burning'!H60</f>
        <v>Presence</v>
      </c>
      <c r="I60" s="24"/>
      <c r="J60" s="84" t="s">
        <v>2308</v>
      </c>
      <c r="K60" s="116" t="s">
        <v>2308</v>
      </c>
      <c r="L60" s="84" t="s">
        <v>2308</v>
      </c>
      <c r="M60" s="22" t="s">
        <v>2308</v>
      </c>
      <c r="N60" s="84" t="s">
        <v>2308</v>
      </c>
      <c r="O60" s="84" t="s">
        <v>2308</v>
      </c>
      <c r="P60" s="84" t="s">
        <v>2308</v>
      </c>
      <c r="Q60" s="109" t="s">
        <v>2308</v>
      </c>
      <c r="R60" s="109" t="s">
        <v>2308</v>
      </c>
      <c r="S60" s="94" t="s">
        <v>2421</v>
      </c>
      <c r="T60" s="94" t="s">
        <v>2308</v>
      </c>
      <c r="U60" s="94" t="s">
        <v>2308</v>
      </c>
      <c r="V60" s="94" t="s">
        <v>2308</v>
      </c>
      <c r="W60" s="22" t="s">
        <v>2407</v>
      </c>
      <c r="X60" s="4" t="s">
        <v>75</v>
      </c>
      <c r="Y60" s="4" t="s">
        <v>35</v>
      </c>
      <c r="Z60" s="4" t="s">
        <v>64</v>
      </c>
      <c r="AA60" s="5" t="s">
        <v>118</v>
      </c>
      <c r="AB60" s="5" t="s">
        <v>2293</v>
      </c>
    </row>
    <row r="61" spans="1:28" ht="69.5" customHeight="1">
      <c r="A61" s="7" t="str">
        <f>'Reported burning'!A61</f>
        <v>2bn</v>
      </c>
      <c r="B61" s="7" t="str">
        <f>'Reported burning'!B61</f>
        <v>2bn.1</v>
      </c>
      <c r="C61" s="7" t="str">
        <f>'Reported burning'!C61</f>
        <v>Human, deliberate</v>
      </c>
      <c r="D61" s="7" t="str">
        <f>'Reported burning'!D61</f>
        <v>Crop residue burning</v>
      </c>
      <c r="E61" s="7" t="str">
        <f>'Reported burning'!E61</f>
        <v>Cropping, Monoculture, Market-oriented</v>
      </c>
      <c r="F61" s="7" t="str">
        <f>'Reported burning'!F61</f>
        <v>Cropland</v>
      </c>
      <c r="G61" s="7" t="str">
        <f>'Reported burning'!G61</f>
        <v>ND</v>
      </c>
      <c r="H61" s="7" t="str">
        <f>'Reported burning'!H61</f>
        <v>Presence</v>
      </c>
      <c r="I61" s="24"/>
      <c r="J61" s="84" t="s">
        <v>2308</v>
      </c>
      <c r="K61" s="116" t="s">
        <v>2308</v>
      </c>
      <c r="L61" s="84" t="s">
        <v>2308</v>
      </c>
      <c r="M61" s="22" t="s">
        <v>2308</v>
      </c>
      <c r="N61" s="84" t="s">
        <v>2308</v>
      </c>
      <c r="O61" s="84" t="s">
        <v>2308</v>
      </c>
      <c r="P61" s="84" t="s">
        <v>2308</v>
      </c>
      <c r="Q61" s="109" t="s">
        <v>2308</v>
      </c>
      <c r="R61" s="109" t="s">
        <v>2308</v>
      </c>
      <c r="S61" s="94" t="s">
        <v>2408</v>
      </c>
      <c r="T61" s="94" t="s">
        <v>2308</v>
      </c>
      <c r="U61" s="94" t="s">
        <v>2308</v>
      </c>
      <c r="V61" s="94" t="s">
        <v>2308</v>
      </c>
      <c r="W61" s="22" t="s">
        <v>2407</v>
      </c>
      <c r="X61" s="4" t="s">
        <v>75</v>
      </c>
      <c r="Y61" s="4" t="s">
        <v>35</v>
      </c>
      <c r="Z61" s="4" t="s">
        <v>64</v>
      </c>
      <c r="AA61" s="5" t="s">
        <v>118</v>
      </c>
      <c r="AB61" s="5" t="s">
        <v>2293</v>
      </c>
    </row>
    <row r="62" spans="1:28" ht="69.5" customHeight="1">
      <c r="A62" s="7" t="str">
        <f>'Reported burning'!A62</f>
        <v>2bo</v>
      </c>
      <c r="B62" s="7" t="str">
        <f>'Reported burning'!B62</f>
        <v>2bo.1</v>
      </c>
      <c r="C62" s="7" t="str">
        <f>'Reported burning'!C62</f>
        <v>Human, deliberate</v>
      </c>
      <c r="D62" s="7" t="str">
        <f>'Reported burning'!D62</f>
        <v>Crop residue burning</v>
      </c>
      <c r="E62" s="7" t="str">
        <f>'Reported burning'!E62</f>
        <v>Cropping, Monoculture, Market-oriented</v>
      </c>
      <c r="F62" s="7" t="str">
        <f>'Reported burning'!F62</f>
        <v>Cropland</v>
      </c>
      <c r="G62" s="7" t="str">
        <f>'Reported burning'!G62</f>
        <v>ND</v>
      </c>
      <c r="H62" s="7" t="str">
        <f>'Reported burning'!H62</f>
        <v>Presence</v>
      </c>
      <c r="I62" s="24"/>
      <c r="J62" s="84" t="s">
        <v>2308</v>
      </c>
      <c r="K62" s="116" t="s">
        <v>2308</v>
      </c>
      <c r="L62" s="84" t="s">
        <v>2308</v>
      </c>
      <c r="M62" s="22" t="s">
        <v>2308</v>
      </c>
      <c r="N62" s="84" t="s">
        <v>2308</v>
      </c>
      <c r="O62" s="84" t="s">
        <v>2308</v>
      </c>
      <c r="P62" s="84" t="s">
        <v>2308</v>
      </c>
      <c r="Q62" s="109" t="s">
        <v>2308</v>
      </c>
      <c r="R62" s="109" t="s">
        <v>2308</v>
      </c>
      <c r="S62" s="94" t="s">
        <v>2560</v>
      </c>
      <c r="T62" s="94" t="s">
        <v>2308</v>
      </c>
      <c r="U62" s="94" t="s">
        <v>2308</v>
      </c>
      <c r="V62" s="94" t="s">
        <v>2308</v>
      </c>
      <c r="W62" s="22" t="s">
        <v>2407</v>
      </c>
      <c r="X62" s="4" t="s">
        <v>75</v>
      </c>
      <c r="Y62" s="4" t="s">
        <v>35</v>
      </c>
      <c r="Z62" s="4" t="s">
        <v>64</v>
      </c>
      <c r="AA62" s="5" t="s">
        <v>118</v>
      </c>
      <c r="AB62" s="5" t="s">
        <v>2293</v>
      </c>
    </row>
    <row r="63" spans="1:28" ht="69.5" customHeight="1">
      <c r="A63" s="7" t="str">
        <f>'Reported burning'!A63</f>
        <v>2bp</v>
      </c>
      <c r="B63" s="7" t="str">
        <f>'Reported burning'!B63</f>
        <v>2bp.1</v>
      </c>
      <c r="C63" s="7" t="str">
        <f>'Reported burning'!C63</f>
        <v>Human, deliberate</v>
      </c>
      <c r="D63" s="7" t="str">
        <f>'Reported burning'!D63</f>
        <v>Crop residue burning</v>
      </c>
      <c r="E63" s="7" t="str">
        <f>'Reported burning'!E63</f>
        <v>Cropping, Monoculture, Market-oriented</v>
      </c>
      <c r="F63" s="7" t="str">
        <f>'Reported burning'!F63</f>
        <v>Cropland</v>
      </c>
      <c r="G63" s="7" t="str">
        <f>'Reported burning'!G63</f>
        <v>ND</v>
      </c>
      <c r="H63" s="7" t="str">
        <f>'Reported burning'!H63</f>
        <v>Presence</v>
      </c>
      <c r="I63" s="24"/>
      <c r="J63" s="84" t="s">
        <v>2308</v>
      </c>
      <c r="K63" s="116" t="s">
        <v>2308</v>
      </c>
      <c r="L63" s="84" t="s">
        <v>2308</v>
      </c>
      <c r="M63" s="22" t="s">
        <v>2308</v>
      </c>
      <c r="N63" s="84" t="s">
        <v>2308</v>
      </c>
      <c r="O63" s="84" t="s">
        <v>2308</v>
      </c>
      <c r="P63" s="84" t="s">
        <v>2308</v>
      </c>
      <c r="Q63" s="109" t="s">
        <v>2308</v>
      </c>
      <c r="R63" s="109" t="s">
        <v>2308</v>
      </c>
      <c r="S63" s="94" t="s">
        <v>2408</v>
      </c>
      <c r="T63" s="94" t="s">
        <v>2308</v>
      </c>
      <c r="U63" s="94" t="s">
        <v>2308</v>
      </c>
      <c r="V63" s="94" t="s">
        <v>2308</v>
      </c>
      <c r="W63" s="22" t="s">
        <v>2407</v>
      </c>
      <c r="X63" s="4" t="s">
        <v>75</v>
      </c>
      <c r="Y63" s="4" t="s">
        <v>35</v>
      </c>
      <c r="Z63" s="4" t="s">
        <v>64</v>
      </c>
      <c r="AA63" s="5" t="s">
        <v>118</v>
      </c>
      <c r="AB63" s="5" t="s">
        <v>2293</v>
      </c>
    </row>
    <row r="64" spans="1:28" ht="69.5" customHeight="1">
      <c r="A64" s="7" t="str">
        <f>'Reported burning'!A64</f>
        <v>2bq</v>
      </c>
      <c r="B64" s="7" t="str">
        <f>'Reported burning'!B64</f>
        <v>2bq.1</v>
      </c>
      <c r="C64" s="7" t="str">
        <f>'Reported burning'!C64</f>
        <v>Human, deliberate</v>
      </c>
      <c r="D64" s="7" t="str">
        <f>'Reported burning'!D64</f>
        <v>Crop residue burning</v>
      </c>
      <c r="E64" s="7" t="str">
        <f>'Reported burning'!E64</f>
        <v>Cropping, Monoculture, Market-oriented</v>
      </c>
      <c r="F64" s="7" t="str">
        <f>'Reported burning'!F64</f>
        <v>Cropland</v>
      </c>
      <c r="G64" s="7" t="str">
        <f>'Reported burning'!G64</f>
        <v>ND</v>
      </c>
      <c r="H64" s="7" t="str">
        <f>'Reported burning'!H64</f>
        <v>Presence</v>
      </c>
      <c r="I64" s="24"/>
      <c r="J64" s="84" t="s">
        <v>2308</v>
      </c>
      <c r="K64" s="116" t="s">
        <v>2308</v>
      </c>
      <c r="L64" s="84" t="s">
        <v>2308</v>
      </c>
      <c r="M64" s="22" t="s">
        <v>2308</v>
      </c>
      <c r="N64" s="84" t="s">
        <v>2308</v>
      </c>
      <c r="O64" s="84" t="s">
        <v>2308</v>
      </c>
      <c r="P64" s="84" t="s">
        <v>2308</v>
      </c>
      <c r="Q64" s="109" t="s">
        <v>2308</v>
      </c>
      <c r="R64" s="109" t="s">
        <v>2308</v>
      </c>
      <c r="S64" s="94" t="s">
        <v>2560</v>
      </c>
      <c r="T64" s="94" t="s">
        <v>2308</v>
      </c>
      <c r="U64" s="94" t="s">
        <v>2308</v>
      </c>
      <c r="V64" s="94" t="s">
        <v>2308</v>
      </c>
      <c r="W64" s="22" t="s">
        <v>2407</v>
      </c>
      <c r="X64" s="4" t="s">
        <v>75</v>
      </c>
      <c r="Y64" s="4" t="s">
        <v>35</v>
      </c>
      <c r="Z64" s="4" t="s">
        <v>64</v>
      </c>
      <c r="AA64" s="5" t="s">
        <v>118</v>
      </c>
      <c r="AB64" s="5" t="s">
        <v>2293</v>
      </c>
    </row>
    <row r="65" spans="1:28" ht="69.5" customHeight="1">
      <c r="A65" s="7" t="str">
        <f>'Reported burning'!A65</f>
        <v>2br</v>
      </c>
      <c r="B65" s="7" t="str">
        <f>'Reported burning'!B65</f>
        <v>2br.1</v>
      </c>
      <c r="C65" s="7" t="str">
        <f>'Reported burning'!C65</f>
        <v>Human, deliberate</v>
      </c>
      <c r="D65" s="7" t="str">
        <f>'Reported burning'!D65</f>
        <v>Crop residue burning</v>
      </c>
      <c r="E65" s="7" t="str">
        <f>'Reported burning'!E65</f>
        <v>Cropping, Monoculture, Market-oriented</v>
      </c>
      <c r="F65" s="7" t="str">
        <f>'Reported burning'!F65</f>
        <v>Cropland</v>
      </c>
      <c r="G65" s="7" t="str">
        <f>'Reported burning'!G65</f>
        <v>ND</v>
      </c>
      <c r="H65" s="7" t="str">
        <f>'Reported burning'!H65</f>
        <v>Presence</v>
      </c>
      <c r="I65" s="24"/>
      <c r="J65" s="84" t="s">
        <v>2308</v>
      </c>
      <c r="K65" s="116" t="s">
        <v>2308</v>
      </c>
      <c r="L65" s="84" t="s">
        <v>2308</v>
      </c>
      <c r="M65" s="22" t="s">
        <v>2308</v>
      </c>
      <c r="N65" s="84" t="s">
        <v>2308</v>
      </c>
      <c r="O65" s="84" t="s">
        <v>2308</v>
      </c>
      <c r="P65" s="84" t="s">
        <v>2308</v>
      </c>
      <c r="Q65" s="109" t="s">
        <v>2308</v>
      </c>
      <c r="R65" s="109" t="s">
        <v>2308</v>
      </c>
      <c r="S65" s="94" t="s">
        <v>2560</v>
      </c>
      <c r="T65" s="94" t="s">
        <v>2308</v>
      </c>
      <c r="U65" s="94" t="s">
        <v>2308</v>
      </c>
      <c r="V65" s="94" t="s">
        <v>2308</v>
      </c>
      <c r="W65" s="22" t="s">
        <v>2407</v>
      </c>
      <c r="X65" s="4" t="s">
        <v>75</v>
      </c>
      <c r="Y65" s="4" t="s">
        <v>35</v>
      </c>
      <c r="Z65" s="4" t="s">
        <v>64</v>
      </c>
      <c r="AA65" s="5" t="s">
        <v>118</v>
      </c>
      <c r="AB65" s="5" t="s">
        <v>2293</v>
      </c>
    </row>
    <row r="66" spans="1:28" ht="69.5" customHeight="1">
      <c r="A66" s="7" t="str">
        <f>'Reported burning'!A66</f>
        <v>2bs</v>
      </c>
      <c r="B66" s="7" t="str">
        <f>'Reported burning'!B66</f>
        <v>2bs.1</v>
      </c>
      <c r="C66" s="7" t="str">
        <f>'Reported burning'!C66</f>
        <v>Human, deliberate</v>
      </c>
      <c r="D66" s="7" t="str">
        <f>'Reported burning'!D66</f>
        <v>Crop residue burning</v>
      </c>
      <c r="E66" s="7" t="str">
        <f>'Reported burning'!E66</f>
        <v>Cropping, Monoculture, Market-oriented</v>
      </c>
      <c r="F66" s="7" t="str">
        <f>'Reported burning'!F66</f>
        <v>Cropland</v>
      </c>
      <c r="G66" s="7" t="str">
        <f>'Reported burning'!G66</f>
        <v>ND</v>
      </c>
      <c r="H66" s="7" t="str">
        <f>'Reported burning'!H66</f>
        <v>Presence</v>
      </c>
      <c r="I66" s="24"/>
      <c r="J66" s="84" t="s">
        <v>2308</v>
      </c>
      <c r="K66" s="116" t="s">
        <v>2308</v>
      </c>
      <c r="L66" s="84" t="s">
        <v>2308</v>
      </c>
      <c r="M66" s="22" t="s">
        <v>2308</v>
      </c>
      <c r="N66" s="84" t="s">
        <v>2308</v>
      </c>
      <c r="O66" s="84" t="s">
        <v>2308</v>
      </c>
      <c r="P66" s="84" t="s">
        <v>2308</v>
      </c>
      <c r="Q66" s="109" t="s">
        <v>2308</v>
      </c>
      <c r="R66" s="109" t="s">
        <v>2308</v>
      </c>
      <c r="S66" s="94" t="s">
        <v>2408</v>
      </c>
      <c r="T66" s="94" t="s">
        <v>2308</v>
      </c>
      <c r="U66" s="94" t="s">
        <v>2308</v>
      </c>
      <c r="V66" s="94" t="s">
        <v>2308</v>
      </c>
      <c r="W66" s="22" t="s">
        <v>2407</v>
      </c>
      <c r="X66" s="4" t="s">
        <v>75</v>
      </c>
      <c r="Y66" s="4" t="s">
        <v>35</v>
      </c>
      <c r="Z66" s="4" t="s">
        <v>64</v>
      </c>
      <c r="AA66" s="5" t="s">
        <v>118</v>
      </c>
      <c r="AB66" s="5" t="s">
        <v>2293</v>
      </c>
    </row>
    <row r="67" spans="1:28" ht="69.5" customHeight="1">
      <c r="A67" s="7" t="str">
        <f>'Reported burning'!A67</f>
        <v>2bt</v>
      </c>
      <c r="B67" s="7" t="str">
        <f>'Reported burning'!B67</f>
        <v>2bt.1</v>
      </c>
      <c r="C67" s="7" t="str">
        <f>'Reported burning'!C67</f>
        <v>Human, deliberate</v>
      </c>
      <c r="D67" s="7" t="str">
        <f>'Reported burning'!D67</f>
        <v>Crop residue burning</v>
      </c>
      <c r="E67" s="7" t="str">
        <f>'Reported burning'!E67</f>
        <v>Cropping, Monoculture, Market-oriented</v>
      </c>
      <c r="F67" s="7" t="str">
        <f>'Reported burning'!F67</f>
        <v>Cropland</v>
      </c>
      <c r="G67" s="7" t="str">
        <f>'Reported burning'!G67</f>
        <v>ND</v>
      </c>
      <c r="H67" s="7" t="str">
        <f>'Reported burning'!H67</f>
        <v>Presence</v>
      </c>
      <c r="I67" s="24"/>
      <c r="J67" s="84" t="s">
        <v>2308</v>
      </c>
      <c r="K67" s="116" t="s">
        <v>2308</v>
      </c>
      <c r="L67" s="84" t="s">
        <v>2308</v>
      </c>
      <c r="M67" s="22" t="s">
        <v>2308</v>
      </c>
      <c r="N67" s="84" t="s">
        <v>2308</v>
      </c>
      <c r="O67" s="84" t="s">
        <v>2308</v>
      </c>
      <c r="P67" s="84" t="s">
        <v>2308</v>
      </c>
      <c r="Q67" s="109" t="s">
        <v>2308</v>
      </c>
      <c r="R67" s="109" t="s">
        <v>2308</v>
      </c>
      <c r="S67" s="94" t="s">
        <v>2423</v>
      </c>
      <c r="T67" s="94" t="s">
        <v>2308</v>
      </c>
      <c r="U67" s="94" t="s">
        <v>2308</v>
      </c>
      <c r="V67" s="94" t="s">
        <v>2308</v>
      </c>
      <c r="W67" s="22" t="s">
        <v>2407</v>
      </c>
      <c r="X67" s="4" t="s">
        <v>75</v>
      </c>
      <c r="Y67" s="4" t="s">
        <v>35</v>
      </c>
      <c r="Z67" s="4" t="s">
        <v>64</v>
      </c>
      <c r="AA67" s="5" t="s">
        <v>118</v>
      </c>
      <c r="AB67" s="5" t="s">
        <v>2293</v>
      </c>
    </row>
    <row r="68" spans="1:28" ht="69.5" customHeight="1">
      <c r="A68" s="7" t="str">
        <f>'Reported burning'!A68</f>
        <v>2bu</v>
      </c>
      <c r="B68" s="7" t="str">
        <f>'Reported burning'!B68</f>
        <v>2bu.1</v>
      </c>
      <c r="C68" s="7" t="str">
        <f>'Reported burning'!C68</f>
        <v>Human, deliberate</v>
      </c>
      <c r="D68" s="7" t="str">
        <f>'Reported burning'!D68</f>
        <v>Crop residue burning</v>
      </c>
      <c r="E68" s="7" t="str">
        <f>'Reported burning'!E68</f>
        <v>Cropping, Monoculture, Market-oriented</v>
      </c>
      <c r="F68" s="7" t="str">
        <f>'Reported burning'!F68</f>
        <v>Cropland</v>
      </c>
      <c r="G68" s="7" t="str">
        <f>'Reported burning'!G68</f>
        <v>ND</v>
      </c>
      <c r="H68" s="7" t="str">
        <f>'Reported burning'!H68</f>
        <v>Presence</v>
      </c>
      <c r="I68" s="24"/>
      <c r="J68" s="84" t="s">
        <v>2308</v>
      </c>
      <c r="K68" s="116" t="s">
        <v>2308</v>
      </c>
      <c r="L68" s="84" t="s">
        <v>2308</v>
      </c>
      <c r="M68" s="22" t="s">
        <v>2308</v>
      </c>
      <c r="N68" s="84" t="s">
        <v>2308</v>
      </c>
      <c r="O68" s="84" t="s">
        <v>2308</v>
      </c>
      <c r="P68" s="84" t="s">
        <v>2308</v>
      </c>
      <c r="Q68" s="109" t="s">
        <v>2308</v>
      </c>
      <c r="R68" s="109" t="s">
        <v>2308</v>
      </c>
      <c r="S68" s="94" t="s">
        <v>2422</v>
      </c>
      <c r="T68" s="94" t="s">
        <v>2308</v>
      </c>
      <c r="U68" s="94" t="s">
        <v>2308</v>
      </c>
      <c r="V68" s="94" t="s">
        <v>2308</v>
      </c>
      <c r="W68" s="22" t="s">
        <v>2407</v>
      </c>
      <c r="X68" s="4" t="s">
        <v>75</v>
      </c>
      <c r="Y68" s="4" t="s">
        <v>35</v>
      </c>
      <c r="Z68" s="4" t="s">
        <v>64</v>
      </c>
      <c r="AA68" s="5" t="s">
        <v>118</v>
      </c>
      <c r="AB68" s="5" t="s">
        <v>2293</v>
      </c>
    </row>
    <row r="69" spans="1:28" ht="69.5" customHeight="1">
      <c r="A69" s="7" t="str">
        <f>'Reported burning'!A69</f>
        <v>2bv</v>
      </c>
      <c r="B69" s="7" t="str">
        <f>'Reported burning'!B69</f>
        <v>2bv.1</v>
      </c>
      <c r="C69" s="7" t="str">
        <f>'Reported burning'!C69</f>
        <v>Human, deliberate</v>
      </c>
      <c r="D69" s="7" t="str">
        <f>'Reported burning'!D69</f>
        <v>Crop residue burning</v>
      </c>
      <c r="E69" s="7" t="str">
        <f>'Reported burning'!E69</f>
        <v>Cropping, Monoculture, Market-oriented</v>
      </c>
      <c r="F69" s="7" t="str">
        <f>'Reported burning'!F69</f>
        <v>Cropland</v>
      </c>
      <c r="G69" s="7" t="str">
        <f>'Reported burning'!G69</f>
        <v>ND</v>
      </c>
      <c r="H69" s="7" t="str">
        <f>'Reported burning'!H69</f>
        <v>Presence</v>
      </c>
      <c r="I69" s="24"/>
      <c r="J69" s="84" t="s">
        <v>2308</v>
      </c>
      <c r="K69" s="116" t="s">
        <v>2308</v>
      </c>
      <c r="L69" s="84" t="s">
        <v>2308</v>
      </c>
      <c r="M69" s="22" t="s">
        <v>2308</v>
      </c>
      <c r="N69" s="84" t="s">
        <v>2308</v>
      </c>
      <c r="O69" s="84" t="s">
        <v>2308</v>
      </c>
      <c r="P69" s="84" t="s">
        <v>2308</v>
      </c>
      <c r="Q69" s="109" t="s">
        <v>2308</v>
      </c>
      <c r="R69" s="109" t="s">
        <v>2308</v>
      </c>
      <c r="S69" s="94" t="s">
        <v>2426</v>
      </c>
      <c r="T69" s="94" t="s">
        <v>2308</v>
      </c>
      <c r="U69" s="94" t="s">
        <v>2308</v>
      </c>
      <c r="V69" s="94" t="s">
        <v>2308</v>
      </c>
      <c r="W69" s="22" t="s">
        <v>2407</v>
      </c>
      <c r="X69" s="4" t="s">
        <v>75</v>
      </c>
      <c r="Y69" s="4" t="s">
        <v>35</v>
      </c>
      <c r="Z69" s="4" t="s">
        <v>64</v>
      </c>
      <c r="AA69" s="5" t="s">
        <v>118</v>
      </c>
      <c r="AB69" s="5" t="s">
        <v>2293</v>
      </c>
    </row>
    <row r="70" spans="1:28" ht="69.5" customHeight="1">
      <c r="A70" s="7" t="str">
        <f>'Reported burning'!A70</f>
        <v>2bw</v>
      </c>
      <c r="B70" s="7" t="str">
        <f>'Reported burning'!B70</f>
        <v>2bw.1</v>
      </c>
      <c r="C70" s="7" t="str">
        <f>'Reported burning'!C70</f>
        <v>Human, deliberate</v>
      </c>
      <c r="D70" s="7" t="str">
        <f>'Reported burning'!D70</f>
        <v>Crop residue burning</v>
      </c>
      <c r="E70" s="7" t="str">
        <f>'Reported burning'!E70</f>
        <v>Cropping, Monoculture, Market-oriented</v>
      </c>
      <c r="F70" s="7" t="str">
        <f>'Reported burning'!F70</f>
        <v>Cropland</v>
      </c>
      <c r="G70" s="7" t="str">
        <f>'Reported burning'!G70</f>
        <v>ND</v>
      </c>
      <c r="H70" s="7" t="str">
        <f>'Reported burning'!H70</f>
        <v>Presence</v>
      </c>
      <c r="I70" s="24"/>
      <c r="J70" s="84" t="s">
        <v>2308</v>
      </c>
      <c r="K70" s="116" t="s">
        <v>2308</v>
      </c>
      <c r="L70" s="84" t="s">
        <v>2308</v>
      </c>
      <c r="M70" s="22" t="s">
        <v>2308</v>
      </c>
      <c r="N70" s="84" t="s">
        <v>2308</v>
      </c>
      <c r="O70" s="84" t="s">
        <v>2308</v>
      </c>
      <c r="P70" s="84" t="s">
        <v>2308</v>
      </c>
      <c r="Q70" s="109" t="s">
        <v>2308</v>
      </c>
      <c r="R70" s="109" t="s">
        <v>2308</v>
      </c>
      <c r="S70" s="94" t="s">
        <v>2560</v>
      </c>
      <c r="T70" s="94" t="s">
        <v>2308</v>
      </c>
      <c r="U70" s="94" t="s">
        <v>2308</v>
      </c>
      <c r="V70" s="94" t="s">
        <v>2308</v>
      </c>
      <c r="W70" s="22" t="s">
        <v>2407</v>
      </c>
      <c r="X70" s="4" t="s">
        <v>75</v>
      </c>
      <c r="Y70" s="4" t="s">
        <v>35</v>
      </c>
      <c r="Z70" s="4" t="s">
        <v>64</v>
      </c>
      <c r="AA70" s="5" t="s">
        <v>118</v>
      </c>
      <c r="AB70" s="5" t="s">
        <v>2293</v>
      </c>
    </row>
    <row r="71" spans="1:28" ht="69.5" customHeight="1">
      <c r="A71" s="7" t="str">
        <f>'Reported burning'!A71</f>
        <v>2bx</v>
      </c>
      <c r="B71" s="7" t="str">
        <f>'Reported burning'!B71</f>
        <v>2bx.1</v>
      </c>
      <c r="C71" s="7" t="str">
        <f>'Reported burning'!C71</f>
        <v>Human, deliberate</v>
      </c>
      <c r="D71" s="7" t="str">
        <f>'Reported burning'!D71</f>
        <v>Crop residue burning</v>
      </c>
      <c r="E71" s="7" t="str">
        <f>'Reported burning'!E71</f>
        <v>Cropping, Monoculture, Market-oriented</v>
      </c>
      <c r="F71" s="7" t="str">
        <f>'Reported burning'!F71</f>
        <v>Cropland</v>
      </c>
      <c r="G71" s="7" t="str">
        <f>'Reported burning'!G71</f>
        <v>ND</v>
      </c>
      <c r="H71" s="7" t="str">
        <f>'Reported burning'!H71</f>
        <v>Presence</v>
      </c>
      <c r="I71" s="24"/>
      <c r="J71" s="84" t="s">
        <v>2308</v>
      </c>
      <c r="K71" s="116" t="s">
        <v>2308</v>
      </c>
      <c r="L71" s="84" t="s">
        <v>2308</v>
      </c>
      <c r="M71" s="22" t="s">
        <v>2308</v>
      </c>
      <c r="N71" s="84" t="s">
        <v>2308</v>
      </c>
      <c r="O71" s="84" t="s">
        <v>2308</v>
      </c>
      <c r="P71" s="84" t="s">
        <v>2308</v>
      </c>
      <c r="Q71" s="109" t="s">
        <v>2308</v>
      </c>
      <c r="R71" s="109" t="s">
        <v>2308</v>
      </c>
      <c r="S71" s="94" t="s">
        <v>2408</v>
      </c>
      <c r="T71" s="94" t="s">
        <v>2308</v>
      </c>
      <c r="U71" s="94" t="s">
        <v>2308</v>
      </c>
      <c r="V71" s="94" t="s">
        <v>2308</v>
      </c>
      <c r="W71" s="22" t="s">
        <v>2407</v>
      </c>
      <c r="X71" s="4" t="s">
        <v>75</v>
      </c>
      <c r="Y71" s="4" t="s">
        <v>35</v>
      </c>
      <c r="Z71" s="4" t="s">
        <v>64</v>
      </c>
      <c r="AA71" s="5" t="s">
        <v>118</v>
      </c>
      <c r="AB71" s="5" t="s">
        <v>2293</v>
      </c>
    </row>
    <row r="72" spans="1:28" ht="69.5" customHeight="1">
      <c r="A72" s="7" t="str">
        <f>'Reported burning'!A72</f>
        <v>2by</v>
      </c>
      <c r="B72" s="7" t="str">
        <f>'Reported burning'!B72</f>
        <v>2by.1</v>
      </c>
      <c r="C72" s="7" t="str">
        <f>'Reported burning'!C72</f>
        <v>Human, deliberate</v>
      </c>
      <c r="D72" s="7" t="str">
        <f>'Reported burning'!D72</f>
        <v>Crop residue burning</v>
      </c>
      <c r="E72" s="7" t="str">
        <f>'Reported burning'!E72</f>
        <v>Cropping, Monoculture, Market-oriented</v>
      </c>
      <c r="F72" s="7" t="str">
        <f>'Reported burning'!F72</f>
        <v>Cropland</v>
      </c>
      <c r="G72" s="7" t="str">
        <f>'Reported burning'!G72</f>
        <v>ND</v>
      </c>
      <c r="H72" s="7" t="str">
        <f>'Reported burning'!H72</f>
        <v>Presence</v>
      </c>
      <c r="I72" s="24"/>
      <c r="J72" s="84" t="s">
        <v>2308</v>
      </c>
      <c r="K72" s="116" t="s">
        <v>2308</v>
      </c>
      <c r="L72" s="84" t="s">
        <v>2308</v>
      </c>
      <c r="M72" s="22" t="s">
        <v>2308</v>
      </c>
      <c r="N72" s="84" t="s">
        <v>2308</v>
      </c>
      <c r="O72" s="84" t="s">
        <v>2308</v>
      </c>
      <c r="P72" s="84" t="s">
        <v>2308</v>
      </c>
      <c r="Q72" s="109" t="s">
        <v>2308</v>
      </c>
      <c r="R72" s="109" t="s">
        <v>2308</v>
      </c>
      <c r="S72" s="94" t="s">
        <v>2406</v>
      </c>
      <c r="T72" s="94" t="s">
        <v>2308</v>
      </c>
      <c r="U72" s="94" t="s">
        <v>2308</v>
      </c>
      <c r="V72" s="94" t="s">
        <v>2308</v>
      </c>
      <c r="W72" s="22" t="s">
        <v>2407</v>
      </c>
      <c r="X72" s="4" t="s">
        <v>75</v>
      </c>
      <c r="Y72" s="4" t="s">
        <v>35</v>
      </c>
      <c r="Z72" s="4" t="s">
        <v>64</v>
      </c>
      <c r="AA72" s="5" t="s">
        <v>118</v>
      </c>
      <c r="AB72" s="5" t="s">
        <v>2293</v>
      </c>
    </row>
    <row r="73" spans="1:28" ht="69.5" customHeight="1">
      <c r="A73" s="7" t="str">
        <f>'Reported burning'!A73</f>
        <v>2bz</v>
      </c>
      <c r="B73" s="7" t="str">
        <f>'Reported burning'!B73</f>
        <v>2bz.1</v>
      </c>
      <c r="C73" s="7" t="str">
        <f>'Reported burning'!C73</f>
        <v>Human, deliberate</v>
      </c>
      <c r="D73" s="7" t="str">
        <f>'Reported burning'!D73</f>
        <v>Crop residue burning</v>
      </c>
      <c r="E73" s="7" t="str">
        <f>'Reported burning'!E73</f>
        <v>Cropping, Monoculture, Market-oriented</v>
      </c>
      <c r="F73" s="7" t="str">
        <f>'Reported burning'!F73</f>
        <v>Cropland</v>
      </c>
      <c r="G73" s="7" t="str">
        <f>'Reported burning'!G73</f>
        <v>ND</v>
      </c>
      <c r="H73" s="7" t="str">
        <f>'Reported burning'!H73</f>
        <v>Presence</v>
      </c>
      <c r="I73" s="24"/>
      <c r="J73" s="84" t="s">
        <v>2308</v>
      </c>
      <c r="K73" s="116" t="s">
        <v>2308</v>
      </c>
      <c r="L73" s="84" t="s">
        <v>2308</v>
      </c>
      <c r="M73" s="22" t="s">
        <v>2308</v>
      </c>
      <c r="N73" s="84" t="s">
        <v>2308</v>
      </c>
      <c r="O73" s="84" t="s">
        <v>2308</v>
      </c>
      <c r="P73" s="84" t="s">
        <v>2308</v>
      </c>
      <c r="Q73" s="109" t="s">
        <v>2308</v>
      </c>
      <c r="R73" s="109" t="s">
        <v>2308</v>
      </c>
      <c r="S73" s="94" t="s">
        <v>2560</v>
      </c>
      <c r="T73" s="94" t="s">
        <v>2308</v>
      </c>
      <c r="U73" s="94" t="s">
        <v>2308</v>
      </c>
      <c r="V73" s="94" t="s">
        <v>2308</v>
      </c>
      <c r="W73" s="22" t="s">
        <v>2407</v>
      </c>
      <c r="X73" s="4" t="s">
        <v>75</v>
      </c>
      <c r="Y73" s="4" t="s">
        <v>35</v>
      </c>
      <c r="Z73" s="4" t="s">
        <v>64</v>
      </c>
      <c r="AA73" s="5" t="s">
        <v>118</v>
      </c>
      <c r="AB73" s="5" t="s">
        <v>2293</v>
      </c>
    </row>
    <row r="74" spans="1:28" ht="69.5" customHeight="1">
      <c r="A74" s="7" t="str">
        <f>'Reported burning'!A74</f>
        <v>2baa</v>
      </c>
      <c r="B74" s="7" t="str">
        <f>'Reported burning'!B74</f>
        <v>2baa.1</v>
      </c>
      <c r="C74" s="7" t="str">
        <f>'Reported burning'!C74</f>
        <v>Human, deliberate</v>
      </c>
      <c r="D74" s="7" t="str">
        <f>'Reported burning'!D74</f>
        <v>Crop residue burning</v>
      </c>
      <c r="E74" s="7" t="str">
        <f>'Reported burning'!E74</f>
        <v>Cropping, Monoculture, Market-oriented</v>
      </c>
      <c r="F74" s="7" t="str">
        <f>'Reported burning'!F74</f>
        <v>Cropland</v>
      </c>
      <c r="G74" s="7" t="str">
        <f>'Reported burning'!G74</f>
        <v>ND</v>
      </c>
      <c r="H74" s="7" t="str">
        <f>'Reported burning'!H74</f>
        <v>Presence</v>
      </c>
      <c r="I74" s="24"/>
      <c r="J74" s="84" t="s">
        <v>2308</v>
      </c>
      <c r="K74" s="116" t="s">
        <v>2308</v>
      </c>
      <c r="L74" s="84" t="s">
        <v>2308</v>
      </c>
      <c r="M74" s="22" t="s">
        <v>2308</v>
      </c>
      <c r="N74" s="84" t="s">
        <v>2308</v>
      </c>
      <c r="O74" s="84" t="s">
        <v>2308</v>
      </c>
      <c r="P74" s="84" t="s">
        <v>2308</v>
      </c>
      <c r="Q74" s="109" t="s">
        <v>2308</v>
      </c>
      <c r="R74" s="109" t="s">
        <v>2308</v>
      </c>
      <c r="S74" s="94" t="s">
        <v>2421</v>
      </c>
      <c r="T74" s="94" t="s">
        <v>2308</v>
      </c>
      <c r="U74" s="94" t="s">
        <v>2308</v>
      </c>
      <c r="V74" s="94" t="s">
        <v>2308</v>
      </c>
      <c r="W74" s="22" t="s">
        <v>2407</v>
      </c>
      <c r="X74" s="4" t="s">
        <v>75</v>
      </c>
      <c r="Y74" s="4" t="s">
        <v>35</v>
      </c>
      <c r="Z74" s="4" t="s">
        <v>64</v>
      </c>
      <c r="AA74" s="5" t="s">
        <v>118</v>
      </c>
      <c r="AB74" s="5" t="s">
        <v>2293</v>
      </c>
    </row>
    <row r="75" spans="1:28" ht="69.5" customHeight="1">
      <c r="A75" s="7" t="str">
        <f>'Reported burning'!A75</f>
        <v>2bab</v>
      </c>
      <c r="B75" s="7" t="str">
        <f>'Reported burning'!B75</f>
        <v>2bab.1</v>
      </c>
      <c r="C75" s="7" t="str">
        <f>'Reported burning'!C75</f>
        <v>Human, deliberate</v>
      </c>
      <c r="D75" s="7" t="str">
        <f>'Reported burning'!D75</f>
        <v>Crop residue burning</v>
      </c>
      <c r="E75" s="7" t="str">
        <f>'Reported burning'!E75</f>
        <v>Cropping, Monoculture, Market-oriented</v>
      </c>
      <c r="F75" s="7" t="str">
        <f>'Reported burning'!F75</f>
        <v>Cropland</v>
      </c>
      <c r="G75" s="7" t="str">
        <f>'Reported burning'!G75</f>
        <v>ND</v>
      </c>
      <c r="H75" s="7" t="str">
        <f>'Reported burning'!H75</f>
        <v>Presence</v>
      </c>
      <c r="I75" s="24"/>
      <c r="J75" s="84" t="s">
        <v>2308</v>
      </c>
      <c r="K75" s="116" t="s">
        <v>2308</v>
      </c>
      <c r="L75" s="84" t="s">
        <v>2308</v>
      </c>
      <c r="M75" s="22" t="s">
        <v>2308</v>
      </c>
      <c r="N75" s="84" t="s">
        <v>2308</v>
      </c>
      <c r="O75" s="84" t="s">
        <v>2308</v>
      </c>
      <c r="P75" s="84" t="s">
        <v>2308</v>
      </c>
      <c r="Q75" s="109" t="s">
        <v>2308</v>
      </c>
      <c r="R75" s="109" t="s">
        <v>2308</v>
      </c>
      <c r="S75" s="94" t="s">
        <v>2406</v>
      </c>
      <c r="T75" s="94" t="s">
        <v>2308</v>
      </c>
      <c r="U75" s="94" t="s">
        <v>2308</v>
      </c>
      <c r="V75" s="94" t="s">
        <v>2308</v>
      </c>
      <c r="W75" s="22" t="s">
        <v>2407</v>
      </c>
      <c r="X75" s="4" t="s">
        <v>75</v>
      </c>
      <c r="Y75" s="4" t="s">
        <v>35</v>
      </c>
      <c r="Z75" s="4" t="s">
        <v>64</v>
      </c>
      <c r="AA75" s="5" t="s">
        <v>118</v>
      </c>
      <c r="AB75" s="5" t="s">
        <v>2293</v>
      </c>
    </row>
    <row r="76" spans="1:28" ht="69.5" customHeight="1">
      <c r="A76" s="7" t="str">
        <f>'Reported burning'!A76</f>
        <v>2bac</v>
      </c>
      <c r="B76" s="7" t="str">
        <f>'Reported burning'!B76</f>
        <v>2bac.1</v>
      </c>
      <c r="C76" s="7" t="str">
        <f>'Reported burning'!C76</f>
        <v>Human, deliberate</v>
      </c>
      <c r="D76" s="7" t="str">
        <f>'Reported burning'!D76</f>
        <v>Crop residue burning</v>
      </c>
      <c r="E76" s="7" t="str">
        <f>'Reported burning'!E76</f>
        <v>Cropping, Monoculture, Market-oriented</v>
      </c>
      <c r="F76" s="7" t="str">
        <f>'Reported burning'!F76</f>
        <v>Cropland</v>
      </c>
      <c r="G76" s="7" t="str">
        <f>'Reported burning'!G76</f>
        <v>ND</v>
      </c>
      <c r="H76" s="7" t="str">
        <f>'Reported burning'!H76</f>
        <v>Presence</v>
      </c>
      <c r="I76" s="24"/>
      <c r="J76" s="84" t="s">
        <v>2308</v>
      </c>
      <c r="K76" s="116" t="s">
        <v>2308</v>
      </c>
      <c r="L76" s="84" t="s">
        <v>2308</v>
      </c>
      <c r="M76" s="22" t="s">
        <v>2308</v>
      </c>
      <c r="N76" s="84" t="s">
        <v>2308</v>
      </c>
      <c r="O76" s="84" t="s">
        <v>2308</v>
      </c>
      <c r="P76" s="84" t="s">
        <v>2308</v>
      </c>
      <c r="Q76" s="109" t="s">
        <v>2308</v>
      </c>
      <c r="R76" s="109" t="s">
        <v>2308</v>
      </c>
      <c r="S76" s="94" t="s">
        <v>2560</v>
      </c>
      <c r="T76" s="94" t="s">
        <v>2308</v>
      </c>
      <c r="U76" s="94" t="s">
        <v>2308</v>
      </c>
      <c r="V76" s="94" t="s">
        <v>2308</v>
      </c>
      <c r="W76" s="22" t="s">
        <v>2407</v>
      </c>
      <c r="X76" s="4" t="s">
        <v>75</v>
      </c>
      <c r="Y76" s="4" t="s">
        <v>35</v>
      </c>
      <c r="Z76" s="4" t="s">
        <v>64</v>
      </c>
      <c r="AA76" s="5" t="s">
        <v>118</v>
      </c>
      <c r="AB76" s="5" t="s">
        <v>2293</v>
      </c>
    </row>
    <row r="77" spans="1:28" ht="69.5" customHeight="1">
      <c r="A77" s="7" t="str">
        <f>'Reported burning'!A77</f>
        <v>2bad</v>
      </c>
      <c r="B77" s="7" t="str">
        <f>'Reported burning'!B77</f>
        <v>2bad.1</v>
      </c>
      <c r="C77" s="7" t="str">
        <f>'Reported burning'!C77</f>
        <v>Human, deliberate</v>
      </c>
      <c r="D77" s="7" t="str">
        <f>'Reported burning'!D77</f>
        <v>Crop residue burning</v>
      </c>
      <c r="E77" s="7" t="str">
        <f>'Reported burning'!E77</f>
        <v>Cropping, Monoculture, Market-oriented</v>
      </c>
      <c r="F77" s="7" t="str">
        <f>'Reported burning'!F77</f>
        <v>Cropland</v>
      </c>
      <c r="G77" s="7" t="str">
        <f>'Reported burning'!G77</f>
        <v>ND</v>
      </c>
      <c r="H77" s="7" t="str">
        <f>'Reported burning'!H77</f>
        <v>Presence</v>
      </c>
      <c r="I77" s="24"/>
      <c r="J77" s="84" t="s">
        <v>2308</v>
      </c>
      <c r="K77" s="116" t="s">
        <v>2308</v>
      </c>
      <c r="L77" s="84" t="s">
        <v>2308</v>
      </c>
      <c r="M77" s="22" t="s">
        <v>2308</v>
      </c>
      <c r="N77" s="84" t="s">
        <v>2308</v>
      </c>
      <c r="O77" s="84" t="s">
        <v>2308</v>
      </c>
      <c r="P77" s="84" t="s">
        <v>2308</v>
      </c>
      <c r="Q77" s="109" t="s">
        <v>2308</v>
      </c>
      <c r="R77" s="109" t="s">
        <v>2308</v>
      </c>
      <c r="S77" s="94" t="s">
        <v>2408</v>
      </c>
      <c r="T77" s="94" t="s">
        <v>2308</v>
      </c>
      <c r="U77" s="94" t="s">
        <v>2308</v>
      </c>
      <c r="V77" s="94" t="s">
        <v>2308</v>
      </c>
      <c r="W77" s="22" t="s">
        <v>2407</v>
      </c>
      <c r="X77" s="4" t="s">
        <v>75</v>
      </c>
      <c r="Y77" s="4" t="s">
        <v>35</v>
      </c>
      <c r="Z77" s="4" t="s">
        <v>64</v>
      </c>
      <c r="AA77" s="5" t="s">
        <v>118</v>
      </c>
      <c r="AB77" s="5" t="s">
        <v>2293</v>
      </c>
    </row>
    <row r="78" spans="1:28" ht="69.5" customHeight="1">
      <c r="A78" s="7" t="str">
        <f>'Reported burning'!A78</f>
        <v>2bae</v>
      </c>
      <c r="B78" s="7" t="str">
        <f>'Reported burning'!B78</f>
        <v>2bae.1</v>
      </c>
      <c r="C78" s="7" t="str">
        <f>'Reported burning'!C78</f>
        <v>Human, deliberate</v>
      </c>
      <c r="D78" s="7" t="str">
        <f>'Reported burning'!D78</f>
        <v>Crop residue burning</v>
      </c>
      <c r="E78" s="7" t="str">
        <f>'Reported burning'!E78</f>
        <v>Cropping, Monoculture, Market-oriented</v>
      </c>
      <c r="F78" s="7" t="str">
        <f>'Reported burning'!F78</f>
        <v>Cropland</v>
      </c>
      <c r="G78" s="7" t="str">
        <f>'Reported burning'!G78</f>
        <v>ND</v>
      </c>
      <c r="H78" s="7" t="str">
        <f>'Reported burning'!H78</f>
        <v>Presence</v>
      </c>
      <c r="I78" s="24"/>
      <c r="J78" s="84" t="s">
        <v>2308</v>
      </c>
      <c r="K78" s="116" t="s">
        <v>2308</v>
      </c>
      <c r="L78" s="84" t="s">
        <v>2308</v>
      </c>
      <c r="M78" s="22" t="s">
        <v>2308</v>
      </c>
      <c r="N78" s="84" t="s">
        <v>2308</v>
      </c>
      <c r="O78" s="84" t="s">
        <v>2308</v>
      </c>
      <c r="P78" s="84" t="s">
        <v>2308</v>
      </c>
      <c r="Q78" s="109" t="s">
        <v>2308</v>
      </c>
      <c r="R78" s="109" t="s">
        <v>2308</v>
      </c>
      <c r="S78" s="94" t="s">
        <v>2560</v>
      </c>
      <c r="T78" s="94" t="s">
        <v>2308</v>
      </c>
      <c r="U78" s="94" t="s">
        <v>2308</v>
      </c>
      <c r="V78" s="94" t="s">
        <v>2308</v>
      </c>
      <c r="W78" s="22" t="s">
        <v>2407</v>
      </c>
      <c r="X78" s="4" t="s">
        <v>75</v>
      </c>
      <c r="Y78" s="4" t="s">
        <v>35</v>
      </c>
      <c r="Z78" s="4" t="s">
        <v>64</v>
      </c>
      <c r="AA78" s="5" t="s">
        <v>118</v>
      </c>
      <c r="AB78" s="5" t="s">
        <v>2293</v>
      </c>
    </row>
    <row r="79" spans="1:28" ht="106" customHeight="1">
      <c r="A79" s="7" t="str">
        <f>'Reported burning'!A79</f>
        <v>3a</v>
      </c>
      <c r="B79" s="7" t="str">
        <f>'Reported burning'!B79</f>
        <v>3a.1</v>
      </c>
      <c r="C79" s="7" t="str">
        <f>'Reported burning'!C79</f>
        <v>Human, deliberate</v>
      </c>
      <c r="D79" s="7" t="str">
        <f>'Reported burning'!D79</f>
        <v>Crop residue burning</v>
      </c>
      <c r="E79" s="7" t="str">
        <f>'Reported burning'!E79</f>
        <v>Cropping, Monoculture, Market-oriented</v>
      </c>
      <c r="F79" s="7" t="str">
        <f>'Reported burning'!F79</f>
        <v>Cropland</v>
      </c>
      <c r="G79" s="7" t="str">
        <f>'Reported burning'!G79</f>
        <v>ND</v>
      </c>
      <c r="H79" s="7" t="str">
        <f>'Reported burning'!H79</f>
        <v>Presence</v>
      </c>
      <c r="I79" s="12"/>
      <c r="J79" s="22" t="s">
        <v>2308</v>
      </c>
      <c r="K79" s="110" t="s">
        <v>2308</v>
      </c>
      <c r="L79" s="22" t="s">
        <v>2308</v>
      </c>
      <c r="M79" s="22" t="s">
        <v>2308</v>
      </c>
      <c r="N79" s="22" t="s">
        <v>2308</v>
      </c>
      <c r="O79" s="22" t="s">
        <v>2308</v>
      </c>
      <c r="P79" s="22" t="s">
        <v>2308</v>
      </c>
      <c r="Q79" s="109" t="s">
        <v>2308</v>
      </c>
      <c r="R79" s="109" t="s">
        <v>2308</v>
      </c>
      <c r="S79" s="22" t="s">
        <v>2422</v>
      </c>
      <c r="T79" s="22" t="s">
        <v>2308</v>
      </c>
      <c r="U79" s="22" t="s">
        <v>2308</v>
      </c>
      <c r="V79" s="22" t="s">
        <v>2308</v>
      </c>
      <c r="W79" s="22" t="s">
        <v>2407</v>
      </c>
      <c r="X79" s="4" t="s">
        <v>75</v>
      </c>
      <c r="Y79" s="4" t="s">
        <v>35</v>
      </c>
      <c r="Z79" s="4" t="s">
        <v>64</v>
      </c>
      <c r="AA79" s="5" t="s">
        <v>1283</v>
      </c>
      <c r="AB79" s="5" t="s">
        <v>1291</v>
      </c>
    </row>
    <row r="80" spans="1:28" ht="100" customHeight="1">
      <c r="A80" s="7" t="str">
        <f>'Reported burning'!A80</f>
        <v>3a</v>
      </c>
      <c r="B80" s="7" t="str">
        <f>'Reported burning'!B80</f>
        <v>3a.2</v>
      </c>
      <c r="C80" s="7" t="str">
        <f>'Reported burning'!C80</f>
        <v>Human, deliberate</v>
      </c>
      <c r="D80" s="7" t="str">
        <f>'Reported burning'!D80</f>
        <v>Crop residue burning</v>
      </c>
      <c r="E80" s="7" t="str">
        <f>'Reported burning'!E80</f>
        <v>Cropping, Monoculture, Market-oriented</v>
      </c>
      <c r="F80" s="7" t="str">
        <f>'Reported burning'!F80</f>
        <v>Cropland</v>
      </c>
      <c r="G80" s="7" t="str">
        <f>'Reported burning'!G80</f>
        <v>ND</v>
      </c>
      <c r="H80" s="7" t="str">
        <f>'Reported burning'!H80</f>
        <v>Presence</v>
      </c>
      <c r="I80" s="12"/>
      <c r="J80" s="22" t="s">
        <v>2308</v>
      </c>
      <c r="K80" s="110" t="s">
        <v>2308</v>
      </c>
      <c r="L80" s="22" t="s">
        <v>2308</v>
      </c>
      <c r="M80" s="22" t="s">
        <v>2308</v>
      </c>
      <c r="N80" s="22" t="s">
        <v>2308</v>
      </c>
      <c r="O80" s="22" t="s">
        <v>2308</v>
      </c>
      <c r="P80" s="22" t="s">
        <v>2308</v>
      </c>
      <c r="Q80" s="109" t="s">
        <v>2308</v>
      </c>
      <c r="R80" s="109" t="s">
        <v>2308</v>
      </c>
      <c r="S80" s="94" t="s">
        <v>2560</v>
      </c>
      <c r="T80" s="22" t="s">
        <v>2308</v>
      </c>
      <c r="U80" s="22" t="s">
        <v>2308</v>
      </c>
      <c r="V80" s="22" t="s">
        <v>2308</v>
      </c>
      <c r="W80" s="22" t="s">
        <v>2407</v>
      </c>
      <c r="X80" s="4" t="s">
        <v>38</v>
      </c>
      <c r="Y80" s="4" t="s">
        <v>86</v>
      </c>
      <c r="Z80" s="4" t="s">
        <v>64</v>
      </c>
      <c r="AA80" s="5" t="s">
        <v>1284</v>
      </c>
      <c r="AB80" s="5" t="s">
        <v>1292</v>
      </c>
    </row>
    <row r="81" spans="1:28" ht="110" customHeight="1">
      <c r="A81" s="7" t="str">
        <f>'Reported burning'!A81</f>
        <v>3a</v>
      </c>
      <c r="B81" s="7" t="str">
        <f>'Reported burning'!B81</f>
        <v>3a.3</v>
      </c>
      <c r="C81" s="7" t="str">
        <f>'Reported burning'!C81</f>
        <v>Human, deliberate</v>
      </c>
      <c r="D81" s="7" t="str">
        <f>'Reported burning'!D81</f>
        <v>Crop residue burning</v>
      </c>
      <c r="E81" s="7" t="str">
        <f>'Reported burning'!E81</f>
        <v>Cropping, Monoculture, Subsistence-oriented</v>
      </c>
      <c r="F81" s="7" t="str">
        <f>'Reported burning'!F81</f>
        <v>Cropland</v>
      </c>
      <c r="G81" s="7" t="str">
        <f>'Reported burning'!G81</f>
        <v>ND</v>
      </c>
      <c r="H81" s="7" t="str">
        <f>'Reported burning'!H81</f>
        <v>Presence</v>
      </c>
      <c r="I81" s="12"/>
      <c r="J81" s="22" t="s">
        <v>2308</v>
      </c>
      <c r="K81" s="110" t="s">
        <v>2308</v>
      </c>
      <c r="L81" s="22" t="s">
        <v>2308</v>
      </c>
      <c r="M81" s="22" t="s">
        <v>2308</v>
      </c>
      <c r="N81" s="22" t="s">
        <v>2308</v>
      </c>
      <c r="O81" s="22" t="s">
        <v>2308</v>
      </c>
      <c r="P81" s="22" t="s">
        <v>2308</v>
      </c>
      <c r="Q81" s="109" t="s">
        <v>2308</v>
      </c>
      <c r="R81" s="109" t="s">
        <v>2308</v>
      </c>
      <c r="S81" s="22" t="s">
        <v>2422</v>
      </c>
      <c r="T81" s="22" t="s">
        <v>2308</v>
      </c>
      <c r="U81" s="22" t="s">
        <v>2308</v>
      </c>
      <c r="V81" s="22" t="s">
        <v>2308</v>
      </c>
      <c r="W81" s="22" t="s">
        <v>2407</v>
      </c>
      <c r="X81" s="4" t="s">
        <v>75</v>
      </c>
      <c r="Y81" s="4" t="s">
        <v>35</v>
      </c>
      <c r="Z81" s="4" t="s">
        <v>64</v>
      </c>
      <c r="AA81" s="5" t="s">
        <v>1283</v>
      </c>
      <c r="AB81" s="5" t="s">
        <v>1293</v>
      </c>
    </row>
    <row r="82" spans="1:28" ht="100" customHeight="1">
      <c r="A82" s="7" t="str">
        <f>'Reported burning'!A82</f>
        <v>3a</v>
      </c>
      <c r="B82" s="7" t="str">
        <f>'Reported burning'!B82</f>
        <v>3a.4</v>
      </c>
      <c r="C82" s="7" t="str">
        <f>'Reported burning'!C82</f>
        <v>Human, deliberate</v>
      </c>
      <c r="D82" s="7" t="str">
        <f>'Reported burning'!D82</f>
        <v>Crop residue burning</v>
      </c>
      <c r="E82" s="7" t="str">
        <f>'Reported burning'!E82</f>
        <v>Cropping, Monoculture, Subsistence-oriented</v>
      </c>
      <c r="F82" s="7" t="str">
        <f>'Reported burning'!F82</f>
        <v>Cropland</v>
      </c>
      <c r="G82" s="7" t="str">
        <f>'Reported burning'!G82</f>
        <v>ND</v>
      </c>
      <c r="H82" s="7" t="str">
        <f>'Reported burning'!H82</f>
        <v>Presence</v>
      </c>
      <c r="I82" s="12"/>
      <c r="J82" s="22" t="s">
        <v>2308</v>
      </c>
      <c r="K82" s="110" t="s">
        <v>2308</v>
      </c>
      <c r="L82" s="22" t="s">
        <v>2308</v>
      </c>
      <c r="M82" s="22" t="s">
        <v>2308</v>
      </c>
      <c r="N82" s="22" t="s">
        <v>2308</v>
      </c>
      <c r="O82" s="22" t="s">
        <v>2308</v>
      </c>
      <c r="P82" s="22" t="s">
        <v>2308</v>
      </c>
      <c r="Q82" s="109" t="s">
        <v>2308</v>
      </c>
      <c r="R82" s="109" t="s">
        <v>2308</v>
      </c>
      <c r="S82" s="94" t="s">
        <v>2560</v>
      </c>
      <c r="T82" s="22" t="s">
        <v>2308</v>
      </c>
      <c r="U82" s="22" t="s">
        <v>2308</v>
      </c>
      <c r="V82" s="22" t="s">
        <v>2308</v>
      </c>
      <c r="W82" s="22" t="s">
        <v>2407</v>
      </c>
      <c r="X82" s="4" t="s">
        <v>38</v>
      </c>
      <c r="Y82" s="4" t="s">
        <v>86</v>
      </c>
      <c r="Z82" s="4" t="s">
        <v>64</v>
      </c>
      <c r="AA82" s="5" t="s">
        <v>1284</v>
      </c>
      <c r="AB82" s="5" t="s">
        <v>1292</v>
      </c>
    </row>
    <row r="83" spans="1:28" ht="100" customHeight="1">
      <c r="A83" s="7" t="str">
        <f>'Reported burning'!A83</f>
        <v>3b</v>
      </c>
      <c r="B83" s="7" t="str">
        <f>'Reported burning'!B83</f>
        <v>3b.1</v>
      </c>
      <c r="C83" s="7" t="str">
        <f>'Reported burning'!C83</f>
        <v>Human, deliberate</v>
      </c>
      <c r="D83" s="7" t="str">
        <f>'Reported burning'!D83</f>
        <v>Crop residue burning</v>
      </c>
      <c r="E83" s="7" t="str">
        <f>'Reported burning'!E83</f>
        <v>Cropping, Monoculture, Market-oriented</v>
      </c>
      <c r="F83" s="7" t="str">
        <f>'Reported burning'!F83</f>
        <v>Cropland</v>
      </c>
      <c r="G83" s="7" t="str">
        <f>'Reported burning'!G83</f>
        <v>ND</v>
      </c>
      <c r="H83" s="7" t="str">
        <f>'Reported burning'!H83</f>
        <v>Presence</v>
      </c>
      <c r="I83" s="12"/>
      <c r="J83" s="22" t="s">
        <v>2308</v>
      </c>
      <c r="K83" s="110" t="s">
        <v>2308</v>
      </c>
      <c r="L83" s="22" t="s">
        <v>2308</v>
      </c>
      <c r="M83" s="22" t="s">
        <v>2308</v>
      </c>
      <c r="N83" s="22" t="s">
        <v>2308</v>
      </c>
      <c r="O83" s="22" t="s">
        <v>2308</v>
      </c>
      <c r="P83" s="22" t="s">
        <v>2308</v>
      </c>
      <c r="Q83" s="109" t="s">
        <v>2308</v>
      </c>
      <c r="R83" s="109" t="s">
        <v>2308</v>
      </c>
      <c r="S83" s="22" t="s">
        <v>2423</v>
      </c>
      <c r="T83" s="22" t="s">
        <v>2308</v>
      </c>
      <c r="U83" s="22" t="s">
        <v>2308</v>
      </c>
      <c r="V83" s="22" t="s">
        <v>2308</v>
      </c>
      <c r="W83" s="22" t="s">
        <v>2407</v>
      </c>
      <c r="X83" s="4" t="s">
        <v>75</v>
      </c>
      <c r="Y83" s="4" t="s">
        <v>35</v>
      </c>
      <c r="Z83" s="4" t="s">
        <v>64</v>
      </c>
      <c r="AA83" s="5" t="s">
        <v>1283</v>
      </c>
      <c r="AB83" s="5" t="s">
        <v>1291</v>
      </c>
    </row>
    <row r="84" spans="1:28" ht="100" customHeight="1">
      <c r="A84" s="7" t="str">
        <f>'Reported burning'!A84</f>
        <v>3b</v>
      </c>
      <c r="B84" s="7" t="str">
        <f>'Reported burning'!B84</f>
        <v>3b.2</v>
      </c>
      <c r="C84" s="7" t="str">
        <f>'Reported burning'!C84</f>
        <v>Human, deliberate</v>
      </c>
      <c r="D84" s="7" t="str">
        <f>'Reported burning'!D84</f>
        <v>Crop residue burning</v>
      </c>
      <c r="E84" s="7" t="str">
        <f>'Reported burning'!E84</f>
        <v>Cropping, Monoculture, Market-oriented</v>
      </c>
      <c r="F84" s="7" t="str">
        <f>'Reported burning'!F84</f>
        <v>Cropland</v>
      </c>
      <c r="G84" s="7" t="str">
        <f>'Reported burning'!G84</f>
        <v>ND</v>
      </c>
      <c r="H84" s="7" t="str">
        <f>'Reported burning'!H84</f>
        <v>Presence</v>
      </c>
      <c r="I84" s="12"/>
      <c r="J84" s="22" t="s">
        <v>2308</v>
      </c>
      <c r="K84" s="110" t="s">
        <v>2308</v>
      </c>
      <c r="L84" s="22" t="s">
        <v>2308</v>
      </c>
      <c r="M84" s="22" t="s">
        <v>2308</v>
      </c>
      <c r="N84" s="22" t="s">
        <v>2308</v>
      </c>
      <c r="O84" s="22" t="s">
        <v>2308</v>
      </c>
      <c r="P84" s="22" t="s">
        <v>2308</v>
      </c>
      <c r="Q84" s="109" t="s">
        <v>2308</v>
      </c>
      <c r="R84" s="109" t="s">
        <v>2308</v>
      </c>
      <c r="S84" s="94" t="s">
        <v>2560</v>
      </c>
      <c r="T84" s="22" t="s">
        <v>2308</v>
      </c>
      <c r="U84" s="22" t="s">
        <v>2308</v>
      </c>
      <c r="V84" s="22" t="s">
        <v>2308</v>
      </c>
      <c r="W84" s="22" t="s">
        <v>2407</v>
      </c>
      <c r="X84" s="4" t="s">
        <v>38</v>
      </c>
      <c r="Y84" s="4" t="s">
        <v>86</v>
      </c>
      <c r="Z84" s="4" t="s">
        <v>64</v>
      </c>
      <c r="AA84" s="5" t="s">
        <v>1284</v>
      </c>
      <c r="AB84" s="5" t="s">
        <v>1292</v>
      </c>
    </row>
    <row r="85" spans="1:28" ht="100" customHeight="1">
      <c r="A85" s="7" t="str">
        <f>'Reported burning'!A85</f>
        <v>3b</v>
      </c>
      <c r="B85" s="7" t="str">
        <f>'Reported burning'!B85</f>
        <v>3b.3</v>
      </c>
      <c r="C85" s="7" t="str">
        <f>'Reported burning'!C85</f>
        <v>Human, deliberate</v>
      </c>
      <c r="D85" s="7" t="str">
        <f>'Reported burning'!D85</f>
        <v>Crop residue burning</v>
      </c>
      <c r="E85" s="7" t="str">
        <f>'Reported burning'!E85</f>
        <v>Cropping, Monoculture, Subsistence-oriented</v>
      </c>
      <c r="F85" s="7" t="str">
        <f>'Reported burning'!F85</f>
        <v>Cropland</v>
      </c>
      <c r="G85" s="7" t="str">
        <f>'Reported burning'!G85</f>
        <v>ND</v>
      </c>
      <c r="H85" s="7" t="str">
        <f>'Reported burning'!H85</f>
        <v>Presence</v>
      </c>
      <c r="I85" s="12"/>
      <c r="J85" s="22" t="s">
        <v>2308</v>
      </c>
      <c r="K85" s="110" t="s">
        <v>2308</v>
      </c>
      <c r="L85" s="22" t="s">
        <v>2308</v>
      </c>
      <c r="M85" s="22" t="s">
        <v>2308</v>
      </c>
      <c r="N85" s="22" t="s">
        <v>2308</v>
      </c>
      <c r="O85" s="22" t="s">
        <v>2308</v>
      </c>
      <c r="P85" s="22" t="s">
        <v>2308</v>
      </c>
      <c r="Q85" s="109" t="s">
        <v>2308</v>
      </c>
      <c r="R85" s="109" t="s">
        <v>2308</v>
      </c>
      <c r="S85" s="22" t="s">
        <v>2423</v>
      </c>
      <c r="T85" s="22" t="s">
        <v>2308</v>
      </c>
      <c r="U85" s="22" t="s">
        <v>2308</v>
      </c>
      <c r="V85" s="22" t="s">
        <v>2308</v>
      </c>
      <c r="W85" s="22" t="s">
        <v>2407</v>
      </c>
      <c r="X85" s="4" t="s">
        <v>75</v>
      </c>
      <c r="Y85" s="4" t="s">
        <v>35</v>
      </c>
      <c r="Z85" s="4" t="s">
        <v>64</v>
      </c>
      <c r="AA85" s="5" t="s">
        <v>1283</v>
      </c>
      <c r="AB85" s="5" t="s">
        <v>1293</v>
      </c>
    </row>
    <row r="86" spans="1:28" ht="100" customHeight="1">
      <c r="A86" s="7" t="str">
        <f>'Reported burning'!A86</f>
        <v>3b</v>
      </c>
      <c r="B86" s="7" t="str">
        <f>'Reported burning'!B86</f>
        <v>3b.4</v>
      </c>
      <c r="C86" s="7" t="str">
        <f>'Reported burning'!C86</f>
        <v>Human, deliberate</v>
      </c>
      <c r="D86" s="7" t="str">
        <f>'Reported burning'!D86</f>
        <v>Crop residue burning</v>
      </c>
      <c r="E86" s="7" t="str">
        <f>'Reported burning'!E86</f>
        <v>Cropping, Monoculture, Subsistence-oriented</v>
      </c>
      <c r="F86" s="7" t="str">
        <f>'Reported burning'!F86</f>
        <v>Cropland</v>
      </c>
      <c r="G86" s="7" t="str">
        <f>'Reported burning'!G86</f>
        <v>ND</v>
      </c>
      <c r="H86" s="7" t="str">
        <f>'Reported burning'!H86</f>
        <v>Presence</v>
      </c>
      <c r="I86" s="12"/>
      <c r="J86" s="22" t="s">
        <v>2308</v>
      </c>
      <c r="K86" s="110" t="s">
        <v>2308</v>
      </c>
      <c r="L86" s="22" t="s">
        <v>2308</v>
      </c>
      <c r="M86" s="22" t="s">
        <v>2308</v>
      </c>
      <c r="N86" s="22" t="s">
        <v>2308</v>
      </c>
      <c r="O86" s="22" t="s">
        <v>2308</v>
      </c>
      <c r="P86" s="22" t="s">
        <v>2308</v>
      </c>
      <c r="Q86" s="109" t="s">
        <v>2308</v>
      </c>
      <c r="R86" s="109" t="s">
        <v>2308</v>
      </c>
      <c r="S86" s="94" t="s">
        <v>2560</v>
      </c>
      <c r="T86" s="22" t="s">
        <v>2308</v>
      </c>
      <c r="U86" s="22" t="s">
        <v>2308</v>
      </c>
      <c r="V86" s="22" t="s">
        <v>2308</v>
      </c>
      <c r="W86" s="22" t="s">
        <v>2407</v>
      </c>
      <c r="X86" s="4" t="s">
        <v>38</v>
      </c>
      <c r="Y86" s="4" t="s">
        <v>86</v>
      </c>
      <c r="Z86" s="4" t="s">
        <v>64</v>
      </c>
      <c r="AA86" s="5" t="s">
        <v>1284</v>
      </c>
      <c r="AB86" s="5" t="s">
        <v>1292</v>
      </c>
    </row>
    <row r="87" spans="1:28" ht="100" customHeight="1">
      <c r="A87" s="7" t="str">
        <f>'Reported burning'!A87</f>
        <v>3c</v>
      </c>
      <c r="B87" s="7" t="str">
        <f>'Reported burning'!B87</f>
        <v>3c.1</v>
      </c>
      <c r="C87" s="7" t="str">
        <f>'Reported burning'!C87</f>
        <v>Human, deliberate</v>
      </c>
      <c r="D87" s="7" t="str">
        <f>'Reported burning'!D87</f>
        <v>Crop residue burning</v>
      </c>
      <c r="E87" s="7" t="str">
        <f>'Reported burning'!E87</f>
        <v>Cropping, Monoculture, Market-oriented</v>
      </c>
      <c r="F87" s="7" t="str">
        <f>'Reported burning'!F87</f>
        <v>Cropland</v>
      </c>
      <c r="G87" s="7" t="str">
        <f>'Reported burning'!G87</f>
        <v>ND</v>
      </c>
      <c r="H87" s="7" t="str">
        <f>'Reported burning'!H87</f>
        <v>Presence</v>
      </c>
      <c r="I87" s="12"/>
      <c r="J87" s="22" t="s">
        <v>2308</v>
      </c>
      <c r="K87" s="110" t="s">
        <v>2308</v>
      </c>
      <c r="L87" s="22" t="s">
        <v>2308</v>
      </c>
      <c r="M87" s="22" t="s">
        <v>2308</v>
      </c>
      <c r="N87" s="22" t="s">
        <v>2308</v>
      </c>
      <c r="O87" s="22" t="s">
        <v>2308</v>
      </c>
      <c r="P87" s="22" t="s">
        <v>2308</v>
      </c>
      <c r="Q87" s="109" t="s">
        <v>2308</v>
      </c>
      <c r="R87" s="109" t="s">
        <v>2308</v>
      </c>
      <c r="S87" s="22" t="s">
        <v>2423</v>
      </c>
      <c r="T87" s="22" t="s">
        <v>2308</v>
      </c>
      <c r="U87" s="22" t="s">
        <v>2308</v>
      </c>
      <c r="V87" s="22" t="s">
        <v>2308</v>
      </c>
      <c r="W87" s="22" t="s">
        <v>2407</v>
      </c>
      <c r="X87" s="4" t="s">
        <v>75</v>
      </c>
      <c r="Y87" s="4" t="s">
        <v>35</v>
      </c>
      <c r="Z87" s="4" t="s">
        <v>64</v>
      </c>
      <c r="AA87" s="5" t="s">
        <v>1283</v>
      </c>
      <c r="AB87" s="5" t="s">
        <v>1291</v>
      </c>
    </row>
    <row r="88" spans="1:28" ht="100" customHeight="1">
      <c r="A88" s="7" t="str">
        <f>'Reported burning'!A88</f>
        <v>3c</v>
      </c>
      <c r="B88" s="7" t="str">
        <f>'Reported burning'!B88</f>
        <v>3c.2</v>
      </c>
      <c r="C88" s="7" t="str">
        <f>'Reported burning'!C88</f>
        <v>Human, deliberate</v>
      </c>
      <c r="D88" s="7" t="str">
        <f>'Reported burning'!D88</f>
        <v>Crop residue burning</v>
      </c>
      <c r="E88" s="7" t="str">
        <f>'Reported burning'!E88</f>
        <v>Cropping, Monoculture, Market-oriented</v>
      </c>
      <c r="F88" s="7" t="str">
        <f>'Reported burning'!F88</f>
        <v>Cropland</v>
      </c>
      <c r="G88" s="7" t="str">
        <f>'Reported burning'!G88</f>
        <v>ND</v>
      </c>
      <c r="H88" s="7" t="str">
        <f>'Reported burning'!H88</f>
        <v>Presence</v>
      </c>
      <c r="I88" s="12"/>
      <c r="J88" s="22" t="s">
        <v>2308</v>
      </c>
      <c r="K88" s="110" t="s">
        <v>2308</v>
      </c>
      <c r="L88" s="22" t="s">
        <v>2308</v>
      </c>
      <c r="M88" s="22" t="s">
        <v>2308</v>
      </c>
      <c r="N88" s="22" t="s">
        <v>2308</v>
      </c>
      <c r="O88" s="22" t="s">
        <v>2308</v>
      </c>
      <c r="P88" s="22" t="s">
        <v>2308</v>
      </c>
      <c r="Q88" s="109" t="s">
        <v>2308</v>
      </c>
      <c r="R88" s="109" t="s">
        <v>2308</v>
      </c>
      <c r="S88" s="94" t="s">
        <v>2560</v>
      </c>
      <c r="T88" s="22" t="s">
        <v>2308</v>
      </c>
      <c r="U88" s="22" t="s">
        <v>2308</v>
      </c>
      <c r="V88" s="22" t="s">
        <v>2308</v>
      </c>
      <c r="W88" s="22" t="s">
        <v>2407</v>
      </c>
      <c r="X88" s="4" t="s">
        <v>38</v>
      </c>
      <c r="Y88" s="4" t="s">
        <v>86</v>
      </c>
      <c r="Z88" s="4" t="s">
        <v>64</v>
      </c>
      <c r="AA88" s="5" t="s">
        <v>1284</v>
      </c>
      <c r="AB88" s="5" t="s">
        <v>1292</v>
      </c>
    </row>
    <row r="89" spans="1:28" ht="100" customHeight="1">
      <c r="A89" s="7" t="str">
        <f>'Reported burning'!A89</f>
        <v>3c</v>
      </c>
      <c r="B89" s="7" t="str">
        <f>'Reported burning'!B89</f>
        <v>3c.3</v>
      </c>
      <c r="C89" s="7" t="str">
        <f>'Reported burning'!C89</f>
        <v>Human, deliberate</v>
      </c>
      <c r="D89" s="7" t="str">
        <f>'Reported burning'!D89</f>
        <v>Crop residue burning</v>
      </c>
      <c r="E89" s="7" t="str">
        <f>'Reported burning'!E89</f>
        <v>Cropping, Monoculture, Subsistence-oriented</v>
      </c>
      <c r="F89" s="7" t="str">
        <f>'Reported burning'!F89</f>
        <v>Cropland</v>
      </c>
      <c r="G89" s="7" t="str">
        <f>'Reported burning'!G89</f>
        <v>ND</v>
      </c>
      <c r="H89" s="7" t="str">
        <f>'Reported burning'!H89</f>
        <v>Presence</v>
      </c>
      <c r="I89" s="12"/>
      <c r="J89" s="22" t="s">
        <v>2308</v>
      </c>
      <c r="K89" s="110" t="s">
        <v>2308</v>
      </c>
      <c r="L89" s="22" t="s">
        <v>2308</v>
      </c>
      <c r="M89" s="22" t="s">
        <v>2308</v>
      </c>
      <c r="N89" s="22" t="s">
        <v>2308</v>
      </c>
      <c r="O89" s="22" t="s">
        <v>2308</v>
      </c>
      <c r="P89" s="22" t="s">
        <v>2308</v>
      </c>
      <c r="Q89" s="109" t="s">
        <v>2308</v>
      </c>
      <c r="R89" s="109" t="s">
        <v>2308</v>
      </c>
      <c r="S89" s="22" t="s">
        <v>2423</v>
      </c>
      <c r="T89" s="22" t="s">
        <v>2308</v>
      </c>
      <c r="U89" s="22" t="s">
        <v>2308</v>
      </c>
      <c r="V89" s="22" t="s">
        <v>2308</v>
      </c>
      <c r="W89" s="22" t="s">
        <v>2407</v>
      </c>
      <c r="X89" s="4" t="s">
        <v>75</v>
      </c>
      <c r="Y89" s="4" t="s">
        <v>35</v>
      </c>
      <c r="Z89" s="4" t="s">
        <v>64</v>
      </c>
      <c r="AA89" s="5" t="s">
        <v>1283</v>
      </c>
      <c r="AB89" s="5" t="s">
        <v>1293</v>
      </c>
    </row>
    <row r="90" spans="1:28" ht="100" customHeight="1">
      <c r="A90" s="7" t="str">
        <f>'Reported burning'!A90</f>
        <v>3c</v>
      </c>
      <c r="B90" s="7" t="str">
        <f>'Reported burning'!B90</f>
        <v>3c.4</v>
      </c>
      <c r="C90" s="7" t="str">
        <f>'Reported burning'!C90</f>
        <v>Human, deliberate</v>
      </c>
      <c r="D90" s="7" t="str">
        <f>'Reported burning'!D90</f>
        <v>Crop residue burning</v>
      </c>
      <c r="E90" s="7" t="str">
        <f>'Reported burning'!E90</f>
        <v>Cropping, Monoculture, Subsistence-oriented</v>
      </c>
      <c r="F90" s="7" t="str">
        <f>'Reported burning'!F90</f>
        <v>Cropland</v>
      </c>
      <c r="G90" s="7" t="str">
        <f>'Reported burning'!G90</f>
        <v>ND</v>
      </c>
      <c r="H90" s="7" t="str">
        <f>'Reported burning'!H90</f>
        <v>Presence</v>
      </c>
      <c r="I90" s="12"/>
      <c r="J90" s="22" t="s">
        <v>2308</v>
      </c>
      <c r="K90" s="110" t="s">
        <v>2308</v>
      </c>
      <c r="L90" s="22" t="s">
        <v>2308</v>
      </c>
      <c r="M90" s="22" t="s">
        <v>2308</v>
      </c>
      <c r="N90" s="22" t="s">
        <v>2308</v>
      </c>
      <c r="O90" s="22" t="s">
        <v>2308</v>
      </c>
      <c r="P90" s="22" t="s">
        <v>2308</v>
      </c>
      <c r="Q90" s="109" t="s">
        <v>2308</v>
      </c>
      <c r="R90" s="109" t="s">
        <v>2308</v>
      </c>
      <c r="S90" s="94" t="s">
        <v>2560</v>
      </c>
      <c r="T90" s="22" t="s">
        <v>2308</v>
      </c>
      <c r="U90" s="22" t="s">
        <v>2308</v>
      </c>
      <c r="V90" s="22" t="s">
        <v>2308</v>
      </c>
      <c r="W90" s="22" t="s">
        <v>2407</v>
      </c>
      <c r="X90" s="4" t="s">
        <v>38</v>
      </c>
      <c r="Y90" s="4" t="s">
        <v>86</v>
      </c>
      <c r="Z90" s="4" t="s">
        <v>64</v>
      </c>
      <c r="AA90" s="5" t="s">
        <v>1284</v>
      </c>
      <c r="AB90" s="5" t="s">
        <v>1292</v>
      </c>
    </row>
    <row r="91" spans="1:28" ht="86" customHeight="1">
      <c r="A91" s="7" t="str">
        <f>'Reported burning'!A91</f>
        <v>4a</v>
      </c>
      <c r="B91" s="7" t="str">
        <f>'Reported burning'!B91</f>
        <v>4a.1</v>
      </c>
      <c r="C91" s="7" t="str">
        <f>'Reported burning'!C91</f>
        <v>Human, deliberate</v>
      </c>
      <c r="D91" s="7" t="str">
        <f>'Reported burning'!D91</f>
        <v>Crop residue burning</v>
      </c>
      <c r="E91" s="7" t="str">
        <f>'Reported burning'!E91</f>
        <v>Cropping, Monoculture, Market-oriented</v>
      </c>
      <c r="F91" s="7" t="str">
        <f>'Reported burning'!F91</f>
        <v>Cropland</v>
      </c>
      <c r="G91" s="7" t="str">
        <f>'Reported burning'!G91</f>
        <v>ND</v>
      </c>
      <c r="H91" s="7" t="str">
        <f>'Reported burning'!H91</f>
        <v>Presence</v>
      </c>
      <c r="I91" s="12"/>
      <c r="J91" s="22" t="s">
        <v>2308</v>
      </c>
      <c r="K91" s="110" t="s">
        <v>2308</v>
      </c>
      <c r="L91" s="22" t="s">
        <v>2308</v>
      </c>
      <c r="M91" s="22" t="s">
        <v>2308</v>
      </c>
      <c r="N91" s="22" t="s">
        <v>2308</v>
      </c>
      <c r="O91" s="22" t="s">
        <v>2308</v>
      </c>
      <c r="P91" s="22" t="s">
        <v>2308</v>
      </c>
      <c r="Q91" s="109" t="s">
        <v>2308</v>
      </c>
      <c r="R91" s="109" t="s">
        <v>2308</v>
      </c>
      <c r="S91" s="22" t="s">
        <v>2423</v>
      </c>
      <c r="T91" s="22" t="s">
        <v>2308</v>
      </c>
      <c r="U91" s="22" t="s">
        <v>2308</v>
      </c>
      <c r="V91" s="22" t="s">
        <v>2308</v>
      </c>
      <c r="W91" s="22" t="s">
        <v>2407</v>
      </c>
      <c r="X91" s="4" t="s">
        <v>75</v>
      </c>
      <c r="Y91" s="4" t="s">
        <v>35</v>
      </c>
      <c r="Z91" s="4" t="s">
        <v>64</v>
      </c>
      <c r="AA91" s="5" t="s">
        <v>1338</v>
      </c>
      <c r="AB91" s="20" t="s">
        <v>5085</v>
      </c>
    </row>
    <row r="92" spans="1:28" ht="88" customHeight="1">
      <c r="A92" s="7" t="str">
        <f>'Reported burning'!A92</f>
        <v>4a</v>
      </c>
      <c r="B92" s="7" t="str">
        <f>'Reported burning'!B92</f>
        <v>4a.2</v>
      </c>
      <c r="C92" s="7" t="str">
        <f>'Reported burning'!C92</f>
        <v>Human, deliberate</v>
      </c>
      <c r="D92" s="7" t="str">
        <f>'Reported burning'!D92</f>
        <v>Crop residue burning</v>
      </c>
      <c r="E92" s="7" t="str">
        <f>'Reported burning'!E92</f>
        <v>Cropping, Monoculture, Market-oriented</v>
      </c>
      <c r="F92" s="7" t="str">
        <f>'Reported burning'!F92</f>
        <v>Cropland</v>
      </c>
      <c r="G92" s="7" t="str">
        <f>'Reported burning'!G92</f>
        <v>ND</v>
      </c>
      <c r="H92" s="7" t="str">
        <f>'Reported burning'!H92</f>
        <v>Presence</v>
      </c>
      <c r="I92" s="12"/>
      <c r="J92" s="22" t="s">
        <v>2308</v>
      </c>
      <c r="K92" s="110" t="s">
        <v>2308</v>
      </c>
      <c r="L92" s="22" t="s">
        <v>2308</v>
      </c>
      <c r="M92" s="22" t="s">
        <v>2308</v>
      </c>
      <c r="N92" s="22" t="s">
        <v>2308</v>
      </c>
      <c r="O92" s="22" t="s">
        <v>2308</v>
      </c>
      <c r="P92" s="22" t="s">
        <v>2308</v>
      </c>
      <c r="Q92" s="109" t="s">
        <v>2308</v>
      </c>
      <c r="R92" s="109" t="s">
        <v>2308</v>
      </c>
      <c r="S92" s="22" t="s">
        <v>2423</v>
      </c>
      <c r="T92" s="80" t="s">
        <v>2308</v>
      </c>
      <c r="U92" s="80" t="s">
        <v>2308</v>
      </c>
      <c r="V92" s="80" t="s">
        <v>2308</v>
      </c>
      <c r="W92" s="22" t="s">
        <v>2407</v>
      </c>
      <c r="X92" s="4" t="s">
        <v>38</v>
      </c>
      <c r="Y92" s="4" t="s">
        <v>86</v>
      </c>
      <c r="Z92" s="4" t="s">
        <v>64</v>
      </c>
      <c r="AA92" s="5" t="s">
        <v>1337</v>
      </c>
      <c r="AB92" s="20" t="s">
        <v>5086</v>
      </c>
    </row>
    <row r="93" spans="1:28" ht="88" customHeight="1">
      <c r="A93" s="7" t="str">
        <f>'Reported burning'!A93</f>
        <v>4b</v>
      </c>
      <c r="B93" s="7" t="str">
        <f>'Reported burning'!B93</f>
        <v>4b.1</v>
      </c>
      <c r="C93" s="7" t="str">
        <f>'Reported burning'!C93</f>
        <v>Human, deliberate</v>
      </c>
      <c r="D93" s="7" t="str">
        <f>'Reported burning'!D93</f>
        <v>Crop residue burning</v>
      </c>
      <c r="E93" s="7" t="str">
        <f>'Reported burning'!E93</f>
        <v>Cropping, Monoculture, Market-oriented</v>
      </c>
      <c r="F93" s="7" t="str">
        <f>'Reported burning'!F93</f>
        <v>Cropland</v>
      </c>
      <c r="G93" s="7" t="str">
        <f>'Reported burning'!G93</f>
        <v>ND</v>
      </c>
      <c r="H93" s="7" t="str">
        <f>'Reported burning'!H93</f>
        <v>Presence</v>
      </c>
      <c r="I93" s="12"/>
      <c r="J93" s="22" t="s">
        <v>2308</v>
      </c>
      <c r="K93" s="110" t="s">
        <v>2308</v>
      </c>
      <c r="L93" s="22" t="s">
        <v>2308</v>
      </c>
      <c r="M93" s="22" t="s">
        <v>2308</v>
      </c>
      <c r="N93" s="22" t="s">
        <v>2308</v>
      </c>
      <c r="O93" s="22" t="s">
        <v>2308</v>
      </c>
      <c r="P93" s="22" t="s">
        <v>2308</v>
      </c>
      <c r="Q93" s="109" t="s">
        <v>2308</v>
      </c>
      <c r="R93" s="109" t="s">
        <v>2308</v>
      </c>
      <c r="S93" s="22" t="s">
        <v>2423</v>
      </c>
      <c r="T93" s="80" t="s">
        <v>2308</v>
      </c>
      <c r="U93" s="80" t="s">
        <v>2308</v>
      </c>
      <c r="V93" s="80" t="s">
        <v>2308</v>
      </c>
      <c r="W93" s="22" t="s">
        <v>2407</v>
      </c>
      <c r="X93" s="4" t="s">
        <v>75</v>
      </c>
      <c r="Y93" s="4" t="s">
        <v>35</v>
      </c>
      <c r="Z93" s="4" t="s">
        <v>64</v>
      </c>
      <c r="AA93" s="5" t="s">
        <v>1338</v>
      </c>
      <c r="AB93" s="20" t="s">
        <v>5085</v>
      </c>
    </row>
    <row r="94" spans="1:28" ht="88" customHeight="1">
      <c r="A94" s="7" t="str">
        <f>'Reported burning'!A94</f>
        <v>4b</v>
      </c>
      <c r="B94" s="7" t="str">
        <f>'Reported burning'!B94</f>
        <v>4b.2</v>
      </c>
      <c r="C94" s="7" t="str">
        <f>'Reported burning'!C94</f>
        <v>Human, deliberate</v>
      </c>
      <c r="D94" s="7" t="str">
        <f>'Reported burning'!D94</f>
        <v>Crop residue burning</v>
      </c>
      <c r="E94" s="7" t="str">
        <f>'Reported burning'!E94</f>
        <v>Cropping, Monoculture, Market-oriented</v>
      </c>
      <c r="F94" s="7" t="str">
        <f>'Reported burning'!F94</f>
        <v>Cropland</v>
      </c>
      <c r="G94" s="7" t="str">
        <f>'Reported burning'!G94</f>
        <v>ND</v>
      </c>
      <c r="H94" s="7" t="str">
        <f>'Reported burning'!H94</f>
        <v>Presence</v>
      </c>
      <c r="I94" s="12"/>
      <c r="J94" s="22" t="s">
        <v>2308</v>
      </c>
      <c r="K94" s="110" t="s">
        <v>2308</v>
      </c>
      <c r="L94" s="22" t="s">
        <v>2308</v>
      </c>
      <c r="M94" s="22" t="s">
        <v>2308</v>
      </c>
      <c r="N94" s="22" t="s">
        <v>2308</v>
      </c>
      <c r="O94" s="22" t="s">
        <v>2308</v>
      </c>
      <c r="P94" s="22" t="s">
        <v>2308</v>
      </c>
      <c r="Q94" s="109" t="s">
        <v>2308</v>
      </c>
      <c r="R94" s="109" t="s">
        <v>2308</v>
      </c>
      <c r="S94" s="22" t="s">
        <v>2421</v>
      </c>
      <c r="T94" s="80" t="s">
        <v>2308</v>
      </c>
      <c r="U94" s="80" t="s">
        <v>2308</v>
      </c>
      <c r="V94" s="80" t="s">
        <v>2308</v>
      </c>
      <c r="W94" s="22" t="s">
        <v>2407</v>
      </c>
      <c r="X94" s="4" t="s">
        <v>38</v>
      </c>
      <c r="Y94" s="4" t="s">
        <v>86</v>
      </c>
      <c r="Z94" s="4" t="s">
        <v>64</v>
      </c>
      <c r="AA94" s="5" t="s">
        <v>1337</v>
      </c>
      <c r="AB94" s="20" t="s">
        <v>5086</v>
      </c>
    </row>
    <row r="95" spans="1:28" ht="88" customHeight="1">
      <c r="A95" s="7" t="str">
        <f>'Reported burning'!A95</f>
        <v>4c</v>
      </c>
      <c r="B95" s="7" t="str">
        <f>'Reported burning'!B95</f>
        <v>4c.1</v>
      </c>
      <c r="C95" s="7" t="str">
        <f>'Reported burning'!C95</f>
        <v>Human, deliberate</v>
      </c>
      <c r="D95" s="7" t="str">
        <f>'Reported burning'!D95</f>
        <v>Crop residue burning</v>
      </c>
      <c r="E95" s="7" t="str">
        <f>'Reported burning'!E95</f>
        <v>Cropping, Monoculture, Market-oriented</v>
      </c>
      <c r="F95" s="7" t="str">
        <f>'Reported burning'!F95</f>
        <v>Cropland</v>
      </c>
      <c r="G95" s="7" t="str">
        <f>'Reported burning'!G95</f>
        <v>ND</v>
      </c>
      <c r="H95" s="7" t="str">
        <f>'Reported burning'!H95</f>
        <v>Presence</v>
      </c>
      <c r="I95" s="12"/>
      <c r="J95" s="22" t="s">
        <v>2308</v>
      </c>
      <c r="K95" s="110" t="s">
        <v>2308</v>
      </c>
      <c r="L95" s="22" t="s">
        <v>2308</v>
      </c>
      <c r="M95" s="22" t="s">
        <v>2308</v>
      </c>
      <c r="N95" s="22" t="s">
        <v>2308</v>
      </c>
      <c r="O95" s="22" t="s">
        <v>2308</v>
      </c>
      <c r="P95" s="22" t="s">
        <v>2308</v>
      </c>
      <c r="Q95" s="109" t="s">
        <v>2308</v>
      </c>
      <c r="R95" s="109" t="s">
        <v>2308</v>
      </c>
      <c r="S95" s="22" t="s">
        <v>2424</v>
      </c>
      <c r="T95" s="80" t="s">
        <v>2308</v>
      </c>
      <c r="U95" s="80" t="s">
        <v>2308</v>
      </c>
      <c r="V95" s="80" t="s">
        <v>2308</v>
      </c>
      <c r="W95" s="22" t="s">
        <v>2407</v>
      </c>
      <c r="X95" s="4" t="s">
        <v>75</v>
      </c>
      <c r="Y95" s="4" t="s">
        <v>35</v>
      </c>
      <c r="Z95" s="4" t="s">
        <v>64</v>
      </c>
      <c r="AA95" s="5" t="s">
        <v>1338</v>
      </c>
      <c r="AB95" s="20" t="s">
        <v>5085</v>
      </c>
    </row>
    <row r="96" spans="1:28" ht="88" customHeight="1">
      <c r="A96" s="7" t="str">
        <f>'Reported burning'!A96</f>
        <v>4c</v>
      </c>
      <c r="B96" s="7" t="str">
        <f>'Reported burning'!B96</f>
        <v>4c.2</v>
      </c>
      <c r="C96" s="7" t="str">
        <f>'Reported burning'!C96</f>
        <v>Human, deliberate</v>
      </c>
      <c r="D96" s="7" t="str">
        <f>'Reported burning'!D96</f>
        <v>Crop residue burning</v>
      </c>
      <c r="E96" s="7" t="str">
        <f>'Reported burning'!E96</f>
        <v>Cropping, Monoculture, Market-oriented</v>
      </c>
      <c r="F96" s="7" t="str">
        <f>'Reported burning'!F96</f>
        <v>Cropland</v>
      </c>
      <c r="G96" s="7" t="str">
        <f>'Reported burning'!G96</f>
        <v>ND</v>
      </c>
      <c r="H96" s="7" t="str">
        <f>'Reported burning'!H96</f>
        <v>Presence</v>
      </c>
      <c r="I96" s="12"/>
      <c r="J96" s="22" t="s">
        <v>2308</v>
      </c>
      <c r="K96" s="110" t="s">
        <v>2308</v>
      </c>
      <c r="L96" s="22" t="s">
        <v>2308</v>
      </c>
      <c r="M96" s="22" t="s">
        <v>2308</v>
      </c>
      <c r="N96" s="22" t="s">
        <v>2308</v>
      </c>
      <c r="O96" s="22" t="s">
        <v>2308</v>
      </c>
      <c r="P96" s="22" t="s">
        <v>2308</v>
      </c>
      <c r="Q96" s="109" t="s">
        <v>2308</v>
      </c>
      <c r="R96" s="109" t="s">
        <v>2308</v>
      </c>
      <c r="S96" s="22" t="s">
        <v>2421</v>
      </c>
      <c r="T96" s="80" t="s">
        <v>2308</v>
      </c>
      <c r="U96" s="80" t="s">
        <v>2308</v>
      </c>
      <c r="V96" s="80" t="s">
        <v>2308</v>
      </c>
      <c r="W96" s="22" t="s">
        <v>2407</v>
      </c>
      <c r="X96" s="4" t="s">
        <v>38</v>
      </c>
      <c r="Y96" s="4" t="s">
        <v>86</v>
      </c>
      <c r="Z96" s="4" t="s">
        <v>64</v>
      </c>
      <c r="AA96" s="5" t="s">
        <v>1337</v>
      </c>
      <c r="AB96" s="20" t="s">
        <v>5086</v>
      </c>
    </row>
    <row r="97" spans="1:28" ht="88" customHeight="1">
      <c r="A97" s="7" t="str">
        <f>'Reported burning'!A97</f>
        <v>4d</v>
      </c>
      <c r="B97" s="7" t="str">
        <f>'Reported burning'!B97</f>
        <v>4d.1</v>
      </c>
      <c r="C97" s="7" t="str">
        <f>'Reported burning'!C97</f>
        <v>Human, deliberate</v>
      </c>
      <c r="D97" s="7" t="str">
        <f>'Reported burning'!D97</f>
        <v>Crop residue burning</v>
      </c>
      <c r="E97" s="7" t="str">
        <f>'Reported burning'!E97</f>
        <v>Cropping, Monoculture, Market-oriented</v>
      </c>
      <c r="F97" s="7" t="str">
        <f>'Reported burning'!F97</f>
        <v>Cropland</v>
      </c>
      <c r="G97" s="7" t="str">
        <f>'Reported burning'!G97</f>
        <v>ND</v>
      </c>
      <c r="H97" s="7" t="str">
        <f>'Reported burning'!H97</f>
        <v>Presence</v>
      </c>
      <c r="I97" s="12"/>
      <c r="J97" s="22" t="s">
        <v>2308</v>
      </c>
      <c r="K97" s="110" t="s">
        <v>2308</v>
      </c>
      <c r="L97" s="22" t="s">
        <v>2308</v>
      </c>
      <c r="M97" s="22" t="s">
        <v>2308</v>
      </c>
      <c r="N97" s="22" t="s">
        <v>2308</v>
      </c>
      <c r="O97" s="22" t="s">
        <v>2308</v>
      </c>
      <c r="P97" s="22" t="s">
        <v>2308</v>
      </c>
      <c r="Q97" s="109" t="s">
        <v>2308</v>
      </c>
      <c r="R97" s="109" t="s">
        <v>2308</v>
      </c>
      <c r="S97" s="22" t="s">
        <v>2425</v>
      </c>
      <c r="T97" s="80" t="s">
        <v>2308</v>
      </c>
      <c r="U97" s="80" t="s">
        <v>2308</v>
      </c>
      <c r="V97" s="80" t="s">
        <v>2308</v>
      </c>
      <c r="W97" s="22" t="s">
        <v>2407</v>
      </c>
      <c r="X97" s="4" t="s">
        <v>75</v>
      </c>
      <c r="Y97" s="4" t="s">
        <v>35</v>
      </c>
      <c r="Z97" s="4" t="s">
        <v>64</v>
      </c>
      <c r="AA97" s="5" t="s">
        <v>1338</v>
      </c>
      <c r="AB97" s="20" t="s">
        <v>5085</v>
      </c>
    </row>
    <row r="98" spans="1:28" ht="88" customHeight="1">
      <c r="A98" s="7" t="str">
        <f>'Reported burning'!A98</f>
        <v>4d</v>
      </c>
      <c r="B98" s="7" t="str">
        <f>'Reported burning'!B98</f>
        <v>4d.2</v>
      </c>
      <c r="C98" s="7" t="str">
        <f>'Reported burning'!C98</f>
        <v>Human, deliberate</v>
      </c>
      <c r="D98" s="7" t="str">
        <f>'Reported burning'!D98</f>
        <v>Crop residue burning</v>
      </c>
      <c r="E98" s="7" t="str">
        <f>'Reported burning'!E98</f>
        <v>Cropping, Monoculture, Market-oriented</v>
      </c>
      <c r="F98" s="7" t="str">
        <f>'Reported burning'!F98</f>
        <v>Cropland</v>
      </c>
      <c r="G98" s="7" t="str">
        <f>'Reported burning'!G98</f>
        <v>ND</v>
      </c>
      <c r="H98" s="7" t="str">
        <f>'Reported burning'!H98</f>
        <v>Presence</v>
      </c>
      <c r="I98" s="12"/>
      <c r="J98" s="22" t="s">
        <v>2308</v>
      </c>
      <c r="K98" s="110" t="s">
        <v>2308</v>
      </c>
      <c r="L98" s="22" t="s">
        <v>2308</v>
      </c>
      <c r="M98" s="22" t="s">
        <v>2308</v>
      </c>
      <c r="N98" s="22" t="s">
        <v>2308</v>
      </c>
      <c r="O98" s="22" t="s">
        <v>2308</v>
      </c>
      <c r="P98" s="22" t="s">
        <v>2308</v>
      </c>
      <c r="Q98" s="109" t="s">
        <v>2308</v>
      </c>
      <c r="R98" s="109" t="s">
        <v>2308</v>
      </c>
      <c r="S98" s="22" t="s">
        <v>2422</v>
      </c>
      <c r="T98" s="80" t="s">
        <v>2308</v>
      </c>
      <c r="U98" s="80" t="s">
        <v>2308</v>
      </c>
      <c r="V98" s="80" t="s">
        <v>2308</v>
      </c>
      <c r="W98" s="22" t="s">
        <v>2407</v>
      </c>
      <c r="X98" s="4" t="s">
        <v>38</v>
      </c>
      <c r="Y98" s="4" t="s">
        <v>86</v>
      </c>
      <c r="Z98" s="4" t="s">
        <v>64</v>
      </c>
      <c r="AA98" s="5" t="s">
        <v>1337</v>
      </c>
      <c r="AB98" s="20" t="s">
        <v>5086</v>
      </c>
    </row>
    <row r="99" spans="1:28" ht="88" customHeight="1">
      <c r="A99" s="7" t="str">
        <f>'Reported burning'!A99</f>
        <v>4e</v>
      </c>
      <c r="B99" s="7" t="str">
        <f>'Reported burning'!B99</f>
        <v>4e.1</v>
      </c>
      <c r="C99" s="7" t="str">
        <f>'Reported burning'!C99</f>
        <v>Human, deliberate</v>
      </c>
      <c r="D99" s="7" t="str">
        <f>'Reported burning'!D99</f>
        <v>Crop residue burning</v>
      </c>
      <c r="E99" s="7" t="str">
        <f>'Reported burning'!E99</f>
        <v>Cropping, Monoculture, Market-oriented</v>
      </c>
      <c r="F99" s="7" t="str">
        <f>'Reported burning'!F99</f>
        <v>Cropland</v>
      </c>
      <c r="G99" s="7" t="str">
        <f>'Reported burning'!G99</f>
        <v>ND</v>
      </c>
      <c r="H99" s="7" t="str">
        <f>'Reported burning'!H99</f>
        <v>Presence</v>
      </c>
      <c r="I99" s="12"/>
      <c r="J99" s="22" t="s">
        <v>2308</v>
      </c>
      <c r="K99" s="110" t="s">
        <v>2308</v>
      </c>
      <c r="L99" s="22" t="s">
        <v>2308</v>
      </c>
      <c r="M99" s="22" t="s">
        <v>2308</v>
      </c>
      <c r="N99" s="22" t="s">
        <v>2308</v>
      </c>
      <c r="O99" s="22" t="s">
        <v>2308</v>
      </c>
      <c r="P99" s="22" t="s">
        <v>2308</v>
      </c>
      <c r="Q99" s="109" t="s">
        <v>2308</v>
      </c>
      <c r="R99" s="109" t="s">
        <v>2308</v>
      </c>
      <c r="S99" s="22" t="s">
        <v>2423</v>
      </c>
      <c r="T99" s="80" t="s">
        <v>2308</v>
      </c>
      <c r="U99" s="80" t="s">
        <v>2308</v>
      </c>
      <c r="V99" s="80" t="s">
        <v>2308</v>
      </c>
      <c r="W99" s="22" t="s">
        <v>2407</v>
      </c>
      <c r="X99" s="4" t="s">
        <v>75</v>
      </c>
      <c r="Y99" s="4" t="s">
        <v>35</v>
      </c>
      <c r="Z99" s="4" t="s">
        <v>64</v>
      </c>
      <c r="AA99" s="5" t="s">
        <v>1338</v>
      </c>
      <c r="AB99" s="20" t="s">
        <v>5085</v>
      </c>
    </row>
    <row r="100" spans="1:28" ht="88" customHeight="1">
      <c r="A100" s="7" t="str">
        <f>'Reported burning'!A100</f>
        <v>4e</v>
      </c>
      <c r="B100" s="7" t="str">
        <f>'Reported burning'!B100</f>
        <v>4e.2</v>
      </c>
      <c r="C100" s="7" t="str">
        <f>'Reported burning'!C100</f>
        <v>Human, deliberate</v>
      </c>
      <c r="D100" s="7" t="str">
        <f>'Reported burning'!D100</f>
        <v>Crop residue burning</v>
      </c>
      <c r="E100" s="7" t="str">
        <f>'Reported burning'!E100</f>
        <v>Cropping, Monoculture, Market-oriented</v>
      </c>
      <c r="F100" s="7" t="str">
        <f>'Reported burning'!F100</f>
        <v>Cropland</v>
      </c>
      <c r="G100" s="7" t="str">
        <f>'Reported burning'!G100</f>
        <v>ND</v>
      </c>
      <c r="H100" s="7" t="str">
        <f>'Reported burning'!H100</f>
        <v>Presence</v>
      </c>
      <c r="I100" s="12"/>
      <c r="J100" s="22" t="s">
        <v>2308</v>
      </c>
      <c r="K100" s="110" t="s">
        <v>2308</v>
      </c>
      <c r="L100" s="22" t="s">
        <v>2308</v>
      </c>
      <c r="M100" s="22" t="s">
        <v>2308</v>
      </c>
      <c r="N100" s="22" t="s">
        <v>2308</v>
      </c>
      <c r="O100" s="22" t="s">
        <v>2308</v>
      </c>
      <c r="P100" s="22" t="s">
        <v>2308</v>
      </c>
      <c r="Q100" s="109" t="s">
        <v>2308</v>
      </c>
      <c r="R100" s="109" t="s">
        <v>2308</v>
      </c>
      <c r="S100" s="22" t="s">
        <v>2424</v>
      </c>
      <c r="T100" s="80" t="s">
        <v>2308</v>
      </c>
      <c r="U100" s="80" t="s">
        <v>2308</v>
      </c>
      <c r="V100" s="80" t="s">
        <v>2308</v>
      </c>
      <c r="W100" s="22" t="s">
        <v>2407</v>
      </c>
      <c r="X100" s="4" t="s">
        <v>38</v>
      </c>
      <c r="Y100" s="4" t="s">
        <v>86</v>
      </c>
      <c r="Z100" s="4" t="s">
        <v>64</v>
      </c>
      <c r="AA100" s="5" t="s">
        <v>1337</v>
      </c>
      <c r="AB100" s="20" t="s">
        <v>5086</v>
      </c>
    </row>
    <row r="101" spans="1:28" ht="88" customHeight="1">
      <c r="A101" s="7" t="str">
        <f>'Reported burning'!A101</f>
        <v>4f</v>
      </c>
      <c r="B101" s="7" t="str">
        <f>'Reported burning'!B101</f>
        <v>4f.1</v>
      </c>
      <c r="C101" s="7" t="str">
        <f>'Reported burning'!C101</f>
        <v>Human, deliberate</v>
      </c>
      <c r="D101" s="7" t="str">
        <f>'Reported burning'!D101</f>
        <v>Crop residue burning</v>
      </c>
      <c r="E101" s="7" t="str">
        <f>'Reported burning'!E101</f>
        <v>Cropping, Monoculture, Market-oriented</v>
      </c>
      <c r="F101" s="7" t="str">
        <f>'Reported burning'!F101</f>
        <v>Cropland</v>
      </c>
      <c r="G101" s="7" t="str">
        <f>'Reported burning'!G101</f>
        <v>ND</v>
      </c>
      <c r="H101" s="7" t="str">
        <f>'Reported burning'!H101</f>
        <v>Presence</v>
      </c>
      <c r="I101" s="12"/>
      <c r="J101" s="22" t="s">
        <v>2308</v>
      </c>
      <c r="K101" s="110" t="s">
        <v>2308</v>
      </c>
      <c r="L101" s="22" t="s">
        <v>2308</v>
      </c>
      <c r="M101" s="22" t="s">
        <v>2308</v>
      </c>
      <c r="N101" s="22" t="s">
        <v>2308</v>
      </c>
      <c r="O101" s="22" t="s">
        <v>2308</v>
      </c>
      <c r="P101" s="22" t="s">
        <v>2308</v>
      </c>
      <c r="Q101" s="109" t="s">
        <v>2308</v>
      </c>
      <c r="R101" s="109" t="s">
        <v>2308</v>
      </c>
      <c r="S101" s="22" t="s">
        <v>2423</v>
      </c>
      <c r="T101" s="80" t="s">
        <v>2308</v>
      </c>
      <c r="U101" s="80" t="s">
        <v>2308</v>
      </c>
      <c r="V101" s="80" t="s">
        <v>2308</v>
      </c>
      <c r="W101" s="22" t="s">
        <v>2407</v>
      </c>
      <c r="X101" s="4" t="s">
        <v>75</v>
      </c>
      <c r="Y101" s="4" t="s">
        <v>35</v>
      </c>
      <c r="Z101" s="4" t="s">
        <v>64</v>
      </c>
      <c r="AA101" s="5" t="s">
        <v>1338</v>
      </c>
      <c r="AB101" s="20" t="s">
        <v>5085</v>
      </c>
    </row>
    <row r="102" spans="1:28" ht="88" customHeight="1">
      <c r="A102" s="7" t="str">
        <f>'Reported burning'!A102</f>
        <v>4f</v>
      </c>
      <c r="B102" s="7" t="str">
        <f>'Reported burning'!B102</f>
        <v>4f.2</v>
      </c>
      <c r="C102" s="7" t="str">
        <f>'Reported burning'!C102</f>
        <v>Human, deliberate</v>
      </c>
      <c r="D102" s="7" t="str">
        <f>'Reported burning'!D102</f>
        <v>Crop residue burning</v>
      </c>
      <c r="E102" s="7" t="str">
        <f>'Reported burning'!E102</f>
        <v>Cropping, Monoculture, Market-oriented</v>
      </c>
      <c r="F102" s="7" t="str">
        <f>'Reported burning'!F102</f>
        <v>Cropland</v>
      </c>
      <c r="G102" s="7" t="str">
        <f>'Reported burning'!G102</f>
        <v>ND</v>
      </c>
      <c r="H102" s="7" t="str">
        <f>'Reported burning'!H102</f>
        <v>Presence</v>
      </c>
      <c r="I102" s="12"/>
      <c r="J102" s="22" t="s">
        <v>2308</v>
      </c>
      <c r="K102" s="110" t="s">
        <v>2308</v>
      </c>
      <c r="L102" s="22" t="s">
        <v>2308</v>
      </c>
      <c r="M102" s="22" t="s">
        <v>2308</v>
      </c>
      <c r="N102" s="22" t="s">
        <v>2308</v>
      </c>
      <c r="O102" s="22" t="s">
        <v>2308</v>
      </c>
      <c r="P102" s="22" t="s">
        <v>2308</v>
      </c>
      <c r="Q102" s="109" t="s">
        <v>2308</v>
      </c>
      <c r="R102" s="109" t="s">
        <v>2308</v>
      </c>
      <c r="S102" s="22" t="s">
        <v>2423</v>
      </c>
      <c r="T102" s="80" t="s">
        <v>2308</v>
      </c>
      <c r="U102" s="80" t="s">
        <v>2308</v>
      </c>
      <c r="V102" s="80" t="s">
        <v>2308</v>
      </c>
      <c r="W102" s="22" t="s">
        <v>2407</v>
      </c>
      <c r="X102" s="4" t="s">
        <v>38</v>
      </c>
      <c r="Y102" s="4" t="s">
        <v>86</v>
      </c>
      <c r="Z102" s="4" t="s">
        <v>64</v>
      </c>
      <c r="AA102" s="5" t="s">
        <v>1337</v>
      </c>
      <c r="AB102" s="20" t="s">
        <v>5086</v>
      </c>
    </row>
    <row r="103" spans="1:28" ht="88" customHeight="1">
      <c r="A103" s="7" t="str">
        <f>'Reported burning'!A103</f>
        <v>4g</v>
      </c>
      <c r="B103" s="7" t="str">
        <f>'Reported burning'!B103</f>
        <v>4g.1</v>
      </c>
      <c r="C103" s="7" t="str">
        <f>'Reported burning'!C103</f>
        <v>Human, deliberate</v>
      </c>
      <c r="D103" s="7" t="str">
        <f>'Reported burning'!D103</f>
        <v>Crop residue burning</v>
      </c>
      <c r="E103" s="7" t="str">
        <f>'Reported burning'!E103</f>
        <v>Cropping, Monoculture, Market-oriented</v>
      </c>
      <c r="F103" s="7" t="str">
        <f>'Reported burning'!F103</f>
        <v>Cropland</v>
      </c>
      <c r="G103" s="7" t="str">
        <f>'Reported burning'!G103</f>
        <v>ND</v>
      </c>
      <c r="H103" s="7" t="str">
        <f>'Reported burning'!H103</f>
        <v>Presence</v>
      </c>
      <c r="I103" s="12"/>
      <c r="J103" s="22" t="s">
        <v>2308</v>
      </c>
      <c r="K103" s="110" t="s">
        <v>2308</v>
      </c>
      <c r="L103" s="22" t="s">
        <v>2308</v>
      </c>
      <c r="M103" s="22" t="s">
        <v>2308</v>
      </c>
      <c r="N103" s="22" t="s">
        <v>2308</v>
      </c>
      <c r="O103" s="22" t="s">
        <v>2308</v>
      </c>
      <c r="P103" s="22" t="s">
        <v>2308</v>
      </c>
      <c r="Q103" s="109" t="s">
        <v>2308</v>
      </c>
      <c r="R103" s="109" t="s">
        <v>2308</v>
      </c>
      <c r="S103" s="22" t="s">
        <v>2424</v>
      </c>
      <c r="T103" s="80" t="s">
        <v>2308</v>
      </c>
      <c r="U103" s="80" t="s">
        <v>2308</v>
      </c>
      <c r="V103" s="80" t="s">
        <v>2308</v>
      </c>
      <c r="W103" s="22" t="s">
        <v>2407</v>
      </c>
      <c r="X103" s="4" t="s">
        <v>75</v>
      </c>
      <c r="Y103" s="4" t="s">
        <v>35</v>
      </c>
      <c r="Z103" s="4" t="s">
        <v>64</v>
      </c>
      <c r="AA103" s="5" t="s">
        <v>1338</v>
      </c>
      <c r="AB103" s="20" t="s">
        <v>5085</v>
      </c>
    </row>
    <row r="104" spans="1:28" ht="88" customHeight="1">
      <c r="A104" s="7" t="str">
        <f>'Reported burning'!A104</f>
        <v>4g</v>
      </c>
      <c r="B104" s="7" t="str">
        <f>'Reported burning'!B104</f>
        <v>4g.2</v>
      </c>
      <c r="C104" s="7" t="str">
        <f>'Reported burning'!C104</f>
        <v>Human, deliberate</v>
      </c>
      <c r="D104" s="7" t="str">
        <f>'Reported burning'!D104</f>
        <v>Crop residue burning</v>
      </c>
      <c r="E104" s="7" t="str">
        <f>'Reported burning'!E104</f>
        <v>Cropping, Monoculture, Market-oriented</v>
      </c>
      <c r="F104" s="7" t="str">
        <f>'Reported burning'!F104</f>
        <v>Cropland</v>
      </c>
      <c r="G104" s="7" t="str">
        <f>'Reported burning'!G104</f>
        <v>ND</v>
      </c>
      <c r="H104" s="7" t="str">
        <f>'Reported burning'!H104</f>
        <v>Presence</v>
      </c>
      <c r="I104" s="12"/>
      <c r="J104" s="22" t="s">
        <v>2308</v>
      </c>
      <c r="K104" s="110" t="s">
        <v>2308</v>
      </c>
      <c r="L104" s="22" t="s">
        <v>2308</v>
      </c>
      <c r="M104" s="22" t="s">
        <v>2308</v>
      </c>
      <c r="N104" s="22" t="s">
        <v>2308</v>
      </c>
      <c r="O104" s="22" t="s">
        <v>2308</v>
      </c>
      <c r="P104" s="22" t="s">
        <v>2308</v>
      </c>
      <c r="Q104" s="109" t="s">
        <v>2308</v>
      </c>
      <c r="R104" s="109" t="s">
        <v>2308</v>
      </c>
      <c r="S104" s="22" t="s">
        <v>2423</v>
      </c>
      <c r="T104" s="80" t="s">
        <v>2308</v>
      </c>
      <c r="U104" s="80" t="s">
        <v>2308</v>
      </c>
      <c r="V104" s="80" t="s">
        <v>2308</v>
      </c>
      <c r="W104" s="22" t="s">
        <v>2407</v>
      </c>
      <c r="X104" s="4" t="s">
        <v>38</v>
      </c>
      <c r="Y104" s="4" t="s">
        <v>86</v>
      </c>
      <c r="Z104" s="4" t="s">
        <v>64</v>
      </c>
      <c r="AA104" s="5" t="s">
        <v>1337</v>
      </c>
      <c r="AB104" s="20" t="s">
        <v>5086</v>
      </c>
    </row>
    <row r="105" spans="1:28" ht="88" customHeight="1">
      <c r="A105" s="7" t="str">
        <f>'Reported burning'!A105</f>
        <v>4h</v>
      </c>
      <c r="B105" s="7" t="str">
        <f>'Reported burning'!B105</f>
        <v>4h.1</v>
      </c>
      <c r="C105" s="7" t="str">
        <f>'Reported burning'!C105</f>
        <v>Human, deliberate</v>
      </c>
      <c r="D105" s="7" t="str">
        <f>'Reported burning'!D105</f>
        <v>Crop residue burning</v>
      </c>
      <c r="E105" s="7" t="str">
        <f>'Reported burning'!E105</f>
        <v>Cropping, Monoculture, Market-oriented</v>
      </c>
      <c r="F105" s="7" t="str">
        <f>'Reported burning'!F105</f>
        <v>Cropland</v>
      </c>
      <c r="G105" s="7" t="str">
        <f>'Reported burning'!G105</f>
        <v>ND</v>
      </c>
      <c r="H105" s="7" t="str">
        <f>'Reported burning'!H105</f>
        <v>Presence</v>
      </c>
      <c r="I105" s="12"/>
      <c r="J105" s="22" t="s">
        <v>2308</v>
      </c>
      <c r="K105" s="110" t="s">
        <v>2308</v>
      </c>
      <c r="L105" s="22" t="s">
        <v>2308</v>
      </c>
      <c r="M105" s="22" t="s">
        <v>2308</v>
      </c>
      <c r="N105" s="22" t="s">
        <v>2308</v>
      </c>
      <c r="O105" s="22" t="s">
        <v>2308</v>
      </c>
      <c r="P105" s="22" t="s">
        <v>2308</v>
      </c>
      <c r="Q105" s="109" t="s">
        <v>2308</v>
      </c>
      <c r="R105" s="109" t="s">
        <v>2308</v>
      </c>
      <c r="S105" s="22" t="s">
        <v>2426</v>
      </c>
      <c r="T105" s="80" t="s">
        <v>2308</v>
      </c>
      <c r="U105" s="80" t="s">
        <v>2308</v>
      </c>
      <c r="V105" s="80" t="s">
        <v>2308</v>
      </c>
      <c r="W105" s="22" t="s">
        <v>2407</v>
      </c>
      <c r="X105" s="4" t="s">
        <v>75</v>
      </c>
      <c r="Y105" s="4" t="s">
        <v>35</v>
      </c>
      <c r="Z105" s="4" t="s">
        <v>64</v>
      </c>
      <c r="AA105" s="5" t="s">
        <v>1338</v>
      </c>
      <c r="AB105" s="20" t="s">
        <v>5085</v>
      </c>
    </row>
    <row r="106" spans="1:28" ht="88" customHeight="1">
      <c r="A106" s="7" t="str">
        <f>'Reported burning'!A106</f>
        <v>4h</v>
      </c>
      <c r="B106" s="7" t="str">
        <f>'Reported burning'!B106</f>
        <v>4h.2</v>
      </c>
      <c r="C106" s="7" t="str">
        <f>'Reported burning'!C106</f>
        <v>Human, deliberate</v>
      </c>
      <c r="D106" s="7" t="str">
        <f>'Reported burning'!D106</f>
        <v>Crop residue burning</v>
      </c>
      <c r="E106" s="7" t="str">
        <f>'Reported burning'!E106</f>
        <v>Cropping, Monoculture, Market-oriented</v>
      </c>
      <c r="F106" s="7" t="str">
        <f>'Reported burning'!F106</f>
        <v>Cropland</v>
      </c>
      <c r="G106" s="7" t="str">
        <f>'Reported burning'!G106</f>
        <v>ND</v>
      </c>
      <c r="H106" s="7" t="str">
        <f>'Reported burning'!H106</f>
        <v>Presence</v>
      </c>
      <c r="I106" s="12"/>
      <c r="J106" s="22" t="s">
        <v>2308</v>
      </c>
      <c r="K106" s="110" t="s">
        <v>2308</v>
      </c>
      <c r="L106" s="22" t="s">
        <v>2308</v>
      </c>
      <c r="M106" s="22" t="s">
        <v>2308</v>
      </c>
      <c r="N106" s="22" t="s">
        <v>2308</v>
      </c>
      <c r="O106" s="22" t="s">
        <v>2308</v>
      </c>
      <c r="P106" s="22" t="s">
        <v>2308</v>
      </c>
      <c r="Q106" s="109" t="s">
        <v>2308</v>
      </c>
      <c r="R106" s="109" t="s">
        <v>2308</v>
      </c>
      <c r="S106" s="22" t="s">
        <v>2423</v>
      </c>
      <c r="T106" s="80" t="s">
        <v>2308</v>
      </c>
      <c r="U106" s="80" t="s">
        <v>2308</v>
      </c>
      <c r="V106" s="80" t="s">
        <v>2308</v>
      </c>
      <c r="W106" s="22" t="s">
        <v>2407</v>
      </c>
      <c r="X106" s="4" t="s">
        <v>38</v>
      </c>
      <c r="Y106" s="4" t="s">
        <v>86</v>
      </c>
      <c r="Z106" s="4" t="s">
        <v>64</v>
      </c>
      <c r="AA106" s="5" t="s">
        <v>1337</v>
      </c>
      <c r="AB106" s="20" t="s">
        <v>5086</v>
      </c>
    </row>
    <row r="107" spans="1:28" ht="88" customHeight="1">
      <c r="A107" s="7" t="str">
        <f>'Reported burning'!A107</f>
        <v>4i</v>
      </c>
      <c r="B107" s="7" t="str">
        <f>'Reported burning'!B107</f>
        <v>4i.1</v>
      </c>
      <c r="C107" s="7" t="str">
        <f>'Reported burning'!C107</f>
        <v>Human, deliberate</v>
      </c>
      <c r="D107" s="7" t="str">
        <f>'Reported burning'!D107</f>
        <v>Crop residue burning</v>
      </c>
      <c r="E107" s="7" t="str">
        <f>'Reported burning'!E107</f>
        <v>Cropping, Monoculture, Market-oriented</v>
      </c>
      <c r="F107" s="7" t="str">
        <f>'Reported burning'!F107</f>
        <v>Cropland</v>
      </c>
      <c r="G107" s="7" t="str">
        <f>'Reported burning'!G107</f>
        <v>ND</v>
      </c>
      <c r="H107" s="7" t="str">
        <f>'Reported burning'!H107</f>
        <v>Presence</v>
      </c>
      <c r="I107" s="12"/>
      <c r="J107" s="22" t="s">
        <v>2308</v>
      </c>
      <c r="K107" s="110" t="s">
        <v>2308</v>
      </c>
      <c r="L107" s="22" t="s">
        <v>2308</v>
      </c>
      <c r="M107" s="22" t="s">
        <v>2308</v>
      </c>
      <c r="N107" s="22" t="s">
        <v>2308</v>
      </c>
      <c r="O107" s="22" t="s">
        <v>2308</v>
      </c>
      <c r="P107" s="22" t="s">
        <v>2308</v>
      </c>
      <c r="Q107" s="109" t="s">
        <v>2308</v>
      </c>
      <c r="R107" s="109" t="s">
        <v>2308</v>
      </c>
      <c r="S107" s="22" t="s">
        <v>2425</v>
      </c>
      <c r="T107" s="80" t="s">
        <v>2308</v>
      </c>
      <c r="U107" s="80" t="s">
        <v>2308</v>
      </c>
      <c r="V107" s="80" t="s">
        <v>2308</v>
      </c>
      <c r="W107" s="22" t="s">
        <v>2407</v>
      </c>
      <c r="X107" s="4" t="s">
        <v>75</v>
      </c>
      <c r="Y107" s="4" t="s">
        <v>35</v>
      </c>
      <c r="Z107" s="4" t="s">
        <v>64</v>
      </c>
      <c r="AA107" s="5" t="s">
        <v>1338</v>
      </c>
      <c r="AB107" s="20" t="s">
        <v>5085</v>
      </c>
    </row>
    <row r="108" spans="1:28" ht="88" customHeight="1">
      <c r="A108" s="7" t="str">
        <f>'Reported burning'!A108</f>
        <v>4i</v>
      </c>
      <c r="B108" s="7" t="str">
        <f>'Reported burning'!B108</f>
        <v>4i.2</v>
      </c>
      <c r="C108" s="7" t="str">
        <f>'Reported burning'!C108</f>
        <v>Human, deliberate</v>
      </c>
      <c r="D108" s="7" t="str">
        <f>'Reported burning'!D108</f>
        <v>Crop residue burning</v>
      </c>
      <c r="E108" s="7" t="str">
        <f>'Reported burning'!E108</f>
        <v>Cropping, Monoculture, Market-oriented</v>
      </c>
      <c r="F108" s="7" t="str">
        <f>'Reported burning'!F108</f>
        <v>Cropland</v>
      </c>
      <c r="G108" s="7" t="str">
        <f>'Reported burning'!G108</f>
        <v>ND</v>
      </c>
      <c r="H108" s="7" t="str">
        <f>'Reported burning'!H108</f>
        <v>Presence</v>
      </c>
      <c r="I108" s="12"/>
      <c r="J108" s="22" t="s">
        <v>2308</v>
      </c>
      <c r="K108" s="110" t="s">
        <v>2308</v>
      </c>
      <c r="L108" s="22" t="s">
        <v>2308</v>
      </c>
      <c r="M108" s="22" t="s">
        <v>2308</v>
      </c>
      <c r="N108" s="22" t="s">
        <v>2308</v>
      </c>
      <c r="O108" s="22" t="s">
        <v>2308</v>
      </c>
      <c r="P108" s="22" t="s">
        <v>2308</v>
      </c>
      <c r="Q108" s="109" t="s">
        <v>2308</v>
      </c>
      <c r="R108" s="109" t="s">
        <v>2308</v>
      </c>
      <c r="S108" s="22" t="s">
        <v>2421</v>
      </c>
      <c r="T108" s="80" t="s">
        <v>2308</v>
      </c>
      <c r="U108" s="80" t="s">
        <v>2308</v>
      </c>
      <c r="V108" s="80" t="s">
        <v>2308</v>
      </c>
      <c r="W108" s="22" t="s">
        <v>2407</v>
      </c>
      <c r="X108" s="4" t="s">
        <v>38</v>
      </c>
      <c r="Y108" s="4" t="s">
        <v>86</v>
      </c>
      <c r="Z108" s="4" t="s">
        <v>64</v>
      </c>
      <c r="AA108" s="5" t="s">
        <v>1337</v>
      </c>
      <c r="AB108" s="20" t="s">
        <v>5086</v>
      </c>
    </row>
    <row r="109" spans="1:28" ht="88" customHeight="1">
      <c r="A109" s="7" t="str">
        <f>'Reported burning'!A109</f>
        <v>4j</v>
      </c>
      <c r="B109" s="7" t="str">
        <f>'Reported burning'!B109</f>
        <v>4j.1</v>
      </c>
      <c r="C109" s="7" t="str">
        <f>'Reported burning'!C109</f>
        <v>Human, deliberate</v>
      </c>
      <c r="D109" s="7" t="str">
        <f>'Reported burning'!D109</f>
        <v>Crop residue burning</v>
      </c>
      <c r="E109" s="7" t="str">
        <f>'Reported burning'!E109</f>
        <v>Cropping, Monoculture, Market-oriented</v>
      </c>
      <c r="F109" s="7" t="str">
        <f>'Reported burning'!F109</f>
        <v>Cropland</v>
      </c>
      <c r="G109" s="7" t="str">
        <f>'Reported burning'!G109</f>
        <v>ND</v>
      </c>
      <c r="H109" s="7" t="str">
        <f>'Reported burning'!H109</f>
        <v>Presence</v>
      </c>
      <c r="I109" s="12"/>
      <c r="J109" s="22" t="s">
        <v>2308</v>
      </c>
      <c r="K109" s="110" t="s">
        <v>2308</v>
      </c>
      <c r="L109" s="22" t="s">
        <v>2308</v>
      </c>
      <c r="M109" s="22" t="s">
        <v>2308</v>
      </c>
      <c r="N109" s="22" t="s">
        <v>2308</v>
      </c>
      <c r="O109" s="22" t="s">
        <v>2308</v>
      </c>
      <c r="P109" s="22" t="s">
        <v>2308</v>
      </c>
      <c r="Q109" s="109" t="s">
        <v>2308</v>
      </c>
      <c r="R109" s="109" t="s">
        <v>2308</v>
      </c>
      <c r="S109" s="22" t="s">
        <v>2425</v>
      </c>
      <c r="T109" s="80" t="s">
        <v>2308</v>
      </c>
      <c r="U109" s="80" t="s">
        <v>2308</v>
      </c>
      <c r="V109" s="80" t="s">
        <v>2308</v>
      </c>
      <c r="W109" s="22" t="s">
        <v>2407</v>
      </c>
      <c r="X109" s="4" t="s">
        <v>75</v>
      </c>
      <c r="Y109" s="4" t="s">
        <v>35</v>
      </c>
      <c r="Z109" s="4" t="s">
        <v>64</v>
      </c>
      <c r="AA109" s="5" t="s">
        <v>1338</v>
      </c>
      <c r="AB109" s="20" t="s">
        <v>5085</v>
      </c>
    </row>
    <row r="110" spans="1:28" ht="88" customHeight="1">
      <c r="A110" s="7" t="str">
        <f>'Reported burning'!A110</f>
        <v>4j</v>
      </c>
      <c r="B110" s="7" t="str">
        <f>'Reported burning'!B110</f>
        <v>4j.2</v>
      </c>
      <c r="C110" s="7" t="str">
        <f>'Reported burning'!C110</f>
        <v>Human, deliberate</v>
      </c>
      <c r="D110" s="7" t="str">
        <f>'Reported burning'!D110</f>
        <v>Crop residue burning</v>
      </c>
      <c r="E110" s="7" t="str">
        <f>'Reported burning'!E110</f>
        <v>Cropping, Monoculture, Market-oriented</v>
      </c>
      <c r="F110" s="7" t="str">
        <f>'Reported burning'!F110</f>
        <v>Cropland</v>
      </c>
      <c r="G110" s="7" t="str">
        <f>'Reported burning'!G110</f>
        <v>ND</v>
      </c>
      <c r="H110" s="7" t="str">
        <f>'Reported burning'!H110</f>
        <v>Presence</v>
      </c>
      <c r="I110" s="12"/>
      <c r="J110" s="22" t="s">
        <v>2308</v>
      </c>
      <c r="K110" s="110" t="s">
        <v>2308</v>
      </c>
      <c r="L110" s="22" t="s">
        <v>2308</v>
      </c>
      <c r="M110" s="22" t="s">
        <v>2308</v>
      </c>
      <c r="N110" s="22" t="s">
        <v>2308</v>
      </c>
      <c r="O110" s="22" t="s">
        <v>2308</v>
      </c>
      <c r="P110" s="22" t="s">
        <v>2308</v>
      </c>
      <c r="Q110" s="109" t="s">
        <v>2308</v>
      </c>
      <c r="R110" s="109" t="s">
        <v>2308</v>
      </c>
      <c r="S110" s="22" t="s">
        <v>2422</v>
      </c>
      <c r="T110" s="80" t="s">
        <v>2308</v>
      </c>
      <c r="U110" s="80" t="s">
        <v>2308</v>
      </c>
      <c r="V110" s="80" t="s">
        <v>2308</v>
      </c>
      <c r="W110" s="22" t="s">
        <v>2407</v>
      </c>
      <c r="X110" s="4" t="s">
        <v>38</v>
      </c>
      <c r="Y110" s="4" t="s">
        <v>86</v>
      </c>
      <c r="Z110" s="4" t="s">
        <v>64</v>
      </c>
      <c r="AA110" s="5" t="s">
        <v>1337</v>
      </c>
      <c r="AB110" s="20" t="s">
        <v>5086</v>
      </c>
    </row>
    <row r="111" spans="1:28" ht="88" customHeight="1">
      <c r="A111" s="7" t="str">
        <f>'Reported burning'!A111</f>
        <v>4k</v>
      </c>
      <c r="B111" s="7" t="str">
        <f>'Reported burning'!B111</f>
        <v>4k.1</v>
      </c>
      <c r="C111" s="7" t="str">
        <f>'Reported burning'!C111</f>
        <v>Human, deliberate</v>
      </c>
      <c r="D111" s="7" t="str">
        <f>'Reported burning'!D111</f>
        <v>Crop residue burning</v>
      </c>
      <c r="E111" s="7" t="str">
        <f>'Reported burning'!E111</f>
        <v>Cropping, Monoculture, Market-oriented</v>
      </c>
      <c r="F111" s="7" t="str">
        <f>'Reported burning'!F111</f>
        <v>Cropland</v>
      </c>
      <c r="G111" s="7" t="str">
        <f>'Reported burning'!G111</f>
        <v>ND</v>
      </c>
      <c r="H111" s="7" t="str">
        <f>'Reported burning'!H111</f>
        <v>Presence</v>
      </c>
      <c r="I111" s="12"/>
      <c r="J111" s="22" t="s">
        <v>2308</v>
      </c>
      <c r="K111" s="110" t="s">
        <v>2308</v>
      </c>
      <c r="L111" s="22" t="s">
        <v>2308</v>
      </c>
      <c r="M111" s="22" t="s">
        <v>2308</v>
      </c>
      <c r="N111" s="22" t="s">
        <v>2308</v>
      </c>
      <c r="O111" s="22" t="s">
        <v>2308</v>
      </c>
      <c r="P111" s="22" t="s">
        <v>2308</v>
      </c>
      <c r="Q111" s="109" t="s">
        <v>2308</v>
      </c>
      <c r="R111" s="109" t="s">
        <v>2308</v>
      </c>
      <c r="S111" s="22" t="s">
        <v>2426</v>
      </c>
      <c r="T111" s="80" t="s">
        <v>2308</v>
      </c>
      <c r="U111" s="80" t="s">
        <v>2308</v>
      </c>
      <c r="V111" s="80" t="s">
        <v>2308</v>
      </c>
      <c r="W111" s="22" t="s">
        <v>2407</v>
      </c>
      <c r="X111" s="4" t="s">
        <v>75</v>
      </c>
      <c r="Y111" s="4" t="s">
        <v>35</v>
      </c>
      <c r="Z111" s="4" t="s">
        <v>64</v>
      </c>
      <c r="AA111" s="5" t="s">
        <v>1338</v>
      </c>
      <c r="AB111" s="20" t="s">
        <v>5085</v>
      </c>
    </row>
    <row r="112" spans="1:28" ht="88" customHeight="1">
      <c r="A112" s="7" t="str">
        <f>'Reported burning'!A112</f>
        <v>4k</v>
      </c>
      <c r="B112" s="7" t="str">
        <f>'Reported burning'!B112</f>
        <v>4k.2</v>
      </c>
      <c r="C112" s="7" t="str">
        <f>'Reported burning'!C112</f>
        <v>Human, deliberate</v>
      </c>
      <c r="D112" s="7" t="str">
        <f>'Reported burning'!D112</f>
        <v>Crop residue burning</v>
      </c>
      <c r="E112" s="7" t="str">
        <f>'Reported burning'!E112</f>
        <v>Cropping, Monoculture, Market-oriented</v>
      </c>
      <c r="F112" s="7" t="str">
        <f>'Reported burning'!F112</f>
        <v>Cropland</v>
      </c>
      <c r="G112" s="7" t="str">
        <f>'Reported burning'!G112</f>
        <v>ND</v>
      </c>
      <c r="H112" s="7" t="str">
        <f>'Reported burning'!H112</f>
        <v>Presence</v>
      </c>
      <c r="I112" s="12"/>
      <c r="J112" s="22" t="s">
        <v>2308</v>
      </c>
      <c r="K112" s="110" t="s">
        <v>2308</v>
      </c>
      <c r="L112" s="22" t="s">
        <v>2308</v>
      </c>
      <c r="M112" s="22" t="s">
        <v>2308</v>
      </c>
      <c r="N112" s="22" t="s">
        <v>2308</v>
      </c>
      <c r="O112" s="22" t="s">
        <v>2308</v>
      </c>
      <c r="P112" s="22" t="s">
        <v>2308</v>
      </c>
      <c r="Q112" s="109" t="s">
        <v>2308</v>
      </c>
      <c r="R112" s="109" t="s">
        <v>2308</v>
      </c>
      <c r="S112" s="22" t="s">
        <v>2422</v>
      </c>
      <c r="T112" s="80" t="s">
        <v>2308</v>
      </c>
      <c r="U112" s="80" t="s">
        <v>2308</v>
      </c>
      <c r="V112" s="80" t="s">
        <v>2308</v>
      </c>
      <c r="W112" s="22" t="s">
        <v>2407</v>
      </c>
      <c r="X112" s="4" t="s">
        <v>38</v>
      </c>
      <c r="Y112" s="4" t="s">
        <v>86</v>
      </c>
      <c r="Z112" s="4" t="s">
        <v>64</v>
      </c>
      <c r="AA112" s="5" t="s">
        <v>1337</v>
      </c>
      <c r="AB112" s="20" t="s">
        <v>5086</v>
      </c>
    </row>
    <row r="113" spans="1:28" ht="41" customHeight="1">
      <c r="A113" s="7" t="str">
        <f>'Reported burning'!A113</f>
        <v>5a</v>
      </c>
      <c r="B113" s="7" t="str">
        <f>'Reported burning'!B113</f>
        <v>5a.1</v>
      </c>
      <c r="C113" s="7" t="str">
        <f>'Reported burning'!C113</f>
        <v>Human, deliberate</v>
      </c>
      <c r="D113" s="7" t="str">
        <f>'Reported burning'!D113</f>
        <v>Crop residue burning</v>
      </c>
      <c r="E113" s="7" t="str">
        <f>'Reported burning'!E113</f>
        <v>Cropping, Monoculture, Market-oriented</v>
      </c>
      <c r="F113" s="7" t="str">
        <f>'Reported burning'!F113</f>
        <v>Cropland</v>
      </c>
      <c r="G113" s="7" t="str">
        <f>'Reported burning'!G113</f>
        <v>ND</v>
      </c>
      <c r="H113" s="7" t="str">
        <f>'Reported burning'!H113</f>
        <v>Presence</v>
      </c>
      <c r="I113" s="12"/>
      <c r="J113" s="22" t="s">
        <v>2308</v>
      </c>
      <c r="K113" s="110" t="s">
        <v>2308</v>
      </c>
      <c r="L113" s="22" t="s">
        <v>2308</v>
      </c>
      <c r="M113" s="22" t="s">
        <v>2308</v>
      </c>
      <c r="N113" s="22" t="s">
        <v>2308</v>
      </c>
      <c r="O113" s="22" t="s">
        <v>2308</v>
      </c>
      <c r="P113" s="22" t="s">
        <v>2308</v>
      </c>
      <c r="Q113" s="109" t="s">
        <v>2308</v>
      </c>
      <c r="R113" s="109" t="s">
        <v>2308</v>
      </c>
      <c r="S113" s="22" t="s">
        <v>2308</v>
      </c>
      <c r="T113" s="96" t="s">
        <v>2308</v>
      </c>
      <c r="U113" s="96" t="s">
        <v>2308</v>
      </c>
      <c r="V113" s="22" t="s">
        <v>2308</v>
      </c>
      <c r="W113" s="22" t="s">
        <v>2308</v>
      </c>
      <c r="X113" s="4" t="s">
        <v>75</v>
      </c>
      <c r="Y113" s="4" t="s">
        <v>35</v>
      </c>
      <c r="Z113" s="4" t="s">
        <v>64</v>
      </c>
      <c r="AA113" s="5" t="s">
        <v>105</v>
      </c>
      <c r="AB113" s="4" t="s">
        <v>120</v>
      </c>
    </row>
    <row r="114" spans="1:28" ht="140" customHeight="1">
      <c r="A114" s="7" t="str">
        <f>'Reported burning'!A114</f>
        <v>6a</v>
      </c>
      <c r="B114" s="7" t="str">
        <f>'Reported burning'!B114</f>
        <v>6a.1</v>
      </c>
      <c r="C114" s="7" t="str">
        <f>'Reported burning'!C114</f>
        <v>Human, deliberate</v>
      </c>
      <c r="D114" s="7" t="str">
        <f>'Reported burning'!D114</f>
        <v>Crop residue burning</v>
      </c>
      <c r="E114" s="7" t="str">
        <f>'Reported burning'!E114</f>
        <v>Cropping, Monoculture, Market-oriented</v>
      </c>
      <c r="F114" s="7" t="str">
        <f>'Reported burning'!F114</f>
        <v>Cropland</v>
      </c>
      <c r="G114" s="7" t="str">
        <f>'Reported burning'!G114</f>
        <v>ND</v>
      </c>
      <c r="H114" s="7" t="str">
        <f>'Reported burning'!H114</f>
        <v>Presence</v>
      </c>
      <c r="I114" s="12"/>
      <c r="J114" s="22" t="s">
        <v>2308</v>
      </c>
      <c r="K114" s="110" t="s">
        <v>2308</v>
      </c>
      <c r="L114" s="22" t="s">
        <v>2308</v>
      </c>
      <c r="M114" s="22" t="s">
        <v>2308</v>
      </c>
      <c r="N114" s="22" t="s">
        <v>2308</v>
      </c>
      <c r="O114" s="22" t="s">
        <v>2308</v>
      </c>
      <c r="P114" s="22" t="s">
        <v>2308</v>
      </c>
      <c r="Q114" s="109" t="s">
        <v>2308</v>
      </c>
      <c r="R114" s="109" t="s">
        <v>2308</v>
      </c>
      <c r="S114" s="22" t="s">
        <v>2422</v>
      </c>
      <c r="T114" s="22" t="s">
        <v>2308</v>
      </c>
      <c r="U114" s="22" t="s">
        <v>2308</v>
      </c>
      <c r="V114" s="22" t="s">
        <v>2308</v>
      </c>
      <c r="W114" s="22" t="s">
        <v>2308</v>
      </c>
      <c r="X114" s="4" t="s">
        <v>75</v>
      </c>
      <c r="Y114" s="4" t="s">
        <v>35</v>
      </c>
      <c r="Z114" s="4" t="s">
        <v>64</v>
      </c>
      <c r="AA114" s="5" t="s">
        <v>105</v>
      </c>
      <c r="AB114" s="5" t="s">
        <v>1382</v>
      </c>
    </row>
    <row r="115" spans="1:28" ht="100.5" customHeight="1">
      <c r="A115" s="7" t="str">
        <f>'Reported burning'!A115</f>
        <v>6a</v>
      </c>
      <c r="B115" s="7" t="str">
        <f>'Reported burning'!B115</f>
        <v>6a.2</v>
      </c>
      <c r="C115" s="7" t="str">
        <f>'Reported burning'!C115</f>
        <v>Human, deliberate</v>
      </c>
      <c r="D115" s="7" t="str">
        <f>'Reported burning'!D115</f>
        <v>Crop residue burning</v>
      </c>
      <c r="E115" s="7" t="str">
        <f>'Reported burning'!E115</f>
        <v>Cropping, Monoculture, Subsistence-oriented</v>
      </c>
      <c r="F115" s="7" t="str">
        <f>'Reported burning'!F115</f>
        <v>Cropland</v>
      </c>
      <c r="G115" s="7" t="str">
        <f>'Reported burning'!G115</f>
        <v>ND</v>
      </c>
      <c r="H115" s="7" t="str">
        <f>'Reported burning'!H115</f>
        <v>Presence</v>
      </c>
      <c r="I115" s="12"/>
      <c r="J115" s="22" t="s">
        <v>2308</v>
      </c>
      <c r="K115" s="110" t="s">
        <v>2308</v>
      </c>
      <c r="L115" s="22" t="s">
        <v>2308</v>
      </c>
      <c r="M115" s="22" t="s">
        <v>2308</v>
      </c>
      <c r="N115" s="22" t="s">
        <v>2308</v>
      </c>
      <c r="O115" s="22" t="s">
        <v>2308</v>
      </c>
      <c r="P115" s="22" t="s">
        <v>2308</v>
      </c>
      <c r="Q115" s="109" t="s">
        <v>2308</v>
      </c>
      <c r="R115" s="109" t="s">
        <v>2308</v>
      </c>
      <c r="S115" s="22" t="s">
        <v>2422</v>
      </c>
      <c r="T115" s="22" t="s">
        <v>2308</v>
      </c>
      <c r="U115" s="22" t="s">
        <v>2308</v>
      </c>
      <c r="V115" s="22" t="s">
        <v>2308</v>
      </c>
      <c r="W115" s="22" t="s">
        <v>2308</v>
      </c>
      <c r="X115" s="4" t="s">
        <v>75</v>
      </c>
      <c r="Y115" s="4" t="s">
        <v>35</v>
      </c>
      <c r="Z115" s="4" t="s">
        <v>64</v>
      </c>
      <c r="AA115" s="5" t="s">
        <v>105</v>
      </c>
      <c r="AB115" s="5" t="s">
        <v>1381</v>
      </c>
    </row>
    <row r="116" spans="1:28" ht="150.5" customHeight="1">
      <c r="A116" s="7" t="str">
        <f>'Reported burning'!A116</f>
        <v>6b</v>
      </c>
      <c r="B116" s="7" t="str">
        <f>'Reported burning'!B116</f>
        <v>6b.1</v>
      </c>
      <c r="C116" s="7" t="str">
        <f>'Reported burning'!C116</f>
        <v>Human, deliberate</v>
      </c>
      <c r="D116" s="7" t="str">
        <f>'Reported burning'!D116</f>
        <v>Crop residue burning</v>
      </c>
      <c r="E116" s="7" t="str">
        <f>'Reported burning'!E116</f>
        <v>Cropping, Monoculture, Market-oriented</v>
      </c>
      <c r="F116" s="7" t="str">
        <f>'Reported burning'!F116</f>
        <v>Cropland</v>
      </c>
      <c r="G116" s="7" t="str">
        <f>'Reported burning'!G116</f>
        <v>ND</v>
      </c>
      <c r="H116" s="7" t="str">
        <f>'Reported burning'!H116</f>
        <v>Presence</v>
      </c>
      <c r="I116" s="12"/>
      <c r="J116" s="22" t="s">
        <v>2308</v>
      </c>
      <c r="K116" s="110" t="s">
        <v>2308</v>
      </c>
      <c r="L116" s="22" t="s">
        <v>2308</v>
      </c>
      <c r="M116" s="22" t="s">
        <v>2308</v>
      </c>
      <c r="N116" s="22" t="s">
        <v>2308</v>
      </c>
      <c r="O116" s="22" t="s">
        <v>2308</v>
      </c>
      <c r="P116" s="22" t="s">
        <v>2308</v>
      </c>
      <c r="Q116" s="109" t="s">
        <v>2308</v>
      </c>
      <c r="R116" s="109" t="s">
        <v>2308</v>
      </c>
      <c r="S116" s="22" t="s">
        <v>2423</v>
      </c>
      <c r="T116" s="22" t="s">
        <v>2308</v>
      </c>
      <c r="U116" s="22" t="s">
        <v>2308</v>
      </c>
      <c r="V116" s="22" t="s">
        <v>2308</v>
      </c>
      <c r="W116" s="22" t="s">
        <v>2308</v>
      </c>
      <c r="X116" s="4" t="s">
        <v>75</v>
      </c>
      <c r="Y116" s="4" t="s">
        <v>35</v>
      </c>
      <c r="Z116" s="4" t="s">
        <v>64</v>
      </c>
      <c r="AA116" s="5" t="s">
        <v>105</v>
      </c>
      <c r="AB116" s="5" t="s">
        <v>1382</v>
      </c>
    </row>
    <row r="117" spans="1:28" ht="109.5" customHeight="1">
      <c r="A117" s="7" t="str">
        <f>'Reported burning'!A117</f>
        <v>6b</v>
      </c>
      <c r="B117" s="7" t="str">
        <f>'Reported burning'!B117</f>
        <v>6b.2</v>
      </c>
      <c r="C117" s="7" t="str">
        <f>'Reported burning'!C117</f>
        <v>Human, deliberate</v>
      </c>
      <c r="D117" s="7" t="str">
        <f>'Reported burning'!D117</f>
        <v>Crop residue burning</v>
      </c>
      <c r="E117" s="7" t="str">
        <f>'Reported burning'!E117</f>
        <v>Cropping, Monoculture, Subsistence-oriented</v>
      </c>
      <c r="F117" s="7" t="str">
        <f>'Reported burning'!F117</f>
        <v>Cropland</v>
      </c>
      <c r="G117" s="7" t="str">
        <f>'Reported burning'!G117</f>
        <v>ND</v>
      </c>
      <c r="H117" s="7" t="str">
        <f>'Reported burning'!H117</f>
        <v>Presence</v>
      </c>
      <c r="I117" s="12"/>
      <c r="J117" s="22" t="s">
        <v>2308</v>
      </c>
      <c r="K117" s="110" t="s">
        <v>2308</v>
      </c>
      <c r="L117" s="22" t="s">
        <v>2308</v>
      </c>
      <c r="M117" s="22" t="s">
        <v>2308</v>
      </c>
      <c r="N117" s="22" t="s">
        <v>2308</v>
      </c>
      <c r="O117" s="22" t="s">
        <v>2308</v>
      </c>
      <c r="P117" s="22" t="s">
        <v>2308</v>
      </c>
      <c r="Q117" s="109" t="s">
        <v>2308</v>
      </c>
      <c r="R117" s="109" t="s">
        <v>2308</v>
      </c>
      <c r="S117" s="22" t="s">
        <v>2423</v>
      </c>
      <c r="T117" s="22" t="s">
        <v>2308</v>
      </c>
      <c r="U117" s="22" t="s">
        <v>2308</v>
      </c>
      <c r="V117" s="22" t="s">
        <v>2308</v>
      </c>
      <c r="W117" s="22" t="s">
        <v>2308</v>
      </c>
      <c r="X117" s="4" t="s">
        <v>75</v>
      </c>
      <c r="Y117" s="4" t="s">
        <v>35</v>
      </c>
      <c r="Z117" s="4" t="s">
        <v>64</v>
      </c>
      <c r="AA117" s="5" t="s">
        <v>105</v>
      </c>
      <c r="AB117" s="5" t="s">
        <v>1381</v>
      </c>
    </row>
    <row r="118" spans="1:28" ht="146.5" customHeight="1">
      <c r="A118" s="7" t="str">
        <f>'Reported burning'!A118</f>
        <v>6c</v>
      </c>
      <c r="B118" s="7" t="str">
        <f>'Reported burning'!B118</f>
        <v>6c.1</v>
      </c>
      <c r="C118" s="7" t="str">
        <f>'Reported burning'!C118</f>
        <v>Human, deliberate</v>
      </c>
      <c r="D118" s="7" t="str">
        <f>'Reported burning'!D118</f>
        <v>Crop residue burning</v>
      </c>
      <c r="E118" s="7" t="str">
        <f>'Reported burning'!E118</f>
        <v>Cropping, Monoculture, Market-oriented</v>
      </c>
      <c r="F118" s="7" t="str">
        <f>'Reported burning'!F118</f>
        <v>Cropland</v>
      </c>
      <c r="G118" s="7" t="str">
        <f>'Reported burning'!G118</f>
        <v>ND</v>
      </c>
      <c r="H118" s="7" t="str">
        <f>'Reported burning'!H118</f>
        <v>Presence</v>
      </c>
      <c r="I118" s="12"/>
      <c r="J118" s="22" t="s">
        <v>2308</v>
      </c>
      <c r="K118" s="110" t="s">
        <v>2308</v>
      </c>
      <c r="L118" s="22" t="s">
        <v>2308</v>
      </c>
      <c r="M118" s="22" t="s">
        <v>2308</v>
      </c>
      <c r="N118" s="22" t="s">
        <v>2308</v>
      </c>
      <c r="O118" s="22" t="s">
        <v>2308</v>
      </c>
      <c r="P118" s="22" t="s">
        <v>2308</v>
      </c>
      <c r="Q118" s="109" t="s">
        <v>2308</v>
      </c>
      <c r="R118" s="109" t="s">
        <v>2308</v>
      </c>
      <c r="S118" s="22" t="s">
        <v>2422</v>
      </c>
      <c r="T118" s="22" t="s">
        <v>2308</v>
      </c>
      <c r="U118" s="22" t="s">
        <v>2308</v>
      </c>
      <c r="V118" s="22" t="s">
        <v>2308</v>
      </c>
      <c r="W118" s="22" t="s">
        <v>2308</v>
      </c>
      <c r="X118" s="4" t="s">
        <v>75</v>
      </c>
      <c r="Y118" s="4" t="s">
        <v>35</v>
      </c>
      <c r="Z118" s="4" t="s">
        <v>64</v>
      </c>
      <c r="AA118" s="5" t="s">
        <v>105</v>
      </c>
      <c r="AB118" s="5" t="s">
        <v>1382</v>
      </c>
    </row>
    <row r="119" spans="1:28" ht="110.5" customHeight="1">
      <c r="A119" s="7" t="str">
        <f>'Reported burning'!A119</f>
        <v>6c</v>
      </c>
      <c r="B119" s="7" t="str">
        <f>'Reported burning'!B119</f>
        <v>6c.2</v>
      </c>
      <c r="C119" s="7" t="str">
        <f>'Reported burning'!C119</f>
        <v>Human, deliberate</v>
      </c>
      <c r="D119" s="7" t="str">
        <f>'Reported burning'!D119</f>
        <v>Crop residue burning</v>
      </c>
      <c r="E119" s="7" t="str">
        <f>'Reported burning'!E119</f>
        <v>Cropping, Monoculture, Subsistence-oriented</v>
      </c>
      <c r="F119" s="7" t="str">
        <f>'Reported burning'!F119</f>
        <v>Cropland</v>
      </c>
      <c r="G119" s="7" t="str">
        <f>'Reported burning'!G119</f>
        <v>ND</v>
      </c>
      <c r="H119" s="7" t="str">
        <f>'Reported burning'!H119</f>
        <v>Presence</v>
      </c>
      <c r="I119" s="12"/>
      <c r="J119" s="22" t="s">
        <v>2308</v>
      </c>
      <c r="K119" s="110" t="s">
        <v>2308</v>
      </c>
      <c r="L119" s="22" t="s">
        <v>2308</v>
      </c>
      <c r="M119" s="22" t="s">
        <v>2308</v>
      </c>
      <c r="N119" s="22" t="s">
        <v>2308</v>
      </c>
      <c r="O119" s="22" t="s">
        <v>2308</v>
      </c>
      <c r="P119" s="22" t="s">
        <v>2308</v>
      </c>
      <c r="Q119" s="109" t="s">
        <v>2308</v>
      </c>
      <c r="R119" s="109" t="s">
        <v>2308</v>
      </c>
      <c r="S119" s="22" t="s">
        <v>2422</v>
      </c>
      <c r="T119" s="22" t="s">
        <v>2308</v>
      </c>
      <c r="U119" s="22" t="s">
        <v>2308</v>
      </c>
      <c r="V119" s="22" t="s">
        <v>2308</v>
      </c>
      <c r="W119" s="22" t="s">
        <v>2308</v>
      </c>
      <c r="X119" s="4" t="s">
        <v>75</v>
      </c>
      <c r="Y119" s="4" t="s">
        <v>35</v>
      </c>
      <c r="Z119" s="4" t="s">
        <v>64</v>
      </c>
      <c r="AA119" s="5" t="s">
        <v>105</v>
      </c>
      <c r="AB119" s="5" t="s">
        <v>1381</v>
      </c>
    </row>
    <row r="120" spans="1:28" ht="144.5" customHeight="1">
      <c r="A120" s="7" t="str">
        <f>'Reported burning'!A120</f>
        <v>6d</v>
      </c>
      <c r="B120" s="7" t="str">
        <f>'Reported burning'!B120</f>
        <v>6d.1</v>
      </c>
      <c r="C120" s="7" t="str">
        <f>'Reported burning'!C120</f>
        <v>Human, deliberate</v>
      </c>
      <c r="D120" s="7" t="str">
        <f>'Reported burning'!D120</f>
        <v>Crop residue burning</v>
      </c>
      <c r="E120" s="7" t="str">
        <f>'Reported burning'!E120</f>
        <v>Cropping, Monoculture, Market-oriented</v>
      </c>
      <c r="F120" s="7" t="str">
        <f>'Reported burning'!F120</f>
        <v>Cropland</v>
      </c>
      <c r="G120" s="7" t="str">
        <f>'Reported burning'!G120</f>
        <v>ND</v>
      </c>
      <c r="H120" s="7" t="str">
        <f>'Reported burning'!H120</f>
        <v>Presence</v>
      </c>
      <c r="I120" s="12"/>
      <c r="J120" s="22" t="s">
        <v>2308</v>
      </c>
      <c r="K120" s="110" t="s">
        <v>2308</v>
      </c>
      <c r="L120" s="22" t="s">
        <v>2308</v>
      </c>
      <c r="M120" s="22" t="s">
        <v>2308</v>
      </c>
      <c r="N120" s="22" t="s">
        <v>2308</v>
      </c>
      <c r="O120" s="22" t="s">
        <v>2308</v>
      </c>
      <c r="P120" s="22" t="s">
        <v>2308</v>
      </c>
      <c r="Q120" s="109" t="s">
        <v>2308</v>
      </c>
      <c r="R120" s="109" t="s">
        <v>2308</v>
      </c>
      <c r="S120" s="22" t="s">
        <v>2421</v>
      </c>
      <c r="T120" s="22" t="s">
        <v>2308</v>
      </c>
      <c r="U120" s="22" t="s">
        <v>2308</v>
      </c>
      <c r="V120" s="22" t="s">
        <v>2308</v>
      </c>
      <c r="W120" s="22" t="s">
        <v>2308</v>
      </c>
      <c r="X120" s="4" t="s">
        <v>75</v>
      </c>
      <c r="Y120" s="4" t="s">
        <v>35</v>
      </c>
      <c r="Z120" s="4" t="s">
        <v>64</v>
      </c>
      <c r="AA120" s="5" t="s">
        <v>105</v>
      </c>
      <c r="AB120" s="5" t="s">
        <v>1382</v>
      </c>
    </row>
    <row r="121" spans="1:28" ht="110.5" customHeight="1">
      <c r="A121" s="7" t="str">
        <f>'Reported burning'!A121</f>
        <v>6d</v>
      </c>
      <c r="B121" s="7" t="str">
        <f>'Reported burning'!B121</f>
        <v>6d.2</v>
      </c>
      <c r="C121" s="7" t="str">
        <f>'Reported burning'!C121</f>
        <v>Human, deliberate</v>
      </c>
      <c r="D121" s="7" t="str">
        <f>'Reported burning'!D121</f>
        <v>Crop residue burning</v>
      </c>
      <c r="E121" s="7" t="str">
        <f>'Reported burning'!E121</f>
        <v>Cropping, Monoculture, Subsistence-oriented</v>
      </c>
      <c r="F121" s="7" t="str">
        <f>'Reported burning'!F121</f>
        <v>Cropland</v>
      </c>
      <c r="G121" s="7" t="str">
        <f>'Reported burning'!G121</f>
        <v>ND</v>
      </c>
      <c r="H121" s="7" t="str">
        <f>'Reported burning'!H121</f>
        <v>Presence</v>
      </c>
      <c r="I121" s="12"/>
      <c r="J121" s="22" t="s">
        <v>2308</v>
      </c>
      <c r="K121" s="110" t="s">
        <v>2308</v>
      </c>
      <c r="L121" s="22" t="s">
        <v>2308</v>
      </c>
      <c r="M121" s="22" t="s">
        <v>2308</v>
      </c>
      <c r="N121" s="22" t="s">
        <v>2308</v>
      </c>
      <c r="O121" s="22" t="s">
        <v>2308</v>
      </c>
      <c r="P121" s="22" t="s">
        <v>2308</v>
      </c>
      <c r="Q121" s="109" t="s">
        <v>2308</v>
      </c>
      <c r="R121" s="109" t="s">
        <v>2308</v>
      </c>
      <c r="S121" s="22" t="s">
        <v>2421</v>
      </c>
      <c r="T121" s="22" t="s">
        <v>2308</v>
      </c>
      <c r="U121" s="22" t="s">
        <v>2308</v>
      </c>
      <c r="V121" s="22" t="s">
        <v>2308</v>
      </c>
      <c r="W121" s="22" t="s">
        <v>2308</v>
      </c>
      <c r="X121" s="4" t="s">
        <v>75</v>
      </c>
      <c r="Y121" s="4" t="s">
        <v>35</v>
      </c>
      <c r="Z121" s="4" t="s">
        <v>64</v>
      </c>
      <c r="AA121" s="5" t="s">
        <v>105</v>
      </c>
      <c r="AB121" s="5" t="s">
        <v>1381</v>
      </c>
    </row>
    <row r="122" spans="1:28" ht="153" customHeight="1">
      <c r="A122" s="7" t="str">
        <f>'Reported burning'!A122</f>
        <v>6e</v>
      </c>
      <c r="B122" s="7" t="str">
        <f>'Reported burning'!B122</f>
        <v>6e.1</v>
      </c>
      <c r="C122" s="7" t="str">
        <f>'Reported burning'!C122</f>
        <v>Human, deliberate</v>
      </c>
      <c r="D122" s="7" t="str">
        <f>'Reported burning'!D122</f>
        <v>Crop residue burning</v>
      </c>
      <c r="E122" s="7" t="str">
        <f>'Reported burning'!E122</f>
        <v>Cropping, Monoculture, Market-oriented</v>
      </c>
      <c r="F122" s="7" t="str">
        <f>'Reported burning'!F122</f>
        <v>Cropland</v>
      </c>
      <c r="G122" s="7" t="str">
        <f>'Reported burning'!G122</f>
        <v>ND</v>
      </c>
      <c r="H122" s="7" t="str">
        <f>'Reported burning'!H122</f>
        <v>Presence</v>
      </c>
      <c r="I122" s="12"/>
      <c r="J122" s="22" t="s">
        <v>2308</v>
      </c>
      <c r="K122" s="110" t="s">
        <v>2308</v>
      </c>
      <c r="L122" s="22" t="s">
        <v>2308</v>
      </c>
      <c r="M122" s="22" t="s">
        <v>2308</v>
      </c>
      <c r="N122" s="22" t="s">
        <v>2308</v>
      </c>
      <c r="O122" s="22" t="s">
        <v>2308</v>
      </c>
      <c r="P122" s="22" t="s">
        <v>2308</v>
      </c>
      <c r="Q122" s="109" t="s">
        <v>2308</v>
      </c>
      <c r="R122" s="109" t="s">
        <v>2308</v>
      </c>
      <c r="S122" s="22" t="s">
        <v>2408</v>
      </c>
      <c r="T122" s="22" t="s">
        <v>2308</v>
      </c>
      <c r="U122" s="22" t="s">
        <v>2308</v>
      </c>
      <c r="V122" s="22" t="s">
        <v>2308</v>
      </c>
      <c r="W122" s="22" t="s">
        <v>2308</v>
      </c>
      <c r="X122" s="4" t="s">
        <v>75</v>
      </c>
      <c r="Y122" s="4" t="s">
        <v>35</v>
      </c>
      <c r="Z122" s="4" t="s">
        <v>64</v>
      </c>
      <c r="AA122" s="5" t="s">
        <v>105</v>
      </c>
      <c r="AB122" s="5" t="s">
        <v>1382</v>
      </c>
    </row>
    <row r="123" spans="1:28" ht="101" customHeight="1">
      <c r="A123" s="7" t="str">
        <f>'Reported burning'!A123</f>
        <v>6e</v>
      </c>
      <c r="B123" s="7" t="str">
        <f>'Reported burning'!B123</f>
        <v>6e.2</v>
      </c>
      <c r="C123" s="7" t="str">
        <f>'Reported burning'!C123</f>
        <v>Human, deliberate</v>
      </c>
      <c r="D123" s="7" t="str">
        <f>'Reported burning'!D123</f>
        <v>Crop residue burning</v>
      </c>
      <c r="E123" s="7" t="str">
        <f>'Reported burning'!E123</f>
        <v>Cropping, Monoculture, Subsistence-oriented</v>
      </c>
      <c r="F123" s="7" t="str">
        <f>'Reported burning'!F123</f>
        <v>Cropland</v>
      </c>
      <c r="G123" s="7" t="str">
        <f>'Reported burning'!G123</f>
        <v>ND</v>
      </c>
      <c r="H123" s="7" t="str">
        <f>'Reported burning'!H123</f>
        <v>Presence</v>
      </c>
      <c r="I123" s="12"/>
      <c r="J123" s="22" t="s">
        <v>2308</v>
      </c>
      <c r="K123" s="110" t="s">
        <v>2308</v>
      </c>
      <c r="L123" s="22" t="s">
        <v>2308</v>
      </c>
      <c r="M123" s="22" t="s">
        <v>2308</v>
      </c>
      <c r="N123" s="22" t="s">
        <v>2308</v>
      </c>
      <c r="O123" s="22" t="s">
        <v>2308</v>
      </c>
      <c r="P123" s="22" t="s">
        <v>2308</v>
      </c>
      <c r="Q123" s="109" t="s">
        <v>2308</v>
      </c>
      <c r="R123" s="109" t="s">
        <v>2308</v>
      </c>
      <c r="S123" s="22" t="s">
        <v>2408</v>
      </c>
      <c r="T123" s="22" t="s">
        <v>2308</v>
      </c>
      <c r="U123" s="22" t="s">
        <v>2308</v>
      </c>
      <c r="V123" s="22" t="s">
        <v>2308</v>
      </c>
      <c r="W123" s="22" t="s">
        <v>2308</v>
      </c>
      <c r="X123" s="4" t="s">
        <v>75</v>
      </c>
      <c r="Y123" s="4" t="s">
        <v>35</v>
      </c>
      <c r="Z123" s="4" t="s">
        <v>64</v>
      </c>
      <c r="AA123" s="5" t="s">
        <v>105</v>
      </c>
      <c r="AB123" s="5" t="s">
        <v>1381</v>
      </c>
    </row>
    <row r="124" spans="1:28" ht="142" customHeight="1">
      <c r="A124" s="7" t="str">
        <f>'Reported burning'!A124</f>
        <v>6f</v>
      </c>
      <c r="B124" s="7" t="str">
        <f>'Reported burning'!B124</f>
        <v>6f.1</v>
      </c>
      <c r="C124" s="7" t="str">
        <f>'Reported burning'!C124</f>
        <v>Human, deliberate</v>
      </c>
      <c r="D124" s="7" t="str">
        <f>'Reported burning'!D124</f>
        <v>Crop residue burning</v>
      </c>
      <c r="E124" s="7" t="str">
        <f>'Reported burning'!E124</f>
        <v>Cropping, Monoculture, Market-oriented</v>
      </c>
      <c r="F124" s="7" t="str">
        <f>'Reported burning'!F124</f>
        <v>Cropland</v>
      </c>
      <c r="G124" s="7" t="str">
        <f>'Reported burning'!G124</f>
        <v>ND</v>
      </c>
      <c r="H124" s="7" t="str">
        <f>'Reported burning'!H124</f>
        <v>Presence</v>
      </c>
      <c r="I124" s="12"/>
      <c r="J124" s="22" t="s">
        <v>2308</v>
      </c>
      <c r="K124" s="110" t="s">
        <v>2308</v>
      </c>
      <c r="L124" s="22" t="s">
        <v>2308</v>
      </c>
      <c r="M124" s="22" t="s">
        <v>2308</v>
      </c>
      <c r="N124" s="22" t="s">
        <v>2308</v>
      </c>
      <c r="O124" s="22" t="s">
        <v>2308</v>
      </c>
      <c r="P124" s="22" t="s">
        <v>2308</v>
      </c>
      <c r="Q124" s="109" t="s">
        <v>2308</v>
      </c>
      <c r="R124" s="109" t="s">
        <v>2308</v>
      </c>
      <c r="S124" s="22" t="s">
        <v>2421</v>
      </c>
      <c r="T124" s="22" t="s">
        <v>2308</v>
      </c>
      <c r="U124" s="22" t="s">
        <v>2308</v>
      </c>
      <c r="V124" s="22" t="s">
        <v>2308</v>
      </c>
      <c r="W124" s="22" t="s">
        <v>2308</v>
      </c>
      <c r="X124" s="4" t="s">
        <v>75</v>
      </c>
      <c r="Y124" s="4" t="s">
        <v>35</v>
      </c>
      <c r="Z124" s="4" t="s">
        <v>64</v>
      </c>
      <c r="AA124" s="5" t="s">
        <v>105</v>
      </c>
      <c r="AB124" s="5" t="s">
        <v>1382</v>
      </c>
    </row>
    <row r="125" spans="1:28" ht="105.5" customHeight="1">
      <c r="A125" s="7" t="str">
        <f>'Reported burning'!A125</f>
        <v>6f</v>
      </c>
      <c r="B125" s="7" t="str">
        <f>'Reported burning'!B125</f>
        <v>6f.2</v>
      </c>
      <c r="C125" s="7" t="str">
        <f>'Reported burning'!C125</f>
        <v>Human, deliberate</v>
      </c>
      <c r="D125" s="7" t="str">
        <f>'Reported burning'!D125</f>
        <v>Crop residue burning</v>
      </c>
      <c r="E125" s="7" t="str">
        <f>'Reported burning'!E125</f>
        <v>Cropping, Monoculture, Subsistence-oriented</v>
      </c>
      <c r="F125" s="7" t="str">
        <f>'Reported burning'!F125</f>
        <v>Cropland</v>
      </c>
      <c r="G125" s="7" t="str">
        <f>'Reported burning'!G125</f>
        <v>ND</v>
      </c>
      <c r="H125" s="7" t="str">
        <f>'Reported burning'!H125</f>
        <v>Presence</v>
      </c>
      <c r="I125" s="12"/>
      <c r="J125" s="22" t="s">
        <v>2308</v>
      </c>
      <c r="K125" s="110" t="s">
        <v>2308</v>
      </c>
      <c r="L125" s="22" t="s">
        <v>2308</v>
      </c>
      <c r="M125" s="22" t="s">
        <v>2308</v>
      </c>
      <c r="N125" s="22" t="s">
        <v>2308</v>
      </c>
      <c r="O125" s="22" t="s">
        <v>2308</v>
      </c>
      <c r="P125" s="22" t="s">
        <v>2308</v>
      </c>
      <c r="Q125" s="109" t="s">
        <v>2308</v>
      </c>
      <c r="R125" s="109" t="s">
        <v>2308</v>
      </c>
      <c r="S125" s="22" t="s">
        <v>2421</v>
      </c>
      <c r="T125" s="22" t="s">
        <v>2308</v>
      </c>
      <c r="U125" s="22" t="s">
        <v>2308</v>
      </c>
      <c r="V125" s="22" t="s">
        <v>2308</v>
      </c>
      <c r="W125" s="22" t="s">
        <v>2308</v>
      </c>
      <c r="X125" s="4" t="s">
        <v>75</v>
      </c>
      <c r="Y125" s="4" t="s">
        <v>35</v>
      </c>
      <c r="Z125" s="4" t="s">
        <v>64</v>
      </c>
      <c r="AA125" s="5" t="s">
        <v>105</v>
      </c>
      <c r="AB125" s="5" t="s">
        <v>1381</v>
      </c>
    </row>
    <row r="126" spans="1:28" ht="151" customHeight="1">
      <c r="A126" s="7" t="str">
        <f>'Reported burning'!A126</f>
        <v>6g</v>
      </c>
      <c r="B126" s="7" t="str">
        <f>'Reported burning'!B126</f>
        <v>6g.1</v>
      </c>
      <c r="C126" s="7" t="str">
        <f>'Reported burning'!C126</f>
        <v>Human, deliberate</v>
      </c>
      <c r="D126" s="7" t="str">
        <f>'Reported burning'!D126</f>
        <v>Crop residue burning</v>
      </c>
      <c r="E126" s="7" t="str">
        <f>'Reported burning'!E126</f>
        <v>Cropping, Monoculture, Market-oriented</v>
      </c>
      <c r="F126" s="7" t="str">
        <f>'Reported burning'!F126</f>
        <v>Cropland</v>
      </c>
      <c r="G126" s="7" t="str">
        <f>'Reported burning'!G126</f>
        <v>ND</v>
      </c>
      <c r="H126" s="7" t="str">
        <f>'Reported burning'!H126</f>
        <v>Presence</v>
      </c>
      <c r="I126" s="12"/>
      <c r="J126" s="22" t="s">
        <v>2308</v>
      </c>
      <c r="K126" s="110" t="s">
        <v>2308</v>
      </c>
      <c r="L126" s="22" t="s">
        <v>2308</v>
      </c>
      <c r="M126" s="22" t="s">
        <v>2308</v>
      </c>
      <c r="N126" s="22" t="s">
        <v>2308</v>
      </c>
      <c r="O126" s="22" t="s">
        <v>2308</v>
      </c>
      <c r="P126" s="22" t="s">
        <v>2308</v>
      </c>
      <c r="Q126" s="109" t="s">
        <v>2308</v>
      </c>
      <c r="R126" s="109" t="s">
        <v>2308</v>
      </c>
      <c r="S126" s="22" t="s">
        <v>2421</v>
      </c>
      <c r="T126" s="22" t="s">
        <v>2308</v>
      </c>
      <c r="U126" s="22" t="s">
        <v>2308</v>
      </c>
      <c r="V126" s="22" t="s">
        <v>2308</v>
      </c>
      <c r="W126" s="22" t="s">
        <v>2308</v>
      </c>
      <c r="X126" s="4" t="s">
        <v>75</v>
      </c>
      <c r="Y126" s="4" t="s">
        <v>35</v>
      </c>
      <c r="Z126" s="4" t="s">
        <v>64</v>
      </c>
      <c r="AA126" s="5" t="s">
        <v>105</v>
      </c>
      <c r="AB126" s="5" t="s">
        <v>1382</v>
      </c>
    </row>
    <row r="127" spans="1:28" ht="110.5" customHeight="1">
      <c r="A127" s="7" t="str">
        <f>'Reported burning'!A127</f>
        <v>6g</v>
      </c>
      <c r="B127" s="7" t="str">
        <f>'Reported burning'!B127</f>
        <v>6g.2</v>
      </c>
      <c r="C127" s="7" t="str">
        <f>'Reported burning'!C127</f>
        <v>Human, deliberate</v>
      </c>
      <c r="D127" s="7" t="str">
        <f>'Reported burning'!D127</f>
        <v>Crop residue burning</v>
      </c>
      <c r="E127" s="7" t="str">
        <f>'Reported burning'!E127</f>
        <v>Cropping, Monoculture, Subsistence-oriented</v>
      </c>
      <c r="F127" s="7" t="str">
        <f>'Reported burning'!F127</f>
        <v>Cropland</v>
      </c>
      <c r="G127" s="7" t="str">
        <f>'Reported burning'!G127</f>
        <v>ND</v>
      </c>
      <c r="H127" s="7" t="str">
        <f>'Reported burning'!H127</f>
        <v>Presence</v>
      </c>
      <c r="I127" s="12"/>
      <c r="J127" s="22" t="s">
        <v>2308</v>
      </c>
      <c r="K127" s="110" t="s">
        <v>2308</v>
      </c>
      <c r="L127" s="22" t="s">
        <v>2308</v>
      </c>
      <c r="M127" s="22" t="s">
        <v>2308</v>
      </c>
      <c r="N127" s="22" t="s">
        <v>2308</v>
      </c>
      <c r="O127" s="22" t="s">
        <v>2308</v>
      </c>
      <c r="P127" s="22" t="s">
        <v>2308</v>
      </c>
      <c r="Q127" s="109" t="s">
        <v>2308</v>
      </c>
      <c r="R127" s="109" t="s">
        <v>2308</v>
      </c>
      <c r="S127" s="22" t="s">
        <v>2421</v>
      </c>
      <c r="T127" s="22" t="s">
        <v>2308</v>
      </c>
      <c r="U127" s="22" t="s">
        <v>2308</v>
      </c>
      <c r="V127" s="22" t="s">
        <v>2308</v>
      </c>
      <c r="W127" s="22" t="s">
        <v>2308</v>
      </c>
      <c r="X127" s="4" t="s">
        <v>75</v>
      </c>
      <c r="Y127" s="4" t="s">
        <v>35</v>
      </c>
      <c r="Z127" s="4" t="s">
        <v>64</v>
      </c>
      <c r="AA127" s="5" t="s">
        <v>105</v>
      </c>
      <c r="AB127" s="5" t="s">
        <v>1381</v>
      </c>
    </row>
    <row r="128" spans="1:28" ht="110.5" customHeight="1">
      <c r="A128" s="7" t="str">
        <f>'Reported burning'!A128</f>
        <v>6h</v>
      </c>
      <c r="B128" s="7" t="str">
        <f>'Reported burning'!B128</f>
        <v>6h.1</v>
      </c>
      <c r="C128" s="7" t="str">
        <f>'Reported burning'!C128</f>
        <v>Human, deliberate</v>
      </c>
      <c r="D128" s="7" t="str">
        <f>'Reported burning'!D128</f>
        <v>Crop residue burning</v>
      </c>
      <c r="E128" s="7" t="str">
        <f>'Reported burning'!E128</f>
        <v>Cropping, Monoculture, Market-oriented</v>
      </c>
      <c r="F128" s="7" t="str">
        <f>'Reported burning'!F128</f>
        <v>Cropland</v>
      </c>
      <c r="G128" s="7" t="str">
        <f>'Reported burning'!G128</f>
        <v>ND</v>
      </c>
      <c r="H128" s="7" t="str">
        <f>'Reported burning'!H128</f>
        <v>Presence</v>
      </c>
      <c r="I128" s="12"/>
      <c r="J128" s="22" t="s">
        <v>2308</v>
      </c>
      <c r="K128" s="110" t="s">
        <v>2308</v>
      </c>
      <c r="L128" s="22" t="s">
        <v>2308</v>
      </c>
      <c r="M128" s="22" t="s">
        <v>2308</v>
      </c>
      <c r="N128" s="22" t="s">
        <v>2308</v>
      </c>
      <c r="O128" s="22" t="s">
        <v>2308</v>
      </c>
      <c r="P128" s="22" t="s">
        <v>2308</v>
      </c>
      <c r="Q128" s="109" t="s">
        <v>2308</v>
      </c>
      <c r="R128" s="109" t="s">
        <v>2308</v>
      </c>
      <c r="S128" s="22" t="s">
        <v>2421</v>
      </c>
      <c r="T128" s="22" t="s">
        <v>2308</v>
      </c>
      <c r="U128" s="22" t="s">
        <v>2308</v>
      </c>
      <c r="V128" s="22" t="s">
        <v>2308</v>
      </c>
      <c r="W128" s="22" t="s">
        <v>2308</v>
      </c>
      <c r="X128" s="4" t="s">
        <v>75</v>
      </c>
      <c r="Y128" s="4" t="s">
        <v>35</v>
      </c>
      <c r="Z128" s="4" t="s">
        <v>64</v>
      </c>
      <c r="AA128" s="5" t="s">
        <v>105</v>
      </c>
      <c r="AB128" s="5" t="s">
        <v>1382</v>
      </c>
    </row>
    <row r="129" spans="1:28" ht="110.5" customHeight="1">
      <c r="A129" s="7" t="str">
        <f>'Reported burning'!A129</f>
        <v>6h</v>
      </c>
      <c r="B129" s="7" t="str">
        <f>'Reported burning'!B129</f>
        <v>6h.2</v>
      </c>
      <c r="C129" s="7" t="str">
        <f>'Reported burning'!C129</f>
        <v>Human, deliberate</v>
      </c>
      <c r="D129" s="7" t="str">
        <f>'Reported burning'!D129</f>
        <v>Crop residue burning</v>
      </c>
      <c r="E129" s="7" t="str">
        <f>'Reported burning'!E129</f>
        <v>Cropping, Monoculture, Subsistence-oriented</v>
      </c>
      <c r="F129" s="7" t="str">
        <f>'Reported burning'!F129</f>
        <v>Cropland</v>
      </c>
      <c r="G129" s="7" t="str">
        <f>'Reported burning'!G129</f>
        <v>ND</v>
      </c>
      <c r="H129" s="7" t="str">
        <f>'Reported burning'!H129</f>
        <v>Presence</v>
      </c>
      <c r="I129" s="12"/>
      <c r="J129" s="22" t="s">
        <v>2308</v>
      </c>
      <c r="K129" s="110" t="s">
        <v>2308</v>
      </c>
      <c r="L129" s="22" t="s">
        <v>2308</v>
      </c>
      <c r="M129" s="22" t="s">
        <v>2308</v>
      </c>
      <c r="N129" s="22" t="s">
        <v>2308</v>
      </c>
      <c r="O129" s="22" t="s">
        <v>2308</v>
      </c>
      <c r="P129" s="22" t="s">
        <v>2308</v>
      </c>
      <c r="Q129" s="109" t="s">
        <v>2308</v>
      </c>
      <c r="R129" s="109" t="s">
        <v>2308</v>
      </c>
      <c r="S129" s="22" t="s">
        <v>2421</v>
      </c>
      <c r="T129" s="22" t="s">
        <v>2308</v>
      </c>
      <c r="U129" s="22" t="s">
        <v>2308</v>
      </c>
      <c r="V129" s="22" t="s">
        <v>2308</v>
      </c>
      <c r="W129" s="22" t="s">
        <v>2308</v>
      </c>
      <c r="X129" s="4" t="s">
        <v>75</v>
      </c>
      <c r="Y129" s="4" t="s">
        <v>35</v>
      </c>
      <c r="Z129" s="4" t="s">
        <v>64</v>
      </c>
      <c r="AA129" s="5" t="s">
        <v>105</v>
      </c>
      <c r="AB129" s="5" t="s">
        <v>1381</v>
      </c>
    </row>
    <row r="130" spans="1:28" ht="132.5" customHeight="1">
      <c r="A130" s="7" t="str">
        <f>'Reported burning'!A130</f>
        <v>6i</v>
      </c>
      <c r="B130" s="7" t="str">
        <f>'Reported burning'!B130</f>
        <v>6i.1</v>
      </c>
      <c r="C130" s="7" t="str">
        <f>'Reported burning'!C130</f>
        <v>Human, deliberate</v>
      </c>
      <c r="D130" s="7" t="str">
        <f>'Reported burning'!D130</f>
        <v>Crop residue burning</v>
      </c>
      <c r="E130" s="7" t="str">
        <f>'Reported burning'!E130</f>
        <v>Cropping, Monoculture, Market-oriented</v>
      </c>
      <c r="F130" s="7" t="str">
        <f>'Reported burning'!F130</f>
        <v>Cropland</v>
      </c>
      <c r="G130" s="7" t="str">
        <f>'Reported burning'!G130</f>
        <v>ND</v>
      </c>
      <c r="H130" s="7" t="str">
        <f>'Reported burning'!H130</f>
        <v>Presence</v>
      </c>
      <c r="I130" s="12"/>
      <c r="J130" s="22" t="s">
        <v>2308</v>
      </c>
      <c r="K130" s="110" t="s">
        <v>2308</v>
      </c>
      <c r="L130" s="22" t="s">
        <v>2308</v>
      </c>
      <c r="M130" s="22" t="s">
        <v>2308</v>
      </c>
      <c r="N130" s="22" t="s">
        <v>2308</v>
      </c>
      <c r="O130" s="22" t="s">
        <v>2308</v>
      </c>
      <c r="P130" s="22" t="s">
        <v>2308</v>
      </c>
      <c r="Q130" s="109" t="s">
        <v>2308</v>
      </c>
      <c r="R130" s="109" t="s">
        <v>2308</v>
      </c>
      <c r="S130" s="22" t="s">
        <v>2422</v>
      </c>
      <c r="T130" s="22" t="s">
        <v>2308</v>
      </c>
      <c r="U130" s="22" t="s">
        <v>2308</v>
      </c>
      <c r="V130" s="22" t="s">
        <v>2308</v>
      </c>
      <c r="W130" s="22" t="s">
        <v>2308</v>
      </c>
      <c r="X130" s="4" t="s">
        <v>75</v>
      </c>
      <c r="Y130" s="4" t="s">
        <v>35</v>
      </c>
      <c r="Z130" s="4" t="s">
        <v>64</v>
      </c>
      <c r="AA130" s="5" t="s">
        <v>105</v>
      </c>
      <c r="AB130" s="5" t="s">
        <v>1382</v>
      </c>
    </row>
    <row r="131" spans="1:28" ht="118" customHeight="1">
      <c r="A131" s="7" t="str">
        <f>'Reported burning'!A131</f>
        <v>6i</v>
      </c>
      <c r="B131" s="7" t="str">
        <f>'Reported burning'!B131</f>
        <v>6i.2</v>
      </c>
      <c r="C131" s="7" t="str">
        <f>'Reported burning'!C131</f>
        <v>Human, deliberate</v>
      </c>
      <c r="D131" s="7" t="str">
        <f>'Reported burning'!D131</f>
        <v>Crop residue burning</v>
      </c>
      <c r="E131" s="7" t="str">
        <f>'Reported burning'!E131</f>
        <v>Cropping, Monoculture, Subsistence-oriented</v>
      </c>
      <c r="F131" s="7" t="str">
        <f>'Reported burning'!F131</f>
        <v>Cropland</v>
      </c>
      <c r="G131" s="7" t="str">
        <f>'Reported burning'!G131</f>
        <v>ND</v>
      </c>
      <c r="H131" s="7" t="str">
        <f>'Reported burning'!H131</f>
        <v>Presence</v>
      </c>
      <c r="I131" s="12"/>
      <c r="J131" s="22" t="s">
        <v>2308</v>
      </c>
      <c r="K131" s="110" t="s">
        <v>2308</v>
      </c>
      <c r="L131" s="22" t="s">
        <v>2308</v>
      </c>
      <c r="M131" s="22" t="s">
        <v>2308</v>
      </c>
      <c r="N131" s="22" t="s">
        <v>2308</v>
      </c>
      <c r="O131" s="22" t="s">
        <v>2308</v>
      </c>
      <c r="P131" s="22" t="s">
        <v>2308</v>
      </c>
      <c r="Q131" s="109" t="s">
        <v>2308</v>
      </c>
      <c r="R131" s="109" t="s">
        <v>2308</v>
      </c>
      <c r="S131" s="22" t="s">
        <v>2422</v>
      </c>
      <c r="T131" s="22" t="s">
        <v>2308</v>
      </c>
      <c r="U131" s="22" t="s">
        <v>2308</v>
      </c>
      <c r="V131" s="22" t="s">
        <v>2308</v>
      </c>
      <c r="W131" s="22" t="s">
        <v>2308</v>
      </c>
      <c r="X131" s="4" t="s">
        <v>75</v>
      </c>
      <c r="Y131" s="4" t="s">
        <v>35</v>
      </c>
      <c r="Z131" s="4" t="s">
        <v>64</v>
      </c>
      <c r="AA131" s="5" t="s">
        <v>105</v>
      </c>
      <c r="AB131" s="5" t="s">
        <v>1381</v>
      </c>
    </row>
    <row r="132" spans="1:28" ht="149.5" customHeight="1">
      <c r="A132" s="7" t="str">
        <f>'Reported burning'!A132</f>
        <v>6j</v>
      </c>
      <c r="B132" s="7" t="str">
        <f>'Reported burning'!B132</f>
        <v>6j.1</v>
      </c>
      <c r="C132" s="7" t="str">
        <f>'Reported burning'!C132</f>
        <v>Human, deliberate</v>
      </c>
      <c r="D132" s="7" t="str">
        <f>'Reported burning'!D132</f>
        <v>Crop residue burning</v>
      </c>
      <c r="E132" s="7" t="str">
        <f>'Reported burning'!E132</f>
        <v>Cropping, Monoculture, Market-oriented</v>
      </c>
      <c r="F132" s="7" t="str">
        <f>'Reported burning'!F132</f>
        <v>Cropland</v>
      </c>
      <c r="G132" s="7" t="str">
        <f>'Reported burning'!G132</f>
        <v>ND</v>
      </c>
      <c r="H132" s="7" t="str">
        <f>'Reported burning'!H132</f>
        <v>Presence</v>
      </c>
      <c r="I132" s="12"/>
      <c r="J132" s="22" t="s">
        <v>2308</v>
      </c>
      <c r="K132" s="110" t="s">
        <v>2308</v>
      </c>
      <c r="L132" s="22" t="s">
        <v>2308</v>
      </c>
      <c r="M132" s="22" t="s">
        <v>2308</v>
      </c>
      <c r="N132" s="22" t="s">
        <v>2308</v>
      </c>
      <c r="O132" s="22" t="s">
        <v>2308</v>
      </c>
      <c r="P132" s="22" t="s">
        <v>2308</v>
      </c>
      <c r="Q132" s="109" t="s">
        <v>2308</v>
      </c>
      <c r="R132" s="109" t="s">
        <v>2308</v>
      </c>
      <c r="S132" s="22" t="s">
        <v>2421</v>
      </c>
      <c r="T132" s="22" t="s">
        <v>2308</v>
      </c>
      <c r="U132" s="22" t="s">
        <v>2308</v>
      </c>
      <c r="V132" s="22" t="s">
        <v>2308</v>
      </c>
      <c r="W132" s="22" t="s">
        <v>2308</v>
      </c>
      <c r="X132" s="4" t="s">
        <v>75</v>
      </c>
      <c r="Y132" s="4" t="s">
        <v>35</v>
      </c>
      <c r="Z132" s="4" t="s">
        <v>64</v>
      </c>
      <c r="AA132" s="5" t="s">
        <v>105</v>
      </c>
      <c r="AB132" s="5" t="s">
        <v>1382</v>
      </c>
    </row>
    <row r="133" spans="1:28" ht="116.5" customHeight="1">
      <c r="A133" s="7" t="str">
        <f>'Reported burning'!A133</f>
        <v>6j</v>
      </c>
      <c r="B133" s="7" t="str">
        <f>'Reported burning'!B133</f>
        <v>6j.2</v>
      </c>
      <c r="C133" s="7" t="str">
        <f>'Reported burning'!C133</f>
        <v>Human, deliberate</v>
      </c>
      <c r="D133" s="7" t="str">
        <f>'Reported burning'!D133</f>
        <v>Crop residue burning</v>
      </c>
      <c r="E133" s="7" t="str">
        <f>'Reported burning'!E133</f>
        <v>Cropping, Monoculture, Subsistence-oriented</v>
      </c>
      <c r="F133" s="7" t="str">
        <f>'Reported burning'!F133</f>
        <v>Cropland</v>
      </c>
      <c r="G133" s="7" t="str">
        <f>'Reported burning'!G133</f>
        <v>ND</v>
      </c>
      <c r="H133" s="7" t="str">
        <f>'Reported burning'!H133</f>
        <v>Presence</v>
      </c>
      <c r="I133" s="12"/>
      <c r="J133" s="22" t="s">
        <v>2308</v>
      </c>
      <c r="K133" s="110" t="s">
        <v>2308</v>
      </c>
      <c r="L133" s="22" t="s">
        <v>2308</v>
      </c>
      <c r="M133" s="22" t="s">
        <v>2308</v>
      </c>
      <c r="N133" s="22" t="s">
        <v>2308</v>
      </c>
      <c r="O133" s="22" t="s">
        <v>2308</v>
      </c>
      <c r="P133" s="22" t="s">
        <v>2308</v>
      </c>
      <c r="Q133" s="109" t="s">
        <v>2308</v>
      </c>
      <c r="R133" s="109" t="s">
        <v>2308</v>
      </c>
      <c r="S133" s="22" t="s">
        <v>2421</v>
      </c>
      <c r="T133" s="22" t="s">
        <v>2308</v>
      </c>
      <c r="U133" s="22" t="s">
        <v>2308</v>
      </c>
      <c r="V133" s="22" t="s">
        <v>2308</v>
      </c>
      <c r="W133" s="22" t="s">
        <v>2308</v>
      </c>
      <c r="X133" s="4" t="s">
        <v>75</v>
      </c>
      <c r="Y133" s="4" t="s">
        <v>35</v>
      </c>
      <c r="Z133" s="4" t="s">
        <v>64</v>
      </c>
      <c r="AA133" s="5" t="s">
        <v>105</v>
      </c>
      <c r="AB133" s="5" t="s">
        <v>1381</v>
      </c>
    </row>
    <row r="134" spans="1:28" ht="149.5" customHeight="1">
      <c r="A134" s="7" t="str">
        <f>'Reported burning'!A134</f>
        <v>6k</v>
      </c>
      <c r="B134" s="7" t="str">
        <f>'Reported burning'!B134</f>
        <v>6k.1</v>
      </c>
      <c r="C134" s="7" t="str">
        <f>'Reported burning'!C134</f>
        <v>Human, deliberate</v>
      </c>
      <c r="D134" s="7" t="str">
        <f>'Reported burning'!D134</f>
        <v>Crop residue burning</v>
      </c>
      <c r="E134" s="7" t="str">
        <f>'Reported burning'!E134</f>
        <v>Cropping, Monoculture, Market-oriented</v>
      </c>
      <c r="F134" s="7" t="str">
        <f>'Reported burning'!F134</f>
        <v>Cropland</v>
      </c>
      <c r="G134" s="7" t="str">
        <f>'Reported burning'!G134</f>
        <v>ND</v>
      </c>
      <c r="H134" s="7" t="str">
        <f>'Reported burning'!H134</f>
        <v>Presence</v>
      </c>
      <c r="I134" s="12"/>
      <c r="J134" s="22" t="s">
        <v>2308</v>
      </c>
      <c r="K134" s="110" t="s">
        <v>2308</v>
      </c>
      <c r="L134" s="22" t="s">
        <v>2308</v>
      </c>
      <c r="M134" s="22" t="s">
        <v>2308</v>
      </c>
      <c r="N134" s="22" t="s">
        <v>2308</v>
      </c>
      <c r="O134" s="22" t="s">
        <v>2308</v>
      </c>
      <c r="P134" s="22" t="s">
        <v>2308</v>
      </c>
      <c r="Q134" s="109" t="s">
        <v>2308</v>
      </c>
      <c r="R134" s="109" t="s">
        <v>2308</v>
      </c>
      <c r="S134" s="22" t="s">
        <v>2421</v>
      </c>
      <c r="T134" s="22" t="s">
        <v>2308</v>
      </c>
      <c r="U134" s="22" t="s">
        <v>2308</v>
      </c>
      <c r="V134" s="22" t="s">
        <v>2308</v>
      </c>
      <c r="W134" s="22" t="s">
        <v>2308</v>
      </c>
      <c r="X134" s="4" t="s">
        <v>75</v>
      </c>
      <c r="Y134" s="4" t="s">
        <v>35</v>
      </c>
      <c r="Z134" s="4" t="s">
        <v>64</v>
      </c>
      <c r="AA134" s="5" t="s">
        <v>105</v>
      </c>
      <c r="AB134" s="5" t="s">
        <v>1382</v>
      </c>
    </row>
    <row r="135" spans="1:28" ht="101.5" customHeight="1">
      <c r="A135" s="7" t="str">
        <f>'Reported burning'!A135</f>
        <v>6k</v>
      </c>
      <c r="B135" s="7" t="str">
        <f>'Reported burning'!B135</f>
        <v>6k.2</v>
      </c>
      <c r="C135" s="7" t="str">
        <f>'Reported burning'!C135</f>
        <v>Human, deliberate</v>
      </c>
      <c r="D135" s="7" t="str">
        <f>'Reported burning'!D135</f>
        <v>Crop residue burning</v>
      </c>
      <c r="E135" s="7" t="str">
        <f>'Reported burning'!E135</f>
        <v>Cropping, Monoculture, Subsistence-oriented</v>
      </c>
      <c r="F135" s="7" t="str">
        <f>'Reported burning'!F135</f>
        <v>Cropland</v>
      </c>
      <c r="G135" s="7" t="str">
        <f>'Reported burning'!G135</f>
        <v>ND</v>
      </c>
      <c r="H135" s="7" t="str">
        <f>'Reported burning'!H135</f>
        <v>Presence</v>
      </c>
      <c r="I135" s="12"/>
      <c r="J135" s="22" t="s">
        <v>2308</v>
      </c>
      <c r="K135" s="110" t="s">
        <v>2308</v>
      </c>
      <c r="L135" s="22" t="s">
        <v>2308</v>
      </c>
      <c r="M135" s="22" t="s">
        <v>2308</v>
      </c>
      <c r="N135" s="22" t="s">
        <v>2308</v>
      </c>
      <c r="O135" s="22" t="s">
        <v>2308</v>
      </c>
      <c r="P135" s="22" t="s">
        <v>2308</v>
      </c>
      <c r="Q135" s="109" t="s">
        <v>2308</v>
      </c>
      <c r="R135" s="109" t="s">
        <v>2308</v>
      </c>
      <c r="S135" s="22" t="s">
        <v>2421</v>
      </c>
      <c r="T135" s="22" t="s">
        <v>2308</v>
      </c>
      <c r="U135" s="22" t="s">
        <v>2308</v>
      </c>
      <c r="V135" s="22" t="s">
        <v>2308</v>
      </c>
      <c r="W135" s="22" t="s">
        <v>2308</v>
      </c>
      <c r="X135" s="4" t="s">
        <v>75</v>
      </c>
      <c r="Y135" s="4" t="s">
        <v>35</v>
      </c>
      <c r="Z135" s="4" t="s">
        <v>64</v>
      </c>
      <c r="AA135" s="5" t="s">
        <v>105</v>
      </c>
      <c r="AB135" s="5" t="s">
        <v>1381</v>
      </c>
    </row>
    <row r="136" spans="1:28" ht="150.5" customHeight="1">
      <c r="A136" s="7" t="str">
        <f>'Reported burning'!A136</f>
        <v>6l</v>
      </c>
      <c r="B136" s="7" t="str">
        <f>'Reported burning'!B136</f>
        <v>6l.1</v>
      </c>
      <c r="C136" s="7" t="str">
        <f>'Reported burning'!C136</f>
        <v>Human, deliberate</v>
      </c>
      <c r="D136" s="7" t="str">
        <f>'Reported burning'!D136</f>
        <v>Crop residue burning</v>
      </c>
      <c r="E136" s="7" t="str">
        <f>'Reported burning'!E136</f>
        <v>Cropping, Monoculture, Market-oriented</v>
      </c>
      <c r="F136" s="7" t="str">
        <f>'Reported burning'!F136</f>
        <v>Cropland</v>
      </c>
      <c r="G136" s="7" t="str">
        <f>'Reported burning'!G136</f>
        <v>ND</v>
      </c>
      <c r="H136" s="7" t="str">
        <f>'Reported burning'!H136</f>
        <v>Presence</v>
      </c>
      <c r="I136" s="12"/>
      <c r="J136" s="22" t="s">
        <v>2308</v>
      </c>
      <c r="K136" s="110" t="s">
        <v>2308</v>
      </c>
      <c r="L136" s="22" t="s">
        <v>2308</v>
      </c>
      <c r="M136" s="22" t="s">
        <v>2308</v>
      </c>
      <c r="N136" s="22" t="s">
        <v>2308</v>
      </c>
      <c r="O136" s="22" t="s">
        <v>2308</v>
      </c>
      <c r="P136" s="22" t="s">
        <v>2308</v>
      </c>
      <c r="Q136" s="109" t="s">
        <v>2308</v>
      </c>
      <c r="R136" s="109" t="s">
        <v>2308</v>
      </c>
      <c r="S136" s="22" t="s">
        <v>2421</v>
      </c>
      <c r="T136" s="22" t="s">
        <v>2308</v>
      </c>
      <c r="U136" s="22" t="s">
        <v>2308</v>
      </c>
      <c r="V136" s="22" t="s">
        <v>2308</v>
      </c>
      <c r="W136" s="22" t="s">
        <v>2308</v>
      </c>
      <c r="X136" s="4" t="s">
        <v>75</v>
      </c>
      <c r="Y136" s="4" t="s">
        <v>35</v>
      </c>
      <c r="Z136" s="4" t="s">
        <v>64</v>
      </c>
      <c r="AA136" s="5" t="s">
        <v>105</v>
      </c>
      <c r="AB136" s="5" t="s">
        <v>1382</v>
      </c>
    </row>
    <row r="137" spans="1:28" ht="103" customHeight="1">
      <c r="A137" s="7" t="str">
        <f>'Reported burning'!A137</f>
        <v>6l</v>
      </c>
      <c r="B137" s="7" t="str">
        <f>'Reported burning'!B137</f>
        <v>6l.2</v>
      </c>
      <c r="C137" s="7" t="str">
        <f>'Reported burning'!C137</f>
        <v>Human, deliberate</v>
      </c>
      <c r="D137" s="7" t="str">
        <f>'Reported burning'!D137</f>
        <v>Crop residue burning</v>
      </c>
      <c r="E137" s="7" t="str">
        <f>'Reported burning'!E137</f>
        <v>Cropping, Monoculture, Subsistence-oriented</v>
      </c>
      <c r="F137" s="7" t="str">
        <f>'Reported burning'!F137</f>
        <v>Cropland</v>
      </c>
      <c r="G137" s="7" t="str">
        <f>'Reported burning'!G137</f>
        <v>ND</v>
      </c>
      <c r="H137" s="7" t="str">
        <f>'Reported burning'!H137</f>
        <v>Presence</v>
      </c>
      <c r="I137" s="12"/>
      <c r="J137" s="22" t="s">
        <v>2308</v>
      </c>
      <c r="K137" s="110" t="s">
        <v>2308</v>
      </c>
      <c r="L137" s="22" t="s">
        <v>2308</v>
      </c>
      <c r="M137" s="22" t="s">
        <v>2308</v>
      </c>
      <c r="N137" s="22" t="s">
        <v>2308</v>
      </c>
      <c r="O137" s="22" t="s">
        <v>2308</v>
      </c>
      <c r="P137" s="22" t="s">
        <v>2308</v>
      </c>
      <c r="Q137" s="109" t="s">
        <v>2308</v>
      </c>
      <c r="R137" s="109" t="s">
        <v>2308</v>
      </c>
      <c r="S137" s="22" t="s">
        <v>2421</v>
      </c>
      <c r="T137" s="22" t="s">
        <v>2308</v>
      </c>
      <c r="U137" s="22" t="s">
        <v>2308</v>
      </c>
      <c r="V137" s="22" t="s">
        <v>2308</v>
      </c>
      <c r="W137" s="22" t="s">
        <v>2308</v>
      </c>
      <c r="X137" s="4" t="s">
        <v>75</v>
      </c>
      <c r="Y137" s="4" t="s">
        <v>35</v>
      </c>
      <c r="Z137" s="4" t="s">
        <v>64</v>
      </c>
      <c r="AA137" s="5" t="s">
        <v>105</v>
      </c>
      <c r="AB137" s="5" t="s">
        <v>1381</v>
      </c>
    </row>
    <row r="138" spans="1:28" ht="119.5" customHeight="1">
      <c r="A138" s="7" t="str">
        <f>'Reported burning'!A138</f>
        <v>7a</v>
      </c>
      <c r="B138" s="7" t="str">
        <f>'Reported burning'!B138</f>
        <v>7a.1</v>
      </c>
      <c r="C138" s="7" t="str">
        <f>'Reported burning'!C138</f>
        <v>Human, deliberate</v>
      </c>
      <c r="D138" s="7" t="str">
        <f>'Reported burning'!D138</f>
        <v>Crop residue burning</v>
      </c>
      <c r="E138" s="7" t="str">
        <f>'Reported burning'!E138</f>
        <v>Cropping, Intensive</v>
      </c>
      <c r="F138" s="7" t="str">
        <f>'Reported burning'!F138</f>
        <v>Cropland</v>
      </c>
      <c r="G138" s="7" t="str">
        <f>'Reported burning'!G138</f>
        <v>ND</v>
      </c>
      <c r="H138" s="7" t="str">
        <f>'Reported burning'!H138</f>
        <v>Presence</v>
      </c>
      <c r="I138" s="12">
        <v>2001</v>
      </c>
      <c r="J138" s="22" t="s">
        <v>2308</v>
      </c>
      <c r="K138" s="110" t="s">
        <v>2308</v>
      </c>
      <c r="L138" s="22" t="s">
        <v>2308</v>
      </c>
      <c r="M138" s="22" t="s">
        <v>2308</v>
      </c>
      <c r="N138" s="22" t="s">
        <v>2308</v>
      </c>
      <c r="O138" s="22" t="s">
        <v>2308</v>
      </c>
      <c r="P138" s="22" t="s">
        <v>2308</v>
      </c>
      <c r="Q138" s="109" t="s">
        <v>2308</v>
      </c>
      <c r="R138" s="109" t="s">
        <v>2308</v>
      </c>
      <c r="S138" s="22" t="s">
        <v>2421</v>
      </c>
      <c r="T138" s="22" t="s">
        <v>2308</v>
      </c>
      <c r="U138" s="22" t="s">
        <v>2308</v>
      </c>
      <c r="V138" s="22" t="s">
        <v>2308</v>
      </c>
      <c r="W138" s="22" t="s">
        <v>2308</v>
      </c>
      <c r="X138" s="4" t="s">
        <v>34</v>
      </c>
      <c r="Y138" s="4" t="s">
        <v>34</v>
      </c>
      <c r="Z138" s="4" t="s">
        <v>64</v>
      </c>
      <c r="AA138" s="5" t="s">
        <v>1398</v>
      </c>
      <c r="AB138" s="5" t="s">
        <v>1400</v>
      </c>
    </row>
    <row r="139" spans="1:28" ht="116" customHeight="1">
      <c r="A139" s="7" t="str">
        <f>'Reported burning'!A139</f>
        <v>7a</v>
      </c>
      <c r="B139" s="7" t="str">
        <f>'Reported burning'!B139</f>
        <v>7a.2</v>
      </c>
      <c r="C139" s="7" t="str">
        <f>'Reported burning'!C139</f>
        <v>Human, deliberate</v>
      </c>
      <c r="D139" s="7" t="str">
        <f>'Reported burning'!D139</f>
        <v>Crop residue burning</v>
      </c>
      <c r="E139" s="7" t="str">
        <f>'Reported burning'!E139</f>
        <v>Cropping, Intensive</v>
      </c>
      <c r="F139" s="7" t="str">
        <f>'Reported burning'!F139</f>
        <v>Cropland</v>
      </c>
      <c r="G139" s="7" t="str">
        <f>'Reported burning'!G139</f>
        <v>ND</v>
      </c>
      <c r="H139" s="7" t="str">
        <f>'Reported burning'!H139</f>
        <v>Presence</v>
      </c>
      <c r="I139" s="12">
        <v>2001</v>
      </c>
      <c r="J139" s="22" t="s">
        <v>2308</v>
      </c>
      <c r="K139" s="110" t="s">
        <v>2308</v>
      </c>
      <c r="L139" s="22" t="s">
        <v>2308</v>
      </c>
      <c r="M139" s="22" t="s">
        <v>2308</v>
      </c>
      <c r="N139" s="22" t="s">
        <v>2308</v>
      </c>
      <c r="O139" s="22" t="s">
        <v>2308</v>
      </c>
      <c r="P139" s="22" t="s">
        <v>2308</v>
      </c>
      <c r="Q139" s="109" t="s">
        <v>2308</v>
      </c>
      <c r="R139" s="109" t="s">
        <v>2308</v>
      </c>
      <c r="S139" s="22" t="s">
        <v>2408</v>
      </c>
      <c r="T139" s="22" t="s">
        <v>2308</v>
      </c>
      <c r="U139" s="22" t="s">
        <v>2308</v>
      </c>
      <c r="V139" s="22" t="s">
        <v>2308</v>
      </c>
      <c r="W139" s="22" t="s">
        <v>2308</v>
      </c>
      <c r="X139" s="4" t="s">
        <v>68</v>
      </c>
      <c r="Y139" s="4" t="s">
        <v>68</v>
      </c>
      <c r="Z139" s="4" t="s">
        <v>64</v>
      </c>
      <c r="AA139" s="5" t="s">
        <v>1399</v>
      </c>
      <c r="AB139" s="5" t="s">
        <v>1400</v>
      </c>
    </row>
    <row r="140" spans="1:28" ht="116" customHeight="1">
      <c r="A140" s="7" t="str">
        <f>'Reported burning'!A140</f>
        <v>7a</v>
      </c>
      <c r="B140" s="7" t="str">
        <f>'Reported burning'!B140</f>
        <v>7a.3</v>
      </c>
      <c r="C140" s="7" t="str">
        <f>'Reported burning'!C140</f>
        <v>Human, deliberate</v>
      </c>
      <c r="D140" s="7" t="str">
        <f>'Reported burning'!D140</f>
        <v>Crop residue burning</v>
      </c>
      <c r="E140" s="7" t="str">
        <f>'Reported burning'!E140</f>
        <v>Cropping, Intensive</v>
      </c>
      <c r="F140" s="7" t="str">
        <f>'Reported burning'!F140</f>
        <v>Cropland</v>
      </c>
      <c r="G140" s="7" t="str">
        <f>'Reported burning'!G140</f>
        <v>ND</v>
      </c>
      <c r="H140" s="7" t="str">
        <f>'Reported burning'!H140</f>
        <v>Presence</v>
      </c>
      <c r="I140" s="12">
        <v>2002</v>
      </c>
      <c r="J140" s="22" t="s">
        <v>2308</v>
      </c>
      <c r="K140" s="110" t="s">
        <v>2308</v>
      </c>
      <c r="L140" s="22" t="s">
        <v>2308</v>
      </c>
      <c r="M140" s="22" t="s">
        <v>2308</v>
      </c>
      <c r="N140" s="22" t="s">
        <v>2308</v>
      </c>
      <c r="O140" s="22" t="s">
        <v>2308</v>
      </c>
      <c r="P140" s="22" t="s">
        <v>2308</v>
      </c>
      <c r="Q140" s="109" t="s">
        <v>2308</v>
      </c>
      <c r="R140" s="109" t="s">
        <v>2308</v>
      </c>
      <c r="S140" s="22" t="s">
        <v>2421</v>
      </c>
      <c r="T140" s="22" t="s">
        <v>2308</v>
      </c>
      <c r="U140" s="22" t="s">
        <v>2308</v>
      </c>
      <c r="V140" s="22" t="s">
        <v>2308</v>
      </c>
      <c r="W140" s="22" t="s">
        <v>2308</v>
      </c>
      <c r="X140" s="4" t="s">
        <v>34</v>
      </c>
      <c r="Y140" s="4" t="s">
        <v>34</v>
      </c>
      <c r="Z140" s="4" t="s">
        <v>64</v>
      </c>
      <c r="AA140" s="5" t="s">
        <v>1398</v>
      </c>
      <c r="AB140" s="5" t="s">
        <v>1400</v>
      </c>
    </row>
    <row r="141" spans="1:28" ht="131" customHeight="1">
      <c r="A141" s="7" t="str">
        <f>'Reported burning'!A141</f>
        <v>7a</v>
      </c>
      <c r="B141" s="7" t="str">
        <f>'Reported burning'!B141</f>
        <v>7a.4</v>
      </c>
      <c r="C141" s="7" t="str">
        <f>'Reported burning'!C141</f>
        <v>Human, deliberate</v>
      </c>
      <c r="D141" s="7" t="str">
        <f>'Reported burning'!D141</f>
        <v>Crop residue burning</v>
      </c>
      <c r="E141" s="7" t="str">
        <f>'Reported burning'!E141</f>
        <v>Cropping, Intensive</v>
      </c>
      <c r="F141" s="7" t="str">
        <f>'Reported burning'!F141</f>
        <v>Cropland</v>
      </c>
      <c r="G141" s="7" t="str">
        <f>'Reported burning'!G141</f>
        <v>ND</v>
      </c>
      <c r="H141" s="7" t="str">
        <f>'Reported burning'!H141</f>
        <v>Presence</v>
      </c>
      <c r="I141" s="12">
        <v>2002</v>
      </c>
      <c r="J141" s="22" t="s">
        <v>2308</v>
      </c>
      <c r="K141" s="110" t="s">
        <v>2308</v>
      </c>
      <c r="L141" s="22" t="s">
        <v>2308</v>
      </c>
      <c r="M141" s="22" t="s">
        <v>2308</v>
      </c>
      <c r="N141" s="22" t="s">
        <v>2308</v>
      </c>
      <c r="O141" s="22" t="s">
        <v>2308</v>
      </c>
      <c r="P141" s="22" t="s">
        <v>2308</v>
      </c>
      <c r="Q141" s="109" t="s">
        <v>2308</v>
      </c>
      <c r="R141" s="109" t="s">
        <v>2308</v>
      </c>
      <c r="S141" s="22" t="s">
        <v>2408</v>
      </c>
      <c r="T141" s="22" t="s">
        <v>2308</v>
      </c>
      <c r="U141" s="22" t="s">
        <v>2308</v>
      </c>
      <c r="V141" s="22" t="s">
        <v>2308</v>
      </c>
      <c r="W141" s="22" t="s">
        <v>2308</v>
      </c>
      <c r="X141" s="4" t="s">
        <v>68</v>
      </c>
      <c r="Y141" s="4" t="s">
        <v>68</v>
      </c>
      <c r="Z141" s="4" t="s">
        <v>64</v>
      </c>
      <c r="AA141" s="5" t="s">
        <v>1399</v>
      </c>
      <c r="AB141" s="5" t="s">
        <v>1400</v>
      </c>
    </row>
    <row r="142" spans="1:28" ht="121" customHeight="1">
      <c r="A142" s="7" t="str">
        <f>'Reported burning'!A142</f>
        <v>7a</v>
      </c>
      <c r="B142" s="7" t="str">
        <f>'Reported burning'!B142</f>
        <v>7a.5</v>
      </c>
      <c r="C142" s="7" t="str">
        <f>'Reported burning'!C142</f>
        <v>Human, deliberate</v>
      </c>
      <c r="D142" s="7" t="str">
        <f>'Reported burning'!D142</f>
        <v>Crop residue burning</v>
      </c>
      <c r="E142" s="7" t="str">
        <f>'Reported burning'!E142</f>
        <v>Cropping, Intensive</v>
      </c>
      <c r="F142" s="7" t="str">
        <f>'Reported burning'!F142</f>
        <v>Cropland</v>
      </c>
      <c r="G142" s="7" t="str">
        <f>'Reported burning'!G142</f>
        <v>ND</v>
      </c>
      <c r="H142" s="7" t="str">
        <f>'Reported burning'!H142</f>
        <v>Presence</v>
      </c>
      <c r="I142" s="12">
        <v>2003</v>
      </c>
      <c r="J142" s="22" t="s">
        <v>2308</v>
      </c>
      <c r="K142" s="110" t="s">
        <v>2308</v>
      </c>
      <c r="L142" s="22" t="s">
        <v>2308</v>
      </c>
      <c r="M142" s="22" t="s">
        <v>2308</v>
      </c>
      <c r="N142" s="22" t="s">
        <v>2308</v>
      </c>
      <c r="O142" s="22" t="s">
        <v>2308</v>
      </c>
      <c r="P142" s="22" t="s">
        <v>2308</v>
      </c>
      <c r="Q142" s="109" t="s">
        <v>2308</v>
      </c>
      <c r="R142" s="109" t="s">
        <v>2308</v>
      </c>
      <c r="S142" s="22" t="s">
        <v>2421</v>
      </c>
      <c r="T142" s="22" t="s">
        <v>2308</v>
      </c>
      <c r="U142" s="22" t="s">
        <v>2308</v>
      </c>
      <c r="V142" s="22" t="s">
        <v>2308</v>
      </c>
      <c r="W142" s="22" t="s">
        <v>2308</v>
      </c>
      <c r="X142" s="4" t="s">
        <v>34</v>
      </c>
      <c r="Y142" s="4" t="s">
        <v>34</v>
      </c>
      <c r="Z142" s="4" t="s">
        <v>64</v>
      </c>
      <c r="AA142" s="5" t="s">
        <v>1398</v>
      </c>
      <c r="AB142" s="5" t="s">
        <v>1400</v>
      </c>
    </row>
    <row r="143" spans="1:28" ht="122" customHeight="1">
      <c r="A143" s="7" t="str">
        <f>'Reported burning'!A143</f>
        <v>7a</v>
      </c>
      <c r="B143" s="7" t="str">
        <f>'Reported burning'!B143</f>
        <v>7a.6</v>
      </c>
      <c r="C143" s="7" t="str">
        <f>'Reported burning'!C143</f>
        <v>Human, deliberate</v>
      </c>
      <c r="D143" s="7" t="str">
        <f>'Reported burning'!D143</f>
        <v>Crop residue burning</v>
      </c>
      <c r="E143" s="7" t="str">
        <f>'Reported burning'!E143</f>
        <v>Cropping, Intensive</v>
      </c>
      <c r="F143" s="7" t="str">
        <f>'Reported burning'!F143</f>
        <v>Cropland</v>
      </c>
      <c r="G143" s="7" t="str">
        <f>'Reported burning'!G143</f>
        <v>ND</v>
      </c>
      <c r="H143" s="7" t="str">
        <f>'Reported burning'!H143</f>
        <v>Presence</v>
      </c>
      <c r="I143" s="12">
        <v>2003</v>
      </c>
      <c r="J143" s="22" t="s">
        <v>2308</v>
      </c>
      <c r="K143" s="110" t="s">
        <v>2308</v>
      </c>
      <c r="L143" s="22" t="s">
        <v>2308</v>
      </c>
      <c r="M143" s="22" t="s">
        <v>2308</v>
      </c>
      <c r="N143" s="22" t="s">
        <v>2308</v>
      </c>
      <c r="O143" s="22" t="s">
        <v>2308</v>
      </c>
      <c r="P143" s="22" t="s">
        <v>2308</v>
      </c>
      <c r="Q143" s="109" t="s">
        <v>2308</v>
      </c>
      <c r="R143" s="109" t="s">
        <v>2308</v>
      </c>
      <c r="S143" s="22" t="s">
        <v>2408</v>
      </c>
      <c r="T143" s="22" t="s">
        <v>2308</v>
      </c>
      <c r="U143" s="22" t="s">
        <v>2308</v>
      </c>
      <c r="V143" s="22" t="s">
        <v>2308</v>
      </c>
      <c r="W143" s="22" t="s">
        <v>2308</v>
      </c>
      <c r="X143" s="4" t="s">
        <v>68</v>
      </c>
      <c r="Y143" s="4" t="s">
        <v>68</v>
      </c>
      <c r="Z143" s="4" t="s">
        <v>64</v>
      </c>
      <c r="AA143" s="5" t="s">
        <v>1399</v>
      </c>
      <c r="AB143" s="5" t="s">
        <v>1400</v>
      </c>
    </row>
    <row r="144" spans="1:28" ht="122" customHeight="1">
      <c r="A144" s="7" t="str">
        <f>'Reported burning'!A144</f>
        <v>7a</v>
      </c>
      <c r="B144" s="7" t="str">
        <f>'Reported burning'!B144</f>
        <v>7a.7</v>
      </c>
      <c r="C144" s="7" t="str">
        <f>'Reported burning'!C144</f>
        <v>Human, deliberate</v>
      </c>
      <c r="D144" s="7" t="str">
        <f>'Reported burning'!D144</f>
        <v>Crop residue burning</v>
      </c>
      <c r="E144" s="7" t="str">
        <f>'Reported burning'!E144</f>
        <v>Cropping, Intensive</v>
      </c>
      <c r="F144" s="7" t="str">
        <f>'Reported burning'!F144</f>
        <v>Cropland</v>
      </c>
      <c r="G144" s="7" t="str">
        <f>'Reported burning'!G144</f>
        <v>ND</v>
      </c>
      <c r="H144" s="7" t="str">
        <f>'Reported burning'!H144</f>
        <v>Presence</v>
      </c>
      <c r="I144" s="12">
        <v>2004</v>
      </c>
      <c r="J144" s="22" t="s">
        <v>2308</v>
      </c>
      <c r="K144" s="110" t="s">
        <v>2308</v>
      </c>
      <c r="L144" s="22" t="s">
        <v>2308</v>
      </c>
      <c r="M144" s="22" t="s">
        <v>2308</v>
      </c>
      <c r="N144" s="22" t="s">
        <v>2308</v>
      </c>
      <c r="O144" s="22" t="s">
        <v>2308</v>
      </c>
      <c r="P144" s="22" t="s">
        <v>2308</v>
      </c>
      <c r="Q144" s="109" t="s">
        <v>2308</v>
      </c>
      <c r="R144" s="109" t="s">
        <v>2308</v>
      </c>
      <c r="S144" s="22" t="s">
        <v>2421</v>
      </c>
      <c r="T144" s="22" t="s">
        <v>2308</v>
      </c>
      <c r="U144" s="22" t="s">
        <v>2308</v>
      </c>
      <c r="V144" s="22" t="s">
        <v>2308</v>
      </c>
      <c r="W144" s="22" t="s">
        <v>2308</v>
      </c>
      <c r="X144" s="4" t="s">
        <v>34</v>
      </c>
      <c r="Y144" s="4" t="s">
        <v>34</v>
      </c>
      <c r="Z144" s="4" t="s">
        <v>64</v>
      </c>
      <c r="AA144" s="5" t="s">
        <v>1398</v>
      </c>
      <c r="AB144" s="5" t="s">
        <v>1400</v>
      </c>
    </row>
    <row r="145" spans="1:28" ht="121" customHeight="1">
      <c r="A145" s="7" t="str">
        <f>'Reported burning'!A145</f>
        <v>7a</v>
      </c>
      <c r="B145" s="7" t="str">
        <f>'Reported burning'!B145</f>
        <v>7a.8</v>
      </c>
      <c r="C145" s="7" t="str">
        <f>'Reported burning'!C145</f>
        <v>Human, deliberate</v>
      </c>
      <c r="D145" s="7" t="str">
        <f>'Reported burning'!D145</f>
        <v>Crop residue burning</v>
      </c>
      <c r="E145" s="7" t="str">
        <f>'Reported burning'!E145</f>
        <v>Cropping, Intensive</v>
      </c>
      <c r="F145" s="7" t="str">
        <f>'Reported burning'!F145</f>
        <v>Cropland</v>
      </c>
      <c r="G145" s="7" t="str">
        <f>'Reported burning'!G145</f>
        <v>ND</v>
      </c>
      <c r="H145" s="7" t="str">
        <f>'Reported burning'!H145</f>
        <v>Presence</v>
      </c>
      <c r="I145" s="12">
        <v>2004</v>
      </c>
      <c r="J145" s="22" t="s">
        <v>2308</v>
      </c>
      <c r="K145" s="110" t="s">
        <v>2308</v>
      </c>
      <c r="L145" s="22" t="s">
        <v>2308</v>
      </c>
      <c r="M145" s="22" t="s">
        <v>2308</v>
      </c>
      <c r="N145" s="22" t="s">
        <v>2308</v>
      </c>
      <c r="O145" s="22" t="s">
        <v>2308</v>
      </c>
      <c r="P145" s="22" t="s">
        <v>2308</v>
      </c>
      <c r="Q145" s="109" t="s">
        <v>2308</v>
      </c>
      <c r="R145" s="109" t="s">
        <v>2308</v>
      </c>
      <c r="S145" s="22" t="s">
        <v>2408</v>
      </c>
      <c r="T145" s="22" t="s">
        <v>2308</v>
      </c>
      <c r="U145" s="22" t="s">
        <v>2308</v>
      </c>
      <c r="V145" s="22" t="s">
        <v>2308</v>
      </c>
      <c r="W145" s="22" t="s">
        <v>2308</v>
      </c>
      <c r="X145" s="4" t="s">
        <v>68</v>
      </c>
      <c r="Y145" s="4" t="s">
        <v>68</v>
      </c>
      <c r="Z145" s="4" t="s">
        <v>64</v>
      </c>
      <c r="AA145" s="5" t="s">
        <v>1399</v>
      </c>
      <c r="AB145" s="5" t="s">
        <v>1400</v>
      </c>
    </row>
    <row r="146" spans="1:28" ht="121" customHeight="1">
      <c r="A146" s="7" t="str">
        <f>'Reported burning'!A146</f>
        <v>7a</v>
      </c>
      <c r="B146" s="7" t="str">
        <f>'Reported burning'!B146</f>
        <v>7a.9</v>
      </c>
      <c r="C146" s="7" t="str">
        <f>'Reported burning'!C146</f>
        <v>Human, deliberate</v>
      </c>
      <c r="D146" s="7" t="str">
        <f>'Reported burning'!D146</f>
        <v>Crop residue burning</v>
      </c>
      <c r="E146" s="7" t="str">
        <f>'Reported burning'!E146</f>
        <v>Cropping, Intensive</v>
      </c>
      <c r="F146" s="7" t="str">
        <f>'Reported burning'!F146</f>
        <v>Cropland</v>
      </c>
      <c r="G146" s="7" t="str">
        <f>'Reported burning'!G146</f>
        <v>ND</v>
      </c>
      <c r="H146" s="7" t="str">
        <f>'Reported burning'!H146</f>
        <v>Presence</v>
      </c>
      <c r="I146" s="12">
        <v>2005</v>
      </c>
      <c r="J146" s="22" t="s">
        <v>2308</v>
      </c>
      <c r="K146" s="110" t="s">
        <v>2308</v>
      </c>
      <c r="L146" s="22" t="s">
        <v>2308</v>
      </c>
      <c r="M146" s="22" t="s">
        <v>2308</v>
      </c>
      <c r="N146" s="22" t="s">
        <v>2308</v>
      </c>
      <c r="O146" s="22" t="s">
        <v>2308</v>
      </c>
      <c r="P146" s="22" t="s">
        <v>2308</v>
      </c>
      <c r="Q146" s="109" t="s">
        <v>2308</v>
      </c>
      <c r="R146" s="109" t="s">
        <v>2308</v>
      </c>
      <c r="S146" s="22" t="s">
        <v>2421</v>
      </c>
      <c r="T146" s="22" t="s">
        <v>2308</v>
      </c>
      <c r="U146" s="22" t="s">
        <v>2308</v>
      </c>
      <c r="V146" s="22" t="s">
        <v>2308</v>
      </c>
      <c r="W146" s="22" t="s">
        <v>2308</v>
      </c>
      <c r="X146" s="4" t="s">
        <v>34</v>
      </c>
      <c r="Y146" s="4" t="s">
        <v>34</v>
      </c>
      <c r="Z146" s="4" t="s">
        <v>64</v>
      </c>
      <c r="AA146" s="5" t="s">
        <v>1398</v>
      </c>
      <c r="AB146" s="5" t="s">
        <v>1400</v>
      </c>
    </row>
    <row r="147" spans="1:28" ht="115" customHeight="1">
      <c r="A147" s="7" t="str">
        <f>'Reported burning'!A147</f>
        <v>7a</v>
      </c>
      <c r="B147" s="7" t="str">
        <f>'Reported burning'!B147</f>
        <v>7a.10</v>
      </c>
      <c r="C147" s="7" t="str">
        <f>'Reported burning'!C147</f>
        <v>Human, deliberate</v>
      </c>
      <c r="D147" s="7" t="str">
        <f>'Reported burning'!D147</f>
        <v>Crop residue burning</v>
      </c>
      <c r="E147" s="7" t="str">
        <f>'Reported burning'!E147</f>
        <v>Cropping, Intensive</v>
      </c>
      <c r="F147" s="7" t="str">
        <f>'Reported burning'!F147</f>
        <v>Cropland</v>
      </c>
      <c r="G147" s="7" t="str">
        <f>'Reported burning'!G147</f>
        <v>ND</v>
      </c>
      <c r="H147" s="7" t="str">
        <f>'Reported burning'!H147</f>
        <v>Presence</v>
      </c>
      <c r="I147" s="12">
        <v>2005</v>
      </c>
      <c r="J147" s="22" t="s">
        <v>2308</v>
      </c>
      <c r="K147" s="110" t="s">
        <v>2308</v>
      </c>
      <c r="L147" s="22" t="s">
        <v>2308</v>
      </c>
      <c r="M147" s="22" t="s">
        <v>2308</v>
      </c>
      <c r="N147" s="22" t="s">
        <v>2308</v>
      </c>
      <c r="O147" s="22" t="s">
        <v>2308</v>
      </c>
      <c r="P147" s="22" t="s">
        <v>2308</v>
      </c>
      <c r="Q147" s="109" t="s">
        <v>2308</v>
      </c>
      <c r="R147" s="109" t="s">
        <v>2308</v>
      </c>
      <c r="S147" s="22" t="s">
        <v>2408</v>
      </c>
      <c r="T147" s="22" t="s">
        <v>2308</v>
      </c>
      <c r="U147" s="22" t="s">
        <v>2308</v>
      </c>
      <c r="V147" s="22" t="s">
        <v>2308</v>
      </c>
      <c r="W147" s="22" t="s">
        <v>2308</v>
      </c>
      <c r="X147" s="4" t="s">
        <v>68</v>
      </c>
      <c r="Y147" s="4" t="s">
        <v>68</v>
      </c>
      <c r="Z147" s="4" t="s">
        <v>64</v>
      </c>
      <c r="AA147" s="5" t="s">
        <v>1399</v>
      </c>
      <c r="AB147" s="5" t="s">
        <v>1400</v>
      </c>
    </row>
    <row r="148" spans="1:28" ht="155.5" customHeight="1">
      <c r="A148" s="7" t="str">
        <f>'Reported burning'!A148</f>
        <v>8a</v>
      </c>
      <c r="B148" s="7" t="str">
        <f>'Reported burning'!B148</f>
        <v>8a.1</v>
      </c>
      <c r="C148" s="7" t="str">
        <f>'Reported burning'!C148</f>
        <v>Human, deliberate</v>
      </c>
      <c r="D148" s="7" t="str">
        <f>'Reported burning'!D148</f>
        <v>Crop field preparation</v>
      </c>
      <c r="E148" s="7" t="str">
        <f>'Reported burning'!E148</f>
        <v>Cropping, Swidden</v>
      </c>
      <c r="F148" s="7" t="str">
        <f>'Reported burning'!F148</f>
        <v>Forest</v>
      </c>
      <c r="G148" s="7" t="str">
        <f>'Reported burning'!G148</f>
        <v>Forest</v>
      </c>
      <c r="H148" s="7" t="str">
        <f>'Reported burning'!H148</f>
        <v>Presence</v>
      </c>
      <c r="I148" s="24"/>
      <c r="J148" s="84" t="s">
        <v>2308</v>
      </c>
      <c r="K148" s="116" t="s">
        <v>2308</v>
      </c>
      <c r="L148" s="84" t="s">
        <v>2308</v>
      </c>
      <c r="M148" s="84" t="s">
        <v>2308</v>
      </c>
      <c r="N148" s="84" t="s">
        <v>2308</v>
      </c>
      <c r="O148" s="84" t="s">
        <v>2308</v>
      </c>
      <c r="P148" s="84" t="s">
        <v>2308</v>
      </c>
      <c r="Q148" s="109" t="s">
        <v>2308</v>
      </c>
      <c r="R148" s="109" t="s">
        <v>2308</v>
      </c>
      <c r="S148" s="22" t="s">
        <v>2308</v>
      </c>
      <c r="T148" s="84" t="s">
        <v>2308</v>
      </c>
      <c r="U148" s="84" t="s">
        <v>2308</v>
      </c>
      <c r="V148" s="84" t="s">
        <v>2308</v>
      </c>
      <c r="W148" s="84" t="s">
        <v>2308</v>
      </c>
      <c r="X148" s="23" t="s">
        <v>68</v>
      </c>
      <c r="Y148" s="23" t="s">
        <v>68</v>
      </c>
      <c r="Z148" s="23" t="s">
        <v>76</v>
      </c>
      <c r="AA148" s="25" t="s">
        <v>137</v>
      </c>
      <c r="AB148" s="23"/>
    </row>
    <row r="149" spans="1:28" ht="149.5" customHeight="1">
      <c r="A149" s="7" t="str">
        <f>'Reported burning'!A149</f>
        <v>8a</v>
      </c>
      <c r="B149" s="7" t="str">
        <f>'Reported burning'!B149</f>
        <v>8a.2</v>
      </c>
      <c r="C149" s="7" t="str">
        <f>'Reported burning'!C149</f>
        <v>Human, deliberate</v>
      </c>
      <c r="D149" s="7" t="str">
        <f>'Reported burning'!D149</f>
        <v>Crop field preparation</v>
      </c>
      <c r="E149" s="7" t="str">
        <f>'Reported burning'!E149</f>
        <v>Cropping, Swidden</v>
      </c>
      <c r="F149" s="7" t="str">
        <f>'Reported burning'!F149</f>
        <v>Secondary Vegetation</v>
      </c>
      <c r="G149" s="7" t="str">
        <f>'Reported burning'!G149</f>
        <v>ND</v>
      </c>
      <c r="H149" s="7" t="str">
        <f>'Reported burning'!H149</f>
        <v>Presence</v>
      </c>
      <c r="I149" s="24"/>
      <c r="J149" s="84" t="s">
        <v>2308</v>
      </c>
      <c r="K149" s="116" t="s">
        <v>2308</v>
      </c>
      <c r="L149" s="84" t="s">
        <v>2308</v>
      </c>
      <c r="M149" s="84" t="s">
        <v>2308</v>
      </c>
      <c r="N149" s="84" t="s">
        <v>2308</v>
      </c>
      <c r="O149" s="84" t="s">
        <v>2308</v>
      </c>
      <c r="P149" s="84" t="s">
        <v>2308</v>
      </c>
      <c r="Q149" s="109" t="s">
        <v>2308</v>
      </c>
      <c r="R149" s="109" t="s">
        <v>2308</v>
      </c>
      <c r="S149" s="22" t="s">
        <v>2308</v>
      </c>
      <c r="T149" s="84" t="s">
        <v>2308</v>
      </c>
      <c r="U149" s="84" t="s">
        <v>2308</v>
      </c>
      <c r="V149" s="84" t="s">
        <v>2308</v>
      </c>
      <c r="W149" s="84" t="s">
        <v>2308</v>
      </c>
      <c r="X149" s="23" t="s">
        <v>35</v>
      </c>
      <c r="Y149" s="23" t="s">
        <v>133</v>
      </c>
      <c r="Z149" s="23" t="s">
        <v>134</v>
      </c>
      <c r="AA149" s="25" t="s">
        <v>138</v>
      </c>
      <c r="AB149" s="23"/>
    </row>
    <row r="150" spans="1:28" ht="47" customHeight="1">
      <c r="A150" s="7" t="str">
        <f>'Reported burning'!A150</f>
        <v>9a</v>
      </c>
      <c r="B150" s="7" t="str">
        <f>'Reported burning'!B150</f>
        <v>9a.1</v>
      </c>
      <c r="C150" s="7" t="str">
        <f>'Reported burning'!C150</f>
        <v>Human, deliberate</v>
      </c>
      <c r="D150" s="7" t="str">
        <f>'Reported burning'!D150</f>
        <v>Conservation</v>
      </c>
      <c r="E150" s="7" t="str">
        <f>'Reported burning'!E150</f>
        <v>Biodiversity conservation</v>
      </c>
      <c r="F150" s="7" t="str">
        <f>'Reported burning'!F150</f>
        <v>Forest</v>
      </c>
      <c r="G150" s="7" t="str">
        <f>'Reported burning'!G150</f>
        <v>ND</v>
      </c>
      <c r="H150" s="7" t="str">
        <f>'Reported burning'!H150</f>
        <v>Absence</v>
      </c>
      <c r="I150" s="4"/>
      <c r="J150" s="22" t="s">
        <v>2308</v>
      </c>
      <c r="K150" s="110" t="s">
        <v>2308</v>
      </c>
      <c r="L150" s="22" t="s">
        <v>2308</v>
      </c>
      <c r="M150" s="22" t="s">
        <v>2308</v>
      </c>
      <c r="N150" s="22" t="s">
        <v>2308</v>
      </c>
      <c r="O150" s="22" t="s">
        <v>2308</v>
      </c>
      <c r="P150" s="22" t="s">
        <v>2308</v>
      </c>
      <c r="Q150" s="109" t="s">
        <v>2308</v>
      </c>
      <c r="R150" s="109" t="s">
        <v>2308</v>
      </c>
      <c r="S150" s="22" t="s">
        <v>2308</v>
      </c>
      <c r="T150" s="22" t="s">
        <v>2396</v>
      </c>
      <c r="U150" s="22" t="s">
        <v>2308</v>
      </c>
      <c r="V150" s="22" t="s">
        <v>2308</v>
      </c>
      <c r="W150" s="22" t="s">
        <v>2308</v>
      </c>
      <c r="X150" s="4" t="s">
        <v>2308</v>
      </c>
      <c r="Y150" s="4" t="s">
        <v>2308</v>
      </c>
      <c r="Z150" s="4" t="s">
        <v>2308</v>
      </c>
      <c r="AA150" s="4" t="s">
        <v>145</v>
      </c>
      <c r="AB150" s="4"/>
    </row>
    <row r="151" spans="1:28" ht="60" customHeight="1">
      <c r="A151" s="7" t="str">
        <f>'Reported burning'!A151</f>
        <v>9a</v>
      </c>
      <c r="B151" s="7" t="str">
        <f>'Reported burning'!B151</f>
        <v>9a.2</v>
      </c>
      <c r="C151" s="7" t="str">
        <f>'Reported burning'!C151</f>
        <v>Human, deliberate</v>
      </c>
      <c r="D151" s="7" t="str">
        <f>'Reported burning'!D151</f>
        <v>Crop field preparation</v>
      </c>
      <c r="E151" s="7" t="str">
        <f>'Reported burning'!E151</f>
        <v>Cropping, Swidden</v>
      </c>
      <c r="F151" s="7" t="str">
        <f>'Reported burning'!F151</f>
        <v>Secondary Vegetation</v>
      </c>
      <c r="G151" s="7" t="str">
        <f>'Reported burning'!G151</f>
        <v>ND</v>
      </c>
      <c r="H151" s="7" t="str">
        <f>'Reported burning'!H151</f>
        <v>Presence</v>
      </c>
      <c r="I151" s="24"/>
      <c r="J151" s="22" t="s">
        <v>2399</v>
      </c>
      <c r="K151" s="110" t="s">
        <v>2308</v>
      </c>
      <c r="L151" s="22" t="s">
        <v>2308</v>
      </c>
      <c r="M151" s="22" t="s">
        <v>2308</v>
      </c>
      <c r="N151" s="22" t="s">
        <v>2308</v>
      </c>
      <c r="O151" s="22" t="s">
        <v>2308</v>
      </c>
      <c r="P151" s="22" t="s">
        <v>2308</v>
      </c>
      <c r="Q151" s="109" t="s">
        <v>2308</v>
      </c>
      <c r="R151" s="109" t="s">
        <v>2308</v>
      </c>
      <c r="S151" s="22" t="s">
        <v>2308</v>
      </c>
      <c r="T151" s="22" t="s">
        <v>2308</v>
      </c>
      <c r="U151" s="22" t="s">
        <v>2308</v>
      </c>
      <c r="V151" s="22" t="s">
        <v>2308</v>
      </c>
      <c r="W151" s="22" t="s">
        <v>2308</v>
      </c>
      <c r="X151" s="4" t="s">
        <v>2308</v>
      </c>
      <c r="Y151" s="4" t="s">
        <v>2308</v>
      </c>
      <c r="Z151" s="4" t="s">
        <v>2308</v>
      </c>
      <c r="AA151" s="4"/>
      <c r="AB151" s="5" t="s">
        <v>1401</v>
      </c>
    </row>
    <row r="152" spans="1:28" ht="77.5" customHeight="1">
      <c r="A152" s="7" t="str">
        <f>'Reported burning'!A152</f>
        <v>9b</v>
      </c>
      <c r="B152" s="7" t="str">
        <f>'Reported burning'!B152</f>
        <v>9b.1</v>
      </c>
      <c r="C152" s="7" t="str">
        <f>'Reported burning'!C152</f>
        <v>Human, deliberate</v>
      </c>
      <c r="D152" s="7" t="str">
        <f>'Reported burning'!D152</f>
        <v>Pasture renewal</v>
      </c>
      <c r="E152" s="7" t="str">
        <f>'Reported burning'!E152</f>
        <v>Cattle, Extensive</v>
      </c>
      <c r="F152" s="7" t="str">
        <f>'Reported burning'!F152</f>
        <v>Pasture</v>
      </c>
      <c r="G152" s="7" t="str">
        <f>'Reported burning'!G152</f>
        <v>ND</v>
      </c>
      <c r="H152" s="7" t="str">
        <f>'Reported burning'!H152</f>
        <v>Presence</v>
      </c>
      <c r="I152" s="4"/>
      <c r="J152" s="22" t="s">
        <v>2403</v>
      </c>
      <c r="K152" s="110" t="s">
        <v>2308</v>
      </c>
      <c r="L152" s="110" t="s">
        <v>2308</v>
      </c>
      <c r="M152" s="110" t="s">
        <v>2308</v>
      </c>
      <c r="N152" s="110" t="s">
        <v>2308</v>
      </c>
      <c r="O152" s="110" t="s">
        <v>2308</v>
      </c>
      <c r="P152" s="110" t="s">
        <v>2308</v>
      </c>
      <c r="Q152" s="110" t="s">
        <v>2308</v>
      </c>
      <c r="R152" s="110" t="s">
        <v>2308</v>
      </c>
      <c r="S152" s="110" t="s">
        <v>2308</v>
      </c>
      <c r="T152" s="110" t="s">
        <v>2308</v>
      </c>
      <c r="U152" s="110" t="s">
        <v>2308</v>
      </c>
      <c r="V152" s="110" t="s">
        <v>2308</v>
      </c>
      <c r="W152" s="110" t="s">
        <v>2308</v>
      </c>
      <c r="X152" s="110" t="s">
        <v>2308</v>
      </c>
      <c r="Y152" s="110" t="s">
        <v>2308</v>
      </c>
      <c r="Z152" s="110" t="s">
        <v>2308</v>
      </c>
      <c r="AA152" s="5" t="s">
        <v>1403</v>
      </c>
      <c r="AB152" s="5" t="s">
        <v>1402</v>
      </c>
    </row>
    <row r="153" spans="1:28" ht="77.5" customHeight="1">
      <c r="A153" s="7" t="str">
        <f>'Reported burning'!A153</f>
        <v>9b</v>
      </c>
      <c r="B153" s="7" t="str">
        <f>'Reported burning'!B153</f>
        <v>9b.2</v>
      </c>
      <c r="C153" s="7" t="str">
        <f>'Reported burning'!C153</f>
        <v>Human, deliberate</v>
      </c>
      <c r="D153" s="7" t="str">
        <f>'Reported burning'!D153</f>
        <v>Forest clearance</v>
      </c>
      <c r="E153" s="7" t="str">
        <f>'Reported burning'!E153</f>
        <v>Cattle, Extensive</v>
      </c>
      <c r="F153" s="7" t="str">
        <f>'Reported burning'!F153</f>
        <v>Pasture</v>
      </c>
      <c r="G153" s="7" t="str">
        <f>'Reported burning'!G153</f>
        <v>ND</v>
      </c>
      <c r="H153" s="7" t="str">
        <f>'Reported burning'!H153</f>
        <v>Presence</v>
      </c>
      <c r="I153" s="4"/>
      <c r="J153" s="110" t="s">
        <v>2308</v>
      </c>
      <c r="K153" s="110" t="s">
        <v>2308</v>
      </c>
      <c r="L153" s="110" t="s">
        <v>2308</v>
      </c>
      <c r="M153" s="110" t="s">
        <v>2308</v>
      </c>
      <c r="N153" s="110" t="s">
        <v>2308</v>
      </c>
      <c r="O153" s="110" t="s">
        <v>2308</v>
      </c>
      <c r="P153" s="110" t="s">
        <v>2308</v>
      </c>
      <c r="Q153" s="110" t="s">
        <v>2308</v>
      </c>
      <c r="R153" s="110" t="s">
        <v>2308</v>
      </c>
      <c r="S153" s="110" t="s">
        <v>2308</v>
      </c>
      <c r="T153" s="110" t="s">
        <v>2308</v>
      </c>
      <c r="U153" s="110" t="s">
        <v>2308</v>
      </c>
      <c r="V153" s="110" t="s">
        <v>2308</v>
      </c>
      <c r="W153" s="110" t="s">
        <v>2308</v>
      </c>
      <c r="X153" s="110" t="s">
        <v>2308</v>
      </c>
      <c r="Y153" s="110" t="s">
        <v>2308</v>
      </c>
      <c r="Z153" s="110" t="s">
        <v>2308</v>
      </c>
      <c r="AA153" s="5" t="s">
        <v>1403</v>
      </c>
      <c r="AB153" s="5" t="s">
        <v>1402</v>
      </c>
    </row>
    <row r="154" spans="1:28" ht="77.5" customHeight="1">
      <c r="A154" s="7" t="str">
        <f>'Reported burning'!A154</f>
        <v>9b</v>
      </c>
      <c r="B154" s="7" t="str">
        <f>'Reported burning'!B154</f>
        <v>9b.3</v>
      </c>
      <c r="C154" s="7" t="str">
        <f>'Reported burning'!C154</f>
        <v>Human, deliberate</v>
      </c>
      <c r="D154" s="7" t="str">
        <f>'Reported burning'!D154</f>
        <v>Forest clearance</v>
      </c>
      <c r="E154" s="7" t="str">
        <f>'Reported burning'!E154</f>
        <v>Cattle, Extensive</v>
      </c>
      <c r="F154" s="7" t="str">
        <f>'Reported burning'!F154</f>
        <v>Pasture</v>
      </c>
      <c r="G154" s="7" t="str">
        <f>'Reported burning'!G154</f>
        <v>ND</v>
      </c>
      <c r="H154" s="7" t="str">
        <f>'Reported burning'!H154</f>
        <v>Presence</v>
      </c>
      <c r="I154" s="4"/>
      <c r="J154" s="110" t="s">
        <v>2308</v>
      </c>
      <c r="K154" s="110" t="s">
        <v>2308</v>
      </c>
      <c r="L154" s="110" t="s">
        <v>2308</v>
      </c>
      <c r="M154" s="110" t="s">
        <v>2308</v>
      </c>
      <c r="N154" s="110" t="s">
        <v>2308</v>
      </c>
      <c r="O154" s="110" t="s">
        <v>2308</v>
      </c>
      <c r="P154" s="110" t="s">
        <v>2308</v>
      </c>
      <c r="Q154" s="110" t="s">
        <v>2308</v>
      </c>
      <c r="R154" s="110" t="s">
        <v>2308</v>
      </c>
      <c r="S154" s="110" t="s">
        <v>2308</v>
      </c>
      <c r="T154" s="110" t="s">
        <v>2308</v>
      </c>
      <c r="U154" s="110" t="s">
        <v>2308</v>
      </c>
      <c r="V154" s="110" t="s">
        <v>2308</v>
      </c>
      <c r="W154" s="110" t="s">
        <v>2308</v>
      </c>
      <c r="X154" s="110" t="s">
        <v>2308</v>
      </c>
      <c r="Y154" s="110" t="s">
        <v>2308</v>
      </c>
      <c r="Z154" s="110" t="s">
        <v>2308</v>
      </c>
      <c r="AA154" s="5" t="s">
        <v>1403</v>
      </c>
      <c r="AB154" s="5" t="s">
        <v>1402</v>
      </c>
    </row>
    <row r="155" spans="1:28" ht="77.5" customHeight="1">
      <c r="A155" s="7" t="str">
        <f>'Reported burning'!A155</f>
        <v>10a</v>
      </c>
      <c r="B155" s="7" t="str">
        <f>'Reported burning'!B155</f>
        <v>10a.1</v>
      </c>
      <c r="C155" s="7" t="str">
        <f>'Reported burning'!C155</f>
        <v>Human, deliberate</v>
      </c>
      <c r="D155" s="7" t="str">
        <f>'Reported burning'!D155</f>
        <v>Fishing</v>
      </c>
      <c r="E155" s="7" t="str">
        <f>'Reported burning'!E155</f>
        <v>Forestry, Traditional</v>
      </c>
      <c r="F155" s="7" t="str">
        <f>'Reported burning'!F155</f>
        <v>Forest</v>
      </c>
      <c r="G155" s="7" t="str">
        <f>'Reported burning'!G155</f>
        <v>ND</v>
      </c>
      <c r="H155" s="7" t="str">
        <f>'Reported burning'!H155</f>
        <v>Presence</v>
      </c>
      <c r="I155" s="4"/>
      <c r="J155" s="22" t="s">
        <v>2308</v>
      </c>
      <c r="K155" s="110" t="s">
        <v>2308</v>
      </c>
      <c r="L155" s="22" t="s">
        <v>2308</v>
      </c>
      <c r="M155" s="22" t="s">
        <v>2308</v>
      </c>
      <c r="N155" s="22" t="s">
        <v>2308</v>
      </c>
      <c r="O155" s="22" t="s">
        <v>2308</v>
      </c>
      <c r="P155" s="22" t="s">
        <v>2308</v>
      </c>
      <c r="Q155" s="109" t="s">
        <v>2308</v>
      </c>
      <c r="R155" s="109" t="s">
        <v>2308</v>
      </c>
      <c r="S155" s="22" t="s">
        <v>2308</v>
      </c>
      <c r="T155" s="22" t="s">
        <v>2308</v>
      </c>
      <c r="U155" s="22" t="s">
        <v>2308</v>
      </c>
      <c r="V155" s="22" t="s">
        <v>2308</v>
      </c>
      <c r="W155" s="22" t="s">
        <v>2308</v>
      </c>
      <c r="X155" s="4"/>
      <c r="Y155" s="4"/>
      <c r="Z155" s="4"/>
      <c r="AA155" s="5" t="s">
        <v>2335</v>
      </c>
      <c r="AB155" s="5"/>
    </row>
    <row r="156" spans="1:28" ht="77.5" customHeight="1">
      <c r="A156" s="7" t="str">
        <f>'Reported burning'!A156</f>
        <v>10a</v>
      </c>
      <c r="B156" s="7" t="str">
        <f>'Reported burning'!B156</f>
        <v>10a.2</v>
      </c>
      <c r="C156" s="7" t="str">
        <f>'Reported burning'!C156</f>
        <v>Human, deliberate</v>
      </c>
      <c r="D156" s="7" t="str">
        <f>'Reported burning'!D156</f>
        <v>Crop field preparation</v>
      </c>
      <c r="E156" s="7" t="str">
        <f>'Reported burning'!E156</f>
        <v>Cropping, Swidden</v>
      </c>
      <c r="F156" s="7" t="str">
        <f>'Reported burning'!F156</f>
        <v>Forest</v>
      </c>
      <c r="G156" s="7" t="str">
        <f>'Reported burning'!G156</f>
        <v>ND</v>
      </c>
      <c r="H156" s="7" t="str">
        <f>'Reported burning'!H156</f>
        <v>Presence</v>
      </c>
      <c r="I156" s="4"/>
      <c r="J156" s="22" t="s">
        <v>2308</v>
      </c>
      <c r="K156" s="110" t="s">
        <v>2308</v>
      </c>
      <c r="L156" s="22" t="s">
        <v>2308</v>
      </c>
      <c r="M156" s="22" t="s">
        <v>2308</v>
      </c>
      <c r="N156" s="22" t="s">
        <v>2308</v>
      </c>
      <c r="O156" s="22" t="s">
        <v>2308</v>
      </c>
      <c r="P156" s="22" t="s">
        <v>2308</v>
      </c>
      <c r="Q156" s="109" t="s">
        <v>2308</v>
      </c>
      <c r="R156" s="109" t="s">
        <v>2308</v>
      </c>
      <c r="S156" s="22" t="s">
        <v>2308</v>
      </c>
      <c r="T156" s="22" t="s">
        <v>2308</v>
      </c>
      <c r="U156" s="22" t="s">
        <v>2308</v>
      </c>
      <c r="V156" s="22" t="s">
        <v>2308</v>
      </c>
      <c r="W156" s="22" t="s">
        <v>2308</v>
      </c>
      <c r="X156" s="4"/>
      <c r="Y156" s="4"/>
      <c r="Z156" s="4"/>
      <c r="AA156" s="5" t="s">
        <v>2334</v>
      </c>
      <c r="AB156" s="5"/>
    </row>
    <row r="157" spans="1:28" ht="131" customHeight="1">
      <c r="A157" s="7" t="str">
        <f>'Reported burning'!A157</f>
        <v>11a</v>
      </c>
      <c r="B157" s="7" t="str">
        <f>'Reported burning'!B157</f>
        <v>11a.1</v>
      </c>
      <c r="C157" s="7" t="str">
        <f>'Reported burning'!C157</f>
        <v>Human, deliberate</v>
      </c>
      <c r="D157" s="7" t="str">
        <f>'Reported burning'!D157</f>
        <v>Forest clearance</v>
      </c>
      <c r="E157" s="7" t="str">
        <f>'Reported burning'!E157</f>
        <v>Cattle, Extensive</v>
      </c>
      <c r="F157" s="7" t="str">
        <f>'Reported burning'!F157</f>
        <v>Forest</v>
      </c>
      <c r="G157" s="7" t="str">
        <f>'Reported burning'!G157</f>
        <v>Forest</v>
      </c>
      <c r="H157" s="7" t="str">
        <f>'Reported burning'!H157</f>
        <v>Presence</v>
      </c>
      <c r="I157" s="12"/>
      <c r="J157" s="22" t="s">
        <v>2308</v>
      </c>
      <c r="K157" s="110" t="s">
        <v>2308</v>
      </c>
      <c r="L157" s="22" t="s">
        <v>2308</v>
      </c>
      <c r="M157" s="22" t="s">
        <v>2308</v>
      </c>
      <c r="N157" s="22" t="s">
        <v>2308</v>
      </c>
      <c r="O157" s="22" t="s">
        <v>2308</v>
      </c>
      <c r="P157" s="22" t="s">
        <v>2308</v>
      </c>
      <c r="Q157" s="109" t="s">
        <v>2308</v>
      </c>
      <c r="R157" s="109" t="s">
        <v>2308</v>
      </c>
      <c r="S157" s="22" t="s">
        <v>2308</v>
      </c>
      <c r="T157" s="22" t="s">
        <v>2308</v>
      </c>
      <c r="U157" s="22" t="s">
        <v>2308</v>
      </c>
      <c r="V157" s="22" t="s">
        <v>2308</v>
      </c>
      <c r="W157" s="22" t="s">
        <v>2308</v>
      </c>
      <c r="X157" s="4" t="s">
        <v>2308</v>
      </c>
      <c r="Y157" s="4" t="s">
        <v>2308</v>
      </c>
      <c r="Z157" s="4" t="s">
        <v>2308</v>
      </c>
      <c r="AA157" s="5" t="s">
        <v>1410</v>
      </c>
      <c r="AB157" s="5" t="s">
        <v>1412</v>
      </c>
    </row>
    <row r="158" spans="1:28" ht="138.5" customHeight="1">
      <c r="A158" s="7" t="str">
        <f>'Reported burning'!A158</f>
        <v>11a</v>
      </c>
      <c r="B158" s="7" t="str">
        <f>'Reported burning'!B158</f>
        <v>11a.2</v>
      </c>
      <c r="C158" s="7" t="str">
        <f>'Reported burning'!C158</f>
        <v>Human, deliberate</v>
      </c>
      <c r="D158" s="7" t="str">
        <f>'Reported burning'!D158</f>
        <v>Pasture renewal</v>
      </c>
      <c r="E158" s="7" t="str">
        <f>'Reported burning'!E158</f>
        <v>Cattle, Extensive</v>
      </c>
      <c r="F158" s="7" t="str">
        <f>'Reported burning'!F158</f>
        <v>Pasture</v>
      </c>
      <c r="G158" s="7" t="str">
        <f>'Reported burning'!G158</f>
        <v>Pasture</v>
      </c>
      <c r="H158" s="7" t="str">
        <f>'Reported burning'!H158</f>
        <v>Presence</v>
      </c>
      <c r="I158" s="12"/>
      <c r="J158" s="22" t="s">
        <v>2308</v>
      </c>
      <c r="K158" s="110" t="s">
        <v>2308</v>
      </c>
      <c r="L158" s="22" t="s">
        <v>2308</v>
      </c>
      <c r="M158" s="22" t="s">
        <v>2308</v>
      </c>
      <c r="N158" s="22" t="s">
        <v>2308</v>
      </c>
      <c r="O158" s="22" t="s">
        <v>2308</v>
      </c>
      <c r="P158" s="22" t="s">
        <v>2308</v>
      </c>
      <c r="Q158" s="109" t="s">
        <v>2308</v>
      </c>
      <c r="R158" s="109" t="s">
        <v>2308</v>
      </c>
      <c r="S158" s="22" t="s">
        <v>2308</v>
      </c>
      <c r="T158" s="22" t="s">
        <v>2308</v>
      </c>
      <c r="U158" s="22" t="s">
        <v>2308</v>
      </c>
      <c r="V158" s="22" t="s">
        <v>2308</v>
      </c>
      <c r="W158" s="22" t="s">
        <v>2308</v>
      </c>
      <c r="X158" s="4" t="s">
        <v>2308</v>
      </c>
      <c r="Y158" s="4" t="s">
        <v>2308</v>
      </c>
      <c r="Z158" s="4" t="s">
        <v>2308</v>
      </c>
      <c r="AA158" s="4"/>
      <c r="AB158" s="5" t="s">
        <v>162</v>
      </c>
    </row>
    <row r="159" spans="1:28" ht="132.5" customHeight="1">
      <c r="A159" s="7" t="str">
        <f>'Reported burning'!A159</f>
        <v>11a</v>
      </c>
      <c r="B159" s="7" t="str">
        <f>'Reported burning'!B159</f>
        <v>11a.3</v>
      </c>
      <c r="C159" s="7" t="str">
        <f>'Reported burning'!C159</f>
        <v>Human, deliberate</v>
      </c>
      <c r="D159" s="7" t="str">
        <f>'Reported burning'!D159</f>
        <v>Crop field preparation</v>
      </c>
      <c r="E159" s="7" t="str">
        <f>'Reported burning'!E159</f>
        <v>Cropping, Swidden</v>
      </c>
      <c r="F159" s="7" t="str">
        <f>'Reported burning'!F159</f>
        <v>Secondary Vegetation</v>
      </c>
      <c r="G159" s="7" t="str">
        <f>'Reported burning'!G159</f>
        <v>ND</v>
      </c>
      <c r="H159" s="7" t="str">
        <f>'Reported burning'!H159</f>
        <v>Presence</v>
      </c>
      <c r="I159" s="27"/>
      <c r="J159" s="22" t="s">
        <v>2308</v>
      </c>
      <c r="K159" s="110" t="s">
        <v>2308</v>
      </c>
      <c r="L159" s="22" t="s">
        <v>2308</v>
      </c>
      <c r="M159" s="22" t="s">
        <v>2308</v>
      </c>
      <c r="N159" s="22" t="s">
        <v>2308</v>
      </c>
      <c r="O159" s="22" t="s">
        <v>2308</v>
      </c>
      <c r="P159" s="22" t="s">
        <v>2308</v>
      </c>
      <c r="Q159" s="109" t="s">
        <v>2308</v>
      </c>
      <c r="R159" s="109" t="s">
        <v>2308</v>
      </c>
      <c r="S159" s="22" t="s">
        <v>2308</v>
      </c>
      <c r="T159" s="22" t="s">
        <v>2308</v>
      </c>
      <c r="U159" s="22" t="s">
        <v>2308</v>
      </c>
      <c r="V159" s="22" t="s">
        <v>2308</v>
      </c>
      <c r="W159" s="22" t="s">
        <v>2308</v>
      </c>
      <c r="X159" s="4" t="s">
        <v>2308</v>
      </c>
      <c r="Y159" s="4" t="s">
        <v>2308</v>
      </c>
      <c r="Z159" s="4" t="s">
        <v>2308</v>
      </c>
      <c r="AA159" s="4"/>
      <c r="AB159" s="5" t="s">
        <v>162</v>
      </c>
    </row>
    <row r="160" spans="1:28" ht="150.5" customHeight="1">
      <c r="A160" s="7" t="str">
        <f>'Reported burning'!A160</f>
        <v>12a</v>
      </c>
      <c r="B160" s="7" t="str">
        <f>'Reported burning'!B160</f>
        <v>12a.1</v>
      </c>
      <c r="C160" s="7" t="str">
        <f>'Reported burning'!C160</f>
        <v>Human, deliberate</v>
      </c>
      <c r="D160" s="7" t="str">
        <f>'Reported burning'!D160</f>
        <v>Forest clearance</v>
      </c>
      <c r="E160" s="7" t="str">
        <f>'Reported burning'!E160</f>
        <v>Cropping, Intensive</v>
      </c>
      <c r="F160" s="7" t="str">
        <f>'Reported burning'!F160</f>
        <v>Forest</v>
      </c>
      <c r="G160" s="7" t="str">
        <f>'Reported burning'!G160</f>
        <v>Forest</v>
      </c>
      <c r="H160" s="7" t="str">
        <f>'Reported burning'!H160</f>
        <v>Presence</v>
      </c>
      <c r="I160" s="4">
        <v>2002</v>
      </c>
      <c r="J160" s="22" t="s">
        <v>2308</v>
      </c>
      <c r="K160" s="110" t="s">
        <v>2308</v>
      </c>
      <c r="L160" s="22" t="s">
        <v>2308</v>
      </c>
      <c r="M160" s="22" t="s">
        <v>2308</v>
      </c>
      <c r="N160" s="22" t="s">
        <v>2308</v>
      </c>
      <c r="O160" s="22" t="s">
        <v>2308</v>
      </c>
      <c r="P160" s="22" t="s">
        <v>2412</v>
      </c>
      <c r="Q160" s="109" t="s">
        <v>2308</v>
      </c>
      <c r="R160" s="109" t="s">
        <v>2308</v>
      </c>
      <c r="S160" s="22" t="s">
        <v>2308</v>
      </c>
      <c r="T160" s="22" t="s">
        <v>2308</v>
      </c>
      <c r="U160" s="22" t="s">
        <v>2308</v>
      </c>
      <c r="V160" s="22" t="s">
        <v>2308</v>
      </c>
      <c r="W160" s="22" t="s">
        <v>2308</v>
      </c>
      <c r="X160" s="4" t="s">
        <v>2308</v>
      </c>
      <c r="Y160" s="4" t="s">
        <v>2308</v>
      </c>
      <c r="Z160" s="4" t="s">
        <v>2308</v>
      </c>
      <c r="AA160" s="5" t="s">
        <v>1421</v>
      </c>
      <c r="AB160" s="5" t="s">
        <v>1466</v>
      </c>
    </row>
    <row r="161" spans="1:28" ht="151.5" customHeight="1">
      <c r="A161" s="7" t="str">
        <f>'Reported burning'!A161</f>
        <v>12a</v>
      </c>
      <c r="B161" s="7" t="str">
        <f>'Reported burning'!B161</f>
        <v>12a.2</v>
      </c>
      <c r="C161" s="7" t="str">
        <f>'Reported burning'!C161</f>
        <v>Human, deliberate</v>
      </c>
      <c r="D161" s="7" t="str">
        <f>'Reported burning'!D161</f>
        <v>Forest clearance</v>
      </c>
      <c r="E161" s="7" t="str">
        <f>'Reported burning'!E161</f>
        <v>Cropping, Intensive</v>
      </c>
      <c r="F161" s="7" t="str">
        <f>'Reported burning'!F161</f>
        <v>Forest</v>
      </c>
      <c r="G161" s="7" t="str">
        <f>'Reported burning'!G161</f>
        <v>Forest</v>
      </c>
      <c r="H161" s="7" t="str">
        <f>'Reported burning'!H161</f>
        <v>Presence</v>
      </c>
      <c r="I161" s="4">
        <v>2003</v>
      </c>
      <c r="J161" s="22" t="s">
        <v>2308</v>
      </c>
      <c r="K161" s="110" t="s">
        <v>2308</v>
      </c>
      <c r="L161" s="22" t="s">
        <v>2308</v>
      </c>
      <c r="M161" s="22" t="s">
        <v>2308</v>
      </c>
      <c r="N161" s="22" t="s">
        <v>2308</v>
      </c>
      <c r="O161" s="22" t="s">
        <v>2308</v>
      </c>
      <c r="P161" s="22" t="s">
        <v>2412</v>
      </c>
      <c r="Q161" s="109" t="s">
        <v>2308</v>
      </c>
      <c r="R161" s="109" t="s">
        <v>2308</v>
      </c>
      <c r="S161" s="22" t="s">
        <v>2308</v>
      </c>
      <c r="T161" s="22" t="s">
        <v>2308</v>
      </c>
      <c r="U161" s="22" t="s">
        <v>2308</v>
      </c>
      <c r="V161" s="22" t="s">
        <v>2308</v>
      </c>
      <c r="W161" s="22" t="s">
        <v>2308</v>
      </c>
      <c r="X161" s="4" t="s">
        <v>2308</v>
      </c>
      <c r="Y161" s="4" t="s">
        <v>2308</v>
      </c>
      <c r="Z161" s="4" t="s">
        <v>2308</v>
      </c>
      <c r="AA161" s="5" t="s">
        <v>1421</v>
      </c>
      <c r="AB161" s="5" t="s">
        <v>1466</v>
      </c>
    </row>
    <row r="162" spans="1:28" ht="137.5" customHeight="1">
      <c r="A162" s="7" t="str">
        <f>'Reported burning'!A162</f>
        <v>12a</v>
      </c>
      <c r="B162" s="7" t="str">
        <f>'Reported burning'!B162</f>
        <v>12a.3</v>
      </c>
      <c r="C162" s="7" t="str">
        <f>'Reported burning'!C162</f>
        <v>Human, deliberate</v>
      </c>
      <c r="D162" s="7" t="str">
        <f>'Reported burning'!D162</f>
        <v>Forest clearance</v>
      </c>
      <c r="E162" s="7" t="str">
        <f>'Reported burning'!E162</f>
        <v>Cropping, Intensive</v>
      </c>
      <c r="F162" s="7" t="str">
        <f>'Reported burning'!F162</f>
        <v>Forest</v>
      </c>
      <c r="G162" s="7" t="str">
        <f>'Reported burning'!G162</f>
        <v>Forest</v>
      </c>
      <c r="H162" s="7" t="str">
        <f>'Reported burning'!H162</f>
        <v>Presence</v>
      </c>
      <c r="I162" s="4">
        <v>2004</v>
      </c>
      <c r="J162" s="22" t="s">
        <v>2308</v>
      </c>
      <c r="K162" s="110" t="s">
        <v>2308</v>
      </c>
      <c r="L162" s="22" t="s">
        <v>2308</v>
      </c>
      <c r="M162" s="22" t="s">
        <v>2308</v>
      </c>
      <c r="N162" s="22" t="s">
        <v>2308</v>
      </c>
      <c r="O162" s="22" t="s">
        <v>2308</v>
      </c>
      <c r="P162" s="22" t="s">
        <v>2412</v>
      </c>
      <c r="Q162" s="109" t="s">
        <v>2308</v>
      </c>
      <c r="R162" s="109" t="s">
        <v>2308</v>
      </c>
      <c r="S162" s="22" t="s">
        <v>2308</v>
      </c>
      <c r="T162" s="22" t="s">
        <v>2308</v>
      </c>
      <c r="U162" s="22" t="s">
        <v>2308</v>
      </c>
      <c r="V162" s="22" t="s">
        <v>2308</v>
      </c>
      <c r="W162" s="22" t="s">
        <v>2308</v>
      </c>
      <c r="X162" s="4" t="s">
        <v>2308</v>
      </c>
      <c r="Y162" s="4" t="s">
        <v>2308</v>
      </c>
      <c r="Z162" s="4" t="s">
        <v>2308</v>
      </c>
      <c r="AA162" s="5" t="s">
        <v>1421</v>
      </c>
      <c r="AB162" s="5" t="s">
        <v>1466</v>
      </c>
    </row>
    <row r="163" spans="1:28" ht="124" customHeight="1">
      <c r="A163" s="7" t="str">
        <f>'Reported burning'!A163</f>
        <v>12a</v>
      </c>
      <c r="B163" s="7" t="str">
        <f>'Reported burning'!B163</f>
        <v>12a.4</v>
      </c>
      <c r="C163" s="7" t="str">
        <f>'Reported burning'!C163</f>
        <v>Human, deliberate</v>
      </c>
      <c r="D163" s="7" t="str">
        <f>'Reported burning'!D163</f>
        <v>Forest clearance</v>
      </c>
      <c r="E163" s="7" t="str">
        <f>'Reported burning'!E163</f>
        <v>Cropping, Intensive</v>
      </c>
      <c r="F163" s="7" t="str">
        <f>'Reported burning'!F163</f>
        <v>Forest</v>
      </c>
      <c r="G163" s="7" t="str">
        <f>'Reported burning'!G163</f>
        <v>Forest</v>
      </c>
      <c r="H163" s="7" t="str">
        <f>'Reported burning'!H163</f>
        <v>Presence</v>
      </c>
      <c r="I163" s="4">
        <v>2005</v>
      </c>
      <c r="J163" s="22" t="s">
        <v>2308</v>
      </c>
      <c r="K163" s="110" t="s">
        <v>2308</v>
      </c>
      <c r="L163" s="22" t="s">
        <v>2308</v>
      </c>
      <c r="M163" s="22" t="s">
        <v>2308</v>
      </c>
      <c r="N163" s="22" t="s">
        <v>2308</v>
      </c>
      <c r="O163" s="22" t="s">
        <v>2308</v>
      </c>
      <c r="P163" s="22" t="s">
        <v>2412</v>
      </c>
      <c r="Q163" s="109" t="s">
        <v>2308</v>
      </c>
      <c r="R163" s="109" t="s">
        <v>2308</v>
      </c>
      <c r="S163" s="22" t="s">
        <v>2308</v>
      </c>
      <c r="T163" s="22" t="s">
        <v>2308</v>
      </c>
      <c r="U163" s="22" t="s">
        <v>2308</v>
      </c>
      <c r="V163" s="22" t="s">
        <v>2308</v>
      </c>
      <c r="W163" s="22" t="s">
        <v>2308</v>
      </c>
      <c r="X163" s="4" t="s">
        <v>2308</v>
      </c>
      <c r="Y163" s="4" t="s">
        <v>2308</v>
      </c>
      <c r="Z163" s="4" t="s">
        <v>2308</v>
      </c>
      <c r="AA163" s="5" t="s">
        <v>1421</v>
      </c>
      <c r="AB163" s="5" t="s">
        <v>1466</v>
      </c>
    </row>
    <row r="164" spans="1:28" ht="135" customHeight="1">
      <c r="A164" s="7" t="str">
        <f>'Reported burning'!A164</f>
        <v>12a</v>
      </c>
      <c r="B164" s="7" t="str">
        <f>'Reported burning'!B164</f>
        <v>12a.5</v>
      </c>
      <c r="C164" s="7" t="str">
        <f>'Reported burning'!C164</f>
        <v>Human, deliberate</v>
      </c>
      <c r="D164" s="7" t="str">
        <f>'Reported burning'!D164</f>
        <v>Forest clearance</v>
      </c>
      <c r="E164" s="7" t="str">
        <f>'Reported burning'!E164</f>
        <v>Cropping, Intensive</v>
      </c>
      <c r="F164" s="7" t="str">
        <f>'Reported burning'!F164</f>
        <v>Forest</v>
      </c>
      <c r="G164" s="7" t="str">
        <f>'Reported burning'!G164</f>
        <v>Forest</v>
      </c>
      <c r="H164" s="7" t="str">
        <f>'Reported burning'!H164</f>
        <v>Presence</v>
      </c>
      <c r="I164" s="4">
        <v>2006</v>
      </c>
      <c r="J164" s="22" t="s">
        <v>2308</v>
      </c>
      <c r="K164" s="110" t="s">
        <v>2308</v>
      </c>
      <c r="L164" s="22" t="s">
        <v>2308</v>
      </c>
      <c r="M164" s="22" t="s">
        <v>2308</v>
      </c>
      <c r="N164" s="22" t="s">
        <v>2308</v>
      </c>
      <c r="O164" s="22" t="s">
        <v>2308</v>
      </c>
      <c r="P164" s="22" t="s">
        <v>2411</v>
      </c>
      <c r="Q164" s="109" t="s">
        <v>2308</v>
      </c>
      <c r="R164" s="109" t="s">
        <v>2308</v>
      </c>
      <c r="S164" s="22" t="s">
        <v>2308</v>
      </c>
      <c r="T164" s="22" t="s">
        <v>2308</v>
      </c>
      <c r="U164" s="22" t="s">
        <v>2308</v>
      </c>
      <c r="V164" s="22" t="s">
        <v>2308</v>
      </c>
      <c r="W164" s="22" t="s">
        <v>2308</v>
      </c>
      <c r="X164" s="4" t="s">
        <v>2308</v>
      </c>
      <c r="Y164" s="4" t="s">
        <v>2308</v>
      </c>
      <c r="Z164" s="4" t="s">
        <v>2308</v>
      </c>
      <c r="AA164" s="5" t="s">
        <v>1421</v>
      </c>
      <c r="AB164" s="5" t="s">
        <v>1466</v>
      </c>
    </row>
    <row r="165" spans="1:28" ht="147.5" customHeight="1">
      <c r="A165" s="7" t="str">
        <f>'Reported burning'!A165</f>
        <v>12a</v>
      </c>
      <c r="B165" s="7" t="str">
        <f>'Reported burning'!B165</f>
        <v>12a.6</v>
      </c>
      <c r="C165" s="7" t="str">
        <f>'Reported burning'!C165</f>
        <v>Human, deliberate</v>
      </c>
      <c r="D165" s="7" t="str">
        <f>'Reported burning'!D165</f>
        <v>Forest clearance</v>
      </c>
      <c r="E165" s="7" t="str">
        <f>'Reported burning'!E165</f>
        <v>Cropping, Intensive</v>
      </c>
      <c r="F165" s="7" t="str">
        <f>'Reported burning'!F165</f>
        <v>Forest</v>
      </c>
      <c r="G165" s="7" t="str">
        <f>'Reported burning'!G165</f>
        <v>Forest</v>
      </c>
      <c r="H165" s="7" t="str">
        <f>'Reported burning'!H165</f>
        <v>Presence</v>
      </c>
      <c r="I165" s="4">
        <v>2007</v>
      </c>
      <c r="J165" s="22" t="s">
        <v>2308</v>
      </c>
      <c r="K165" s="110" t="s">
        <v>2308</v>
      </c>
      <c r="L165" s="22" t="s">
        <v>2308</v>
      </c>
      <c r="M165" s="22" t="s">
        <v>2308</v>
      </c>
      <c r="N165" s="22" t="s">
        <v>2308</v>
      </c>
      <c r="O165" s="22" t="s">
        <v>2308</v>
      </c>
      <c r="P165" s="22" t="s">
        <v>2411</v>
      </c>
      <c r="Q165" s="109" t="s">
        <v>2308</v>
      </c>
      <c r="R165" s="109" t="s">
        <v>2308</v>
      </c>
      <c r="S165" s="22" t="s">
        <v>2308</v>
      </c>
      <c r="T165" s="22" t="s">
        <v>2308</v>
      </c>
      <c r="U165" s="22" t="s">
        <v>2308</v>
      </c>
      <c r="V165" s="22" t="s">
        <v>2308</v>
      </c>
      <c r="W165" s="22" t="s">
        <v>2308</v>
      </c>
      <c r="X165" s="4" t="s">
        <v>2308</v>
      </c>
      <c r="Y165" s="4" t="s">
        <v>2308</v>
      </c>
      <c r="Z165" s="4" t="s">
        <v>2308</v>
      </c>
      <c r="AA165" s="5" t="s">
        <v>1421</v>
      </c>
      <c r="AB165" s="5" t="s">
        <v>1466</v>
      </c>
    </row>
    <row r="166" spans="1:28" ht="139" customHeight="1">
      <c r="A166" s="7" t="str">
        <f>'Reported burning'!A166</f>
        <v>12a</v>
      </c>
      <c r="B166" s="7" t="str">
        <f>'Reported burning'!B166</f>
        <v>12a.7</v>
      </c>
      <c r="C166" s="7" t="str">
        <f>'Reported burning'!C166</f>
        <v>Human, deliberate</v>
      </c>
      <c r="D166" s="7" t="str">
        <f>'Reported burning'!D166</f>
        <v>Forest clearance</v>
      </c>
      <c r="E166" s="7" t="str">
        <f>'Reported burning'!E166</f>
        <v>Cropping, Intensive</v>
      </c>
      <c r="F166" s="7" t="str">
        <f>'Reported burning'!F166</f>
        <v>Forest</v>
      </c>
      <c r="G166" s="7" t="str">
        <f>'Reported burning'!G166</f>
        <v>Forest</v>
      </c>
      <c r="H166" s="7" t="str">
        <f>'Reported burning'!H166</f>
        <v>Presence</v>
      </c>
      <c r="I166" s="4">
        <v>2008</v>
      </c>
      <c r="J166" s="22" t="s">
        <v>2308</v>
      </c>
      <c r="K166" s="110" t="s">
        <v>2308</v>
      </c>
      <c r="L166" s="22" t="s">
        <v>2308</v>
      </c>
      <c r="M166" s="22" t="s">
        <v>2308</v>
      </c>
      <c r="N166" s="22" t="s">
        <v>2308</v>
      </c>
      <c r="O166" s="22" t="s">
        <v>2308</v>
      </c>
      <c r="P166" s="22" t="s">
        <v>2411</v>
      </c>
      <c r="Q166" s="109" t="s">
        <v>2308</v>
      </c>
      <c r="R166" s="109" t="s">
        <v>2308</v>
      </c>
      <c r="S166" s="22" t="s">
        <v>2308</v>
      </c>
      <c r="T166" s="22" t="s">
        <v>2308</v>
      </c>
      <c r="U166" s="22" t="s">
        <v>2308</v>
      </c>
      <c r="V166" s="22" t="s">
        <v>2308</v>
      </c>
      <c r="W166" s="22" t="s">
        <v>2308</v>
      </c>
      <c r="X166" s="4" t="s">
        <v>2308</v>
      </c>
      <c r="Y166" s="4" t="s">
        <v>2308</v>
      </c>
      <c r="Z166" s="4" t="s">
        <v>2308</v>
      </c>
      <c r="AA166" s="5" t="s">
        <v>1421</v>
      </c>
      <c r="AB166" s="5" t="s">
        <v>1466</v>
      </c>
    </row>
    <row r="167" spans="1:28" ht="155" customHeight="1">
      <c r="A167" s="7" t="str">
        <f>'Reported burning'!A167</f>
        <v>12a</v>
      </c>
      <c r="B167" s="7" t="str">
        <f>'Reported burning'!B167</f>
        <v>12a.8</v>
      </c>
      <c r="C167" s="7" t="str">
        <f>'Reported burning'!C167</f>
        <v>Human, deliberate</v>
      </c>
      <c r="D167" s="7" t="str">
        <f>'Reported burning'!D167</f>
        <v>Forest clearance</v>
      </c>
      <c r="E167" s="7" t="str">
        <f>'Reported burning'!E167</f>
        <v>Cropping, Intensive</v>
      </c>
      <c r="F167" s="7" t="str">
        <f>'Reported burning'!F167</f>
        <v>Forest</v>
      </c>
      <c r="G167" s="7" t="str">
        <f>'Reported burning'!G167</f>
        <v>Forest</v>
      </c>
      <c r="H167" s="7" t="str">
        <f>'Reported burning'!H167</f>
        <v>Presence</v>
      </c>
      <c r="I167" s="4">
        <v>2009</v>
      </c>
      <c r="J167" s="22" t="s">
        <v>2308</v>
      </c>
      <c r="K167" s="110" t="s">
        <v>2308</v>
      </c>
      <c r="L167" s="22" t="s">
        <v>2308</v>
      </c>
      <c r="M167" s="22" t="s">
        <v>2308</v>
      </c>
      <c r="N167" s="22" t="s">
        <v>2308</v>
      </c>
      <c r="O167" s="22" t="s">
        <v>2308</v>
      </c>
      <c r="P167" s="22" t="s">
        <v>2410</v>
      </c>
      <c r="Q167" s="109" t="s">
        <v>2308</v>
      </c>
      <c r="R167" s="109" t="s">
        <v>2308</v>
      </c>
      <c r="S167" s="22" t="s">
        <v>2308</v>
      </c>
      <c r="T167" s="22" t="s">
        <v>2308</v>
      </c>
      <c r="U167" s="22" t="s">
        <v>2308</v>
      </c>
      <c r="V167" s="22" t="s">
        <v>2308</v>
      </c>
      <c r="W167" s="22" t="s">
        <v>2308</v>
      </c>
      <c r="X167" s="4" t="s">
        <v>2308</v>
      </c>
      <c r="Y167" s="4" t="s">
        <v>2308</v>
      </c>
      <c r="Z167" s="4" t="s">
        <v>2308</v>
      </c>
      <c r="AA167" s="5" t="s">
        <v>1421</v>
      </c>
      <c r="AB167" s="5" t="s">
        <v>1466</v>
      </c>
    </row>
    <row r="168" spans="1:28" ht="146.5" customHeight="1">
      <c r="A168" s="7" t="str">
        <f>'Reported burning'!A168</f>
        <v>12a</v>
      </c>
      <c r="B168" s="7" t="str">
        <f>'Reported burning'!B168</f>
        <v>12a.9</v>
      </c>
      <c r="C168" s="7" t="str">
        <f>'Reported burning'!C168</f>
        <v>Human, deliberate</v>
      </c>
      <c r="D168" s="7" t="str">
        <f>'Reported burning'!D168</f>
        <v>Forest clearance</v>
      </c>
      <c r="E168" s="7" t="str">
        <f>'Reported burning'!E168</f>
        <v>Cropping, Intensive</v>
      </c>
      <c r="F168" s="7" t="str">
        <f>'Reported burning'!F168</f>
        <v>Forest</v>
      </c>
      <c r="G168" s="7" t="str">
        <f>'Reported burning'!G168</f>
        <v>Forest</v>
      </c>
      <c r="H168" s="7" t="str">
        <f>'Reported burning'!H168</f>
        <v>Presence</v>
      </c>
      <c r="I168" s="4">
        <v>2010</v>
      </c>
      <c r="J168" s="22" t="s">
        <v>2308</v>
      </c>
      <c r="K168" s="110" t="s">
        <v>2308</v>
      </c>
      <c r="L168" s="22" t="s">
        <v>2308</v>
      </c>
      <c r="M168" s="22" t="s">
        <v>2308</v>
      </c>
      <c r="N168" s="22" t="s">
        <v>2308</v>
      </c>
      <c r="O168" s="22" t="s">
        <v>2308</v>
      </c>
      <c r="P168" s="22" t="s">
        <v>2411</v>
      </c>
      <c r="Q168" s="109" t="s">
        <v>2308</v>
      </c>
      <c r="R168" s="109" t="s">
        <v>2308</v>
      </c>
      <c r="S168" s="22" t="s">
        <v>2308</v>
      </c>
      <c r="T168" s="22" t="s">
        <v>2308</v>
      </c>
      <c r="U168" s="22" t="s">
        <v>2308</v>
      </c>
      <c r="V168" s="22" t="s">
        <v>2308</v>
      </c>
      <c r="W168" s="22" t="s">
        <v>2308</v>
      </c>
      <c r="X168" s="4" t="s">
        <v>2308</v>
      </c>
      <c r="Y168" s="4" t="s">
        <v>2308</v>
      </c>
      <c r="Z168" s="4" t="s">
        <v>2308</v>
      </c>
      <c r="AA168" s="5" t="s">
        <v>1421</v>
      </c>
      <c r="AB168" s="5" t="s">
        <v>1466</v>
      </c>
    </row>
    <row r="169" spans="1:28" ht="147.5" customHeight="1">
      <c r="A169" s="7" t="str">
        <f>'Reported burning'!A169</f>
        <v>12a</v>
      </c>
      <c r="B169" s="7" t="str">
        <f>'Reported burning'!B169</f>
        <v>12a.10</v>
      </c>
      <c r="C169" s="7" t="str">
        <f>'Reported burning'!C169</f>
        <v>Human, deliberate</v>
      </c>
      <c r="D169" s="7" t="str">
        <f>'Reported burning'!D169</f>
        <v>Forest clearance</v>
      </c>
      <c r="E169" s="7" t="str">
        <f>'Reported burning'!E169</f>
        <v>Cropping, Intensive</v>
      </c>
      <c r="F169" s="7" t="str">
        <f>'Reported burning'!F169</f>
        <v>Forest</v>
      </c>
      <c r="G169" s="7" t="str">
        <f>'Reported burning'!G169</f>
        <v>Forest</v>
      </c>
      <c r="H169" s="7" t="str">
        <f>'Reported burning'!H169</f>
        <v>Presence</v>
      </c>
      <c r="I169" s="4">
        <v>2011</v>
      </c>
      <c r="J169" s="22" t="s">
        <v>2308</v>
      </c>
      <c r="K169" s="110" t="s">
        <v>2308</v>
      </c>
      <c r="L169" s="22" t="s">
        <v>2308</v>
      </c>
      <c r="M169" s="22" t="s">
        <v>2308</v>
      </c>
      <c r="N169" s="22" t="s">
        <v>2308</v>
      </c>
      <c r="O169" s="22" t="s">
        <v>2308</v>
      </c>
      <c r="P169" s="22" t="s">
        <v>2411</v>
      </c>
      <c r="Q169" s="109" t="s">
        <v>2308</v>
      </c>
      <c r="R169" s="109" t="s">
        <v>2308</v>
      </c>
      <c r="S169" s="22" t="s">
        <v>2308</v>
      </c>
      <c r="T169" s="22" t="s">
        <v>2308</v>
      </c>
      <c r="U169" s="22" t="s">
        <v>2308</v>
      </c>
      <c r="V169" s="22" t="s">
        <v>2308</v>
      </c>
      <c r="W169" s="22" t="s">
        <v>2308</v>
      </c>
      <c r="X169" s="4" t="s">
        <v>2308</v>
      </c>
      <c r="Y169" s="4" t="s">
        <v>2308</v>
      </c>
      <c r="Z169" s="4" t="s">
        <v>2308</v>
      </c>
      <c r="AA169" s="5" t="s">
        <v>1421</v>
      </c>
      <c r="AB169" s="5" t="s">
        <v>1466</v>
      </c>
    </row>
    <row r="170" spans="1:28" ht="155.5" customHeight="1">
      <c r="A170" s="7" t="str">
        <f>'Reported burning'!A170</f>
        <v>12a</v>
      </c>
      <c r="B170" s="7" t="str">
        <f>'Reported burning'!B170</f>
        <v>12a.11</v>
      </c>
      <c r="C170" s="7" t="str">
        <f>'Reported burning'!C170</f>
        <v>Human, deliberate</v>
      </c>
      <c r="D170" s="7" t="str">
        <f>'Reported burning'!D170</f>
        <v>Forest clearance</v>
      </c>
      <c r="E170" s="7" t="str">
        <f>'Reported burning'!E170</f>
        <v>Cropping, Intensive</v>
      </c>
      <c r="F170" s="7" t="str">
        <f>'Reported burning'!F170</f>
        <v>Forest</v>
      </c>
      <c r="G170" s="7" t="str">
        <f>'Reported burning'!G170</f>
        <v>Forest</v>
      </c>
      <c r="H170" s="7" t="str">
        <f>'Reported burning'!H170</f>
        <v>Presence</v>
      </c>
      <c r="I170" s="4">
        <v>2012</v>
      </c>
      <c r="J170" s="22" t="s">
        <v>2308</v>
      </c>
      <c r="K170" s="110" t="s">
        <v>2308</v>
      </c>
      <c r="L170" s="22" t="s">
        <v>2308</v>
      </c>
      <c r="M170" s="22" t="s">
        <v>2308</v>
      </c>
      <c r="N170" s="22" t="s">
        <v>2308</v>
      </c>
      <c r="O170" s="22" t="s">
        <v>2308</v>
      </c>
      <c r="P170" s="22" t="s">
        <v>2410</v>
      </c>
      <c r="Q170" s="109" t="s">
        <v>2308</v>
      </c>
      <c r="R170" s="109" t="s">
        <v>2308</v>
      </c>
      <c r="S170" s="22" t="s">
        <v>2308</v>
      </c>
      <c r="T170" s="22" t="s">
        <v>2308</v>
      </c>
      <c r="U170" s="22" t="s">
        <v>2308</v>
      </c>
      <c r="V170" s="22" t="s">
        <v>2308</v>
      </c>
      <c r="W170" s="22" t="s">
        <v>2308</v>
      </c>
      <c r="X170" s="4" t="s">
        <v>2308</v>
      </c>
      <c r="Y170" s="4" t="s">
        <v>2308</v>
      </c>
      <c r="Z170" s="4" t="s">
        <v>2308</v>
      </c>
      <c r="AA170" s="5" t="s">
        <v>1421</v>
      </c>
      <c r="AB170" s="5" t="s">
        <v>1466</v>
      </c>
    </row>
    <row r="171" spans="1:28" ht="80" customHeight="1">
      <c r="A171" s="7" t="str">
        <f>'Reported burning'!A171</f>
        <v>12a</v>
      </c>
      <c r="B171" s="7" t="str">
        <f>'Reported burning'!B171</f>
        <v>12a.12</v>
      </c>
      <c r="C171" s="7" t="str">
        <f>'Reported burning'!C171</f>
        <v>Human, deliberate</v>
      </c>
      <c r="D171" s="7" t="str">
        <f>'Reported burning'!D171</f>
        <v>Forest clearance</v>
      </c>
      <c r="E171" s="7" t="str">
        <f>'Reported burning'!E171</f>
        <v>Cropping, Monoculture, Market-oriented</v>
      </c>
      <c r="F171" s="7" t="str">
        <f>'Reported burning'!F171</f>
        <v>Forest</v>
      </c>
      <c r="G171" s="7" t="str">
        <f>'Reported burning'!G171</f>
        <v>Forest</v>
      </c>
      <c r="H171" s="7" t="str">
        <f>'Reported burning'!H171</f>
        <v>Presence</v>
      </c>
      <c r="I171" s="4">
        <v>2002</v>
      </c>
      <c r="J171" s="22" t="s">
        <v>2308</v>
      </c>
      <c r="K171" s="110" t="s">
        <v>2308</v>
      </c>
      <c r="L171" s="22" t="s">
        <v>2308</v>
      </c>
      <c r="M171" s="22" t="s">
        <v>2308</v>
      </c>
      <c r="N171" s="22" t="s">
        <v>2308</v>
      </c>
      <c r="O171" s="22" t="s">
        <v>2308</v>
      </c>
      <c r="P171" s="22" t="s">
        <v>2410</v>
      </c>
      <c r="Q171" s="109" t="s">
        <v>2308</v>
      </c>
      <c r="R171" s="109" t="s">
        <v>2308</v>
      </c>
      <c r="S171" s="22" t="s">
        <v>2308</v>
      </c>
      <c r="T171" s="22" t="s">
        <v>2308</v>
      </c>
      <c r="U171" s="22" t="s">
        <v>2308</v>
      </c>
      <c r="V171" s="22" t="s">
        <v>2308</v>
      </c>
      <c r="W171" s="22" t="s">
        <v>2308</v>
      </c>
      <c r="X171" s="4" t="s">
        <v>2308</v>
      </c>
      <c r="Y171" s="4" t="s">
        <v>2308</v>
      </c>
      <c r="Z171" s="4" t="s">
        <v>2308</v>
      </c>
      <c r="AA171" s="5" t="s">
        <v>1421</v>
      </c>
      <c r="AB171" s="5" t="s">
        <v>1465</v>
      </c>
    </row>
    <row r="172" spans="1:28" ht="75" customHeight="1">
      <c r="A172" s="7" t="str">
        <f>'Reported burning'!A172</f>
        <v>12a</v>
      </c>
      <c r="B172" s="7" t="str">
        <f>'Reported burning'!B172</f>
        <v>12a.13</v>
      </c>
      <c r="C172" s="7" t="str">
        <f>'Reported burning'!C172</f>
        <v>Human, deliberate</v>
      </c>
      <c r="D172" s="7" t="str">
        <f>'Reported burning'!D172</f>
        <v>Forest clearance</v>
      </c>
      <c r="E172" s="7" t="str">
        <f>'Reported burning'!E172</f>
        <v>Cropping, Monoculture, Market-oriented</v>
      </c>
      <c r="F172" s="7" t="str">
        <f>'Reported burning'!F172</f>
        <v>Forest</v>
      </c>
      <c r="G172" s="7" t="str">
        <f>'Reported burning'!G172</f>
        <v>Forest</v>
      </c>
      <c r="H172" s="7" t="str">
        <f>'Reported burning'!H172</f>
        <v>Presence</v>
      </c>
      <c r="I172" s="4">
        <v>2003</v>
      </c>
      <c r="J172" s="22" t="s">
        <v>2308</v>
      </c>
      <c r="K172" s="110" t="s">
        <v>2308</v>
      </c>
      <c r="L172" s="22" t="s">
        <v>2308</v>
      </c>
      <c r="M172" s="22" t="s">
        <v>2308</v>
      </c>
      <c r="N172" s="22" t="s">
        <v>2308</v>
      </c>
      <c r="O172" s="22" t="s">
        <v>2308</v>
      </c>
      <c r="P172" s="22" t="s">
        <v>2410</v>
      </c>
      <c r="Q172" s="109" t="s">
        <v>2308</v>
      </c>
      <c r="R172" s="109" t="s">
        <v>2308</v>
      </c>
      <c r="S172" s="22" t="s">
        <v>2308</v>
      </c>
      <c r="T172" s="22" t="s">
        <v>2308</v>
      </c>
      <c r="U172" s="22" t="s">
        <v>2308</v>
      </c>
      <c r="V172" s="22" t="s">
        <v>2308</v>
      </c>
      <c r="W172" s="22" t="s">
        <v>2308</v>
      </c>
      <c r="X172" s="4" t="s">
        <v>2308</v>
      </c>
      <c r="Y172" s="4" t="s">
        <v>2308</v>
      </c>
      <c r="Z172" s="4" t="s">
        <v>2308</v>
      </c>
      <c r="AA172" s="5" t="s">
        <v>1421</v>
      </c>
      <c r="AB172" s="5" t="s">
        <v>1465</v>
      </c>
    </row>
    <row r="173" spans="1:28" ht="75" customHeight="1">
      <c r="A173" s="7" t="str">
        <f>'Reported burning'!A173</f>
        <v>12a</v>
      </c>
      <c r="B173" s="7" t="str">
        <f>'Reported burning'!B173</f>
        <v>12a.14</v>
      </c>
      <c r="C173" s="7" t="str">
        <f>'Reported burning'!C173</f>
        <v>Human, deliberate</v>
      </c>
      <c r="D173" s="7" t="str">
        <f>'Reported burning'!D173</f>
        <v>Forest clearance</v>
      </c>
      <c r="E173" s="7" t="str">
        <f>'Reported burning'!E173</f>
        <v>Cropping, Monoculture, Market-oriented</v>
      </c>
      <c r="F173" s="7" t="str">
        <f>'Reported burning'!F173</f>
        <v>Forest</v>
      </c>
      <c r="G173" s="7" t="str">
        <f>'Reported burning'!G173</f>
        <v>Forest</v>
      </c>
      <c r="H173" s="7" t="str">
        <f>'Reported burning'!H173</f>
        <v>Presence</v>
      </c>
      <c r="I173" s="4">
        <v>2004</v>
      </c>
      <c r="J173" s="22" t="s">
        <v>2308</v>
      </c>
      <c r="K173" s="110" t="s">
        <v>2308</v>
      </c>
      <c r="L173" s="22" t="s">
        <v>2308</v>
      </c>
      <c r="M173" s="22" t="s">
        <v>2308</v>
      </c>
      <c r="N173" s="22" t="s">
        <v>2308</v>
      </c>
      <c r="O173" s="22" t="s">
        <v>2308</v>
      </c>
      <c r="P173" s="22" t="s">
        <v>2410</v>
      </c>
      <c r="Q173" s="109" t="s">
        <v>2308</v>
      </c>
      <c r="R173" s="109" t="s">
        <v>2308</v>
      </c>
      <c r="S173" s="22" t="s">
        <v>2308</v>
      </c>
      <c r="T173" s="22" t="s">
        <v>2308</v>
      </c>
      <c r="U173" s="22" t="s">
        <v>2308</v>
      </c>
      <c r="V173" s="22" t="s">
        <v>2308</v>
      </c>
      <c r="W173" s="22" t="s">
        <v>2308</v>
      </c>
      <c r="X173" s="4" t="s">
        <v>2308</v>
      </c>
      <c r="Y173" s="4" t="s">
        <v>2308</v>
      </c>
      <c r="Z173" s="4" t="s">
        <v>2308</v>
      </c>
      <c r="AA173" s="5" t="s">
        <v>1421</v>
      </c>
      <c r="AB173" s="5" t="s">
        <v>1465</v>
      </c>
    </row>
    <row r="174" spans="1:28" ht="75" customHeight="1">
      <c r="A174" s="7" t="str">
        <f>'Reported burning'!A174</f>
        <v>12a</v>
      </c>
      <c r="B174" s="7" t="str">
        <f>'Reported burning'!B174</f>
        <v>12a.15</v>
      </c>
      <c r="C174" s="7" t="str">
        <f>'Reported burning'!C174</f>
        <v>Human, deliberate</v>
      </c>
      <c r="D174" s="7" t="str">
        <f>'Reported burning'!D174</f>
        <v>Forest clearance</v>
      </c>
      <c r="E174" s="7" t="str">
        <f>'Reported burning'!E174</f>
        <v>Cropping, Monoculture, Market-oriented</v>
      </c>
      <c r="F174" s="7" t="str">
        <f>'Reported burning'!F174</f>
        <v>Forest</v>
      </c>
      <c r="G174" s="7" t="str">
        <f>'Reported burning'!G174</f>
        <v>Forest</v>
      </c>
      <c r="H174" s="7" t="str">
        <f>'Reported burning'!H174</f>
        <v>Presence</v>
      </c>
      <c r="I174" s="4">
        <v>2005</v>
      </c>
      <c r="J174" s="22" t="s">
        <v>2308</v>
      </c>
      <c r="K174" s="110" t="s">
        <v>2308</v>
      </c>
      <c r="L174" s="22" t="s">
        <v>2308</v>
      </c>
      <c r="M174" s="22" t="s">
        <v>2308</v>
      </c>
      <c r="N174" s="22" t="s">
        <v>2308</v>
      </c>
      <c r="O174" s="22" t="s">
        <v>2308</v>
      </c>
      <c r="P174" s="22" t="s">
        <v>2410</v>
      </c>
      <c r="Q174" s="109" t="s">
        <v>2308</v>
      </c>
      <c r="R174" s="109" t="s">
        <v>2308</v>
      </c>
      <c r="S174" s="22" t="s">
        <v>2308</v>
      </c>
      <c r="T174" s="22" t="s">
        <v>2308</v>
      </c>
      <c r="U174" s="22" t="s">
        <v>2308</v>
      </c>
      <c r="V174" s="22" t="s">
        <v>2308</v>
      </c>
      <c r="W174" s="22" t="s">
        <v>2308</v>
      </c>
      <c r="X174" s="4" t="s">
        <v>2308</v>
      </c>
      <c r="Y174" s="4" t="s">
        <v>2308</v>
      </c>
      <c r="Z174" s="4" t="s">
        <v>2308</v>
      </c>
      <c r="AA174" s="5" t="s">
        <v>1421</v>
      </c>
      <c r="AB174" s="5" t="s">
        <v>1465</v>
      </c>
    </row>
    <row r="175" spans="1:28" ht="75" customHeight="1">
      <c r="A175" s="7" t="str">
        <f>'Reported burning'!A175</f>
        <v>12a</v>
      </c>
      <c r="B175" s="7" t="str">
        <f>'Reported burning'!B175</f>
        <v>12a.16</v>
      </c>
      <c r="C175" s="7" t="str">
        <f>'Reported burning'!C175</f>
        <v>Human, deliberate</v>
      </c>
      <c r="D175" s="7" t="str">
        <f>'Reported burning'!D175</f>
        <v>Forest clearance</v>
      </c>
      <c r="E175" s="7" t="str">
        <f>'Reported burning'!E175</f>
        <v>Cropping, Monoculture, Market-oriented</v>
      </c>
      <c r="F175" s="7" t="str">
        <f>'Reported burning'!F175</f>
        <v>Forest</v>
      </c>
      <c r="G175" s="7" t="str">
        <f>'Reported burning'!G175</f>
        <v>Forest</v>
      </c>
      <c r="H175" s="7" t="str">
        <f>'Reported burning'!H175</f>
        <v>Presence</v>
      </c>
      <c r="I175" s="4">
        <v>2006</v>
      </c>
      <c r="J175" s="22" t="s">
        <v>2308</v>
      </c>
      <c r="K175" s="110" t="s">
        <v>2308</v>
      </c>
      <c r="L175" s="22" t="s">
        <v>2308</v>
      </c>
      <c r="M175" s="22" t="s">
        <v>2308</v>
      </c>
      <c r="N175" s="22" t="s">
        <v>2308</v>
      </c>
      <c r="O175" s="22" t="s">
        <v>2308</v>
      </c>
      <c r="P175" s="22" t="s">
        <v>2410</v>
      </c>
      <c r="Q175" s="109" t="s">
        <v>2308</v>
      </c>
      <c r="R175" s="109" t="s">
        <v>2308</v>
      </c>
      <c r="S175" s="22" t="s">
        <v>2308</v>
      </c>
      <c r="T175" s="22" t="s">
        <v>2308</v>
      </c>
      <c r="U175" s="22" t="s">
        <v>2308</v>
      </c>
      <c r="V175" s="22" t="s">
        <v>2308</v>
      </c>
      <c r="W175" s="22" t="s">
        <v>2308</v>
      </c>
      <c r="X175" s="4" t="s">
        <v>2308</v>
      </c>
      <c r="Y175" s="4" t="s">
        <v>2308</v>
      </c>
      <c r="Z175" s="4" t="s">
        <v>2308</v>
      </c>
      <c r="AA175" s="5" t="s">
        <v>1421</v>
      </c>
      <c r="AB175" s="5" t="s">
        <v>1465</v>
      </c>
    </row>
    <row r="176" spans="1:28" ht="75" customHeight="1">
      <c r="A176" s="7" t="str">
        <f>'Reported burning'!A176</f>
        <v>12a</v>
      </c>
      <c r="B176" s="7" t="str">
        <f>'Reported burning'!B176</f>
        <v>12a.17</v>
      </c>
      <c r="C176" s="7" t="str">
        <f>'Reported burning'!C176</f>
        <v>Human, deliberate</v>
      </c>
      <c r="D176" s="7" t="str">
        <f>'Reported burning'!D176</f>
        <v>Forest clearance</v>
      </c>
      <c r="E176" s="7" t="str">
        <f>'Reported burning'!E176</f>
        <v>Cropping, Monoculture, Market-oriented</v>
      </c>
      <c r="F176" s="7" t="str">
        <f>'Reported burning'!F176</f>
        <v>Forest</v>
      </c>
      <c r="G176" s="7" t="str">
        <f>'Reported burning'!G176</f>
        <v>Forest</v>
      </c>
      <c r="H176" s="7" t="str">
        <f>'Reported burning'!H176</f>
        <v>Presence</v>
      </c>
      <c r="I176" s="4">
        <v>2007</v>
      </c>
      <c r="J176" s="22" t="s">
        <v>2308</v>
      </c>
      <c r="K176" s="110" t="s">
        <v>2308</v>
      </c>
      <c r="L176" s="22" t="s">
        <v>2308</v>
      </c>
      <c r="M176" s="22" t="s">
        <v>2308</v>
      </c>
      <c r="N176" s="22" t="s">
        <v>2308</v>
      </c>
      <c r="O176" s="22" t="s">
        <v>2308</v>
      </c>
      <c r="P176" s="22" t="s">
        <v>2410</v>
      </c>
      <c r="Q176" s="109" t="s">
        <v>2308</v>
      </c>
      <c r="R176" s="109" t="s">
        <v>2308</v>
      </c>
      <c r="S176" s="22" t="s">
        <v>2308</v>
      </c>
      <c r="T176" s="22" t="s">
        <v>2308</v>
      </c>
      <c r="U176" s="22" t="s">
        <v>2308</v>
      </c>
      <c r="V176" s="22" t="s">
        <v>2308</v>
      </c>
      <c r="W176" s="22" t="s">
        <v>2308</v>
      </c>
      <c r="X176" s="4" t="s">
        <v>2308</v>
      </c>
      <c r="Y176" s="4" t="s">
        <v>2308</v>
      </c>
      <c r="Z176" s="4" t="s">
        <v>2308</v>
      </c>
      <c r="AA176" s="5" t="s">
        <v>1421</v>
      </c>
      <c r="AB176" s="5" t="s">
        <v>1465</v>
      </c>
    </row>
    <row r="177" spans="1:28" ht="75" customHeight="1">
      <c r="A177" s="7" t="str">
        <f>'Reported burning'!A177</f>
        <v>12a</v>
      </c>
      <c r="B177" s="7" t="str">
        <f>'Reported burning'!B177</f>
        <v>12a.18</v>
      </c>
      <c r="C177" s="7" t="str">
        <f>'Reported burning'!C177</f>
        <v>Human, deliberate</v>
      </c>
      <c r="D177" s="7" t="str">
        <f>'Reported burning'!D177</f>
        <v>Forest clearance</v>
      </c>
      <c r="E177" s="7" t="str">
        <f>'Reported burning'!E177</f>
        <v>Cropping, Monoculture, Market-oriented</v>
      </c>
      <c r="F177" s="7" t="str">
        <f>'Reported burning'!F177</f>
        <v>Forest</v>
      </c>
      <c r="G177" s="7" t="str">
        <f>'Reported burning'!G177</f>
        <v>Forest</v>
      </c>
      <c r="H177" s="7" t="str">
        <f>'Reported burning'!H177</f>
        <v>Presence</v>
      </c>
      <c r="I177" s="4">
        <v>2008</v>
      </c>
      <c r="J177" s="22" t="s">
        <v>2308</v>
      </c>
      <c r="K177" s="110" t="s">
        <v>2308</v>
      </c>
      <c r="L177" s="22" t="s">
        <v>2308</v>
      </c>
      <c r="M177" s="22" t="s">
        <v>2308</v>
      </c>
      <c r="N177" s="22" t="s">
        <v>2308</v>
      </c>
      <c r="O177" s="22" t="s">
        <v>2308</v>
      </c>
      <c r="P177" s="22" t="s">
        <v>2410</v>
      </c>
      <c r="Q177" s="109" t="s">
        <v>2308</v>
      </c>
      <c r="R177" s="109" t="s">
        <v>2308</v>
      </c>
      <c r="S177" s="22" t="s">
        <v>2308</v>
      </c>
      <c r="T177" s="22" t="s">
        <v>2308</v>
      </c>
      <c r="U177" s="22" t="s">
        <v>2308</v>
      </c>
      <c r="V177" s="22" t="s">
        <v>2308</v>
      </c>
      <c r="W177" s="22" t="s">
        <v>2308</v>
      </c>
      <c r="X177" s="4" t="s">
        <v>2308</v>
      </c>
      <c r="Y177" s="4" t="s">
        <v>2308</v>
      </c>
      <c r="Z177" s="4" t="s">
        <v>2308</v>
      </c>
      <c r="AA177" s="5" t="s">
        <v>1421</v>
      </c>
      <c r="AB177" s="5" t="s">
        <v>1465</v>
      </c>
    </row>
    <row r="178" spans="1:28" ht="75" customHeight="1">
      <c r="A178" s="7" t="str">
        <f>'Reported burning'!A178</f>
        <v>12a</v>
      </c>
      <c r="B178" s="7" t="str">
        <f>'Reported burning'!B178</f>
        <v>12a.19</v>
      </c>
      <c r="C178" s="7" t="str">
        <f>'Reported burning'!C178</f>
        <v>Human, deliberate</v>
      </c>
      <c r="D178" s="7" t="str">
        <f>'Reported burning'!D178</f>
        <v>Forest clearance</v>
      </c>
      <c r="E178" s="7" t="str">
        <f>'Reported burning'!E178</f>
        <v>Cropping, Monoculture, Market-oriented</v>
      </c>
      <c r="F178" s="7" t="str">
        <f>'Reported burning'!F178</f>
        <v>Forest</v>
      </c>
      <c r="G178" s="7" t="str">
        <f>'Reported burning'!G178</f>
        <v>Forest</v>
      </c>
      <c r="H178" s="7" t="str">
        <f>'Reported burning'!H178</f>
        <v>Presence</v>
      </c>
      <c r="I178" s="4">
        <v>2009</v>
      </c>
      <c r="J178" s="22" t="s">
        <v>2308</v>
      </c>
      <c r="K178" s="110" t="s">
        <v>2308</v>
      </c>
      <c r="L178" s="22" t="s">
        <v>2308</v>
      </c>
      <c r="M178" s="22" t="s">
        <v>2308</v>
      </c>
      <c r="N178" s="22" t="s">
        <v>2308</v>
      </c>
      <c r="O178" s="22" t="s">
        <v>2308</v>
      </c>
      <c r="P178" s="22" t="s">
        <v>2409</v>
      </c>
      <c r="Q178" s="109" t="s">
        <v>2308</v>
      </c>
      <c r="R178" s="109" t="s">
        <v>2308</v>
      </c>
      <c r="S178" s="22" t="s">
        <v>2308</v>
      </c>
      <c r="T178" s="22" t="s">
        <v>2308</v>
      </c>
      <c r="U178" s="22" t="s">
        <v>2308</v>
      </c>
      <c r="V178" s="22" t="s">
        <v>2308</v>
      </c>
      <c r="W178" s="22" t="s">
        <v>2308</v>
      </c>
      <c r="X178" s="4" t="s">
        <v>2308</v>
      </c>
      <c r="Y178" s="4" t="s">
        <v>2308</v>
      </c>
      <c r="Z178" s="4" t="s">
        <v>2308</v>
      </c>
      <c r="AA178" s="5" t="s">
        <v>1421</v>
      </c>
      <c r="AB178" s="5" t="s">
        <v>1465</v>
      </c>
    </row>
    <row r="179" spans="1:28" ht="75" customHeight="1">
      <c r="A179" s="7" t="str">
        <f>'Reported burning'!A179</f>
        <v>12a</v>
      </c>
      <c r="B179" s="7" t="str">
        <f>'Reported burning'!B179</f>
        <v>12a.20</v>
      </c>
      <c r="C179" s="7" t="str">
        <f>'Reported burning'!C179</f>
        <v>Human, deliberate</v>
      </c>
      <c r="D179" s="7" t="str">
        <f>'Reported burning'!D179</f>
        <v>Forest clearance</v>
      </c>
      <c r="E179" s="7" t="str">
        <f>'Reported burning'!E179</f>
        <v>Cropping, Monoculture, Market-oriented</v>
      </c>
      <c r="F179" s="7" t="str">
        <f>'Reported burning'!F179</f>
        <v>Forest</v>
      </c>
      <c r="G179" s="7" t="str">
        <f>'Reported burning'!G179</f>
        <v>Forest</v>
      </c>
      <c r="H179" s="7" t="str">
        <f>'Reported burning'!H179</f>
        <v>Presence</v>
      </c>
      <c r="I179" s="4">
        <v>2010</v>
      </c>
      <c r="J179" s="22" t="s">
        <v>2308</v>
      </c>
      <c r="K179" s="110" t="s">
        <v>2308</v>
      </c>
      <c r="L179" s="22" t="s">
        <v>2308</v>
      </c>
      <c r="M179" s="22" t="s">
        <v>2308</v>
      </c>
      <c r="N179" s="22" t="s">
        <v>2308</v>
      </c>
      <c r="O179" s="22" t="s">
        <v>2308</v>
      </c>
      <c r="P179" s="22" t="s">
        <v>2410</v>
      </c>
      <c r="Q179" s="109" t="s">
        <v>2308</v>
      </c>
      <c r="R179" s="109" t="s">
        <v>2308</v>
      </c>
      <c r="S179" s="22" t="s">
        <v>2308</v>
      </c>
      <c r="T179" s="22" t="s">
        <v>2308</v>
      </c>
      <c r="U179" s="22" t="s">
        <v>2308</v>
      </c>
      <c r="V179" s="22" t="s">
        <v>2308</v>
      </c>
      <c r="W179" s="22" t="s">
        <v>2308</v>
      </c>
      <c r="X179" s="4" t="s">
        <v>2308</v>
      </c>
      <c r="Y179" s="4" t="s">
        <v>2308</v>
      </c>
      <c r="Z179" s="4" t="s">
        <v>2308</v>
      </c>
      <c r="AA179" s="5" t="s">
        <v>1421</v>
      </c>
      <c r="AB179" s="5" t="s">
        <v>1465</v>
      </c>
    </row>
    <row r="180" spans="1:28" ht="75" customHeight="1">
      <c r="A180" s="7" t="str">
        <f>'Reported burning'!A180</f>
        <v>12a</v>
      </c>
      <c r="B180" s="7" t="str">
        <f>'Reported burning'!B180</f>
        <v>12a.21</v>
      </c>
      <c r="C180" s="7" t="str">
        <f>'Reported burning'!C180</f>
        <v>Human, deliberate</v>
      </c>
      <c r="D180" s="7" t="str">
        <f>'Reported burning'!D180</f>
        <v>Forest clearance</v>
      </c>
      <c r="E180" s="7" t="str">
        <f>'Reported burning'!E180</f>
        <v>Cropping, Monoculture, Market-oriented</v>
      </c>
      <c r="F180" s="7" t="str">
        <f>'Reported burning'!F180</f>
        <v>Forest</v>
      </c>
      <c r="G180" s="7" t="str">
        <f>'Reported burning'!G180</f>
        <v>Forest</v>
      </c>
      <c r="H180" s="7" t="str">
        <f>'Reported burning'!H180</f>
        <v>Presence</v>
      </c>
      <c r="I180" s="4">
        <v>2011</v>
      </c>
      <c r="J180" s="22" t="s">
        <v>2308</v>
      </c>
      <c r="K180" s="110" t="s">
        <v>2308</v>
      </c>
      <c r="L180" s="22" t="s">
        <v>2308</v>
      </c>
      <c r="M180" s="22" t="s">
        <v>2308</v>
      </c>
      <c r="N180" s="22" t="s">
        <v>2308</v>
      </c>
      <c r="O180" s="22" t="s">
        <v>2308</v>
      </c>
      <c r="P180" s="22" t="s">
        <v>2410</v>
      </c>
      <c r="Q180" s="109" t="s">
        <v>2308</v>
      </c>
      <c r="R180" s="109" t="s">
        <v>2308</v>
      </c>
      <c r="S180" s="22" t="s">
        <v>2308</v>
      </c>
      <c r="T180" s="22" t="s">
        <v>2308</v>
      </c>
      <c r="U180" s="22" t="s">
        <v>2308</v>
      </c>
      <c r="V180" s="22" t="s">
        <v>2308</v>
      </c>
      <c r="W180" s="22" t="s">
        <v>2308</v>
      </c>
      <c r="X180" s="4" t="s">
        <v>2308</v>
      </c>
      <c r="Y180" s="4" t="s">
        <v>2308</v>
      </c>
      <c r="Z180" s="4" t="s">
        <v>2308</v>
      </c>
      <c r="AA180" s="5" t="s">
        <v>1421</v>
      </c>
      <c r="AB180" s="5" t="s">
        <v>1465</v>
      </c>
    </row>
    <row r="181" spans="1:28" ht="75" customHeight="1">
      <c r="A181" s="7" t="str">
        <f>'Reported burning'!A181</f>
        <v>12a</v>
      </c>
      <c r="B181" s="7" t="str">
        <f>'Reported burning'!B181</f>
        <v>12a.22</v>
      </c>
      <c r="C181" s="7" t="str">
        <f>'Reported burning'!C181</f>
        <v>Human, deliberate</v>
      </c>
      <c r="D181" s="7" t="str">
        <f>'Reported burning'!D181</f>
        <v>Forest clearance</v>
      </c>
      <c r="E181" s="7" t="str">
        <f>'Reported burning'!E181</f>
        <v>Cropping, Monoculture, Market-oriented</v>
      </c>
      <c r="F181" s="7" t="str">
        <f>'Reported burning'!F181</f>
        <v>Forest</v>
      </c>
      <c r="G181" s="7" t="str">
        <f>'Reported burning'!G181</f>
        <v>Forest</v>
      </c>
      <c r="H181" s="7" t="str">
        <f>'Reported burning'!H181</f>
        <v>Presence</v>
      </c>
      <c r="I181" s="4">
        <v>2012</v>
      </c>
      <c r="J181" s="22" t="s">
        <v>2308</v>
      </c>
      <c r="K181" s="110" t="s">
        <v>2308</v>
      </c>
      <c r="L181" s="22" t="s">
        <v>2308</v>
      </c>
      <c r="M181" s="22" t="s">
        <v>2308</v>
      </c>
      <c r="N181" s="22" t="s">
        <v>2308</v>
      </c>
      <c r="O181" s="22" t="s">
        <v>2308</v>
      </c>
      <c r="P181" s="22" t="s">
        <v>2410</v>
      </c>
      <c r="Q181" s="109" t="s">
        <v>2308</v>
      </c>
      <c r="R181" s="109" t="s">
        <v>2308</v>
      </c>
      <c r="S181" s="22" t="s">
        <v>2308</v>
      </c>
      <c r="T181" s="22" t="s">
        <v>2308</v>
      </c>
      <c r="U181" s="22" t="s">
        <v>2308</v>
      </c>
      <c r="V181" s="22" t="s">
        <v>2308</v>
      </c>
      <c r="W181" s="22" t="s">
        <v>2308</v>
      </c>
      <c r="X181" s="4" t="s">
        <v>2308</v>
      </c>
      <c r="Y181" s="4" t="s">
        <v>2308</v>
      </c>
      <c r="Z181" s="4" t="s">
        <v>2308</v>
      </c>
      <c r="AA181" s="5" t="s">
        <v>1421</v>
      </c>
      <c r="AB181" s="5" t="s">
        <v>1465</v>
      </c>
    </row>
    <row r="182" spans="1:28" ht="75" customHeight="1">
      <c r="A182" s="7" t="str">
        <f>'Reported burning'!A182</f>
        <v>12a</v>
      </c>
      <c r="B182" s="7" t="str">
        <f>'Reported burning'!B182</f>
        <v>12a.23</v>
      </c>
      <c r="C182" s="7" t="str">
        <f>'Reported burning'!C182</f>
        <v>Human, deliberate</v>
      </c>
      <c r="D182" s="7" t="str">
        <f>'Reported burning'!D182</f>
        <v>Forest clearance</v>
      </c>
      <c r="E182" s="7" t="str">
        <f>'Reported burning'!E182</f>
        <v>Cattle, Extensive</v>
      </c>
      <c r="F182" s="7" t="str">
        <f>'Reported burning'!F182</f>
        <v>Forest</v>
      </c>
      <c r="G182" s="7" t="str">
        <f>'Reported burning'!G182</f>
        <v>Forest</v>
      </c>
      <c r="H182" s="7" t="str">
        <f>'Reported burning'!H182</f>
        <v>Presence</v>
      </c>
      <c r="I182" s="4">
        <v>2002</v>
      </c>
      <c r="J182" s="22" t="s">
        <v>2308</v>
      </c>
      <c r="K182" s="110" t="s">
        <v>2308</v>
      </c>
      <c r="L182" s="22" t="s">
        <v>2308</v>
      </c>
      <c r="M182" s="22" t="s">
        <v>2308</v>
      </c>
      <c r="N182" s="22" t="s">
        <v>2308</v>
      </c>
      <c r="O182" s="22" t="s">
        <v>2308</v>
      </c>
      <c r="P182" s="22" t="s">
        <v>2410</v>
      </c>
      <c r="Q182" s="109" t="s">
        <v>2308</v>
      </c>
      <c r="R182" s="109" t="s">
        <v>2308</v>
      </c>
      <c r="S182" s="22" t="s">
        <v>2308</v>
      </c>
      <c r="T182" s="22" t="s">
        <v>2308</v>
      </c>
      <c r="U182" s="22" t="s">
        <v>2308</v>
      </c>
      <c r="V182" s="22" t="s">
        <v>2308</v>
      </c>
      <c r="W182" s="22" t="s">
        <v>2308</v>
      </c>
      <c r="X182" s="4" t="s">
        <v>2308</v>
      </c>
      <c r="Y182" s="4" t="s">
        <v>2308</v>
      </c>
      <c r="Z182" s="4" t="s">
        <v>2308</v>
      </c>
      <c r="AA182" s="5" t="s">
        <v>1421</v>
      </c>
      <c r="AB182" s="5" t="s">
        <v>1465</v>
      </c>
    </row>
    <row r="183" spans="1:28" ht="75" customHeight="1">
      <c r="A183" s="7" t="str">
        <f>'Reported burning'!A183</f>
        <v>12a</v>
      </c>
      <c r="B183" s="7" t="str">
        <f>'Reported burning'!B183</f>
        <v>12a.24</v>
      </c>
      <c r="C183" s="7" t="str">
        <f>'Reported burning'!C183</f>
        <v>Human, deliberate</v>
      </c>
      <c r="D183" s="7" t="str">
        <f>'Reported burning'!D183</f>
        <v>Forest clearance</v>
      </c>
      <c r="E183" s="7" t="str">
        <f>'Reported burning'!E183</f>
        <v>Cattle, Extensive</v>
      </c>
      <c r="F183" s="7" t="str">
        <f>'Reported burning'!F183</f>
        <v>Forest</v>
      </c>
      <c r="G183" s="7" t="str">
        <f>'Reported burning'!G183</f>
        <v>Forest</v>
      </c>
      <c r="H183" s="7" t="str">
        <f>'Reported burning'!H183</f>
        <v>Presence</v>
      </c>
      <c r="I183" s="4">
        <v>2003</v>
      </c>
      <c r="J183" s="22" t="s">
        <v>2308</v>
      </c>
      <c r="K183" s="110" t="s">
        <v>2308</v>
      </c>
      <c r="L183" s="22" t="s">
        <v>2308</v>
      </c>
      <c r="M183" s="22" t="s">
        <v>2308</v>
      </c>
      <c r="N183" s="22" t="s">
        <v>2308</v>
      </c>
      <c r="O183" s="22" t="s">
        <v>2308</v>
      </c>
      <c r="P183" s="22" t="s">
        <v>2410</v>
      </c>
      <c r="Q183" s="109" t="s">
        <v>2308</v>
      </c>
      <c r="R183" s="109" t="s">
        <v>2308</v>
      </c>
      <c r="S183" s="22" t="s">
        <v>2308</v>
      </c>
      <c r="T183" s="22" t="s">
        <v>2308</v>
      </c>
      <c r="U183" s="22" t="s">
        <v>2308</v>
      </c>
      <c r="V183" s="22" t="s">
        <v>2308</v>
      </c>
      <c r="W183" s="22" t="s">
        <v>2308</v>
      </c>
      <c r="X183" s="4" t="s">
        <v>2308</v>
      </c>
      <c r="Y183" s="4" t="s">
        <v>2308</v>
      </c>
      <c r="Z183" s="4" t="s">
        <v>2308</v>
      </c>
      <c r="AA183" s="5" t="s">
        <v>1421</v>
      </c>
      <c r="AB183" s="5" t="s">
        <v>1465</v>
      </c>
    </row>
    <row r="184" spans="1:28" ht="75" customHeight="1">
      <c r="A184" s="7" t="str">
        <f>'Reported burning'!A184</f>
        <v>12a</v>
      </c>
      <c r="B184" s="7" t="str">
        <f>'Reported burning'!B184</f>
        <v>12a.25</v>
      </c>
      <c r="C184" s="7" t="str">
        <f>'Reported burning'!C184</f>
        <v>Human, deliberate</v>
      </c>
      <c r="D184" s="7" t="str">
        <f>'Reported burning'!D184</f>
        <v>Forest clearance</v>
      </c>
      <c r="E184" s="7" t="str">
        <f>'Reported burning'!E184</f>
        <v>Cattle, Extensive</v>
      </c>
      <c r="F184" s="7" t="str">
        <f>'Reported burning'!F184</f>
        <v>Forest</v>
      </c>
      <c r="G184" s="7" t="str">
        <f>'Reported burning'!G184</f>
        <v>Forest</v>
      </c>
      <c r="H184" s="7" t="str">
        <f>'Reported burning'!H184</f>
        <v>Presence</v>
      </c>
      <c r="I184" s="4">
        <v>2004</v>
      </c>
      <c r="J184" s="22" t="s">
        <v>2308</v>
      </c>
      <c r="K184" s="110" t="s">
        <v>2308</v>
      </c>
      <c r="L184" s="22" t="s">
        <v>2308</v>
      </c>
      <c r="M184" s="22" t="s">
        <v>2308</v>
      </c>
      <c r="N184" s="22" t="s">
        <v>2308</v>
      </c>
      <c r="O184" s="22" t="s">
        <v>2308</v>
      </c>
      <c r="P184" s="22" t="s">
        <v>2410</v>
      </c>
      <c r="Q184" s="109" t="s">
        <v>2308</v>
      </c>
      <c r="R184" s="109" t="s">
        <v>2308</v>
      </c>
      <c r="S184" s="22" t="s">
        <v>2308</v>
      </c>
      <c r="T184" s="22" t="s">
        <v>2308</v>
      </c>
      <c r="U184" s="22" t="s">
        <v>2308</v>
      </c>
      <c r="V184" s="22" t="s">
        <v>2308</v>
      </c>
      <c r="W184" s="22" t="s">
        <v>2308</v>
      </c>
      <c r="X184" s="4" t="s">
        <v>2308</v>
      </c>
      <c r="Y184" s="4" t="s">
        <v>2308</v>
      </c>
      <c r="Z184" s="4" t="s">
        <v>2308</v>
      </c>
      <c r="AA184" s="5" t="s">
        <v>1421</v>
      </c>
      <c r="AB184" s="5" t="s">
        <v>1465</v>
      </c>
    </row>
    <row r="185" spans="1:28" ht="75" customHeight="1">
      <c r="A185" s="7" t="str">
        <f>'Reported burning'!A185</f>
        <v>12a</v>
      </c>
      <c r="B185" s="7" t="str">
        <f>'Reported burning'!B185</f>
        <v>12a.26</v>
      </c>
      <c r="C185" s="7" t="str">
        <f>'Reported burning'!C185</f>
        <v>Human, deliberate</v>
      </c>
      <c r="D185" s="7" t="str">
        <f>'Reported burning'!D185</f>
        <v>Forest clearance</v>
      </c>
      <c r="E185" s="7" t="str">
        <f>'Reported burning'!E185</f>
        <v>Cattle, Extensive</v>
      </c>
      <c r="F185" s="7" t="str">
        <f>'Reported burning'!F185</f>
        <v>Forest</v>
      </c>
      <c r="G185" s="7" t="str">
        <f>'Reported burning'!G185</f>
        <v>Forest</v>
      </c>
      <c r="H185" s="7" t="str">
        <f>'Reported burning'!H185</f>
        <v>Presence</v>
      </c>
      <c r="I185" s="4">
        <v>2005</v>
      </c>
      <c r="J185" s="22" t="s">
        <v>2308</v>
      </c>
      <c r="K185" s="110" t="s">
        <v>2308</v>
      </c>
      <c r="L185" s="22" t="s">
        <v>2308</v>
      </c>
      <c r="M185" s="22" t="s">
        <v>2308</v>
      </c>
      <c r="N185" s="22" t="s">
        <v>2308</v>
      </c>
      <c r="O185" s="22" t="s">
        <v>2308</v>
      </c>
      <c r="P185" s="22" t="s">
        <v>2410</v>
      </c>
      <c r="Q185" s="109" t="s">
        <v>2308</v>
      </c>
      <c r="R185" s="109" t="s">
        <v>2308</v>
      </c>
      <c r="S185" s="22" t="s">
        <v>2308</v>
      </c>
      <c r="T185" s="22" t="s">
        <v>2308</v>
      </c>
      <c r="U185" s="22" t="s">
        <v>2308</v>
      </c>
      <c r="V185" s="22" t="s">
        <v>2308</v>
      </c>
      <c r="W185" s="22" t="s">
        <v>2308</v>
      </c>
      <c r="X185" s="4" t="s">
        <v>2308</v>
      </c>
      <c r="Y185" s="4" t="s">
        <v>2308</v>
      </c>
      <c r="Z185" s="4" t="s">
        <v>2308</v>
      </c>
      <c r="AA185" s="5" t="s">
        <v>1421</v>
      </c>
      <c r="AB185" s="5" t="s">
        <v>1465</v>
      </c>
    </row>
    <row r="186" spans="1:28" ht="75" customHeight="1">
      <c r="A186" s="7" t="str">
        <f>'Reported burning'!A186</f>
        <v>12a</v>
      </c>
      <c r="B186" s="7" t="str">
        <f>'Reported burning'!B186</f>
        <v>12a.27</v>
      </c>
      <c r="C186" s="7" t="str">
        <f>'Reported burning'!C186</f>
        <v>Human, deliberate</v>
      </c>
      <c r="D186" s="7" t="str">
        <f>'Reported burning'!D186</f>
        <v>Forest clearance</v>
      </c>
      <c r="E186" s="7" t="str">
        <f>'Reported burning'!E186</f>
        <v>Cattle, Extensive</v>
      </c>
      <c r="F186" s="7" t="str">
        <f>'Reported burning'!F186</f>
        <v>Forest</v>
      </c>
      <c r="G186" s="7" t="str">
        <f>'Reported burning'!G186</f>
        <v>Forest</v>
      </c>
      <c r="H186" s="7" t="str">
        <f>'Reported burning'!H186</f>
        <v>Presence</v>
      </c>
      <c r="I186" s="4">
        <v>2006</v>
      </c>
      <c r="J186" s="22" t="s">
        <v>2308</v>
      </c>
      <c r="K186" s="110" t="s">
        <v>2308</v>
      </c>
      <c r="L186" s="22" t="s">
        <v>2308</v>
      </c>
      <c r="M186" s="22" t="s">
        <v>2308</v>
      </c>
      <c r="N186" s="22" t="s">
        <v>2308</v>
      </c>
      <c r="O186" s="22" t="s">
        <v>2308</v>
      </c>
      <c r="P186" s="22" t="s">
        <v>2410</v>
      </c>
      <c r="Q186" s="109" t="s">
        <v>2308</v>
      </c>
      <c r="R186" s="109" t="s">
        <v>2308</v>
      </c>
      <c r="S186" s="22" t="s">
        <v>2308</v>
      </c>
      <c r="T186" s="22" t="s">
        <v>2308</v>
      </c>
      <c r="U186" s="22" t="s">
        <v>2308</v>
      </c>
      <c r="V186" s="22" t="s">
        <v>2308</v>
      </c>
      <c r="W186" s="22" t="s">
        <v>2308</v>
      </c>
      <c r="X186" s="4" t="s">
        <v>2308</v>
      </c>
      <c r="Y186" s="4" t="s">
        <v>2308</v>
      </c>
      <c r="Z186" s="4" t="s">
        <v>2308</v>
      </c>
      <c r="AA186" s="5" t="s">
        <v>1421</v>
      </c>
      <c r="AB186" s="5" t="s">
        <v>1465</v>
      </c>
    </row>
    <row r="187" spans="1:28" ht="75" customHeight="1">
      <c r="A187" s="7" t="str">
        <f>'Reported burning'!A187</f>
        <v>12a</v>
      </c>
      <c r="B187" s="7" t="str">
        <f>'Reported burning'!B187</f>
        <v>12a.28</v>
      </c>
      <c r="C187" s="7" t="str">
        <f>'Reported burning'!C187</f>
        <v>Human, deliberate</v>
      </c>
      <c r="D187" s="7" t="str">
        <f>'Reported burning'!D187</f>
        <v>Forest clearance</v>
      </c>
      <c r="E187" s="7" t="str">
        <f>'Reported burning'!E187</f>
        <v>Cattle, Extensive</v>
      </c>
      <c r="F187" s="7" t="str">
        <f>'Reported burning'!F187</f>
        <v>Forest</v>
      </c>
      <c r="G187" s="7" t="str">
        <f>'Reported burning'!G187</f>
        <v>Forest</v>
      </c>
      <c r="H187" s="7" t="str">
        <f>'Reported burning'!H187</f>
        <v>Presence</v>
      </c>
      <c r="I187" s="4">
        <v>2007</v>
      </c>
      <c r="J187" s="22" t="s">
        <v>2308</v>
      </c>
      <c r="K187" s="110" t="s">
        <v>2308</v>
      </c>
      <c r="L187" s="22" t="s">
        <v>2308</v>
      </c>
      <c r="M187" s="22" t="s">
        <v>2308</v>
      </c>
      <c r="N187" s="22" t="s">
        <v>2308</v>
      </c>
      <c r="O187" s="22" t="s">
        <v>2308</v>
      </c>
      <c r="P187" s="22" t="s">
        <v>2410</v>
      </c>
      <c r="Q187" s="109" t="s">
        <v>2308</v>
      </c>
      <c r="R187" s="109" t="s">
        <v>2308</v>
      </c>
      <c r="S187" s="22" t="s">
        <v>2308</v>
      </c>
      <c r="T187" s="22" t="s">
        <v>2308</v>
      </c>
      <c r="U187" s="22" t="s">
        <v>2308</v>
      </c>
      <c r="V187" s="22" t="s">
        <v>2308</v>
      </c>
      <c r="W187" s="22" t="s">
        <v>2308</v>
      </c>
      <c r="X187" s="4" t="s">
        <v>2308</v>
      </c>
      <c r="Y187" s="4" t="s">
        <v>2308</v>
      </c>
      <c r="Z187" s="4" t="s">
        <v>2308</v>
      </c>
      <c r="AA187" s="5" t="s">
        <v>1421</v>
      </c>
      <c r="AB187" s="5" t="s">
        <v>1465</v>
      </c>
    </row>
    <row r="188" spans="1:28" ht="75" customHeight="1">
      <c r="A188" s="7" t="str">
        <f>'Reported burning'!A188</f>
        <v>12a</v>
      </c>
      <c r="B188" s="7" t="str">
        <f>'Reported burning'!B188</f>
        <v>12a.29</v>
      </c>
      <c r="C188" s="7" t="str">
        <f>'Reported burning'!C188</f>
        <v>Human, deliberate</v>
      </c>
      <c r="D188" s="7" t="str">
        <f>'Reported burning'!D188</f>
        <v>Forest clearance</v>
      </c>
      <c r="E188" s="7" t="str">
        <f>'Reported burning'!E188</f>
        <v>Cattle, Extensive</v>
      </c>
      <c r="F188" s="7" t="str">
        <f>'Reported burning'!F188</f>
        <v>Forest</v>
      </c>
      <c r="G188" s="7" t="str">
        <f>'Reported burning'!G188</f>
        <v>Forest</v>
      </c>
      <c r="H188" s="7" t="str">
        <f>'Reported burning'!H188</f>
        <v>Presence</v>
      </c>
      <c r="I188" s="4">
        <v>2008</v>
      </c>
      <c r="J188" s="22" t="s">
        <v>2308</v>
      </c>
      <c r="K188" s="110" t="s">
        <v>2308</v>
      </c>
      <c r="L188" s="22" t="s">
        <v>2308</v>
      </c>
      <c r="M188" s="22" t="s">
        <v>2308</v>
      </c>
      <c r="N188" s="22" t="s">
        <v>2308</v>
      </c>
      <c r="O188" s="22" t="s">
        <v>2308</v>
      </c>
      <c r="P188" s="22" t="s">
        <v>2410</v>
      </c>
      <c r="Q188" s="109" t="s">
        <v>2308</v>
      </c>
      <c r="R188" s="109" t="s">
        <v>2308</v>
      </c>
      <c r="S188" s="22" t="s">
        <v>2308</v>
      </c>
      <c r="T188" s="22" t="s">
        <v>2308</v>
      </c>
      <c r="U188" s="22" t="s">
        <v>2308</v>
      </c>
      <c r="V188" s="22" t="s">
        <v>2308</v>
      </c>
      <c r="W188" s="22" t="s">
        <v>2308</v>
      </c>
      <c r="X188" s="4" t="s">
        <v>2308</v>
      </c>
      <c r="Y188" s="4" t="s">
        <v>2308</v>
      </c>
      <c r="Z188" s="4" t="s">
        <v>2308</v>
      </c>
      <c r="AA188" s="5" t="s">
        <v>1421</v>
      </c>
      <c r="AB188" s="5" t="s">
        <v>1465</v>
      </c>
    </row>
    <row r="189" spans="1:28" ht="75" customHeight="1">
      <c r="A189" s="7" t="str">
        <f>'Reported burning'!A189</f>
        <v>12a</v>
      </c>
      <c r="B189" s="7" t="str">
        <f>'Reported burning'!B189</f>
        <v>12a.30</v>
      </c>
      <c r="C189" s="7" t="str">
        <f>'Reported burning'!C189</f>
        <v>Human, deliberate</v>
      </c>
      <c r="D189" s="7" t="str">
        <f>'Reported burning'!D189</f>
        <v>Forest clearance</v>
      </c>
      <c r="E189" s="7" t="str">
        <f>'Reported burning'!E189</f>
        <v>Cattle, Extensive</v>
      </c>
      <c r="F189" s="7" t="str">
        <f>'Reported burning'!F189</f>
        <v>Forest</v>
      </c>
      <c r="G189" s="7" t="str">
        <f>'Reported burning'!G189</f>
        <v>Forest</v>
      </c>
      <c r="H189" s="7" t="str">
        <f>'Reported burning'!H189</f>
        <v>Presence</v>
      </c>
      <c r="I189" s="4">
        <v>2009</v>
      </c>
      <c r="J189" s="22" t="s">
        <v>2308</v>
      </c>
      <c r="K189" s="110" t="s">
        <v>2308</v>
      </c>
      <c r="L189" s="22" t="s">
        <v>2308</v>
      </c>
      <c r="M189" s="22" t="s">
        <v>2308</v>
      </c>
      <c r="N189" s="22" t="s">
        <v>2308</v>
      </c>
      <c r="O189" s="22" t="s">
        <v>2308</v>
      </c>
      <c r="P189" s="22" t="s">
        <v>2409</v>
      </c>
      <c r="Q189" s="109" t="s">
        <v>2308</v>
      </c>
      <c r="R189" s="109" t="s">
        <v>2308</v>
      </c>
      <c r="S189" s="22" t="s">
        <v>2308</v>
      </c>
      <c r="T189" s="22" t="s">
        <v>2308</v>
      </c>
      <c r="U189" s="22" t="s">
        <v>2308</v>
      </c>
      <c r="V189" s="22" t="s">
        <v>2308</v>
      </c>
      <c r="W189" s="22" t="s">
        <v>2308</v>
      </c>
      <c r="X189" s="4" t="s">
        <v>2308</v>
      </c>
      <c r="Y189" s="4" t="s">
        <v>2308</v>
      </c>
      <c r="Z189" s="4" t="s">
        <v>2308</v>
      </c>
      <c r="AA189" s="5" t="s">
        <v>1421</v>
      </c>
      <c r="AB189" s="5" t="s">
        <v>1465</v>
      </c>
    </row>
    <row r="190" spans="1:28" ht="75" customHeight="1">
      <c r="A190" s="7" t="str">
        <f>'Reported burning'!A190</f>
        <v>12a</v>
      </c>
      <c r="B190" s="7" t="str">
        <f>'Reported burning'!B190</f>
        <v>12a.31</v>
      </c>
      <c r="C190" s="7" t="str">
        <f>'Reported burning'!C190</f>
        <v>Human, deliberate</v>
      </c>
      <c r="D190" s="7" t="str">
        <f>'Reported burning'!D190</f>
        <v>Forest clearance</v>
      </c>
      <c r="E190" s="7" t="str">
        <f>'Reported burning'!E190</f>
        <v>Cattle, Extensive</v>
      </c>
      <c r="F190" s="7" t="str">
        <f>'Reported burning'!F190</f>
        <v>Forest</v>
      </c>
      <c r="G190" s="7" t="str">
        <f>'Reported burning'!G190</f>
        <v>Forest</v>
      </c>
      <c r="H190" s="7" t="str">
        <f>'Reported burning'!H190</f>
        <v>Presence</v>
      </c>
      <c r="I190" s="4">
        <v>2010</v>
      </c>
      <c r="J190" s="22" t="s">
        <v>2308</v>
      </c>
      <c r="K190" s="110" t="s">
        <v>2308</v>
      </c>
      <c r="L190" s="22" t="s">
        <v>2308</v>
      </c>
      <c r="M190" s="22" t="s">
        <v>2308</v>
      </c>
      <c r="N190" s="22" t="s">
        <v>2308</v>
      </c>
      <c r="O190" s="22" t="s">
        <v>2308</v>
      </c>
      <c r="P190" s="22" t="s">
        <v>2410</v>
      </c>
      <c r="Q190" s="109" t="s">
        <v>2308</v>
      </c>
      <c r="R190" s="109" t="s">
        <v>2308</v>
      </c>
      <c r="S190" s="22" t="s">
        <v>2308</v>
      </c>
      <c r="T190" s="22" t="s">
        <v>2308</v>
      </c>
      <c r="U190" s="22" t="s">
        <v>2308</v>
      </c>
      <c r="V190" s="22" t="s">
        <v>2308</v>
      </c>
      <c r="W190" s="22" t="s">
        <v>2308</v>
      </c>
      <c r="X190" s="4" t="s">
        <v>2308</v>
      </c>
      <c r="Y190" s="4" t="s">
        <v>2308</v>
      </c>
      <c r="Z190" s="4" t="s">
        <v>2308</v>
      </c>
      <c r="AA190" s="5" t="s">
        <v>1421</v>
      </c>
      <c r="AB190" s="5" t="s">
        <v>1465</v>
      </c>
    </row>
    <row r="191" spans="1:28" ht="75" customHeight="1">
      <c r="A191" s="7" t="str">
        <f>'Reported burning'!A191</f>
        <v>12a</v>
      </c>
      <c r="B191" s="7" t="str">
        <f>'Reported burning'!B191</f>
        <v>12a.32</v>
      </c>
      <c r="C191" s="7" t="str">
        <f>'Reported burning'!C191</f>
        <v>Human, deliberate</v>
      </c>
      <c r="D191" s="7" t="str">
        <f>'Reported burning'!D191</f>
        <v>Forest clearance</v>
      </c>
      <c r="E191" s="7" t="str">
        <f>'Reported burning'!E191</f>
        <v>Cattle, Extensive</v>
      </c>
      <c r="F191" s="7" t="str">
        <f>'Reported burning'!F191</f>
        <v>Forest</v>
      </c>
      <c r="G191" s="7" t="str">
        <f>'Reported burning'!G191</f>
        <v>Forest</v>
      </c>
      <c r="H191" s="7" t="str">
        <f>'Reported burning'!H191</f>
        <v>Presence</v>
      </c>
      <c r="I191" s="4">
        <v>2011</v>
      </c>
      <c r="J191" s="22" t="s">
        <v>2308</v>
      </c>
      <c r="K191" s="110" t="s">
        <v>2308</v>
      </c>
      <c r="L191" s="22" t="s">
        <v>2308</v>
      </c>
      <c r="M191" s="22" t="s">
        <v>2308</v>
      </c>
      <c r="N191" s="22" t="s">
        <v>2308</v>
      </c>
      <c r="O191" s="22" t="s">
        <v>2308</v>
      </c>
      <c r="P191" s="22" t="s">
        <v>2410</v>
      </c>
      <c r="Q191" s="109" t="s">
        <v>2308</v>
      </c>
      <c r="R191" s="109" t="s">
        <v>2308</v>
      </c>
      <c r="S191" s="22" t="s">
        <v>2308</v>
      </c>
      <c r="T191" s="22" t="s">
        <v>2308</v>
      </c>
      <c r="U191" s="22" t="s">
        <v>2308</v>
      </c>
      <c r="V191" s="22" t="s">
        <v>2308</v>
      </c>
      <c r="W191" s="22" t="s">
        <v>2308</v>
      </c>
      <c r="X191" s="4" t="s">
        <v>2308</v>
      </c>
      <c r="Y191" s="4" t="s">
        <v>2308</v>
      </c>
      <c r="Z191" s="4" t="s">
        <v>2308</v>
      </c>
      <c r="AA191" s="5" t="s">
        <v>1421</v>
      </c>
      <c r="AB191" s="5" t="s">
        <v>1465</v>
      </c>
    </row>
    <row r="192" spans="1:28" ht="75" customHeight="1">
      <c r="A192" s="7" t="str">
        <f>'Reported burning'!A192</f>
        <v>12a</v>
      </c>
      <c r="B192" s="7" t="str">
        <f>'Reported burning'!B192</f>
        <v>12a.33</v>
      </c>
      <c r="C192" s="7" t="str">
        <f>'Reported burning'!C192</f>
        <v>Human, deliberate</v>
      </c>
      <c r="D192" s="7" t="str">
        <f>'Reported burning'!D192</f>
        <v>Forest clearance</v>
      </c>
      <c r="E192" s="7" t="str">
        <f>'Reported burning'!E192</f>
        <v>Cattle, Extensive</v>
      </c>
      <c r="F192" s="7" t="str">
        <f>'Reported burning'!F192</f>
        <v>Forest</v>
      </c>
      <c r="G192" s="7" t="str">
        <f>'Reported burning'!G192</f>
        <v>Forest</v>
      </c>
      <c r="H192" s="7" t="str">
        <f>'Reported burning'!H192</f>
        <v>Presence</v>
      </c>
      <c r="I192" s="4">
        <v>2012</v>
      </c>
      <c r="J192" s="22" t="s">
        <v>2308</v>
      </c>
      <c r="K192" s="110" t="s">
        <v>2308</v>
      </c>
      <c r="L192" s="22" t="s">
        <v>2308</v>
      </c>
      <c r="M192" s="22" t="s">
        <v>2308</v>
      </c>
      <c r="N192" s="22" t="s">
        <v>2308</v>
      </c>
      <c r="O192" s="22" t="s">
        <v>2308</v>
      </c>
      <c r="P192" s="22" t="s">
        <v>2410</v>
      </c>
      <c r="Q192" s="109" t="s">
        <v>2308</v>
      </c>
      <c r="R192" s="109" t="s">
        <v>2308</v>
      </c>
      <c r="S192" s="22" t="s">
        <v>2308</v>
      </c>
      <c r="T192" s="22" t="s">
        <v>2308</v>
      </c>
      <c r="U192" s="22" t="s">
        <v>2308</v>
      </c>
      <c r="V192" s="22" t="s">
        <v>2308</v>
      </c>
      <c r="W192" s="22" t="s">
        <v>2308</v>
      </c>
      <c r="X192" s="4" t="s">
        <v>2308</v>
      </c>
      <c r="Y192" s="4" t="s">
        <v>2308</v>
      </c>
      <c r="Z192" s="4" t="s">
        <v>2308</v>
      </c>
      <c r="AA192" s="5" t="s">
        <v>1421</v>
      </c>
      <c r="AB192" s="5" t="s">
        <v>1465</v>
      </c>
    </row>
    <row r="193" spans="1:28" ht="75" customHeight="1">
      <c r="A193" s="7" t="str">
        <f>'Reported burning'!A193</f>
        <v>12b</v>
      </c>
      <c r="B193" s="7" t="str">
        <f>'Reported burning'!B193</f>
        <v>12b.1</v>
      </c>
      <c r="C193" s="7" t="str">
        <f>'Reported burning'!C193</f>
        <v>Human, deliberate</v>
      </c>
      <c r="D193" s="7" t="str">
        <f>'Reported burning'!D193</f>
        <v>Forest clearance</v>
      </c>
      <c r="E193" s="7" t="str">
        <f>'Reported burning'!E193</f>
        <v>Cropping, Monoculture, Market-oriented</v>
      </c>
      <c r="F193" s="7" t="str">
        <f>'Reported burning'!F193</f>
        <v>Forest</v>
      </c>
      <c r="G193" s="7" t="str">
        <f>'Reported burning'!G193</f>
        <v>Forest</v>
      </c>
      <c r="H193" s="7" t="str">
        <f>'Reported burning'!H193</f>
        <v>Presence</v>
      </c>
      <c r="I193" s="4">
        <v>2002</v>
      </c>
      <c r="J193" s="22" t="s">
        <v>2308</v>
      </c>
      <c r="K193" s="110" t="s">
        <v>2308</v>
      </c>
      <c r="L193" s="22" t="s">
        <v>2308</v>
      </c>
      <c r="M193" s="22" t="s">
        <v>2308</v>
      </c>
      <c r="N193" s="22" t="s">
        <v>2308</v>
      </c>
      <c r="O193" s="22" t="s">
        <v>2308</v>
      </c>
      <c r="P193" s="22" t="s">
        <v>2409</v>
      </c>
      <c r="Q193" s="109" t="s">
        <v>2308</v>
      </c>
      <c r="R193" s="109" t="s">
        <v>2308</v>
      </c>
      <c r="S193" s="22" t="s">
        <v>2308</v>
      </c>
      <c r="T193" s="22" t="s">
        <v>2308</v>
      </c>
      <c r="U193" s="22" t="s">
        <v>2308</v>
      </c>
      <c r="V193" s="22" t="s">
        <v>2308</v>
      </c>
      <c r="W193" s="22" t="s">
        <v>2308</v>
      </c>
      <c r="X193" s="4" t="s">
        <v>2308</v>
      </c>
      <c r="Y193" s="4" t="s">
        <v>2308</v>
      </c>
      <c r="Z193" s="4" t="s">
        <v>2308</v>
      </c>
      <c r="AA193" s="5" t="s">
        <v>1421</v>
      </c>
      <c r="AB193" s="5" t="s">
        <v>1465</v>
      </c>
    </row>
    <row r="194" spans="1:28" ht="75" customHeight="1">
      <c r="A194" s="7" t="str">
        <f>'Reported burning'!A194</f>
        <v>12b</v>
      </c>
      <c r="B194" s="7" t="str">
        <f>'Reported burning'!B194</f>
        <v>12b.2</v>
      </c>
      <c r="C194" s="7" t="str">
        <f>'Reported burning'!C194</f>
        <v>Human, deliberate</v>
      </c>
      <c r="D194" s="7" t="str">
        <f>'Reported burning'!D194</f>
        <v>Forest clearance</v>
      </c>
      <c r="E194" s="7" t="str">
        <f>'Reported burning'!E194</f>
        <v>Cropping, Monoculture, Market-oriented</v>
      </c>
      <c r="F194" s="7" t="str">
        <f>'Reported burning'!F194</f>
        <v>Forest</v>
      </c>
      <c r="G194" s="7" t="str">
        <f>'Reported burning'!G194</f>
        <v>Forest</v>
      </c>
      <c r="H194" s="7" t="str">
        <f>'Reported burning'!H194</f>
        <v>Presence</v>
      </c>
      <c r="I194" s="4">
        <v>2003</v>
      </c>
      <c r="J194" s="22" t="s">
        <v>2308</v>
      </c>
      <c r="K194" s="110" t="s">
        <v>2308</v>
      </c>
      <c r="L194" s="22" t="s">
        <v>2308</v>
      </c>
      <c r="M194" s="22" t="s">
        <v>2308</v>
      </c>
      <c r="N194" s="22" t="s">
        <v>2308</v>
      </c>
      <c r="O194" s="22" t="s">
        <v>2308</v>
      </c>
      <c r="P194" s="22" t="s">
        <v>2409</v>
      </c>
      <c r="Q194" s="109" t="s">
        <v>2308</v>
      </c>
      <c r="R194" s="109" t="s">
        <v>2308</v>
      </c>
      <c r="S194" s="22" t="s">
        <v>2308</v>
      </c>
      <c r="T194" s="22" t="s">
        <v>2308</v>
      </c>
      <c r="U194" s="22" t="s">
        <v>2308</v>
      </c>
      <c r="V194" s="22" t="s">
        <v>2308</v>
      </c>
      <c r="W194" s="22" t="s">
        <v>2308</v>
      </c>
      <c r="X194" s="4" t="s">
        <v>2308</v>
      </c>
      <c r="Y194" s="4" t="s">
        <v>2308</v>
      </c>
      <c r="Z194" s="4" t="s">
        <v>2308</v>
      </c>
      <c r="AA194" s="5" t="s">
        <v>1421</v>
      </c>
      <c r="AB194" s="5" t="s">
        <v>1465</v>
      </c>
    </row>
    <row r="195" spans="1:28" ht="75" customHeight="1">
      <c r="A195" s="7" t="str">
        <f>'Reported burning'!A195</f>
        <v>12b</v>
      </c>
      <c r="B195" s="7" t="str">
        <f>'Reported burning'!B195</f>
        <v>12b.3</v>
      </c>
      <c r="C195" s="7" t="str">
        <f>'Reported burning'!C195</f>
        <v>Human, deliberate</v>
      </c>
      <c r="D195" s="7" t="str">
        <f>'Reported burning'!D195</f>
        <v>Forest clearance</v>
      </c>
      <c r="E195" s="7" t="str">
        <f>'Reported burning'!E195</f>
        <v>Cropping, Monoculture, Market-oriented</v>
      </c>
      <c r="F195" s="7" t="str">
        <f>'Reported burning'!F195</f>
        <v>Forest</v>
      </c>
      <c r="G195" s="7" t="str">
        <f>'Reported burning'!G195</f>
        <v>Forest</v>
      </c>
      <c r="H195" s="7" t="str">
        <f>'Reported burning'!H195</f>
        <v>Presence</v>
      </c>
      <c r="I195" s="4">
        <v>2004</v>
      </c>
      <c r="J195" s="22" t="s">
        <v>2308</v>
      </c>
      <c r="K195" s="110" t="s">
        <v>2308</v>
      </c>
      <c r="L195" s="22" t="s">
        <v>2308</v>
      </c>
      <c r="M195" s="22" t="s">
        <v>2308</v>
      </c>
      <c r="N195" s="22" t="s">
        <v>2308</v>
      </c>
      <c r="O195" s="22" t="s">
        <v>2308</v>
      </c>
      <c r="P195" s="22" t="s">
        <v>2409</v>
      </c>
      <c r="Q195" s="109" t="s">
        <v>2308</v>
      </c>
      <c r="R195" s="109" t="s">
        <v>2308</v>
      </c>
      <c r="S195" s="22" t="s">
        <v>2308</v>
      </c>
      <c r="T195" s="22" t="s">
        <v>2308</v>
      </c>
      <c r="U195" s="22" t="s">
        <v>2308</v>
      </c>
      <c r="V195" s="22" t="s">
        <v>2308</v>
      </c>
      <c r="W195" s="22" t="s">
        <v>2308</v>
      </c>
      <c r="X195" s="4" t="s">
        <v>2308</v>
      </c>
      <c r="Y195" s="4" t="s">
        <v>2308</v>
      </c>
      <c r="Z195" s="4" t="s">
        <v>2308</v>
      </c>
      <c r="AA195" s="5" t="s">
        <v>1421</v>
      </c>
      <c r="AB195" s="5" t="s">
        <v>1465</v>
      </c>
    </row>
    <row r="196" spans="1:28" ht="75" customHeight="1">
      <c r="A196" s="7" t="str">
        <f>'Reported burning'!A196</f>
        <v>12b</v>
      </c>
      <c r="B196" s="7" t="str">
        <f>'Reported burning'!B196</f>
        <v>12b.4</v>
      </c>
      <c r="C196" s="7" t="str">
        <f>'Reported burning'!C196</f>
        <v>Human, deliberate</v>
      </c>
      <c r="D196" s="7" t="str">
        <f>'Reported burning'!D196</f>
        <v>Forest clearance</v>
      </c>
      <c r="E196" s="7" t="str">
        <f>'Reported burning'!E196</f>
        <v>Cropping, Monoculture, Market-oriented</v>
      </c>
      <c r="F196" s="7" t="str">
        <f>'Reported burning'!F196</f>
        <v>Forest</v>
      </c>
      <c r="G196" s="7" t="str">
        <f>'Reported burning'!G196</f>
        <v>Forest</v>
      </c>
      <c r="H196" s="7" t="str">
        <f>'Reported burning'!H196</f>
        <v>Presence</v>
      </c>
      <c r="I196" s="4">
        <v>2005</v>
      </c>
      <c r="J196" s="22" t="s">
        <v>2308</v>
      </c>
      <c r="K196" s="110" t="s">
        <v>2308</v>
      </c>
      <c r="L196" s="22" t="s">
        <v>2308</v>
      </c>
      <c r="M196" s="22" t="s">
        <v>2308</v>
      </c>
      <c r="N196" s="22" t="s">
        <v>2308</v>
      </c>
      <c r="O196" s="22" t="s">
        <v>2308</v>
      </c>
      <c r="P196" s="22" t="s">
        <v>2409</v>
      </c>
      <c r="Q196" s="109" t="s">
        <v>2308</v>
      </c>
      <c r="R196" s="109" t="s">
        <v>2308</v>
      </c>
      <c r="S196" s="22" t="s">
        <v>2308</v>
      </c>
      <c r="T196" s="22" t="s">
        <v>2308</v>
      </c>
      <c r="U196" s="22" t="s">
        <v>2308</v>
      </c>
      <c r="V196" s="22" t="s">
        <v>2308</v>
      </c>
      <c r="W196" s="22" t="s">
        <v>2308</v>
      </c>
      <c r="X196" s="4" t="s">
        <v>2308</v>
      </c>
      <c r="Y196" s="4" t="s">
        <v>2308</v>
      </c>
      <c r="Z196" s="4" t="s">
        <v>2308</v>
      </c>
      <c r="AA196" s="5" t="s">
        <v>1421</v>
      </c>
      <c r="AB196" s="5" t="s">
        <v>1465</v>
      </c>
    </row>
    <row r="197" spans="1:28" ht="75" customHeight="1">
      <c r="A197" s="7" t="str">
        <f>'Reported burning'!A197</f>
        <v>12b</v>
      </c>
      <c r="B197" s="7" t="str">
        <f>'Reported burning'!B197</f>
        <v>12b.5</v>
      </c>
      <c r="C197" s="7" t="str">
        <f>'Reported burning'!C197</f>
        <v>Human, deliberate</v>
      </c>
      <c r="D197" s="7" t="str">
        <f>'Reported burning'!D197</f>
        <v>Forest clearance</v>
      </c>
      <c r="E197" s="7" t="str">
        <f>'Reported burning'!E197</f>
        <v>Cropping, Monoculture, Market-oriented</v>
      </c>
      <c r="F197" s="7" t="str">
        <f>'Reported burning'!F197</f>
        <v>Forest</v>
      </c>
      <c r="G197" s="7" t="str">
        <f>'Reported burning'!G197</f>
        <v>Forest</v>
      </c>
      <c r="H197" s="7" t="str">
        <f>'Reported burning'!H197</f>
        <v>Presence</v>
      </c>
      <c r="I197" s="4">
        <v>2006</v>
      </c>
      <c r="J197" s="22" t="s">
        <v>2308</v>
      </c>
      <c r="K197" s="110" t="s">
        <v>2308</v>
      </c>
      <c r="L197" s="22" t="s">
        <v>2308</v>
      </c>
      <c r="M197" s="22" t="s">
        <v>2308</v>
      </c>
      <c r="N197" s="22" t="s">
        <v>2308</v>
      </c>
      <c r="O197" s="22" t="s">
        <v>2308</v>
      </c>
      <c r="P197" s="22" t="s">
        <v>2409</v>
      </c>
      <c r="Q197" s="109" t="s">
        <v>2308</v>
      </c>
      <c r="R197" s="109" t="s">
        <v>2308</v>
      </c>
      <c r="S197" s="22" t="s">
        <v>2308</v>
      </c>
      <c r="T197" s="22" t="s">
        <v>2308</v>
      </c>
      <c r="U197" s="22" t="s">
        <v>2308</v>
      </c>
      <c r="V197" s="22" t="s">
        <v>2308</v>
      </c>
      <c r="W197" s="22" t="s">
        <v>2308</v>
      </c>
      <c r="X197" s="4" t="s">
        <v>2308</v>
      </c>
      <c r="Y197" s="4" t="s">
        <v>2308</v>
      </c>
      <c r="Z197" s="4" t="s">
        <v>2308</v>
      </c>
      <c r="AA197" s="5" t="s">
        <v>1421</v>
      </c>
      <c r="AB197" s="5" t="s">
        <v>1465</v>
      </c>
    </row>
    <row r="198" spans="1:28" ht="75" customHeight="1">
      <c r="A198" s="7" t="str">
        <f>'Reported burning'!A198</f>
        <v>12b</v>
      </c>
      <c r="B198" s="7" t="str">
        <f>'Reported burning'!B198</f>
        <v>12b.6</v>
      </c>
      <c r="C198" s="7" t="str">
        <f>'Reported burning'!C198</f>
        <v>Human, deliberate</v>
      </c>
      <c r="D198" s="7" t="str">
        <f>'Reported burning'!D198</f>
        <v>Forest clearance</v>
      </c>
      <c r="E198" s="7" t="str">
        <f>'Reported burning'!E198</f>
        <v>Cropping, Monoculture, Market-oriented</v>
      </c>
      <c r="F198" s="7" t="str">
        <f>'Reported burning'!F198</f>
        <v>Forest</v>
      </c>
      <c r="G198" s="7" t="str">
        <f>'Reported burning'!G198</f>
        <v>Forest</v>
      </c>
      <c r="H198" s="7" t="str">
        <f>'Reported burning'!H198</f>
        <v>Presence</v>
      </c>
      <c r="I198" s="4">
        <v>2007</v>
      </c>
      <c r="J198" s="22" t="s">
        <v>2308</v>
      </c>
      <c r="K198" s="110" t="s">
        <v>2308</v>
      </c>
      <c r="L198" s="22" t="s">
        <v>2308</v>
      </c>
      <c r="M198" s="22" t="s">
        <v>2308</v>
      </c>
      <c r="N198" s="22" t="s">
        <v>2308</v>
      </c>
      <c r="O198" s="22" t="s">
        <v>2308</v>
      </c>
      <c r="P198" s="22" t="s">
        <v>2409</v>
      </c>
      <c r="Q198" s="109" t="s">
        <v>2308</v>
      </c>
      <c r="R198" s="109" t="s">
        <v>2308</v>
      </c>
      <c r="S198" s="22" t="s">
        <v>2308</v>
      </c>
      <c r="T198" s="22" t="s">
        <v>2308</v>
      </c>
      <c r="U198" s="22" t="s">
        <v>2308</v>
      </c>
      <c r="V198" s="22" t="s">
        <v>2308</v>
      </c>
      <c r="W198" s="22" t="s">
        <v>2308</v>
      </c>
      <c r="X198" s="4" t="s">
        <v>2308</v>
      </c>
      <c r="Y198" s="4" t="s">
        <v>2308</v>
      </c>
      <c r="Z198" s="4" t="s">
        <v>2308</v>
      </c>
      <c r="AA198" s="5" t="s">
        <v>1421</v>
      </c>
      <c r="AB198" s="5" t="s">
        <v>1465</v>
      </c>
    </row>
    <row r="199" spans="1:28" ht="106" customHeight="1">
      <c r="A199" s="7" t="str">
        <f>'Reported burning'!A199</f>
        <v>12b</v>
      </c>
      <c r="B199" s="7" t="str">
        <f>'Reported burning'!B199</f>
        <v>12b.7</v>
      </c>
      <c r="C199" s="7" t="str">
        <f>'Reported burning'!C199</f>
        <v>Human, deliberate</v>
      </c>
      <c r="D199" s="7" t="str">
        <f>'Reported burning'!D199</f>
        <v>Forest clearance</v>
      </c>
      <c r="E199" s="7" t="str">
        <f>'Reported burning'!E199</f>
        <v>Cropping, Monoculture, Market-oriented</v>
      </c>
      <c r="F199" s="7" t="str">
        <f>'Reported burning'!F199</f>
        <v>Forest</v>
      </c>
      <c r="G199" s="7" t="str">
        <f>'Reported burning'!G199</f>
        <v>Forest</v>
      </c>
      <c r="H199" s="7" t="str">
        <f>'Reported burning'!H199</f>
        <v>Presence</v>
      </c>
      <c r="I199" s="4">
        <v>2008</v>
      </c>
      <c r="J199" s="22" t="s">
        <v>2308</v>
      </c>
      <c r="K199" s="110" t="s">
        <v>2308</v>
      </c>
      <c r="L199" s="22" t="s">
        <v>2308</v>
      </c>
      <c r="M199" s="22" t="s">
        <v>2308</v>
      </c>
      <c r="N199" s="22" t="s">
        <v>2308</v>
      </c>
      <c r="O199" s="22" t="s">
        <v>2308</v>
      </c>
      <c r="P199" s="22" t="s">
        <v>2409</v>
      </c>
      <c r="Q199" s="109" t="s">
        <v>2308</v>
      </c>
      <c r="R199" s="109" t="s">
        <v>2308</v>
      </c>
      <c r="S199" s="22" t="s">
        <v>2308</v>
      </c>
      <c r="T199" s="22" t="s">
        <v>2308</v>
      </c>
      <c r="U199" s="22" t="s">
        <v>2308</v>
      </c>
      <c r="V199" s="22" t="s">
        <v>2308</v>
      </c>
      <c r="W199" s="22" t="s">
        <v>2308</v>
      </c>
      <c r="X199" s="4" t="s">
        <v>2308</v>
      </c>
      <c r="Y199" s="4" t="s">
        <v>2308</v>
      </c>
      <c r="Z199" s="4" t="s">
        <v>2308</v>
      </c>
      <c r="AA199" s="5" t="s">
        <v>1421</v>
      </c>
      <c r="AB199" s="5" t="s">
        <v>1465</v>
      </c>
    </row>
    <row r="200" spans="1:28" ht="75" customHeight="1">
      <c r="A200" s="7" t="str">
        <f>'Reported burning'!A200</f>
        <v>12b</v>
      </c>
      <c r="B200" s="7" t="str">
        <f>'Reported burning'!B200</f>
        <v>12b.8</v>
      </c>
      <c r="C200" s="7" t="str">
        <f>'Reported burning'!C200</f>
        <v>Human, deliberate</v>
      </c>
      <c r="D200" s="7" t="str">
        <f>'Reported burning'!D200</f>
        <v>Forest clearance</v>
      </c>
      <c r="E200" s="7" t="str">
        <f>'Reported burning'!E200</f>
        <v>Cropping, Monoculture, Market-oriented</v>
      </c>
      <c r="F200" s="7" t="str">
        <f>'Reported burning'!F200</f>
        <v>Forest</v>
      </c>
      <c r="G200" s="7" t="str">
        <f>'Reported burning'!G200</f>
        <v>Forest</v>
      </c>
      <c r="H200" s="7" t="str">
        <f>'Reported burning'!H200</f>
        <v>Presence</v>
      </c>
      <c r="I200" s="4">
        <v>2009</v>
      </c>
      <c r="J200" s="22" t="s">
        <v>2308</v>
      </c>
      <c r="K200" s="110" t="s">
        <v>2308</v>
      </c>
      <c r="L200" s="22" t="s">
        <v>2308</v>
      </c>
      <c r="M200" s="22" t="s">
        <v>2308</v>
      </c>
      <c r="N200" s="22" t="s">
        <v>2308</v>
      </c>
      <c r="O200" s="22" t="s">
        <v>2308</v>
      </c>
      <c r="P200" s="22" t="s">
        <v>2409</v>
      </c>
      <c r="Q200" s="109" t="s">
        <v>2308</v>
      </c>
      <c r="R200" s="109" t="s">
        <v>2308</v>
      </c>
      <c r="S200" s="22" t="s">
        <v>2308</v>
      </c>
      <c r="T200" s="22" t="s">
        <v>2308</v>
      </c>
      <c r="U200" s="22" t="s">
        <v>2308</v>
      </c>
      <c r="V200" s="22" t="s">
        <v>2308</v>
      </c>
      <c r="W200" s="22" t="s">
        <v>2308</v>
      </c>
      <c r="X200" s="4" t="s">
        <v>2308</v>
      </c>
      <c r="Y200" s="4" t="s">
        <v>2308</v>
      </c>
      <c r="Z200" s="4" t="s">
        <v>2308</v>
      </c>
      <c r="AA200" s="5" t="s">
        <v>1421</v>
      </c>
      <c r="AB200" s="5" t="s">
        <v>1465</v>
      </c>
    </row>
    <row r="201" spans="1:28" ht="75" customHeight="1">
      <c r="A201" s="7" t="str">
        <f>'Reported burning'!A201</f>
        <v>12b</v>
      </c>
      <c r="B201" s="7" t="str">
        <f>'Reported burning'!B201</f>
        <v>12b.9</v>
      </c>
      <c r="C201" s="7" t="str">
        <f>'Reported burning'!C201</f>
        <v>Human, deliberate</v>
      </c>
      <c r="D201" s="7" t="str">
        <f>'Reported burning'!D201</f>
        <v>Forest clearance</v>
      </c>
      <c r="E201" s="7" t="str">
        <f>'Reported burning'!E201</f>
        <v>Cropping, Monoculture, Market-oriented</v>
      </c>
      <c r="F201" s="7" t="str">
        <f>'Reported burning'!F201</f>
        <v>Forest</v>
      </c>
      <c r="G201" s="7" t="str">
        <f>'Reported burning'!G201</f>
        <v>Forest</v>
      </c>
      <c r="H201" s="7" t="str">
        <f>'Reported burning'!H201</f>
        <v>Presence</v>
      </c>
      <c r="I201" s="4">
        <v>2010</v>
      </c>
      <c r="J201" s="22" t="s">
        <v>2308</v>
      </c>
      <c r="K201" s="110" t="s">
        <v>2308</v>
      </c>
      <c r="L201" s="22" t="s">
        <v>2308</v>
      </c>
      <c r="M201" s="22" t="s">
        <v>2308</v>
      </c>
      <c r="N201" s="22" t="s">
        <v>2308</v>
      </c>
      <c r="O201" s="22" t="s">
        <v>2308</v>
      </c>
      <c r="P201" s="22" t="s">
        <v>2409</v>
      </c>
      <c r="Q201" s="109" t="s">
        <v>2308</v>
      </c>
      <c r="R201" s="109" t="s">
        <v>2308</v>
      </c>
      <c r="S201" s="22" t="s">
        <v>2308</v>
      </c>
      <c r="T201" s="22" t="s">
        <v>2308</v>
      </c>
      <c r="U201" s="22" t="s">
        <v>2308</v>
      </c>
      <c r="V201" s="22" t="s">
        <v>2308</v>
      </c>
      <c r="W201" s="22" t="s">
        <v>2308</v>
      </c>
      <c r="X201" s="4" t="s">
        <v>2308</v>
      </c>
      <c r="Y201" s="4" t="s">
        <v>2308</v>
      </c>
      <c r="Z201" s="4" t="s">
        <v>2308</v>
      </c>
      <c r="AA201" s="5" t="s">
        <v>1421</v>
      </c>
      <c r="AB201" s="5" t="s">
        <v>1465</v>
      </c>
    </row>
    <row r="202" spans="1:28" ht="75" customHeight="1">
      <c r="A202" s="7" t="str">
        <f>'Reported burning'!A202</f>
        <v>12b</v>
      </c>
      <c r="B202" s="7" t="str">
        <f>'Reported burning'!B202</f>
        <v>12b.10</v>
      </c>
      <c r="C202" s="7" t="str">
        <f>'Reported burning'!C202</f>
        <v>Human, deliberate</v>
      </c>
      <c r="D202" s="7" t="str">
        <f>'Reported burning'!D202</f>
        <v>Forest clearance</v>
      </c>
      <c r="E202" s="7" t="str">
        <f>'Reported burning'!E202</f>
        <v>Cropping, Monoculture, Market-oriented</v>
      </c>
      <c r="F202" s="7" t="str">
        <f>'Reported burning'!F202</f>
        <v>Forest</v>
      </c>
      <c r="G202" s="7" t="str">
        <f>'Reported burning'!G202</f>
        <v>Forest</v>
      </c>
      <c r="H202" s="7" t="str">
        <f>'Reported burning'!H202</f>
        <v>Presence</v>
      </c>
      <c r="I202" s="4">
        <v>2011</v>
      </c>
      <c r="J202" s="22" t="s">
        <v>2308</v>
      </c>
      <c r="K202" s="110" t="s">
        <v>2308</v>
      </c>
      <c r="L202" s="22" t="s">
        <v>2308</v>
      </c>
      <c r="M202" s="22" t="s">
        <v>2308</v>
      </c>
      <c r="N202" s="22" t="s">
        <v>2308</v>
      </c>
      <c r="O202" s="22" t="s">
        <v>2308</v>
      </c>
      <c r="P202" s="22" t="s">
        <v>2409</v>
      </c>
      <c r="Q202" s="109" t="s">
        <v>2308</v>
      </c>
      <c r="R202" s="109" t="s">
        <v>2308</v>
      </c>
      <c r="S202" s="22" t="s">
        <v>2308</v>
      </c>
      <c r="T202" s="22" t="s">
        <v>2308</v>
      </c>
      <c r="U202" s="22" t="s">
        <v>2308</v>
      </c>
      <c r="V202" s="22" t="s">
        <v>2308</v>
      </c>
      <c r="W202" s="22" t="s">
        <v>2308</v>
      </c>
      <c r="X202" s="4" t="s">
        <v>2308</v>
      </c>
      <c r="Y202" s="4" t="s">
        <v>2308</v>
      </c>
      <c r="Z202" s="4" t="s">
        <v>2308</v>
      </c>
      <c r="AA202" s="5" t="s">
        <v>1421</v>
      </c>
      <c r="AB202" s="5" t="s">
        <v>1465</v>
      </c>
    </row>
    <row r="203" spans="1:28" ht="75" customHeight="1">
      <c r="A203" s="7" t="str">
        <f>'Reported burning'!A203</f>
        <v>12b</v>
      </c>
      <c r="B203" s="7" t="str">
        <f>'Reported burning'!B203</f>
        <v>12b.11</v>
      </c>
      <c r="C203" s="7" t="str">
        <f>'Reported burning'!C203</f>
        <v>Human, deliberate</v>
      </c>
      <c r="D203" s="7" t="str">
        <f>'Reported burning'!D203</f>
        <v>Forest clearance</v>
      </c>
      <c r="E203" s="7" t="str">
        <f>'Reported burning'!E203</f>
        <v>Cropping, Monoculture, Market-oriented</v>
      </c>
      <c r="F203" s="7" t="str">
        <f>'Reported burning'!F203</f>
        <v>Forest</v>
      </c>
      <c r="G203" s="7" t="str">
        <f>'Reported burning'!G203</f>
        <v>Forest</v>
      </c>
      <c r="H203" s="7" t="str">
        <f>'Reported burning'!H203</f>
        <v>Presence</v>
      </c>
      <c r="I203" s="4">
        <v>2012</v>
      </c>
      <c r="J203" s="22" t="s">
        <v>2308</v>
      </c>
      <c r="K203" s="110" t="s">
        <v>2308</v>
      </c>
      <c r="L203" s="22" t="s">
        <v>2308</v>
      </c>
      <c r="M203" s="22" t="s">
        <v>2308</v>
      </c>
      <c r="N203" s="22" t="s">
        <v>2308</v>
      </c>
      <c r="O203" s="22" t="s">
        <v>2308</v>
      </c>
      <c r="P203" s="22" t="s">
        <v>2409</v>
      </c>
      <c r="Q203" s="109" t="s">
        <v>2308</v>
      </c>
      <c r="R203" s="109" t="s">
        <v>2308</v>
      </c>
      <c r="S203" s="22" t="s">
        <v>2308</v>
      </c>
      <c r="T203" s="22" t="s">
        <v>2308</v>
      </c>
      <c r="U203" s="22" t="s">
        <v>2308</v>
      </c>
      <c r="V203" s="22" t="s">
        <v>2308</v>
      </c>
      <c r="W203" s="22" t="s">
        <v>2308</v>
      </c>
      <c r="X203" s="4" t="s">
        <v>2308</v>
      </c>
      <c r="Y203" s="4" t="s">
        <v>2308</v>
      </c>
      <c r="Z203" s="4" t="s">
        <v>2308</v>
      </c>
      <c r="AA203" s="5" t="s">
        <v>1421</v>
      </c>
      <c r="AB203" s="5" t="s">
        <v>1465</v>
      </c>
    </row>
    <row r="204" spans="1:28" ht="75" customHeight="1">
      <c r="A204" s="7" t="str">
        <f>'Reported burning'!A204</f>
        <v>12b</v>
      </c>
      <c r="B204" s="7" t="str">
        <f>'Reported burning'!B204</f>
        <v>12b.12</v>
      </c>
      <c r="C204" s="7" t="str">
        <f>'Reported burning'!C204</f>
        <v>Human, deliberate</v>
      </c>
      <c r="D204" s="7" t="str">
        <f>'Reported burning'!D204</f>
        <v>Forest clearance</v>
      </c>
      <c r="E204" s="7" t="str">
        <f>'Reported burning'!E204</f>
        <v>Cattle, Extensive</v>
      </c>
      <c r="F204" s="7" t="str">
        <f>'Reported burning'!F204</f>
        <v>Forest</v>
      </c>
      <c r="G204" s="7" t="str">
        <f>'Reported burning'!G204</f>
        <v>Forest</v>
      </c>
      <c r="H204" s="7" t="str">
        <f>'Reported burning'!H204</f>
        <v>Presence</v>
      </c>
      <c r="I204" s="4">
        <v>2002</v>
      </c>
      <c r="J204" s="22" t="s">
        <v>2308</v>
      </c>
      <c r="K204" s="110" t="s">
        <v>2308</v>
      </c>
      <c r="L204" s="22" t="s">
        <v>2308</v>
      </c>
      <c r="M204" s="22" t="s">
        <v>2308</v>
      </c>
      <c r="N204" s="22" t="s">
        <v>2308</v>
      </c>
      <c r="O204" s="22" t="s">
        <v>2308</v>
      </c>
      <c r="P204" s="22" t="s">
        <v>2409</v>
      </c>
      <c r="Q204" s="109" t="s">
        <v>2308</v>
      </c>
      <c r="R204" s="109" t="s">
        <v>2308</v>
      </c>
      <c r="S204" s="22" t="s">
        <v>2308</v>
      </c>
      <c r="T204" s="22" t="s">
        <v>2308</v>
      </c>
      <c r="U204" s="22" t="s">
        <v>2308</v>
      </c>
      <c r="V204" s="22" t="s">
        <v>2308</v>
      </c>
      <c r="W204" s="22" t="s">
        <v>2308</v>
      </c>
      <c r="X204" s="4" t="s">
        <v>2308</v>
      </c>
      <c r="Y204" s="4" t="s">
        <v>2308</v>
      </c>
      <c r="Z204" s="4" t="s">
        <v>2308</v>
      </c>
      <c r="AA204" s="5" t="s">
        <v>1421</v>
      </c>
      <c r="AB204" s="5" t="s">
        <v>1465</v>
      </c>
    </row>
    <row r="205" spans="1:28" ht="75" customHeight="1">
      <c r="A205" s="7" t="str">
        <f>'Reported burning'!A205</f>
        <v>12b</v>
      </c>
      <c r="B205" s="7" t="str">
        <f>'Reported burning'!B205</f>
        <v>12b.13</v>
      </c>
      <c r="C205" s="7" t="str">
        <f>'Reported burning'!C205</f>
        <v>Human, deliberate</v>
      </c>
      <c r="D205" s="7" t="str">
        <f>'Reported burning'!D205</f>
        <v>Forest clearance</v>
      </c>
      <c r="E205" s="7" t="str">
        <f>'Reported burning'!E205</f>
        <v>Cattle, Extensive</v>
      </c>
      <c r="F205" s="7" t="str">
        <f>'Reported burning'!F205</f>
        <v>Forest</v>
      </c>
      <c r="G205" s="7" t="str">
        <f>'Reported burning'!G205</f>
        <v>Forest</v>
      </c>
      <c r="H205" s="7" t="str">
        <f>'Reported burning'!H205</f>
        <v>Presence</v>
      </c>
      <c r="I205" s="4">
        <v>2003</v>
      </c>
      <c r="J205" s="22" t="s">
        <v>2308</v>
      </c>
      <c r="K205" s="110" t="s">
        <v>2308</v>
      </c>
      <c r="L205" s="22" t="s">
        <v>2308</v>
      </c>
      <c r="M205" s="22" t="s">
        <v>2308</v>
      </c>
      <c r="N205" s="22" t="s">
        <v>2308</v>
      </c>
      <c r="O205" s="22" t="s">
        <v>2308</v>
      </c>
      <c r="P205" s="22" t="s">
        <v>2409</v>
      </c>
      <c r="Q205" s="109" t="s">
        <v>2308</v>
      </c>
      <c r="R205" s="109" t="s">
        <v>2308</v>
      </c>
      <c r="S205" s="22" t="s">
        <v>2308</v>
      </c>
      <c r="T205" s="22" t="s">
        <v>2308</v>
      </c>
      <c r="U205" s="22" t="s">
        <v>2308</v>
      </c>
      <c r="V205" s="22" t="s">
        <v>2308</v>
      </c>
      <c r="W205" s="22" t="s">
        <v>2308</v>
      </c>
      <c r="X205" s="4" t="s">
        <v>2308</v>
      </c>
      <c r="Y205" s="4" t="s">
        <v>2308</v>
      </c>
      <c r="Z205" s="4" t="s">
        <v>2308</v>
      </c>
      <c r="AA205" s="5" t="s">
        <v>1421</v>
      </c>
      <c r="AB205" s="5" t="s">
        <v>1465</v>
      </c>
    </row>
    <row r="206" spans="1:28" ht="75" customHeight="1">
      <c r="A206" s="7" t="str">
        <f>'Reported burning'!A206</f>
        <v>12b</v>
      </c>
      <c r="B206" s="7" t="str">
        <f>'Reported burning'!B206</f>
        <v>12b.14</v>
      </c>
      <c r="C206" s="7" t="str">
        <f>'Reported burning'!C206</f>
        <v>Human, deliberate</v>
      </c>
      <c r="D206" s="7" t="str">
        <f>'Reported burning'!D206</f>
        <v>Forest clearance</v>
      </c>
      <c r="E206" s="7" t="str">
        <f>'Reported burning'!E206</f>
        <v>Cattle, Extensive</v>
      </c>
      <c r="F206" s="7" t="str">
        <f>'Reported burning'!F206</f>
        <v>Forest</v>
      </c>
      <c r="G206" s="7" t="str">
        <f>'Reported burning'!G206</f>
        <v>Forest</v>
      </c>
      <c r="H206" s="7" t="str">
        <f>'Reported burning'!H206</f>
        <v>Presence</v>
      </c>
      <c r="I206" s="4">
        <v>2004</v>
      </c>
      <c r="J206" s="22" t="s">
        <v>2308</v>
      </c>
      <c r="K206" s="110" t="s">
        <v>2308</v>
      </c>
      <c r="L206" s="22" t="s">
        <v>2308</v>
      </c>
      <c r="M206" s="22" t="s">
        <v>2308</v>
      </c>
      <c r="N206" s="22" t="s">
        <v>2308</v>
      </c>
      <c r="O206" s="22" t="s">
        <v>2308</v>
      </c>
      <c r="P206" s="22" t="s">
        <v>2409</v>
      </c>
      <c r="Q206" s="109" t="s">
        <v>2308</v>
      </c>
      <c r="R206" s="109" t="s">
        <v>2308</v>
      </c>
      <c r="S206" s="22" t="s">
        <v>2308</v>
      </c>
      <c r="T206" s="22" t="s">
        <v>2308</v>
      </c>
      <c r="U206" s="22" t="s">
        <v>2308</v>
      </c>
      <c r="V206" s="22" t="s">
        <v>2308</v>
      </c>
      <c r="W206" s="22" t="s">
        <v>2308</v>
      </c>
      <c r="X206" s="4" t="s">
        <v>2308</v>
      </c>
      <c r="Y206" s="4" t="s">
        <v>2308</v>
      </c>
      <c r="Z206" s="4" t="s">
        <v>2308</v>
      </c>
      <c r="AA206" s="5" t="s">
        <v>1421</v>
      </c>
      <c r="AB206" s="5" t="s">
        <v>1465</v>
      </c>
    </row>
    <row r="207" spans="1:28" ht="75" customHeight="1">
      <c r="A207" s="7" t="str">
        <f>'Reported burning'!A207</f>
        <v>12b</v>
      </c>
      <c r="B207" s="7" t="str">
        <f>'Reported burning'!B207</f>
        <v>12b.15</v>
      </c>
      <c r="C207" s="7" t="str">
        <f>'Reported burning'!C207</f>
        <v>Human, deliberate</v>
      </c>
      <c r="D207" s="7" t="str">
        <f>'Reported burning'!D207</f>
        <v>Forest clearance</v>
      </c>
      <c r="E207" s="7" t="str">
        <f>'Reported burning'!E207</f>
        <v>Cattle, Extensive</v>
      </c>
      <c r="F207" s="7" t="str">
        <f>'Reported burning'!F207</f>
        <v>Forest</v>
      </c>
      <c r="G207" s="7" t="str">
        <f>'Reported burning'!G207</f>
        <v>Forest</v>
      </c>
      <c r="H207" s="7" t="str">
        <f>'Reported burning'!H207</f>
        <v>Presence</v>
      </c>
      <c r="I207" s="4">
        <v>2005</v>
      </c>
      <c r="J207" s="22" t="s">
        <v>2308</v>
      </c>
      <c r="K207" s="110" t="s">
        <v>2308</v>
      </c>
      <c r="L207" s="22" t="s">
        <v>2308</v>
      </c>
      <c r="M207" s="22" t="s">
        <v>2308</v>
      </c>
      <c r="N207" s="22" t="s">
        <v>2308</v>
      </c>
      <c r="O207" s="22" t="s">
        <v>2308</v>
      </c>
      <c r="P207" s="22" t="s">
        <v>2409</v>
      </c>
      <c r="Q207" s="109" t="s">
        <v>2308</v>
      </c>
      <c r="R207" s="109" t="s">
        <v>2308</v>
      </c>
      <c r="S207" s="22" t="s">
        <v>2308</v>
      </c>
      <c r="T207" s="22" t="s">
        <v>2308</v>
      </c>
      <c r="U207" s="22" t="s">
        <v>2308</v>
      </c>
      <c r="V207" s="22" t="s">
        <v>2308</v>
      </c>
      <c r="W207" s="22" t="s">
        <v>2308</v>
      </c>
      <c r="X207" s="4" t="s">
        <v>2308</v>
      </c>
      <c r="Y207" s="4" t="s">
        <v>2308</v>
      </c>
      <c r="Z207" s="4" t="s">
        <v>2308</v>
      </c>
      <c r="AA207" s="5" t="s">
        <v>1421</v>
      </c>
      <c r="AB207" s="5" t="s">
        <v>1465</v>
      </c>
    </row>
    <row r="208" spans="1:28" ht="75" customHeight="1">
      <c r="A208" s="7" t="str">
        <f>'Reported burning'!A208</f>
        <v>12b</v>
      </c>
      <c r="B208" s="7" t="str">
        <f>'Reported burning'!B208</f>
        <v>12b.16</v>
      </c>
      <c r="C208" s="7" t="str">
        <f>'Reported burning'!C208</f>
        <v>Human, deliberate</v>
      </c>
      <c r="D208" s="7" t="str">
        <f>'Reported burning'!D208</f>
        <v>Forest clearance</v>
      </c>
      <c r="E208" s="7" t="str">
        <f>'Reported burning'!E208</f>
        <v>Cattle, Extensive</v>
      </c>
      <c r="F208" s="7" t="str">
        <f>'Reported burning'!F208</f>
        <v>Forest</v>
      </c>
      <c r="G208" s="7" t="str">
        <f>'Reported burning'!G208</f>
        <v>Forest</v>
      </c>
      <c r="H208" s="7" t="str">
        <f>'Reported burning'!H208</f>
        <v>Presence</v>
      </c>
      <c r="I208" s="4">
        <v>2006</v>
      </c>
      <c r="J208" s="22" t="s">
        <v>2308</v>
      </c>
      <c r="K208" s="110" t="s">
        <v>2308</v>
      </c>
      <c r="L208" s="22" t="s">
        <v>2308</v>
      </c>
      <c r="M208" s="22" t="s">
        <v>2308</v>
      </c>
      <c r="N208" s="22" t="s">
        <v>2308</v>
      </c>
      <c r="O208" s="22" t="s">
        <v>2308</v>
      </c>
      <c r="P208" s="22" t="s">
        <v>2409</v>
      </c>
      <c r="Q208" s="109" t="s">
        <v>2308</v>
      </c>
      <c r="R208" s="109" t="s">
        <v>2308</v>
      </c>
      <c r="S208" s="22" t="s">
        <v>2308</v>
      </c>
      <c r="T208" s="22" t="s">
        <v>2308</v>
      </c>
      <c r="U208" s="22" t="s">
        <v>2308</v>
      </c>
      <c r="V208" s="22" t="s">
        <v>2308</v>
      </c>
      <c r="W208" s="22" t="s">
        <v>2308</v>
      </c>
      <c r="X208" s="4" t="s">
        <v>2308</v>
      </c>
      <c r="Y208" s="4" t="s">
        <v>2308</v>
      </c>
      <c r="Z208" s="4" t="s">
        <v>2308</v>
      </c>
      <c r="AA208" s="5" t="s">
        <v>1421</v>
      </c>
      <c r="AB208" s="5" t="s">
        <v>1465</v>
      </c>
    </row>
    <row r="209" spans="1:28" ht="75" customHeight="1">
      <c r="A209" s="7" t="str">
        <f>'Reported burning'!A209</f>
        <v>12b</v>
      </c>
      <c r="B209" s="7" t="str">
        <f>'Reported burning'!B209</f>
        <v>12b.17</v>
      </c>
      <c r="C209" s="7" t="str">
        <f>'Reported burning'!C209</f>
        <v>Human, deliberate</v>
      </c>
      <c r="D209" s="7" t="str">
        <f>'Reported burning'!D209</f>
        <v>Forest clearance</v>
      </c>
      <c r="E209" s="7" t="str">
        <f>'Reported burning'!E209</f>
        <v>Cattle, Extensive</v>
      </c>
      <c r="F209" s="7" t="str">
        <f>'Reported burning'!F209</f>
        <v>Forest</v>
      </c>
      <c r="G209" s="7" t="str">
        <f>'Reported burning'!G209</f>
        <v>Forest</v>
      </c>
      <c r="H209" s="7" t="str">
        <f>'Reported burning'!H209</f>
        <v>Presence</v>
      </c>
      <c r="I209" s="4">
        <v>2007</v>
      </c>
      <c r="J209" s="22" t="s">
        <v>2308</v>
      </c>
      <c r="K209" s="110" t="s">
        <v>2308</v>
      </c>
      <c r="L209" s="22" t="s">
        <v>2308</v>
      </c>
      <c r="M209" s="22" t="s">
        <v>2308</v>
      </c>
      <c r="N209" s="22" t="s">
        <v>2308</v>
      </c>
      <c r="O209" s="22" t="s">
        <v>2308</v>
      </c>
      <c r="P209" s="22" t="s">
        <v>2409</v>
      </c>
      <c r="Q209" s="109" t="s">
        <v>2308</v>
      </c>
      <c r="R209" s="109" t="s">
        <v>2308</v>
      </c>
      <c r="S209" s="22" t="s">
        <v>2308</v>
      </c>
      <c r="T209" s="22" t="s">
        <v>2308</v>
      </c>
      <c r="U209" s="22" t="s">
        <v>2308</v>
      </c>
      <c r="V209" s="22" t="s">
        <v>2308</v>
      </c>
      <c r="W209" s="22" t="s">
        <v>2308</v>
      </c>
      <c r="X209" s="4" t="s">
        <v>2308</v>
      </c>
      <c r="Y209" s="4" t="s">
        <v>2308</v>
      </c>
      <c r="Z209" s="4" t="s">
        <v>2308</v>
      </c>
      <c r="AA209" s="5" t="s">
        <v>1421</v>
      </c>
      <c r="AB209" s="5" t="s">
        <v>1465</v>
      </c>
    </row>
    <row r="210" spans="1:28" ht="75" customHeight="1">
      <c r="A210" s="7" t="str">
        <f>'Reported burning'!A210</f>
        <v>12b</v>
      </c>
      <c r="B210" s="7" t="str">
        <f>'Reported burning'!B210</f>
        <v>12b.18</v>
      </c>
      <c r="C210" s="7" t="str">
        <f>'Reported burning'!C210</f>
        <v>Human, deliberate</v>
      </c>
      <c r="D210" s="7" t="str">
        <f>'Reported burning'!D210</f>
        <v>Forest clearance</v>
      </c>
      <c r="E210" s="7" t="str">
        <f>'Reported burning'!E210</f>
        <v>Cattle, Extensive</v>
      </c>
      <c r="F210" s="7" t="str">
        <f>'Reported burning'!F210</f>
        <v>Forest</v>
      </c>
      <c r="G210" s="7" t="str">
        <f>'Reported burning'!G210</f>
        <v>Forest</v>
      </c>
      <c r="H210" s="7" t="str">
        <f>'Reported burning'!H210</f>
        <v>Presence</v>
      </c>
      <c r="I210" s="4">
        <v>2008</v>
      </c>
      <c r="J210" s="22" t="s">
        <v>2308</v>
      </c>
      <c r="K210" s="110" t="s">
        <v>2308</v>
      </c>
      <c r="L210" s="22" t="s">
        <v>2308</v>
      </c>
      <c r="M210" s="22" t="s">
        <v>2308</v>
      </c>
      <c r="N210" s="22" t="s">
        <v>2308</v>
      </c>
      <c r="O210" s="22" t="s">
        <v>2308</v>
      </c>
      <c r="P210" s="22" t="s">
        <v>2409</v>
      </c>
      <c r="Q210" s="109" t="s">
        <v>2308</v>
      </c>
      <c r="R210" s="109" t="s">
        <v>2308</v>
      </c>
      <c r="S210" s="22" t="s">
        <v>2308</v>
      </c>
      <c r="T210" s="22" t="s">
        <v>2308</v>
      </c>
      <c r="U210" s="22" t="s">
        <v>2308</v>
      </c>
      <c r="V210" s="22" t="s">
        <v>2308</v>
      </c>
      <c r="W210" s="22" t="s">
        <v>2308</v>
      </c>
      <c r="X210" s="4" t="s">
        <v>2308</v>
      </c>
      <c r="Y210" s="4" t="s">
        <v>2308</v>
      </c>
      <c r="Z210" s="4" t="s">
        <v>2308</v>
      </c>
      <c r="AA210" s="5" t="s">
        <v>1421</v>
      </c>
      <c r="AB210" s="5" t="s">
        <v>1465</v>
      </c>
    </row>
    <row r="211" spans="1:28" ht="75" customHeight="1">
      <c r="A211" s="7" t="str">
        <f>'Reported burning'!A211</f>
        <v>12b</v>
      </c>
      <c r="B211" s="7" t="str">
        <f>'Reported burning'!B211</f>
        <v>12b.19</v>
      </c>
      <c r="C211" s="7" t="str">
        <f>'Reported burning'!C211</f>
        <v>Human, deliberate</v>
      </c>
      <c r="D211" s="7" t="str">
        <f>'Reported burning'!D211</f>
        <v>Forest clearance</v>
      </c>
      <c r="E211" s="7" t="str">
        <f>'Reported burning'!E211</f>
        <v>Cattle, Extensive</v>
      </c>
      <c r="F211" s="7" t="str">
        <f>'Reported burning'!F211</f>
        <v>Forest</v>
      </c>
      <c r="G211" s="7" t="str">
        <f>'Reported burning'!G211</f>
        <v>Forest</v>
      </c>
      <c r="H211" s="7" t="str">
        <f>'Reported burning'!H211</f>
        <v>Presence</v>
      </c>
      <c r="I211" s="4">
        <v>2009</v>
      </c>
      <c r="J211" s="22" t="s">
        <v>2308</v>
      </c>
      <c r="K211" s="110" t="s">
        <v>2308</v>
      </c>
      <c r="L211" s="22" t="s">
        <v>2308</v>
      </c>
      <c r="M211" s="22" t="s">
        <v>2308</v>
      </c>
      <c r="N211" s="22" t="s">
        <v>2308</v>
      </c>
      <c r="O211" s="22" t="s">
        <v>2308</v>
      </c>
      <c r="P211" s="22" t="s">
        <v>2409</v>
      </c>
      <c r="Q211" s="109" t="s">
        <v>2308</v>
      </c>
      <c r="R211" s="109" t="s">
        <v>2308</v>
      </c>
      <c r="S211" s="22" t="s">
        <v>2308</v>
      </c>
      <c r="T211" s="22" t="s">
        <v>2308</v>
      </c>
      <c r="U211" s="22" t="s">
        <v>2308</v>
      </c>
      <c r="V211" s="22" t="s">
        <v>2308</v>
      </c>
      <c r="W211" s="22" t="s">
        <v>2308</v>
      </c>
      <c r="X211" s="4" t="s">
        <v>2308</v>
      </c>
      <c r="Y211" s="4" t="s">
        <v>2308</v>
      </c>
      <c r="Z211" s="4" t="s">
        <v>2308</v>
      </c>
      <c r="AA211" s="5" t="s">
        <v>1421</v>
      </c>
      <c r="AB211" s="5" t="s">
        <v>1465</v>
      </c>
    </row>
    <row r="212" spans="1:28" ht="75" customHeight="1">
      <c r="A212" s="7" t="str">
        <f>'Reported burning'!A212</f>
        <v>12b</v>
      </c>
      <c r="B212" s="7" t="str">
        <f>'Reported burning'!B212</f>
        <v>12b.20</v>
      </c>
      <c r="C212" s="7" t="str">
        <f>'Reported burning'!C212</f>
        <v>Human, deliberate</v>
      </c>
      <c r="D212" s="7" t="str">
        <f>'Reported burning'!D212</f>
        <v>Forest clearance</v>
      </c>
      <c r="E212" s="7" t="str">
        <f>'Reported burning'!E212</f>
        <v>Cattle, Extensive</v>
      </c>
      <c r="F212" s="7" t="str">
        <f>'Reported burning'!F212</f>
        <v>Forest</v>
      </c>
      <c r="G212" s="7" t="str">
        <f>'Reported burning'!G212</f>
        <v>Forest</v>
      </c>
      <c r="H212" s="7" t="str">
        <f>'Reported burning'!H212</f>
        <v>Presence</v>
      </c>
      <c r="I212" s="4">
        <v>2010</v>
      </c>
      <c r="J212" s="22" t="s">
        <v>2308</v>
      </c>
      <c r="K212" s="110" t="s">
        <v>2308</v>
      </c>
      <c r="L212" s="22" t="s">
        <v>2308</v>
      </c>
      <c r="M212" s="22" t="s">
        <v>2308</v>
      </c>
      <c r="N212" s="22" t="s">
        <v>2308</v>
      </c>
      <c r="O212" s="22" t="s">
        <v>2308</v>
      </c>
      <c r="P212" s="22" t="s">
        <v>2409</v>
      </c>
      <c r="Q212" s="109" t="s">
        <v>2308</v>
      </c>
      <c r="R212" s="109" t="s">
        <v>2308</v>
      </c>
      <c r="S212" s="22" t="s">
        <v>2308</v>
      </c>
      <c r="T212" s="22" t="s">
        <v>2308</v>
      </c>
      <c r="U212" s="22" t="s">
        <v>2308</v>
      </c>
      <c r="V212" s="22" t="s">
        <v>2308</v>
      </c>
      <c r="W212" s="22" t="s">
        <v>2308</v>
      </c>
      <c r="X212" s="4" t="s">
        <v>2308</v>
      </c>
      <c r="Y212" s="4" t="s">
        <v>2308</v>
      </c>
      <c r="Z212" s="4" t="s">
        <v>2308</v>
      </c>
      <c r="AA212" s="5" t="s">
        <v>1421</v>
      </c>
      <c r="AB212" s="5" t="s">
        <v>1465</v>
      </c>
    </row>
    <row r="213" spans="1:28" ht="75" customHeight="1">
      <c r="A213" s="7" t="str">
        <f>'Reported burning'!A213</f>
        <v>12b</v>
      </c>
      <c r="B213" s="7" t="str">
        <f>'Reported burning'!B213</f>
        <v>12b.21</v>
      </c>
      <c r="C213" s="7" t="str">
        <f>'Reported burning'!C213</f>
        <v>Human, deliberate</v>
      </c>
      <c r="D213" s="7" t="str">
        <f>'Reported burning'!D213</f>
        <v>Forest clearance</v>
      </c>
      <c r="E213" s="7" t="str">
        <f>'Reported burning'!E213</f>
        <v>Cattle, Extensive</v>
      </c>
      <c r="F213" s="7" t="str">
        <f>'Reported burning'!F213</f>
        <v>Forest</v>
      </c>
      <c r="G213" s="7" t="str">
        <f>'Reported burning'!G213</f>
        <v>Forest</v>
      </c>
      <c r="H213" s="7" t="str">
        <f>'Reported burning'!H213</f>
        <v>Presence</v>
      </c>
      <c r="I213" s="4">
        <v>2011</v>
      </c>
      <c r="J213" s="22" t="s">
        <v>2308</v>
      </c>
      <c r="K213" s="110" t="s">
        <v>2308</v>
      </c>
      <c r="L213" s="22" t="s">
        <v>2308</v>
      </c>
      <c r="M213" s="22" t="s">
        <v>2308</v>
      </c>
      <c r="N213" s="22" t="s">
        <v>2308</v>
      </c>
      <c r="O213" s="22" t="s">
        <v>2308</v>
      </c>
      <c r="P213" s="22" t="s">
        <v>2409</v>
      </c>
      <c r="Q213" s="109" t="s">
        <v>2308</v>
      </c>
      <c r="R213" s="109" t="s">
        <v>2308</v>
      </c>
      <c r="S213" s="22" t="s">
        <v>2308</v>
      </c>
      <c r="T213" s="22" t="s">
        <v>2308</v>
      </c>
      <c r="U213" s="22" t="s">
        <v>2308</v>
      </c>
      <c r="V213" s="22" t="s">
        <v>2308</v>
      </c>
      <c r="W213" s="22" t="s">
        <v>2308</v>
      </c>
      <c r="X213" s="4" t="s">
        <v>2308</v>
      </c>
      <c r="Y213" s="4" t="s">
        <v>2308</v>
      </c>
      <c r="Z213" s="4" t="s">
        <v>2308</v>
      </c>
      <c r="AA213" s="5" t="s">
        <v>1421</v>
      </c>
      <c r="AB213" s="5" t="s">
        <v>1465</v>
      </c>
    </row>
    <row r="214" spans="1:28" ht="148" customHeight="1">
      <c r="A214" s="7" t="str">
        <f>'Reported burning'!A214</f>
        <v>12b</v>
      </c>
      <c r="B214" s="7" t="str">
        <f>'Reported burning'!B214</f>
        <v>12b.22</v>
      </c>
      <c r="C214" s="7" t="str">
        <f>'Reported burning'!C214</f>
        <v>Human, deliberate</v>
      </c>
      <c r="D214" s="7" t="str">
        <f>'Reported burning'!D214</f>
        <v>Forest clearance</v>
      </c>
      <c r="E214" s="7" t="str">
        <f>'Reported burning'!E214</f>
        <v>Cattle, Extensive</v>
      </c>
      <c r="F214" s="7" t="str">
        <f>'Reported burning'!F214</f>
        <v>Forest</v>
      </c>
      <c r="G214" s="7" t="str">
        <f>'Reported burning'!G214</f>
        <v>Forest</v>
      </c>
      <c r="H214" s="7" t="str">
        <f>'Reported burning'!H214</f>
        <v>Presence</v>
      </c>
      <c r="I214" s="4">
        <v>2012</v>
      </c>
      <c r="J214" s="22" t="s">
        <v>2308</v>
      </c>
      <c r="K214" s="110" t="s">
        <v>2308</v>
      </c>
      <c r="L214" s="22" t="s">
        <v>2308</v>
      </c>
      <c r="M214" s="22" t="s">
        <v>2308</v>
      </c>
      <c r="N214" s="22" t="s">
        <v>2308</v>
      </c>
      <c r="O214" s="22" t="s">
        <v>2308</v>
      </c>
      <c r="P214" s="22" t="s">
        <v>2409</v>
      </c>
      <c r="Q214" s="109" t="s">
        <v>2308</v>
      </c>
      <c r="R214" s="109" t="s">
        <v>2308</v>
      </c>
      <c r="S214" s="22" t="s">
        <v>2308</v>
      </c>
      <c r="T214" s="22" t="s">
        <v>2308</v>
      </c>
      <c r="U214" s="22" t="s">
        <v>2308</v>
      </c>
      <c r="V214" s="22" t="s">
        <v>2308</v>
      </c>
      <c r="W214" s="22" t="s">
        <v>2308</v>
      </c>
      <c r="X214" s="4" t="s">
        <v>2308</v>
      </c>
      <c r="Y214" s="4" t="s">
        <v>2308</v>
      </c>
      <c r="Z214" s="4" t="s">
        <v>2308</v>
      </c>
      <c r="AA214" s="5" t="s">
        <v>1421</v>
      </c>
      <c r="AB214" s="5" t="s">
        <v>1465</v>
      </c>
    </row>
    <row r="215" spans="1:28" ht="151.5" customHeight="1">
      <c r="A215" s="7" t="str">
        <f>'Reported burning'!A215</f>
        <v>12b</v>
      </c>
      <c r="B215" s="7" t="str">
        <f>'Reported burning'!B215</f>
        <v>12b.23</v>
      </c>
      <c r="C215" s="7" t="str">
        <f>'Reported burning'!C215</f>
        <v>Human, deliberate</v>
      </c>
      <c r="D215" s="7" t="str">
        <f>'Reported burning'!D215</f>
        <v>Forest clearance</v>
      </c>
      <c r="E215" s="7" t="str">
        <f>'Reported burning'!E215</f>
        <v>Cropping, Intensive</v>
      </c>
      <c r="F215" s="7" t="str">
        <f>'Reported burning'!F215</f>
        <v>Forest</v>
      </c>
      <c r="G215" s="7" t="str">
        <f>'Reported burning'!G215</f>
        <v>Forest</v>
      </c>
      <c r="H215" s="7" t="str">
        <f>'Reported burning'!H215</f>
        <v>Presence</v>
      </c>
      <c r="I215" s="4">
        <v>2002</v>
      </c>
      <c r="J215" s="22" t="s">
        <v>2308</v>
      </c>
      <c r="K215" s="110" t="s">
        <v>2308</v>
      </c>
      <c r="L215" s="22" t="s">
        <v>2308</v>
      </c>
      <c r="M215" s="22" t="s">
        <v>2308</v>
      </c>
      <c r="N215" s="22" t="s">
        <v>2308</v>
      </c>
      <c r="O215" s="22" t="s">
        <v>2308</v>
      </c>
      <c r="P215" s="22" t="s">
        <v>2411</v>
      </c>
      <c r="Q215" s="109" t="s">
        <v>2308</v>
      </c>
      <c r="R215" s="109" t="s">
        <v>2308</v>
      </c>
      <c r="S215" s="22" t="s">
        <v>2308</v>
      </c>
      <c r="T215" s="22" t="s">
        <v>2308</v>
      </c>
      <c r="U215" s="22" t="s">
        <v>2308</v>
      </c>
      <c r="V215" s="22" t="s">
        <v>2308</v>
      </c>
      <c r="W215" s="22" t="s">
        <v>2308</v>
      </c>
      <c r="X215" s="4" t="s">
        <v>2308</v>
      </c>
      <c r="Y215" s="4" t="s">
        <v>2308</v>
      </c>
      <c r="Z215" s="4" t="s">
        <v>2308</v>
      </c>
      <c r="AA215" s="5" t="s">
        <v>1421</v>
      </c>
      <c r="AB215" s="5" t="s">
        <v>1478</v>
      </c>
    </row>
    <row r="216" spans="1:28" ht="71" customHeight="1">
      <c r="A216" s="7" t="str">
        <f>'Reported burning'!A216</f>
        <v>12b</v>
      </c>
      <c r="B216" s="7" t="str">
        <f>'Reported burning'!B216</f>
        <v>12b.24</v>
      </c>
      <c r="C216" s="7" t="str">
        <f>'Reported burning'!C216</f>
        <v>Human, deliberate</v>
      </c>
      <c r="D216" s="7" t="str">
        <f>'Reported burning'!D216</f>
        <v>Forest clearance</v>
      </c>
      <c r="E216" s="7" t="str">
        <f>'Reported burning'!E216</f>
        <v>Cropping, Intensive</v>
      </c>
      <c r="F216" s="7" t="str">
        <f>'Reported burning'!F216</f>
        <v>Forest</v>
      </c>
      <c r="G216" s="7" t="str">
        <f>'Reported burning'!G216</f>
        <v>Forest</v>
      </c>
      <c r="H216" s="7" t="str">
        <f>'Reported burning'!H216</f>
        <v>Presence</v>
      </c>
      <c r="I216" s="4">
        <v>2003</v>
      </c>
      <c r="J216" s="22" t="s">
        <v>2308</v>
      </c>
      <c r="K216" s="110" t="s">
        <v>2308</v>
      </c>
      <c r="L216" s="22" t="s">
        <v>2308</v>
      </c>
      <c r="M216" s="22" t="s">
        <v>2308</v>
      </c>
      <c r="N216" s="22" t="s">
        <v>2308</v>
      </c>
      <c r="O216" s="22" t="s">
        <v>2308</v>
      </c>
      <c r="P216" s="22" t="s">
        <v>2411</v>
      </c>
      <c r="Q216" s="109" t="s">
        <v>2308</v>
      </c>
      <c r="R216" s="109" t="s">
        <v>2308</v>
      </c>
      <c r="S216" s="22" t="s">
        <v>2308</v>
      </c>
      <c r="T216" s="22" t="s">
        <v>2308</v>
      </c>
      <c r="U216" s="22" t="s">
        <v>2308</v>
      </c>
      <c r="V216" s="22" t="s">
        <v>2308</v>
      </c>
      <c r="W216" s="22" t="s">
        <v>2308</v>
      </c>
      <c r="X216" s="4" t="s">
        <v>2308</v>
      </c>
      <c r="Y216" s="4" t="s">
        <v>2308</v>
      </c>
      <c r="Z216" s="4" t="s">
        <v>2308</v>
      </c>
      <c r="AA216" s="5" t="s">
        <v>1421</v>
      </c>
      <c r="AB216" s="5" t="s">
        <v>1478</v>
      </c>
    </row>
    <row r="217" spans="1:28" ht="78.5" customHeight="1">
      <c r="A217" s="7" t="str">
        <f>'Reported burning'!A217</f>
        <v>12b</v>
      </c>
      <c r="B217" s="7" t="str">
        <f>'Reported burning'!B217</f>
        <v>12b.25</v>
      </c>
      <c r="C217" s="7" t="str">
        <f>'Reported burning'!C217</f>
        <v>Human, deliberate</v>
      </c>
      <c r="D217" s="7" t="str">
        <f>'Reported burning'!D217</f>
        <v>Forest clearance</v>
      </c>
      <c r="E217" s="7" t="str">
        <f>'Reported burning'!E217</f>
        <v>Cropping, Intensive</v>
      </c>
      <c r="F217" s="7" t="str">
        <f>'Reported burning'!F217</f>
        <v>Forest</v>
      </c>
      <c r="G217" s="7" t="str">
        <f>'Reported burning'!G217</f>
        <v>Forest</v>
      </c>
      <c r="H217" s="7" t="str">
        <f>'Reported burning'!H217</f>
        <v>Presence</v>
      </c>
      <c r="I217" s="4">
        <v>2004</v>
      </c>
      <c r="J217" s="22" t="s">
        <v>2308</v>
      </c>
      <c r="K217" s="110" t="s">
        <v>2308</v>
      </c>
      <c r="L217" s="22" t="s">
        <v>2308</v>
      </c>
      <c r="M217" s="22" t="s">
        <v>2308</v>
      </c>
      <c r="N217" s="22" t="s">
        <v>2308</v>
      </c>
      <c r="O217" s="22" t="s">
        <v>2308</v>
      </c>
      <c r="P217" s="22" t="s">
        <v>2411</v>
      </c>
      <c r="Q217" s="109" t="s">
        <v>2308</v>
      </c>
      <c r="R217" s="109" t="s">
        <v>2308</v>
      </c>
      <c r="S217" s="22" t="s">
        <v>2308</v>
      </c>
      <c r="T217" s="22" t="s">
        <v>2308</v>
      </c>
      <c r="U217" s="22" t="s">
        <v>2308</v>
      </c>
      <c r="V217" s="22" t="s">
        <v>2308</v>
      </c>
      <c r="W217" s="22" t="s">
        <v>2308</v>
      </c>
      <c r="X217" s="4" t="s">
        <v>2308</v>
      </c>
      <c r="Y217" s="4" t="s">
        <v>2308</v>
      </c>
      <c r="Z217" s="4" t="s">
        <v>2308</v>
      </c>
      <c r="AA217" s="5" t="s">
        <v>1421</v>
      </c>
      <c r="AB217" s="5" t="s">
        <v>1478</v>
      </c>
    </row>
    <row r="218" spans="1:28" ht="78.5" customHeight="1">
      <c r="A218" s="7" t="str">
        <f>'Reported burning'!A218</f>
        <v>12b</v>
      </c>
      <c r="B218" s="7" t="str">
        <f>'Reported burning'!B218</f>
        <v>12b.26</v>
      </c>
      <c r="C218" s="7" t="str">
        <f>'Reported burning'!C218</f>
        <v>Human, deliberate</v>
      </c>
      <c r="D218" s="7" t="str">
        <f>'Reported burning'!D218</f>
        <v>Forest clearance</v>
      </c>
      <c r="E218" s="7" t="str">
        <f>'Reported burning'!E218</f>
        <v>Cropping, Intensive</v>
      </c>
      <c r="F218" s="7" t="str">
        <f>'Reported burning'!F218</f>
        <v>Forest</v>
      </c>
      <c r="G218" s="7" t="str">
        <f>'Reported burning'!G218</f>
        <v>Forest</v>
      </c>
      <c r="H218" s="7" t="str">
        <f>'Reported burning'!H218</f>
        <v>Presence</v>
      </c>
      <c r="I218" s="4">
        <v>2005</v>
      </c>
      <c r="J218" s="22" t="s">
        <v>2308</v>
      </c>
      <c r="K218" s="110" t="s">
        <v>2308</v>
      </c>
      <c r="L218" s="22" t="s">
        <v>2308</v>
      </c>
      <c r="M218" s="22" t="s">
        <v>2308</v>
      </c>
      <c r="N218" s="22" t="s">
        <v>2308</v>
      </c>
      <c r="O218" s="22" t="s">
        <v>2308</v>
      </c>
      <c r="P218" s="22" t="s">
        <v>2411</v>
      </c>
      <c r="Q218" s="109" t="s">
        <v>2308</v>
      </c>
      <c r="R218" s="109" t="s">
        <v>2308</v>
      </c>
      <c r="S218" s="22" t="s">
        <v>2308</v>
      </c>
      <c r="T218" s="22" t="s">
        <v>2308</v>
      </c>
      <c r="U218" s="22" t="s">
        <v>2308</v>
      </c>
      <c r="V218" s="22" t="s">
        <v>2308</v>
      </c>
      <c r="W218" s="22" t="s">
        <v>2308</v>
      </c>
      <c r="X218" s="4" t="s">
        <v>2308</v>
      </c>
      <c r="Y218" s="4" t="s">
        <v>2308</v>
      </c>
      <c r="Z218" s="4" t="s">
        <v>2308</v>
      </c>
      <c r="AA218" s="5" t="s">
        <v>1421</v>
      </c>
      <c r="AB218" s="5" t="s">
        <v>1478</v>
      </c>
    </row>
    <row r="219" spans="1:28" ht="78.5" customHeight="1">
      <c r="A219" s="7" t="str">
        <f>'Reported burning'!A219</f>
        <v>12b</v>
      </c>
      <c r="B219" s="7" t="str">
        <f>'Reported burning'!B219</f>
        <v>12b.27</v>
      </c>
      <c r="C219" s="7" t="str">
        <f>'Reported burning'!C219</f>
        <v>Human, deliberate</v>
      </c>
      <c r="D219" s="7" t="str">
        <f>'Reported burning'!D219</f>
        <v>Forest clearance</v>
      </c>
      <c r="E219" s="7" t="str">
        <f>'Reported burning'!E219</f>
        <v>Cropping, Intensive</v>
      </c>
      <c r="F219" s="7" t="str">
        <f>'Reported burning'!F219</f>
        <v>Forest</v>
      </c>
      <c r="G219" s="7" t="str">
        <f>'Reported burning'!G219</f>
        <v>Forest</v>
      </c>
      <c r="H219" s="7" t="str">
        <f>'Reported burning'!H219</f>
        <v>Presence</v>
      </c>
      <c r="I219" s="4">
        <v>2006</v>
      </c>
      <c r="J219" s="22" t="s">
        <v>2308</v>
      </c>
      <c r="K219" s="110" t="s">
        <v>2308</v>
      </c>
      <c r="L219" s="22" t="s">
        <v>2308</v>
      </c>
      <c r="M219" s="22" t="s">
        <v>2308</v>
      </c>
      <c r="N219" s="22" t="s">
        <v>2308</v>
      </c>
      <c r="O219" s="22" t="s">
        <v>2308</v>
      </c>
      <c r="P219" s="22" t="s">
        <v>2411</v>
      </c>
      <c r="Q219" s="109" t="s">
        <v>2308</v>
      </c>
      <c r="R219" s="109" t="s">
        <v>2308</v>
      </c>
      <c r="S219" s="22" t="s">
        <v>2308</v>
      </c>
      <c r="T219" s="22" t="s">
        <v>2308</v>
      </c>
      <c r="U219" s="22" t="s">
        <v>2308</v>
      </c>
      <c r="V219" s="22" t="s">
        <v>2308</v>
      </c>
      <c r="W219" s="22" t="s">
        <v>2308</v>
      </c>
      <c r="X219" s="4" t="s">
        <v>2308</v>
      </c>
      <c r="Y219" s="4" t="s">
        <v>2308</v>
      </c>
      <c r="Z219" s="4" t="s">
        <v>2308</v>
      </c>
      <c r="AA219" s="5" t="s">
        <v>1421</v>
      </c>
      <c r="AB219" s="5" t="s">
        <v>1478</v>
      </c>
    </row>
    <row r="220" spans="1:28" ht="78.5" customHeight="1">
      <c r="A220" s="7" t="str">
        <f>'Reported burning'!A220</f>
        <v>12b</v>
      </c>
      <c r="B220" s="7" t="str">
        <f>'Reported burning'!B220</f>
        <v>12b.28</v>
      </c>
      <c r="C220" s="7" t="str">
        <f>'Reported burning'!C220</f>
        <v>Human, deliberate</v>
      </c>
      <c r="D220" s="7" t="str">
        <f>'Reported burning'!D220</f>
        <v>Forest clearance</v>
      </c>
      <c r="E220" s="7" t="str">
        <f>'Reported burning'!E220</f>
        <v>Cropping, Intensive</v>
      </c>
      <c r="F220" s="7" t="str">
        <f>'Reported burning'!F220</f>
        <v>Forest</v>
      </c>
      <c r="G220" s="7" t="str">
        <f>'Reported burning'!G220</f>
        <v>Forest</v>
      </c>
      <c r="H220" s="7" t="str">
        <f>'Reported burning'!H220</f>
        <v>Presence</v>
      </c>
      <c r="I220" s="4">
        <v>2007</v>
      </c>
      <c r="J220" s="22" t="s">
        <v>2308</v>
      </c>
      <c r="K220" s="110" t="s">
        <v>2308</v>
      </c>
      <c r="L220" s="22" t="s">
        <v>2308</v>
      </c>
      <c r="M220" s="22" t="s">
        <v>2308</v>
      </c>
      <c r="N220" s="22" t="s">
        <v>2308</v>
      </c>
      <c r="O220" s="22" t="s">
        <v>2308</v>
      </c>
      <c r="P220" s="22" t="s">
        <v>2411</v>
      </c>
      <c r="Q220" s="109" t="s">
        <v>2308</v>
      </c>
      <c r="R220" s="109" t="s">
        <v>2308</v>
      </c>
      <c r="S220" s="22" t="s">
        <v>2308</v>
      </c>
      <c r="T220" s="22" t="s">
        <v>2308</v>
      </c>
      <c r="U220" s="22" t="s">
        <v>2308</v>
      </c>
      <c r="V220" s="22" t="s">
        <v>2308</v>
      </c>
      <c r="W220" s="22" t="s">
        <v>2308</v>
      </c>
      <c r="X220" s="4" t="s">
        <v>2308</v>
      </c>
      <c r="Y220" s="4" t="s">
        <v>2308</v>
      </c>
      <c r="Z220" s="4" t="s">
        <v>2308</v>
      </c>
      <c r="AA220" s="5" t="s">
        <v>1421</v>
      </c>
      <c r="AB220" s="5" t="s">
        <v>1478</v>
      </c>
    </row>
    <row r="221" spans="1:28" ht="78.5" customHeight="1">
      <c r="A221" s="7" t="str">
        <f>'Reported burning'!A221</f>
        <v>12b</v>
      </c>
      <c r="B221" s="7" t="str">
        <f>'Reported burning'!B221</f>
        <v>12b.29</v>
      </c>
      <c r="C221" s="7" t="str">
        <f>'Reported burning'!C221</f>
        <v>Human, deliberate</v>
      </c>
      <c r="D221" s="7" t="str">
        <f>'Reported burning'!D221</f>
        <v>Forest clearance</v>
      </c>
      <c r="E221" s="7" t="str">
        <f>'Reported burning'!E221</f>
        <v>Cropping, Intensive</v>
      </c>
      <c r="F221" s="7" t="str">
        <f>'Reported burning'!F221</f>
        <v>Forest</v>
      </c>
      <c r="G221" s="7" t="str">
        <f>'Reported burning'!G221</f>
        <v>Forest</v>
      </c>
      <c r="H221" s="7" t="str">
        <f>'Reported burning'!H221</f>
        <v>Presence</v>
      </c>
      <c r="I221" s="4">
        <v>2008</v>
      </c>
      <c r="J221" s="22" t="s">
        <v>2308</v>
      </c>
      <c r="K221" s="110" t="s">
        <v>2308</v>
      </c>
      <c r="L221" s="22" t="s">
        <v>2308</v>
      </c>
      <c r="M221" s="22" t="s">
        <v>2308</v>
      </c>
      <c r="N221" s="22" t="s">
        <v>2308</v>
      </c>
      <c r="O221" s="22" t="s">
        <v>2308</v>
      </c>
      <c r="P221" s="22" t="s">
        <v>2411</v>
      </c>
      <c r="Q221" s="109" t="s">
        <v>2308</v>
      </c>
      <c r="R221" s="109" t="s">
        <v>2308</v>
      </c>
      <c r="S221" s="22" t="s">
        <v>2308</v>
      </c>
      <c r="T221" s="22" t="s">
        <v>2308</v>
      </c>
      <c r="U221" s="22" t="s">
        <v>2308</v>
      </c>
      <c r="V221" s="22" t="s">
        <v>2308</v>
      </c>
      <c r="W221" s="22" t="s">
        <v>2308</v>
      </c>
      <c r="X221" s="4" t="s">
        <v>2308</v>
      </c>
      <c r="Y221" s="4" t="s">
        <v>2308</v>
      </c>
      <c r="Z221" s="4" t="s">
        <v>2308</v>
      </c>
      <c r="AA221" s="5" t="s">
        <v>1421</v>
      </c>
      <c r="AB221" s="5" t="s">
        <v>1478</v>
      </c>
    </row>
    <row r="222" spans="1:28" ht="78.5" customHeight="1">
      <c r="A222" s="7" t="str">
        <f>'Reported burning'!A222</f>
        <v>12b</v>
      </c>
      <c r="B222" s="7" t="str">
        <f>'Reported burning'!B222</f>
        <v>12b.30</v>
      </c>
      <c r="C222" s="7" t="str">
        <f>'Reported burning'!C222</f>
        <v>Human, deliberate</v>
      </c>
      <c r="D222" s="7" t="str">
        <f>'Reported burning'!D222</f>
        <v>Forest clearance</v>
      </c>
      <c r="E222" s="7" t="str">
        <f>'Reported burning'!E222</f>
        <v>Cropping, Intensive</v>
      </c>
      <c r="F222" s="7" t="str">
        <f>'Reported burning'!F222</f>
        <v>Forest</v>
      </c>
      <c r="G222" s="7" t="str">
        <f>'Reported burning'!G222</f>
        <v>Forest</v>
      </c>
      <c r="H222" s="7" t="str">
        <f>'Reported burning'!H222</f>
        <v>Presence</v>
      </c>
      <c r="I222" s="4">
        <v>2009</v>
      </c>
      <c r="J222" s="22" t="s">
        <v>2308</v>
      </c>
      <c r="K222" s="110" t="s">
        <v>2308</v>
      </c>
      <c r="L222" s="22" t="s">
        <v>2308</v>
      </c>
      <c r="M222" s="22" t="s">
        <v>2308</v>
      </c>
      <c r="N222" s="22" t="s">
        <v>2308</v>
      </c>
      <c r="O222" s="22" t="s">
        <v>2308</v>
      </c>
      <c r="P222" s="22" t="s">
        <v>2410</v>
      </c>
      <c r="Q222" s="109" t="s">
        <v>2308</v>
      </c>
      <c r="R222" s="109" t="s">
        <v>2308</v>
      </c>
      <c r="S222" s="22" t="s">
        <v>2308</v>
      </c>
      <c r="T222" s="22" t="s">
        <v>2308</v>
      </c>
      <c r="U222" s="22" t="s">
        <v>2308</v>
      </c>
      <c r="V222" s="22" t="s">
        <v>2308</v>
      </c>
      <c r="W222" s="22" t="s">
        <v>2308</v>
      </c>
      <c r="X222" s="4" t="s">
        <v>2308</v>
      </c>
      <c r="Y222" s="4" t="s">
        <v>2308</v>
      </c>
      <c r="Z222" s="4" t="s">
        <v>2308</v>
      </c>
      <c r="AA222" s="5" t="s">
        <v>1421</v>
      </c>
      <c r="AB222" s="5" t="s">
        <v>1478</v>
      </c>
    </row>
    <row r="223" spans="1:28" ht="138" customHeight="1">
      <c r="A223" s="7" t="str">
        <f>'Reported burning'!A223</f>
        <v>12b</v>
      </c>
      <c r="B223" s="7" t="str">
        <f>'Reported burning'!B223</f>
        <v>12b.31</v>
      </c>
      <c r="C223" s="7" t="str">
        <f>'Reported burning'!C223</f>
        <v>Human, deliberate</v>
      </c>
      <c r="D223" s="7" t="str">
        <f>'Reported burning'!D223</f>
        <v>Forest clearance</v>
      </c>
      <c r="E223" s="7" t="str">
        <f>'Reported burning'!E223</f>
        <v>Cropping, Intensive</v>
      </c>
      <c r="F223" s="7" t="str">
        <f>'Reported burning'!F223</f>
        <v>Forest</v>
      </c>
      <c r="G223" s="7" t="str">
        <f>'Reported burning'!G223</f>
        <v>Forest</v>
      </c>
      <c r="H223" s="7" t="str">
        <f>'Reported burning'!H223</f>
        <v>Presence</v>
      </c>
      <c r="I223" s="4">
        <v>2010</v>
      </c>
      <c r="J223" s="22" t="s">
        <v>2308</v>
      </c>
      <c r="K223" s="110" t="s">
        <v>2308</v>
      </c>
      <c r="L223" s="22" t="s">
        <v>2308</v>
      </c>
      <c r="M223" s="22" t="s">
        <v>2308</v>
      </c>
      <c r="N223" s="22" t="s">
        <v>2308</v>
      </c>
      <c r="O223" s="22" t="s">
        <v>2308</v>
      </c>
      <c r="P223" s="22" t="s">
        <v>2410</v>
      </c>
      <c r="Q223" s="109" t="s">
        <v>2308</v>
      </c>
      <c r="R223" s="109" t="s">
        <v>2308</v>
      </c>
      <c r="S223" s="22" t="s">
        <v>2308</v>
      </c>
      <c r="T223" s="22" t="s">
        <v>2308</v>
      </c>
      <c r="U223" s="22" t="s">
        <v>2308</v>
      </c>
      <c r="V223" s="22" t="s">
        <v>2308</v>
      </c>
      <c r="W223" s="22" t="s">
        <v>2308</v>
      </c>
      <c r="X223" s="4" t="s">
        <v>2308</v>
      </c>
      <c r="Y223" s="4" t="s">
        <v>2308</v>
      </c>
      <c r="Z223" s="4" t="s">
        <v>2308</v>
      </c>
      <c r="AA223" s="5" t="s">
        <v>1421</v>
      </c>
      <c r="AB223" s="5" t="s">
        <v>1478</v>
      </c>
    </row>
    <row r="224" spans="1:28" ht="102" customHeight="1">
      <c r="A224" s="7" t="str">
        <f>'Reported burning'!A224</f>
        <v>12b</v>
      </c>
      <c r="B224" s="7" t="str">
        <f>'Reported burning'!B224</f>
        <v>12b.32</v>
      </c>
      <c r="C224" s="7" t="str">
        <f>'Reported burning'!C224</f>
        <v>Human, deliberate</v>
      </c>
      <c r="D224" s="7" t="str">
        <f>'Reported burning'!D224</f>
        <v>Forest clearance</v>
      </c>
      <c r="E224" s="7" t="str">
        <f>'Reported burning'!E224</f>
        <v>Cropping, Intensive</v>
      </c>
      <c r="F224" s="7" t="str">
        <f>'Reported burning'!F224</f>
        <v>Forest</v>
      </c>
      <c r="G224" s="7" t="str">
        <f>'Reported burning'!G224</f>
        <v>Forest</v>
      </c>
      <c r="H224" s="7" t="str">
        <f>'Reported burning'!H224</f>
        <v>Presence</v>
      </c>
      <c r="I224" s="4">
        <v>2011</v>
      </c>
      <c r="J224" s="22" t="s">
        <v>2308</v>
      </c>
      <c r="K224" s="110" t="s">
        <v>2308</v>
      </c>
      <c r="L224" s="22" t="s">
        <v>2308</v>
      </c>
      <c r="M224" s="22" t="s">
        <v>2308</v>
      </c>
      <c r="N224" s="22" t="s">
        <v>2308</v>
      </c>
      <c r="O224" s="22" t="s">
        <v>2308</v>
      </c>
      <c r="P224" s="22" t="s">
        <v>2409</v>
      </c>
      <c r="Q224" s="109" t="s">
        <v>2308</v>
      </c>
      <c r="R224" s="109" t="s">
        <v>2308</v>
      </c>
      <c r="S224" s="22" t="s">
        <v>2308</v>
      </c>
      <c r="T224" s="22" t="s">
        <v>2308</v>
      </c>
      <c r="U224" s="22" t="s">
        <v>2308</v>
      </c>
      <c r="V224" s="22" t="s">
        <v>2308</v>
      </c>
      <c r="W224" s="22" t="s">
        <v>2308</v>
      </c>
      <c r="X224" s="4" t="s">
        <v>2308</v>
      </c>
      <c r="Y224" s="4" t="s">
        <v>2308</v>
      </c>
      <c r="Z224" s="4" t="s">
        <v>2308</v>
      </c>
      <c r="AA224" s="5" t="s">
        <v>1421</v>
      </c>
      <c r="AB224" s="5" t="s">
        <v>1478</v>
      </c>
    </row>
    <row r="225" spans="1:28" ht="103" customHeight="1">
      <c r="A225" s="7" t="str">
        <f>'Reported burning'!A225</f>
        <v>12b</v>
      </c>
      <c r="B225" s="7" t="str">
        <f>'Reported burning'!B225</f>
        <v>12b.33</v>
      </c>
      <c r="C225" s="7" t="str">
        <f>'Reported burning'!C225</f>
        <v>Human, deliberate</v>
      </c>
      <c r="D225" s="7" t="str">
        <f>'Reported burning'!D225</f>
        <v>Forest clearance</v>
      </c>
      <c r="E225" s="7" t="str">
        <f>'Reported burning'!E225</f>
        <v>Cropping, Intensive</v>
      </c>
      <c r="F225" s="7" t="str">
        <f>'Reported burning'!F225</f>
        <v>Forest</v>
      </c>
      <c r="G225" s="7" t="str">
        <f>'Reported burning'!G225</f>
        <v>Forest</v>
      </c>
      <c r="H225" s="7" t="str">
        <f>'Reported burning'!H225</f>
        <v>Presence</v>
      </c>
      <c r="I225" s="4">
        <v>2012</v>
      </c>
      <c r="J225" s="22" t="s">
        <v>2308</v>
      </c>
      <c r="K225" s="110" t="s">
        <v>2308</v>
      </c>
      <c r="L225" s="22" t="s">
        <v>2308</v>
      </c>
      <c r="M225" s="22" t="s">
        <v>2308</v>
      </c>
      <c r="N225" s="22" t="s">
        <v>2308</v>
      </c>
      <c r="O225" s="22" t="s">
        <v>2308</v>
      </c>
      <c r="P225" s="22" t="s">
        <v>2410</v>
      </c>
      <c r="Q225" s="109" t="s">
        <v>2308</v>
      </c>
      <c r="R225" s="109" t="s">
        <v>2308</v>
      </c>
      <c r="S225" s="22" t="s">
        <v>2308</v>
      </c>
      <c r="T225" s="22" t="s">
        <v>2308</v>
      </c>
      <c r="U225" s="22" t="s">
        <v>2308</v>
      </c>
      <c r="V225" s="22" t="s">
        <v>2308</v>
      </c>
      <c r="W225" s="22" t="s">
        <v>2308</v>
      </c>
      <c r="X225" s="4" t="s">
        <v>2308</v>
      </c>
      <c r="Y225" s="4" t="s">
        <v>2308</v>
      </c>
      <c r="Z225" s="4" t="s">
        <v>2308</v>
      </c>
      <c r="AA225" s="5" t="s">
        <v>1421</v>
      </c>
      <c r="AB225" s="5" t="s">
        <v>1478</v>
      </c>
    </row>
    <row r="226" spans="1:28" ht="56" customHeight="1">
      <c r="A226" s="7" t="str">
        <f>'Reported burning'!A226</f>
        <v>13a</v>
      </c>
      <c r="B226" s="7" t="str">
        <f>'Reported burning'!B226</f>
        <v>13a.1</v>
      </c>
      <c r="C226" s="7" t="str">
        <f>'Reported burning'!C226</f>
        <v>Human, deliberate</v>
      </c>
      <c r="D226" s="7" t="str">
        <f>'Reported burning'!D226</f>
        <v>Crop field preparation</v>
      </c>
      <c r="E226" s="7" t="str">
        <f>'Reported burning'!E226</f>
        <v>Cropping, Monoculture, Subsistence-oriented</v>
      </c>
      <c r="F226" s="7" t="str">
        <f>'Reported burning'!F226</f>
        <v>Secondary Vegetation</v>
      </c>
      <c r="G226" s="7" t="str">
        <f>'Reported burning'!G226</f>
        <v>ND</v>
      </c>
      <c r="H226" s="7" t="str">
        <f>'Reported burning'!H226</f>
        <v>Presence</v>
      </c>
      <c r="I226" s="4"/>
      <c r="J226" s="22" t="s">
        <v>2308</v>
      </c>
      <c r="K226" s="110" t="s">
        <v>2308</v>
      </c>
      <c r="L226" s="22" t="s">
        <v>2308</v>
      </c>
      <c r="M226" s="22" t="s">
        <v>2308</v>
      </c>
      <c r="N226" s="22" t="s">
        <v>2308</v>
      </c>
      <c r="O226" s="22" t="s">
        <v>2308</v>
      </c>
      <c r="P226" s="22" t="s">
        <v>2308</v>
      </c>
      <c r="Q226" s="109" t="s">
        <v>2308</v>
      </c>
      <c r="R226" s="109" t="s">
        <v>2308</v>
      </c>
      <c r="S226" s="22" t="s">
        <v>2308</v>
      </c>
      <c r="T226" s="22" t="s">
        <v>2308</v>
      </c>
      <c r="U226" s="22" t="s">
        <v>2308</v>
      </c>
      <c r="V226" s="22" t="s">
        <v>2308</v>
      </c>
      <c r="W226" s="22" t="s">
        <v>2308</v>
      </c>
      <c r="X226" s="4" t="s">
        <v>194</v>
      </c>
      <c r="Y226" s="4" t="s">
        <v>195</v>
      </c>
      <c r="Z226" s="4" t="s">
        <v>64</v>
      </c>
      <c r="AA226" s="4"/>
      <c r="AB226" s="5" t="s">
        <v>1482</v>
      </c>
    </row>
    <row r="227" spans="1:28" ht="52.5" customHeight="1">
      <c r="A227" s="7" t="str">
        <f>'Reported burning'!A227</f>
        <v>13b</v>
      </c>
      <c r="B227" s="7" t="str">
        <f>'Reported burning'!B227</f>
        <v>13a.2</v>
      </c>
      <c r="C227" s="7" t="str">
        <f>'Reported burning'!C227</f>
        <v>Human, deliberate</v>
      </c>
      <c r="D227" s="7" t="str">
        <f>'Reported burning'!D227</f>
        <v>Crop field preparation</v>
      </c>
      <c r="E227" s="7" t="str">
        <f>'Reported burning'!E227</f>
        <v>Cropping, Swidden</v>
      </c>
      <c r="F227" s="7" t="str">
        <f>'Reported burning'!F227</f>
        <v>Secondary Vegetation</v>
      </c>
      <c r="G227" s="7" t="str">
        <f>'Reported burning'!G227</f>
        <v>ND</v>
      </c>
      <c r="H227" s="7" t="str">
        <f>'Reported burning'!H227</f>
        <v>Presence</v>
      </c>
      <c r="I227" s="4"/>
      <c r="J227" s="22" t="s">
        <v>2308</v>
      </c>
      <c r="K227" s="110" t="s">
        <v>2308</v>
      </c>
      <c r="L227" s="22" t="s">
        <v>2308</v>
      </c>
      <c r="M227" s="22" t="s">
        <v>2308</v>
      </c>
      <c r="N227" s="22" t="s">
        <v>2308</v>
      </c>
      <c r="O227" s="22" t="s">
        <v>2308</v>
      </c>
      <c r="P227" s="22" t="s">
        <v>2308</v>
      </c>
      <c r="Q227" s="109" t="s">
        <v>2308</v>
      </c>
      <c r="R227" s="109" t="s">
        <v>2308</v>
      </c>
      <c r="S227" s="22" t="s">
        <v>2308</v>
      </c>
      <c r="T227" s="22" t="s">
        <v>2308</v>
      </c>
      <c r="U227" s="22" t="s">
        <v>2308</v>
      </c>
      <c r="V227" s="22" t="s">
        <v>2308</v>
      </c>
      <c r="W227" s="22" t="s">
        <v>2308</v>
      </c>
      <c r="X227" s="4" t="s">
        <v>194</v>
      </c>
      <c r="Y227" s="4" t="s">
        <v>195</v>
      </c>
      <c r="Z227" s="4" t="s">
        <v>64</v>
      </c>
      <c r="AA227" s="4"/>
      <c r="AB227" s="5" t="s">
        <v>1482</v>
      </c>
    </row>
    <row r="228" spans="1:28" ht="59.5" customHeight="1">
      <c r="A228" s="7" t="str">
        <f>'Reported burning'!A228</f>
        <v>13c</v>
      </c>
      <c r="B228" s="7" t="str">
        <f>'Reported burning'!B228</f>
        <v>13a.3</v>
      </c>
      <c r="C228" s="7" t="str">
        <f>'Reported burning'!C228</f>
        <v>Human, deliberate</v>
      </c>
      <c r="D228" s="7" t="str">
        <f>'Reported burning'!D228</f>
        <v>Crop field preparation</v>
      </c>
      <c r="E228" s="7" t="str">
        <f>'Reported burning'!E228</f>
        <v>Cropping, Swidden</v>
      </c>
      <c r="F228" s="7" t="str">
        <f>'Reported burning'!F228</f>
        <v>Secondary Vegetation</v>
      </c>
      <c r="G228" s="7" t="str">
        <f>'Reported burning'!G228</f>
        <v>ND</v>
      </c>
      <c r="H228" s="7" t="str">
        <f>'Reported burning'!H228</f>
        <v>Presence</v>
      </c>
      <c r="I228" s="4"/>
      <c r="J228" s="22" t="s">
        <v>2308</v>
      </c>
      <c r="K228" s="110" t="s">
        <v>2308</v>
      </c>
      <c r="L228" s="22" t="s">
        <v>2308</v>
      </c>
      <c r="M228" s="22" t="s">
        <v>2308</v>
      </c>
      <c r="N228" s="22" t="s">
        <v>2308</v>
      </c>
      <c r="O228" s="22" t="s">
        <v>2308</v>
      </c>
      <c r="P228" s="22" t="s">
        <v>2308</v>
      </c>
      <c r="Q228" s="109" t="s">
        <v>2308</v>
      </c>
      <c r="R228" s="109" t="s">
        <v>2308</v>
      </c>
      <c r="S228" s="22" t="s">
        <v>2308</v>
      </c>
      <c r="T228" s="22" t="s">
        <v>2308</v>
      </c>
      <c r="U228" s="22" t="s">
        <v>2308</v>
      </c>
      <c r="V228" s="22" t="s">
        <v>2308</v>
      </c>
      <c r="W228" s="22" t="s">
        <v>2308</v>
      </c>
      <c r="X228" s="4" t="s">
        <v>194</v>
      </c>
      <c r="Y228" s="4" t="s">
        <v>195</v>
      </c>
      <c r="Z228" s="4" t="s">
        <v>64</v>
      </c>
      <c r="AA228" s="4"/>
      <c r="AB228" s="5" t="s">
        <v>1482</v>
      </c>
    </row>
    <row r="229" spans="1:28" ht="84" customHeight="1">
      <c r="A229" s="7" t="str">
        <f>'Reported burning'!A229</f>
        <v>14a</v>
      </c>
      <c r="B229" s="7" t="str">
        <f>'Reported burning'!B229</f>
        <v>14a.1</v>
      </c>
      <c r="C229" s="7" t="str">
        <f>'Reported burning'!C229</f>
        <v>Human, deliberate</v>
      </c>
      <c r="D229" s="7" t="str">
        <f>'Reported burning'!D229</f>
        <v>Crop field preparation</v>
      </c>
      <c r="E229" s="7" t="str">
        <f>'Reported burning'!E229</f>
        <v>Cropping, Monoculture, Market-oriented</v>
      </c>
      <c r="F229" s="7" t="str">
        <f>'Reported burning'!F229</f>
        <v>Secondary Vegetation</v>
      </c>
      <c r="G229" s="7">
        <f>'Reported burning'!G229</f>
        <v>0</v>
      </c>
      <c r="H229" s="7" t="str">
        <f>'Reported burning'!H229</f>
        <v>Presence</v>
      </c>
      <c r="I229" s="4"/>
      <c r="J229" s="22" t="s">
        <v>2308</v>
      </c>
      <c r="K229" s="110" t="s">
        <v>2308</v>
      </c>
      <c r="L229" s="22" t="s">
        <v>2308</v>
      </c>
      <c r="M229" s="22" t="s">
        <v>2308</v>
      </c>
      <c r="N229" s="22" t="s">
        <v>2308</v>
      </c>
      <c r="O229" s="22" t="s">
        <v>2308</v>
      </c>
      <c r="P229" s="22" t="s">
        <v>2308</v>
      </c>
      <c r="Q229" s="109" t="s">
        <v>2308</v>
      </c>
      <c r="R229" s="109" t="s">
        <v>2308</v>
      </c>
      <c r="S229" s="22" t="s">
        <v>2308</v>
      </c>
      <c r="T229" s="22" t="s">
        <v>2308</v>
      </c>
      <c r="U229" s="22" t="s">
        <v>2308</v>
      </c>
      <c r="V229" s="22" t="s">
        <v>2308</v>
      </c>
      <c r="W229" s="22" t="s">
        <v>2435</v>
      </c>
      <c r="X229" s="4" t="s">
        <v>195</v>
      </c>
      <c r="Y229" s="4" t="s">
        <v>38</v>
      </c>
      <c r="Z229" s="4" t="s">
        <v>64</v>
      </c>
      <c r="AA229" s="5" t="s">
        <v>386</v>
      </c>
      <c r="AB229" s="5" t="s">
        <v>401</v>
      </c>
    </row>
    <row r="230" spans="1:28" ht="90.5" customHeight="1">
      <c r="A230" s="7" t="str">
        <f>'Reported burning'!A230</f>
        <v>14a</v>
      </c>
      <c r="B230" s="7" t="str">
        <f>'Reported burning'!B230</f>
        <v>14a.2</v>
      </c>
      <c r="C230" s="7" t="str">
        <f>'Reported burning'!C230</f>
        <v>Human, deliberate</v>
      </c>
      <c r="D230" s="7" t="str">
        <f>'Reported burning'!D230</f>
        <v>Crop field preparation</v>
      </c>
      <c r="E230" s="7" t="str">
        <f>'Reported burning'!E230</f>
        <v>Cropping, Monoculture, Subsistence-oriented</v>
      </c>
      <c r="F230" s="7" t="str">
        <f>'Reported burning'!F230</f>
        <v>Secondary Vegetation</v>
      </c>
      <c r="G230" s="7">
        <f>'Reported burning'!G230</f>
        <v>0</v>
      </c>
      <c r="H230" s="7" t="str">
        <f>'Reported burning'!H230</f>
        <v>Presence</v>
      </c>
      <c r="I230" s="4"/>
      <c r="J230" s="22" t="s">
        <v>2308</v>
      </c>
      <c r="K230" s="110" t="s">
        <v>2308</v>
      </c>
      <c r="L230" s="22" t="s">
        <v>2308</v>
      </c>
      <c r="M230" s="22" t="s">
        <v>2308</v>
      </c>
      <c r="N230" s="22" t="s">
        <v>2308</v>
      </c>
      <c r="O230" s="22" t="s">
        <v>2308</v>
      </c>
      <c r="P230" s="22" t="s">
        <v>2308</v>
      </c>
      <c r="Q230" s="109" t="s">
        <v>2308</v>
      </c>
      <c r="R230" s="109" t="s">
        <v>2308</v>
      </c>
      <c r="S230" s="22" t="s">
        <v>2308</v>
      </c>
      <c r="T230" s="22" t="s">
        <v>2308</v>
      </c>
      <c r="U230" s="22" t="s">
        <v>2308</v>
      </c>
      <c r="V230" s="22" t="s">
        <v>2308</v>
      </c>
      <c r="W230" s="22" t="s">
        <v>2434</v>
      </c>
      <c r="X230" s="4" t="s">
        <v>195</v>
      </c>
      <c r="Y230" s="4" t="s">
        <v>38</v>
      </c>
      <c r="Z230" s="4" t="s">
        <v>64</v>
      </c>
      <c r="AA230" s="5" t="s">
        <v>387</v>
      </c>
      <c r="AB230" s="5" t="s">
        <v>401</v>
      </c>
    </row>
    <row r="231" spans="1:28" ht="76.5" customHeight="1">
      <c r="A231" s="7" t="str">
        <f>'Reported burning'!A231</f>
        <v>15a</v>
      </c>
      <c r="B231" s="7" t="str">
        <f>'Reported burning'!B231</f>
        <v>15a.1</v>
      </c>
      <c r="C231" s="7" t="str">
        <f>'Reported burning'!C231</f>
        <v>Human, deliberate</v>
      </c>
      <c r="D231" s="7" t="str">
        <f>'Reported burning'!D231</f>
        <v>Crop field preparation</v>
      </c>
      <c r="E231" s="7" t="str">
        <f>'Reported burning'!E231</f>
        <v>Cropping, Monoculture, Subsistence-oriented</v>
      </c>
      <c r="F231" s="7" t="str">
        <f>'Reported burning'!F231</f>
        <v>Cropland</v>
      </c>
      <c r="G231" s="7" t="str">
        <f>'Reported burning'!G231</f>
        <v>ND</v>
      </c>
      <c r="H231" s="7" t="str">
        <f>'Reported burning'!H231</f>
        <v>Absence</v>
      </c>
      <c r="I231" s="4"/>
      <c r="J231" s="22" t="s">
        <v>2396</v>
      </c>
      <c r="K231" s="110" t="s">
        <v>2396</v>
      </c>
      <c r="L231" s="22" t="s">
        <v>2396</v>
      </c>
      <c r="M231" s="22" t="s">
        <v>2396</v>
      </c>
      <c r="N231" s="22" t="s">
        <v>2396</v>
      </c>
      <c r="O231" s="22" t="s">
        <v>2396</v>
      </c>
      <c r="P231" s="22" t="s">
        <v>2396</v>
      </c>
      <c r="Q231" s="109" t="s">
        <v>2308</v>
      </c>
      <c r="R231" s="109" t="s">
        <v>2308</v>
      </c>
      <c r="S231" s="22" t="s">
        <v>2396</v>
      </c>
      <c r="T231" s="22" t="s">
        <v>2396</v>
      </c>
      <c r="U231" s="22" t="s">
        <v>2396</v>
      </c>
      <c r="V231" s="22" t="s">
        <v>2396</v>
      </c>
      <c r="W231" s="22" t="s">
        <v>2308</v>
      </c>
      <c r="X231" s="4" t="s">
        <v>407</v>
      </c>
      <c r="Y231" s="4" t="s">
        <v>406</v>
      </c>
      <c r="Z231" s="4" t="s">
        <v>64</v>
      </c>
      <c r="AA231" s="4"/>
      <c r="AB231" s="11"/>
    </row>
    <row r="232" spans="1:28" ht="108" customHeight="1">
      <c r="A232" s="7" t="str">
        <f>'Reported burning'!A232</f>
        <v>15a</v>
      </c>
      <c r="B232" s="7" t="str">
        <f>'Reported burning'!B232</f>
        <v>15a.2</v>
      </c>
      <c r="C232" s="7" t="str">
        <f>'Reported burning'!C232</f>
        <v>Human, deliberate</v>
      </c>
      <c r="D232" s="7" t="str">
        <f>'Reported burning'!D232</f>
        <v>Crop field preparation</v>
      </c>
      <c r="E232" s="7" t="str">
        <f>'Reported burning'!E232</f>
        <v>Cropping, Swidden</v>
      </c>
      <c r="F232" s="7" t="str">
        <f>'Reported burning'!F232</f>
        <v>Secondary Vegetation</v>
      </c>
      <c r="G232" s="7" t="str">
        <f>'Reported burning'!G232</f>
        <v>ND</v>
      </c>
      <c r="H232" s="7" t="str">
        <f>'Reported burning'!H232</f>
        <v>Presence</v>
      </c>
      <c r="I232" s="4"/>
      <c r="J232" s="22" t="s">
        <v>2308</v>
      </c>
      <c r="K232" s="110" t="s">
        <v>2308</v>
      </c>
      <c r="L232" s="22" t="s">
        <v>2308</v>
      </c>
      <c r="M232" s="22" t="s">
        <v>2308</v>
      </c>
      <c r="N232" s="22" t="s">
        <v>2308</v>
      </c>
      <c r="O232" s="22" t="s">
        <v>2308</v>
      </c>
      <c r="P232" s="22" t="s">
        <v>2308</v>
      </c>
      <c r="Q232" s="109" t="s">
        <v>2308</v>
      </c>
      <c r="R232" s="109" t="s">
        <v>2308</v>
      </c>
      <c r="S232" s="22" t="s">
        <v>2408</v>
      </c>
      <c r="T232" s="22" t="s">
        <v>2308</v>
      </c>
      <c r="U232" s="22" t="s">
        <v>2406</v>
      </c>
      <c r="V232" s="22" t="s">
        <v>2308</v>
      </c>
      <c r="W232" s="22" t="s">
        <v>2308</v>
      </c>
      <c r="X232" s="4" t="s">
        <v>407</v>
      </c>
      <c r="Y232" s="4" t="s">
        <v>406</v>
      </c>
      <c r="Z232" s="4" t="s">
        <v>64</v>
      </c>
      <c r="AA232" s="4"/>
      <c r="AB232" s="11" t="s">
        <v>2440</v>
      </c>
    </row>
    <row r="233" spans="1:28" ht="76.5" customHeight="1">
      <c r="A233" s="7" t="str">
        <f>'Reported burning'!A233</f>
        <v>15a</v>
      </c>
      <c r="B233" s="7" t="str">
        <f>'Reported burning'!B233</f>
        <v>15a.3</v>
      </c>
      <c r="C233" s="7" t="str">
        <f>'Reported burning'!C233</f>
        <v>Human, deliberate</v>
      </c>
      <c r="D233" s="7" t="str">
        <f>'Reported burning'!D233</f>
        <v>Cultural &amp; Spiritual</v>
      </c>
      <c r="E233" s="7" t="str">
        <f>'Reported burning'!E233</f>
        <v>Cropping, Swidden</v>
      </c>
      <c r="F233" s="7" t="str">
        <f>'Reported burning'!F233</f>
        <v>Secondary Vegetation</v>
      </c>
      <c r="G233" s="7" t="str">
        <f>'Reported burning'!G233</f>
        <v>ND</v>
      </c>
      <c r="H233" s="7" t="str">
        <f>'Reported burning'!H233</f>
        <v>Presence</v>
      </c>
      <c r="I233" s="4"/>
      <c r="J233" s="22" t="s">
        <v>2308</v>
      </c>
      <c r="K233" s="110" t="s">
        <v>2308</v>
      </c>
      <c r="L233" s="22" t="s">
        <v>2308</v>
      </c>
      <c r="M233" s="22" t="s">
        <v>2308</v>
      </c>
      <c r="N233" s="22" t="s">
        <v>2308</v>
      </c>
      <c r="O233" s="22" t="s">
        <v>2308</v>
      </c>
      <c r="P233" s="22" t="s">
        <v>2308</v>
      </c>
      <c r="Q233" s="109" t="s">
        <v>2308</v>
      </c>
      <c r="R233" s="109" t="s">
        <v>2308</v>
      </c>
      <c r="S233" s="22" t="s">
        <v>2308</v>
      </c>
      <c r="T233" s="22" t="s">
        <v>2308</v>
      </c>
      <c r="U233" s="22" t="s">
        <v>2308</v>
      </c>
      <c r="V233" s="22" t="s">
        <v>2308</v>
      </c>
      <c r="W233" s="22" t="s">
        <v>2308</v>
      </c>
      <c r="X233" s="4" t="s">
        <v>411</v>
      </c>
      <c r="Y233" s="4" t="s">
        <v>412</v>
      </c>
      <c r="Z233" s="4" t="s">
        <v>64</v>
      </c>
      <c r="AA233" s="5" t="s">
        <v>415</v>
      </c>
      <c r="AB233" s="11" t="s">
        <v>416</v>
      </c>
    </row>
    <row r="234" spans="1:28" ht="76.5" customHeight="1">
      <c r="A234" s="7" t="str">
        <f>'Reported burning'!A234</f>
        <v>15a</v>
      </c>
      <c r="B234" s="7" t="str">
        <f>'Reported burning'!B234</f>
        <v>15a.4</v>
      </c>
      <c r="C234" s="7" t="str">
        <f>'Reported burning'!C234</f>
        <v>Human, deliberate</v>
      </c>
      <c r="D234" s="7" t="str">
        <f>'Reported burning'!D234</f>
        <v>Pest management</v>
      </c>
      <c r="E234" s="7" t="str">
        <f>'Reported burning'!E234</f>
        <v>Cropping, Swidden</v>
      </c>
      <c r="F234" s="7" t="str">
        <f>'Reported burning'!F234</f>
        <v>Shrubland (Mixed forest &amp; grassland)</v>
      </c>
      <c r="G234" s="7" t="str">
        <f>'Reported burning'!G234</f>
        <v>ND</v>
      </c>
      <c r="H234" s="7" t="str">
        <f>'Reported burning'!H234</f>
        <v>Presence</v>
      </c>
      <c r="I234" s="4"/>
      <c r="J234" s="22" t="s">
        <v>2308</v>
      </c>
      <c r="K234" s="110" t="s">
        <v>2308</v>
      </c>
      <c r="L234" s="22" t="s">
        <v>2308</v>
      </c>
      <c r="M234" s="22" t="s">
        <v>2308</v>
      </c>
      <c r="N234" s="22" t="s">
        <v>2308</v>
      </c>
      <c r="O234" s="22" t="s">
        <v>2308</v>
      </c>
      <c r="P234" s="22" t="s">
        <v>2308</v>
      </c>
      <c r="Q234" s="109" t="s">
        <v>2308</v>
      </c>
      <c r="R234" s="109" t="s">
        <v>2308</v>
      </c>
      <c r="S234" s="22" t="s">
        <v>2308</v>
      </c>
      <c r="T234" s="22" t="s">
        <v>2308</v>
      </c>
      <c r="U234" s="22" t="s">
        <v>2308</v>
      </c>
      <c r="V234" s="22" t="s">
        <v>2308</v>
      </c>
      <c r="W234" s="22" t="s">
        <v>2308</v>
      </c>
      <c r="X234" s="4" t="s">
        <v>411</v>
      </c>
      <c r="Y234" s="4" t="s">
        <v>412</v>
      </c>
      <c r="Z234" s="4" t="s">
        <v>64</v>
      </c>
      <c r="AA234" s="5" t="s">
        <v>415</v>
      </c>
      <c r="AB234" s="11" t="s">
        <v>416</v>
      </c>
    </row>
    <row r="235" spans="1:28" ht="97" customHeight="1">
      <c r="A235" s="7" t="str">
        <f>'Reported burning'!A235</f>
        <v>15b</v>
      </c>
      <c r="B235" s="7" t="str">
        <f>'Reported burning'!B235</f>
        <v>15b.1</v>
      </c>
      <c r="C235" s="7" t="str">
        <f>'Reported burning'!C235</f>
        <v>Human, deliberate</v>
      </c>
      <c r="D235" s="7" t="str">
        <f>'Reported burning'!D235</f>
        <v>Crop field preparation</v>
      </c>
      <c r="E235" s="7" t="str">
        <f>'Reported burning'!E235</f>
        <v>Cropping, Monoculture, Subsistence-oriented</v>
      </c>
      <c r="F235" s="7" t="str">
        <f>'Reported burning'!F235</f>
        <v>Cropland</v>
      </c>
      <c r="G235" s="7" t="str">
        <f>'Reported burning'!G235</f>
        <v>ND</v>
      </c>
      <c r="H235" s="7" t="str">
        <f>'Reported burning'!H235</f>
        <v>Absence</v>
      </c>
      <c r="I235" s="4"/>
      <c r="J235" s="22" t="s">
        <v>2396</v>
      </c>
      <c r="K235" s="110" t="s">
        <v>2396</v>
      </c>
      <c r="L235" s="22" t="s">
        <v>2396</v>
      </c>
      <c r="M235" s="22" t="s">
        <v>2396</v>
      </c>
      <c r="N235" s="22" t="s">
        <v>2396</v>
      </c>
      <c r="O235" s="22" t="s">
        <v>2396</v>
      </c>
      <c r="P235" s="22" t="s">
        <v>2396</v>
      </c>
      <c r="Q235" s="109" t="s">
        <v>2308</v>
      </c>
      <c r="R235" s="109" t="s">
        <v>2308</v>
      </c>
      <c r="S235" s="22" t="s">
        <v>2396</v>
      </c>
      <c r="T235" s="22" t="s">
        <v>2396</v>
      </c>
      <c r="U235" s="22" t="s">
        <v>2396</v>
      </c>
      <c r="V235" s="22" t="s">
        <v>2396</v>
      </c>
      <c r="W235" s="22" t="s">
        <v>2308</v>
      </c>
      <c r="X235" s="4" t="s">
        <v>407</v>
      </c>
      <c r="Y235" s="4" t="s">
        <v>406</v>
      </c>
      <c r="Z235" s="4" t="s">
        <v>64</v>
      </c>
      <c r="AA235" s="4"/>
      <c r="AB235" s="11" t="s">
        <v>422</v>
      </c>
    </row>
    <row r="236" spans="1:28" ht="103" customHeight="1">
      <c r="A236" s="7" t="str">
        <f>'Reported burning'!A236</f>
        <v>15b</v>
      </c>
      <c r="B236" s="7" t="str">
        <f>'Reported burning'!B236</f>
        <v>15b.2</v>
      </c>
      <c r="C236" s="7" t="str">
        <f>'Reported burning'!C236</f>
        <v>Human, deliberate</v>
      </c>
      <c r="D236" s="7" t="str">
        <f>'Reported burning'!D236</f>
        <v>Crop field preparation</v>
      </c>
      <c r="E236" s="7" t="str">
        <f>'Reported burning'!E236</f>
        <v>Cropping, Swidden</v>
      </c>
      <c r="F236" s="7" t="str">
        <f>'Reported burning'!F236</f>
        <v>Secondary Vegetation</v>
      </c>
      <c r="G236" s="7" t="str">
        <f>'Reported burning'!G236</f>
        <v>ND</v>
      </c>
      <c r="H236" s="7" t="str">
        <f>'Reported burning'!H236</f>
        <v>Presence</v>
      </c>
      <c r="I236" s="4"/>
      <c r="J236" s="22" t="s">
        <v>2308</v>
      </c>
      <c r="K236" s="110" t="s">
        <v>2308</v>
      </c>
      <c r="L236" s="22" t="s">
        <v>2308</v>
      </c>
      <c r="M236" s="22" t="s">
        <v>2308</v>
      </c>
      <c r="N236" s="22" t="s">
        <v>2308</v>
      </c>
      <c r="O236" s="22" t="s">
        <v>2308</v>
      </c>
      <c r="P236" s="22" t="s">
        <v>2308</v>
      </c>
      <c r="Q236" s="109" t="s">
        <v>2308</v>
      </c>
      <c r="R236" s="109" t="s">
        <v>2308</v>
      </c>
      <c r="S236" s="22" t="s">
        <v>2406</v>
      </c>
      <c r="T236" s="22" t="s">
        <v>2308</v>
      </c>
      <c r="U236" s="22" t="s">
        <v>2560</v>
      </c>
      <c r="V236" s="22" t="s">
        <v>2308</v>
      </c>
      <c r="W236" s="22" t="s">
        <v>2308</v>
      </c>
      <c r="X236" s="4" t="s">
        <v>407</v>
      </c>
      <c r="Y236" s="4" t="s">
        <v>406</v>
      </c>
      <c r="Z236" s="4" t="s">
        <v>64</v>
      </c>
      <c r="AA236" s="4"/>
      <c r="AB236" s="11" t="s">
        <v>422</v>
      </c>
    </row>
    <row r="237" spans="1:28" ht="66.5" customHeight="1">
      <c r="A237" s="7" t="str">
        <f>'Reported burning'!A237</f>
        <v>15b</v>
      </c>
      <c r="B237" s="7" t="str">
        <f>'Reported burning'!B237</f>
        <v>15b.3</v>
      </c>
      <c r="C237" s="7" t="str">
        <f>'Reported burning'!C237</f>
        <v>Human, deliberate</v>
      </c>
      <c r="D237" s="7" t="str">
        <f>'Reported burning'!D237</f>
        <v>Cultural &amp; Spiritual</v>
      </c>
      <c r="E237" s="7" t="str">
        <f>'Reported burning'!E237</f>
        <v>Cropping, Swidden</v>
      </c>
      <c r="F237" s="7" t="str">
        <f>'Reported burning'!F237</f>
        <v>Secondary Vegetation</v>
      </c>
      <c r="G237" s="7" t="str">
        <f>'Reported burning'!G237</f>
        <v>ND</v>
      </c>
      <c r="H237" s="7" t="str">
        <f>'Reported burning'!H237</f>
        <v>Presence</v>
      </c>
      <c r="I237" s="4"/>
      <c r="J237" s="22" t="s">
        <v>2308</v>
      </c>
      <c r="K237" s="110" t="s">
        <v>2308</v>
      </c>
      <c r="L237" s="22" t="s">
        <v>2308</v>
      </c>
      <c r="M237" s="22" t="s">
        <v>2308</v>
      </c>
      <c r="N237" s="22" t="s">
        <v>2308</v>
      </c>
      <c r="O237" s="22" t="s">
        <v>2308</v>
      </c>
      <c r="P237" s="22" t="s">
        <v>2308</v>
      </c>
      <c r="Q237" s="109" t="s">
        <v>2308</v>
      </c>
      <c r="R237" s="109" t="s">
        <v>2308</v>
      </c>
      <c r="S237" s="22" t="s">
        <v>2308</v>
      </c>
      <c r="T237" s="22" t="s">
        <v>2308</v>
      </c>
      <c r="U237" s="22" t="s">
        <v>2308</v>
      </c>
      <c r="V237" s="22" t="s">
        <v>2308</v>
      </c>
      <c r="W237" s="22" t="s">
        <v>2308</v>
      </c>
      <c r="X237" s="4" t="s">
        <v>411</v>
      </c>
      <c r="Y237" s="4" t="s">
        <v>412</v>
      </c>
      <c r="Z237" s="4" t="s">
        <v>64</v>
      </c>
      <c r="AA237" s="5" t="s">
        <v>415</v>
      </c>
      <c r="AB237" s="11" t="s">
        <v>416</v>
      </c>
    </row>
    <row r="238" spans="1:28" ht="73" customHeight="1">
      <c r="A238" s="7" t="str">
        <f>'Reported burning'!A238</f>
        <v>15c</v>
      </c>
      <c r="B238" s="7" t="str">
        <f>'Reported burning'!B238</f>
        <v>15c.1</v>
      </c>
      <c r="C238" s="7" t="str">
        <f>'Reported burning'!C238</f>
        <v>Human, deliberate</v>
      </c>
      <c r="D238" s="7" t="str">
        <f>'Reported burning'!D238</f>
        <v>Crop field preparation</v>
      </c>
      <c r="E238" s="7" t="str">
        <f>'Reported burning'!E238</f>
        <v>Cropping, Monoculture, Subsistence-oriented</v>
      </c>
      <c r="F238" s="7" t="str">
        <f>'Reported burning'!F238</f>
        <v>Cropland</v>
      </c>
      <c r="G238" s="7" t="str">
        <f>'Reported burning'!G238</f>
        <v>ND</v>
      </c>
      <c r="H238" s="7" t="str">
        <f>'Reported burning'!H238</f>
        <v>Absence</v>
      </c>
      <c r="I238" s="4"/>
      <c r="J238" s="22" t="s">
        <v>2396</v>
      </c>
      <c r="K238" s="110" t="s">
        <v>2396</v>
      </c>
      <c r="L238" s="22" t="s">
        <v>2396</v>
      </c>
      <c r="M238" s="22" t="s">
        <v>2396</v>
      </c>
      <c r="N238" s="22" t="s">
        <v>2396</v>
      </c>
      <c r="O238" s="22" t="s">
        <v>2396</v>
      </c>
      <c r="P238" s="22" t="s">
        <v>2396</v>
      </c>
      <c r="Q238" s="109" t="s">
        <v>2308</v>
      </c>
      <c r="R238" s="109" t="s">
        <v>2308</v>
      </c>
      <c r="S238" s="22" t="s">
        <v>2396</v>
      </c>
      <c r="T238" s="22" t="s">
        <v>2396</v>
      </c>
      <c r="U238" s="22" t="s">
        <v>2396</v>
      </c>
      <c r="V238" s="22" t="s">
        <v>2396</v>
      </c>
      <c r="W238" s="22" t="s">
        <v>2308</v>
      </c>
      <c r="X238" s="4" t="s">
        <v>407</v>
      </c>
      <c r="Y238" s="4" t="s">
        <v>406</v>
      </c>
      <c r="Z238" s="4" t="s">
        <v>64</v>
      </c>
      <c r="AA238" s="11" t="s">
        <v>408</v>
      </c>
      <c r="AB238" s="11"/>
    </row>
    <row r="239" spans="1:28" ht="73" customHeight="1">
      <c r="A239" s="7" t="str">
        <f>'Reported burning'!A239</f>
        <v>15c</v>
      </c>
      <c r="B239" s="7" t="str">
        <f>'Reported burning'!B239</f>
        <v>15c.2</v>
      </c>
      <c r="C239" s="7" t="str">
        <f>'Reported burning'!C239</f>
        <v>Human, deliberate</v>
      </c>
      <c r="D239" s="7" t="str">
        <f>'Reported burning'!D239</f>
        <v>Crop field preparation</v>
      </c>
      <c r="E239" s="7" t="str">
        <f>'Reported burning'!E239</f>
        <v>Cropping, Swidden</v>
      </c>
      <c r="F239" s="7" t="str">
        <f>'Reported burning'!F239</f>
        <v>Secondary Vegetation</v>
      </c>
      <c r="G239" s="7" t="str">
        <f>'Reported burning'!G239</f>
        <v>ND</v>
      </c>
      <c r="H239" s="7" t="str">
        <f>'Reported burning'!H239</f>
        <v>Absence</v>
      </c>
      <c r="I239" s="4"/>
      <c r="J239" s="22" t="s">
        <v>2396</v>
      </c>
      <c r="K239" s="110" t="s">
        <v>2396</v>
      </c>
      <c r="L239" s="22" t="s">
        <v>2396</v>
      </c>
      <c r="M239" s="22" t="s">
        <v>2396</v>
      </c>
      <c r="N239" s="22" t="s">
        <v>2396</v>
      </c>
      <c r="O239" s="22" t="s">
        <v>2396</v>
      </c>
      <c r="P239" s="22" t="s">
        <v>2396</v>
      </c>
      <c r="Q239" s="109" t="s">
        <v>2308</v>
      </c>
      <c r="R239" s="109" t="s">
        <v>2308</v>
      </c>
      <c r="S239" s="22" t="s">
        <v>2396</v>
      </c>
      <c r="T239" s="22" t="s">
        <v>2396</v>
      </c>
      <c r="U239" s="22" t="s">
        <v>2396</v>
      </c>
      <c r="V239" s="22" t="s">
        <v>2396</v>
      </c>
      <c r="W239" s="22" t="s">
        <v>2308</v>
      </c>
      <c r="X239" s="4" t="s">
        <v>407</v>
      </c>
      <c r="Y239" s="4" t="s">
        <v>406</v>
      </c>
      <c r="Z239" s="4" t="s">
        <v>64</v>
      </c>
      <c r="AA239" s="11" t="s">
        <v>1489</v>
      </c>
      <c r="AB239" s="11"/>
    </row>
    <row r="240" spans="1:28" ht="108" customHeight="1">
      <c r="A240" s="7" t="str">
        <f>'Reported burning'!A240</f>
        <v>15d</v>
      </c>
      <c r="B240" s="7" t="str">
        <f>'Reported burning'!B240</f>
        <v>15d.1</v>
      </c>
      <c r="C240" s="7" t="str">
        <f>'Reported burning'!C240</f>
        <v>Human, deliberate</v>
      </c>
      <c r="D240" s="7" t="str">
        <f>'Reported burning'!D240</f>
        <v>Crop field preparation</v>
      </c>
      <c r="E240" s="7" t="str">
        <f>'Reported burning'!E240</f>
        <v>Cropping, Monoculture, Subsistence-oriented</v>
      </c>
      <c r="F240" s="7" t="str">
        <f>'Reported burning'!F240</f>
        <v>Cropland</v>
      </c>
      <c r="G240" s="7" t="str">
        <f>'Reported burning'!G240</f>
        <v>ND</v>
      </c>
      <c r="H240" s="7" t="str">
        <f>'Reported burning'!H240</f>
        <v>Absence</v>
      </c>
      <c r="I240" s="4"/>
      <c r="J240" s="22" t="s">
        <v>2396</v>
      </c>
      <c r="K240" s="110" t="s">
        <v>2396</v>
      </c>
      <c r="L240" s="22" t="s">
        <v>2396</v>
      </c>
      <c r="M240" s="22" t="s">
        <v>2396</v>
      </c>
      <c r="N240" s="22" t="s">
        <v>2396</v>
      </c>
      <c r="O240" s="22" t="s">
        <v>2396</v>
      </c>
      <c r="P240" s="22" t="s">
        <v>2396</v>
      </c>
      <c r="Q240" s="109" t="s">
        <v>2308</v>
      </c>
      <c r="R240" s="109" t="s">
        <v>2308</v>
      </c>
      <c r="S240" s="22" t="s">
        <v>2396</v>
      </c>
      <c r="T240" s="22" t="s">
        <v>2396</v>
      </c>
      <c r="U240" s="22" t="s">
        <v>2396</v>
      </c>
      <c r="V240" s="22" t="s">
        <v>2396</v>
      </c>
      <c r="W240" s="22" t="s">
        <v>2308</v>
      </c>
      <c r="X240" s="4" t="s">
        <v>35</v>
      </c>
      <c r="Y240" s="4" t="s">
        <v>406</v>
      </c>
      <c r="Z240" s="4" t="s">
        <v>64</v>
      </c>
      <c r="AA240" s="11" t="s">
        <v>409</v>
      </c>
      <c r="AB240" s="11" t="s">
        <v>422</v>
      </c>
    </row>
    <row r="241" spans="1:28" ht="108" customHeight="1">
      <c r="A241" s="7" t="str">
        <f>'Reported burning'!A241</f>
        <v>15d</v>
      </c>
      <c r="B241" s="7" t="str">
        <f>'Reported burning'!B241</f>
        <v>15d.2</v>
      </c>
      <c r="C241" s="7" t="str">
        <f>'Reported burning'!C241</f>
        <v>Human, deliberate</v>
      </c>
      <c r="D241" s="7" t="str">
        <f>'Reported burning'!D241</f>
        <v>Forest clearance</v>
      </c>
      <c r="E241" s="7" t="str">
        <f>'Reported burning'!E241</f>
        <v>Cropping, Monoculture, Subsistence-oriented</v>
      </c>
      <c r="F241" s="7" t="str">
        <f>'Reported burning'!F241</f>
        <v>Shrubland (Mixed forest &amp; grassland)</v>
      </c>
      <c r="G241" s="7" t="str">
        <f>'Reported burning'!G241</f>
        <v>ND</v>
      </c>
      <c r="H241" s="7" t="str">
        <f>'Reported burning'!H241</f>
        <v>Presence</v>
      </c>
      <c r="I241" s="4"/>
      <c r="J241" s="22" t="s">
        <v>2308</v>
      </c>
      <c r="K241" s="110" t="s">
        <v>2308</v>
      </c>
      <c r="L241" s="22" t="s">
        <v>2308</v>
      </c>
      <c r="M241" s="22" t="s">
        <v>2308</v>
      </c>
      <c r="N241" s="22" t="s">
        <v>2308</v>
      </c>
      <c r="O241" s="22" t="s">
        <v>2308</v>
      </c>
      <c r="P241" s="22" t="s">
        <v>2308</v>
      </c>
      <c r="Q241" s="109" t="s">
        <v>2308</v>
      </c>
      <c r="R241" s="109" t="s">
        <v>2308</v>
      </c>
      <c r="S241" s="22" t="s">
        <v>2560</v>
      </c>
      <c r="T241" s="22" t="s">
        <v>2308</v>
      </c>
      <c r="U241" s="22" t="s">
        <v>2560</v>
      </c>
      <c r="V241" s="22" t="s">
        <v>2308</v>
      </c>
      <c r="W241" s="22" t="s">
        <v>2308</v>
      </c>
      <c r="X241" s="4" t="s">
        <v>35</v>
      </c>
      <c r="Y241" s="4" t="s">
        <v>406</v>
      </c>
      <c r="Z241" s="4" t="s">
        <v>64</v>
      </c>
      <c r="AA241" s="11" t="s">
        <v>409</v>
      </c>
      <c r="AB241" s="11" t="s">
        <v>421</v>
      </c>
    </row>
    <row r="242" spans="1:28" ht="108" customHeight="1">
      <c r="A242" s="7" t="str">
        <f>'Reported burning'!A242</f>
        <v>15d</v>
      </c>
      <c r="B242" s="7" t="str">
        <f>'Reported burning'!B242</f>
        <v>15d.3</v>
      </c>
      <c r="C242" s="7" t="str">
        <f>'Reported burning'!C242</f>
        <v>Human, deliberate</v>
      </c>
      <c r="D242" s="7" t="str">
        <f>'Reported burning'!D242</f>
        <v>Crop field preparation</v>
      </c>
      <c r="E242" s="7" t="str">
        <f>'Reported burning'!E242</f>
        <v>Cropping, Swidden</v>
      </c>
      <c r="F242" s="7" t="str">
        <f>'Reported burning'!F242</f>
        <v>Secondary Vegetation</v>
      </c>
      <c r="G242" s="7" t="str">
        <f>'Reported burning'!G242</f>
        <v>ND</v>
      </c>
      <c r="H242" s="7" t="str">
        <f>'Reported burning'!H242</f>
        <v>Presence</v>
      </c>
      <c r="I242" s="4"/>
      <c r="J242" s="84" t="s">
        <v>2308</v>
      </c>
      <c r="K242" s="116" t="s">
        <v>2308</v>
      </c>
      <c r="L242" s="84" t="s">
        <v>2308</v>
      </c>
      <c r="M242" s="84" t="s">
        <v>2308</v>
      </c>
      <c r="N242" s="84" t="s">
        <v>2308</v>
      </c>
      <c r="O242" s="84" t="s">
        <v>2308</v>
      </c>
      <c r="P242" s="84" t="s">
        <v>2308</v>
      </c>
      <c r="Q242" s="109" t="s">
        <v>2308</v>
      </c>
      <c r="R242" s="109" t="s">
        <v>2308</v>
      </c>
      <c r="S242" s="22" t="s">
        <v>2560</v>
      </c>
      <c r="T242" s="84" t="s">
        <v>2308</v>
      </c>
      <c r="U242" s="84" t="s">
        <v>2560</v>
      </c>
      <c r="V242" s="84" t="s">
        <v>2308</v>
      </c>
      <c r="W242" s="84" t="s">
        <v>2308</v>
      </c>
      <c r="X242" s="4" t="s">
        <v>35</v>
      </c>
      <c r="Y242" s="4" t="s">
        <v>406</v>
      </c>
      <c r="Z242" s="4" t="s">
        <v>64</v>
      </c>
      <c r="AA242" s="11" t="s">
        <v>409</v>
      </c>
      <c r="AB242" s="11" t="s">
        <v>422</v>
      </c>
    </row>
    <row r="243" spans="1:28" ht="63.5" customHeight="1">
      <c r="A243" s="7" t="str">
        <f>'Reported burning'!A243</f>
        <v>16a</v>
      </c>
      <c r="B243" s="7" t="str">
        <f>'Reported burning'!B243</f>
        <v>16a.1</v>
      </c>
      <c r="C243" s="7" t="str">
        <f>'Reported burning'!C243</f>
        <v>Human, deliberate</v>
      </c>
      <c r="D243" s="7" t="str">
        <f>'Reported burning'!D243</f>
        <v>Crop field preparation</v>
      </c>
      <c r="E243" s="7" t="str">
        <f>'Reported burning'!E243</f>
        <v>Cropping, Swidden</v>
      </c>
      <c r="F243" s="7" t="str">
        <f>'Reported burning'!F243</f>
        <v>Secondary Vegetation</v>
      </c>
      <c r="G243" s="7" t="str">
        <f>'Reported burning'!G243</f>
        <v>ND</v>
      </c>
      <c r="H243" s="7" t="str">
        <f>'Reported burning'!H243</f>
        <v>Presence</v>
      </c>
      <c r="I243" s="4"/>
      <c r="J243" s="84" t="s">
        <v>2308</v>
      </c>
      <c r="K243" s="116" t="s">
        <v>2308</v>
      </c>
      <c r="L243" s="84" t="s">
        <v>2308</v>
      </c>
      <c r="M243" s="84" t="s">
        <v>2308</v>
      </c>
      <c r="N243" s="84" t="s">
        <v>2308</v>
      </c>
      <c r="O243" s="84" t="s">
        <v>2308</v>
      </c>
      <c r="P243" s="84" t="s">
        <v>2308</v>
      </c>
      <c r="Q243" s="109" t="s">
        <v>2308</v>
      </c>
      <c r="R243" s="109" t="s">
        <v>2308</v>
      </c>
      <c r="S243" s="84" t="s">
        <v>2308</v>
      </c>
      <c r="T243" s="84" t="s">
        <v>2308</v>
      </c>
      <c r="U243" s="84" t="s">
        <v>2308</v>
      </c>
      <c r="V243" s="84" t="s">
        <v>2308</v>
      </c>
      <c r="W243" s="84" t="s">
        <v>2308</v>
      </c>
      <c r="X243" s="4" t="s">
        <v>2308</v>
      </c>
      <c r="Y243" s="4" t="s">
        <v>2308</v>
      </c>
      <c r="Z243" s="4" t="s">
        <v>2308</v>
      </c>
      <c r="AA243" s="4"/>
      <c r="AB243" s="5" t="s">
        <v>1498</v>
      </c>
    </row>
    <row r="244" spans="1:28" ht="77" customHeight="1">
      <c r="A244" s="7" t="str">
        <f>'Reported burning'!A244</f>
        <v>17a</v>
      </c>
      <c r="B244" s="7" t="str">
        <f>'Reported burning'!B244</f>
        <v>17a.1</v>
      </c>
      <c r="C244" s="7" t="str">
        <f>'Reported burning'!C244</f>
        <v>Human, deliberate</v>
      </c>
      <c r="D244" s="7" t="str">
        <f>'Reported burning'!D244</f>
        <v>Crop field preparation</v>
      </c>
      <c r="E244" s="7" t="str">
        <f>'Reported burning'!E244</f>
        <v>Cropping, Swidden</v>
      </c>
      <c r="F244" s="7" t="str">
        <f>'Reported burning'!F244</f>
        <v>Secondary Vegetation</v>
      </c>
      <c r="G244" s="7" t="str">
        <f>'Reported burning'!G244</f>
        <v>ND</v>
      </c>
      <c r="H244" s="7" t="str">
        <f>'Reported burning'!H244</f>
        <v>Presence</v>
      </c>
      <c r="I244" s="4"/>
      <c r="J244" s="22" t="s">
        <v>2308</v>
      </c>
      <c r="K244" s="110" t="s">
        <v>2308</v>
      </c>
      <c r="L244" s="22" t="s">
        <v>2308</v>
      </c>
      <c r="M244" s="22" t="s">
        <v>2308</v>
      </c>
      <c r="N244" s="22" t="s">
        <v>2308</v>
      </c>
      <c r="O244" s="22" t="s">
        <v>2308</v>
      </c>
      <c r="P244" s="22" t="s">
        <v>2308</v>
      </c>
      <c r="Q244" s="109" t="s">
        <v>2308</v>
      </c>
      <c r="R244" s="109" t="s">
        <v>2308</v>
      </c>
      <c r="S244" s="22" t="s">
        <v>2406</v>
      </c>
      <c r="T244" s="22" t="s">
        <v>2308</v>
      </c>
      <c r="U244" s="22" t="s">
        <v>2560</v>
      </c>
      <c r="V244" s="22" t="s">
        <v>2308</v>
      </c>
      <c r="W244" s="22" t="s">
        <v>2308</v>
      </c>
      <c r="X244" s="4" t="s">
        <v>432</v>
      </c>
      <c r="Y244" s="4" t="s">
        <v>68</v>
      </c>
      <c r="Z244" s="4" t="s">
        <v>2308</v>
      </c>
      <c r="AA244" s="5" t="s">
        <v>1501</v>
      </c>
      <c r="AB244" s="5" t="s">
        <v>2441</v>
      </c>
    </row>
    <row r="245" spans="1:28" ht="67.5" customHeight="1">
      <c r="A245" s="7" t="str">
        <f>'Reported burning'!A245</f>
        <v>17b</v>
      </c>
      <c r="B245" s="7" t="str">
        <f>'Reported burning'!B245</f>
        <v>17b.1</v>
      </c>
      <c r="C245" s="7" t="str">
        <f>'Reported burning'!C245</f>
        <v>Human, deliberate</v>
      </c>
      <c r="D245" s="7" t="str">
        <f>'Reported burning'!D245</f>
        <v>Crop field preparation</v>
      </c>
      <c r="E245" s="7" t="str">
        <f>'Reported burning'!E245</f>
        <v>Cropping, Swidden</v>
      </c>
      <c r="F245" s="7" t="str">
        <f>'Reported burning'!F245</f>
        <v>Secondary Vegetation</v>
      </c>
      <c r="G245" s="7" t="str">
        <f>'Reported burning'!G245</f>
        <v>ND</v>
      </c>
      <c r="H245" s="7" t="str">
        <f>'Reported burning'!H245</f>
        <v>Presence</v>
      </c>
      <c r="I245" s="4"/>
      <c r="J245" s="22" t="s">
        <v>2308</v>
      </c>
      <c r="K245" s="110" t="s">
        <v>2308</v>
      </c>
      <c r="L245" s="22" t="s">
        <v>2308</v>
      </c>
      <c r="M245" s="22" t="s">
        <v>2308</v>
      </c>
      <c r="N245" s="22" t="s">
        <v>2308</v>
      </c>
      <c r="O245" s="22" t="s">
        <v>2308</v>
      </c>
      <c r="P245" s="22" t="s">
        <v>2308</v>
      </c>
      <c r="Q245" s="109" t="s">
        <v>2308</v>
      </c>
      <c r="R245" s="109" t="s">
        <v>2308</v>
      </c>
      <c r="S245" s="22" t="s">
        <v>2308</v>
      </c>
      <c r="T245" s="22" t="s">
        <v>2308</v>
      </c>
      <c r="U245" s="22" t="s">
        <v>2308</v>
      </c>
      <c r="V245" s="22" t="s">
        <v>2308</v>
      </c>
      <c r="W245" s="22" t="s">
        <v>2308</v>
      </c>
      <c r="X245" s="4" t="s">
        <v>432</v>
      </c>
      <c r="Y245" s="4" t="s">
        <v>68</v>
      </c>
      <c r="Z245" s="4" t="s">
        <v>2308</v>
      </c>
      <c r="AA245" s="5" t="s">
        <v>433</v>
      </c>
      <c r="AB245" s="5" t="s">
        <v>2442</v>
      </c>
    </row>
    <row r="246" spans="1:28" ht="67" customHeight="1">
      <c r="A246" s="7" t="str">
        <f>'Reported burning'!A246</f>
        <v>18a</v>
      </c>
      <c r="B246" s="7" t="str">
        <f>'Reported burning'!B246</f>
        <v>18a.1</v>
      </c>
      <c r="C246" s="7" t="str">
        <f>'Reported burning'!C246</f>
        <v>Human, deliberate</v>
      </c>
      <c r="D246" s="7" t="str">
        <f>'Reported burning'!D246</f>
        <v>Crop field preparation</v>
      </c>
      <c r="E246" s="7" t="str">
        <f>'Reported burning'!E246</f>
        <v>Cropping, Swidden</v>
      </c>
      <c r="F246" s="7" t="str">
        <f>'Reported burning'!F246</f>
        <v>Cropland</v>
      </c>
      <c r="G246" s="7" t="str">
        <f>'Reported burning'!G246</f>
        <v>ND</v>
      </c>
      <c r="H246" s="7" t="str">
        <f>'Reported burning'!H246</f>
        <v>Presence</v>
      </c>
      <c r="I246" s="23"/>
      <c r="J246" s="22" t="s">
        <v>2308</v>
      </c>
      <c r="K246" s="110" t="s">
        <v>2308</v>
      </c>
      <c r="L246" s="22" t="s">
        <v>2308</v>
      </c>
      <c r="M246" s="22" t="s">
        <v>2308</v>
      </c>
      <c r="N246" s="22" t="s">
        <v>2308</v>
      </c>
      <c r="O246" s="22" t="s">
        <v>2308</v>
      </c>
      <c r="P246" s="22" t="s">
        <v>2308</v>
      </c>
      <c r="Q246" s="109" t="s">
        <v>2308</v>
      </c>
      <c r="R246" s="109" t="s">
        <v>2308</v>
      </c>
      <c r="S246" s="22" t="s">
        <v>2308</v>
      </c>
      <c r="T246" s="22" t="s">
        <v>2422</v>
      </c>
      <c r="U246" s="22" t="s">
        <v>2308</v>
      </c>
      <c r="V246" s="22" t="s">
        <v>2308</v>
      </c>
      <c r="W246" s="22" t="s">
        <v>2308</v>
      </c>
      <c r="X246" s="23" t="s">
        <v>2308</v>
      </c>
      <c r="Y246" s="23" t="s">
        <v>2308</v>
      </c>
      <c r="Z246" s="23" t="s">
        <v>2308</v>
      </c>
      <c r="AA246" s="25" t="s">
        <v>441</v>
      </c>
      <c r="AB246" s="25" t="s">
        <v>442</v>
      </c>
    </row>
    <row r="247" spans="1:28" ht="63.5" customHeight="1">
      <c r="A247" s="7" t="str">
        <f>'Reported burning'!A247</f>
        <v>18a</v>
      </c>
      <c r="B247" s="7" t="str">
        <f>'Reported burning'!B247</f>
        <v>18a.2</v>
      </c>
      <c r="C247" s="7" t="str">
        <f>'Reported burning'!C247</f>
        <v>Human, deliberate</v>
      </c>
      <c r="D247" s="7" t="str">
        <f>'Reported burning'!D247</f>
        <v>Crop field preparation</v>
      </c>
      <c r="E247" s="7" t="str">
        <f>'Reported burning'!E247</f>
        <v>Cropping, Swidden</v>
      </c>
      <c r="F247" s="7" t="str">
        <f>'Reported burning'!F247</f>
        <v>Secondary Vegetation</v>
      </c>
      <c r="G247" s="7" t="str">
        <f>'Reported burning'!G247</f>
        <v>ND</v>
      </c>
      <c r="H247" s="7" t="str">
        <f>'Reported burning'!H247</f>
        <v>Presence</v>
      </c>
      <c r="I247" s="23"/>
      <c r="J247" s="22" t="s">
        <v>2308</v>
      </c>
      <c r="K247" s="110" t="s">
        <v>2308</v>
      </c>
      <c r="L247" s="22" t="s">
        <v>2308</v>
      </c>
      <c r="M247" s="22" t="s">
        <v>2308</v>
      </c>
      <c r="N247" s="22" t="s">
        <v>2308</v>
      </c>
      <c r="O247" s="22" t="s">
        <v>2308</v>
      </c>
      <c r="P247" s="22" t="s">
        <v>2308</v>
      </c>
      <c r="Q247" s="109" t="s">
        <v>2308</v>
      </c>
      <c r="R247" s="109" t="s">
        <v>2308</v>
      </c>
      <c r="S247" s="22" t="s">
        <v>2308</v>
      </c>
      <c r="T247" s="22" t="s">
        <v>2560</v>
      </c>
      <c r="U247" s="22" t="s">
        <v>2308</v>
      </c>
      <c r="V247" s="22" t="s">
        <v>2308</v>
      </c>
      <c r="W247" s="22" t="s">
        <v>2308</v>
      </c>
      <c r="X247" s="23" t="s">
        <v>2308</v>
      </c>
      <c r="Y247" s="23" t="s">
        <v>2308</v>
      </c>
      <c r="Z247" s="23" t="s">
        <v>2308</v>
      </c>
      <c r="AA247" s="25" t="s">
        <v>444</v>
      </c>
      <c r="AB247" s="25" t="s">
        <v>443</v>
      </c>
    </row>
    <row r="248" spans="1:28" ht="60" customHeight="1">
      <c r="A248" s="7" t="str">
        <f>'Reported burning'!A248</f>
        <v>19a</v>
      </c>
      <c r="B248" s="7" t="str">
        <f>'Reported burning'!B248</f>
        <v>19a.1</v>
      </c>
      <c r="C248" s="7" t="str">
        <f>'Reported burning'!C248</f>
        <v>Human, deliberate</v>
      </c>
      <c r="D248" s="7" t="str">
        <f>'Reported burning'!D248</f>
        <v>Crop field preparation</v>
      </c>
      <c r="E248" s="7" t="str">
        <f>'Reported burning'!E248</f>
        <v>Cropping, Swidden</v>
      </c>
      <c r="F248" s="7" t="str">
        <f>'Reported burning'!F248</f>
        <v>Secondary Vegetation</v>
      </c>
      <c r="G248" s="7" t="str">
        <f>'Reported burning'!G248</f>
        <v>ND</v>
      </c>
      <c r="H248" s="7" t="str">
        <f>'Reported burning'!H248</f>
        <v>Presence</v>
      </c>
      <c r="I248" s="4"/>
      <c r="J248" s="22" t="s">
        <v>2308</v>
      </c>
      <c r="K248" s="110" t="s">
        <v>2308</v>
      </c>
      <c r="L248" s="22" t="s">
        <v>2308</v>
      </c>
      <c r="M248" s="22" t="s">
        <v>2308</v>
      </c>
      <c r="N248" s="22" t="s">
        <v>2308</v>
      </c>
      <c r="O248" s="22" t="s">
        <v>2308</v>
      </c>
      <c r="P248" s="22" t="s">
        <v>2308</v>
      </c>
      <c r="Q248" s="109" t="s">
        <v>2308</v>
      </c>
      <c r="R248" s="109" t="s">
        <v>2308</v>
      </c>
      <c r="S248" s="22" t="s">
        <v>2308</v>
      </c>
      <c r="T248" s="22" t="s">
        <v>2308</v>
      </c>
      <c r="U248" s="22" t="s">
        <v>2308</v>
      </c>
      <c r="V248" s="22" t="s">
        <v>2308</v>
      </c>
      <c r="W248" s="22" t="s">
        <v>2308</v>
      </c>
      <c r="X248" s="4" t="s">
        <v>68</v>
      </c>
      <c r="Y248" s="4" t="s">
        <v>68</v>
      </c>
      <c r="Z248" s="4" t="s">
        <v>2308</v>
      </c>
      <c r="AA248" s="4"/>
      <c r="AB248" s="5" t="s">
        <v>1504</v>
      </c>
    </row>
    <row r="249" spans="1:28" ht="69.5" customHeight="1">
      <c r="A249" s="7" t="str">
        <f>'Reported burning'!A249</f>
        <v>20a</v>
      </c>
      <c r="B249" s="7" t="str">
        <f>'Reported burning'!B249</f>
        <v>20a.1</v>
      </c>
      <c r="C249" s="7" t="str">
        <f>'Reported burning'!C249</f>
        <v>Human, deliberate</v>
      </c>
      <c r="D249" s="7" t="str">
        <f>'Reported burning'!D249</f>
        <v>Crop field preparation</v>
      </c>
      <c r="E249" s="7" t="str">
        <f>'Reported burning'!E249</f>
        <v>Cropping, Monoculture, Market-oriented</v>
      </c>
      <c r="F249" s="7" t="str">
        <f>'Reported burning'!F249</f>
        <v>Cropland</v>
      </c>
      <c r="G249" s="7" t="str">
        <f>'Reported burning'!G249</f>
        <v>ND</v>
      </c>
      <c r="H249" s="7" t="str">
        <f>'Reported burning'!H249</f>
        <v>Absence</v>
      </c>
      <c r="I249" s="4"/>
      <c r="J249" s="22" t="s">
        <v>2396</v>
      </c>
      <c r="K249" s="110" t="s">
        <v>2396</v>
      </c>
      <c r="L249" s="22" t="s">
        <v>2396</v>
      </c>
      <c r="M249" s="22" t="s">
        <v>2396</v>
      </c>
      <c r="N249" s="22" t="s">
        <v>2396</v>
      </c>
      <c r="O249" s="22" t="s">
        <v>2396</v>
      </c>
      <c r="P249" s="22" t="s">
        <v>2396</v>
      </c>
      <c r="Q249" s="109" t="s">
        <v>2308</v>
      </c>
      <c r="R249" s="109" t="s">
        <v>2308</v>
      </c>
      <c r="S249" s="22" t="s">
        <v>2396</v>
      </c>
      <c r="T249" s="22" t="s">
        <v>2396</v>
      </c>
      <c r="U249" s="22" t="s">
        <v>2396</v>
      </c>
      <c r="V249" s="22" t="s">
        <v>2396</v>
      </c>
      <c r="W249" s="22" t="s">
        <v>2308</v>
      </c>
      <c r="X249" s="4" t="s">
        <v>2308</v>
      </c>
      <c r="Y249" s="4" t="s">
        <v>2308</v>
      </c>
      <c r="Z249" s="4" t="s">
        <v>2308</v>
      </c>
      <c r="AA249" s="5" t="s">
        <v>456</v>
      </c>
      <c r="AB249" s="5"/>
    </row>
    <row r="250" spans="1:28" ht="121.5" customHeight="1">
      <c r="A250" s="7" t="str">
        <f>'Reported burning'!A250</f>
        <v>20a</v>
      </c>
      <c r="B250" s="7" t="str">
        <f>'Reported burning'!B250</f>
        <v>20a.2</v>
      </c>
      <c r="C250" s="7" t="str">
        <f>'Reported burning'!C250</f>
        <v>Human, deliberate</v>
      </c>
      <c r="D250" s="7" t="str">
        <f>'Reported burning'!D250</f>
        <v>Crop field preparation</v>
      </c>
      <c r="E250" s="7" t="str">
        <f>'Reported burning'!E250</f>
        <v>Cropping, Swidden</v>
      </c>
      <c r="F250" s="7" t="str">
        <f>'Reported burning'!F250</f>
        <v>Grassland</v>
      </c>
      <c r="G250" s="7" t="str">
        <f>'Reported burning'!G250</f>
        <v>ND</v>
      </c>
      <c r="H250" s="7" t="str">
        <f>'Reported burning'!H250</f>
        <v>Absence</v>
      </c>
      <c r="I250" s="4"/>
      <c r="J250" s="22" t="s">
        <v>2396</v>
      </c>
      <c r="K250" s="110" t="s">
        <v>2396</v>
      </c>
      <c r="L250" s="22" t="s">
        <v>2396</v>
      </c>
      <c r="M250" s="22" t="s">
        <v>2396</v>
      </c>
      <c r="N250" s="22" t="s">
        <v>2396</v>
      </c>
      <c r="O250" s="22" t="s">
        <v>2396</v>
      </c>
      <c r="P250" s="22" t="s">
        <v>2396</v>
      </c>
      <c r="Q250" s="109" t="s">
        <v>2308</v>
      </c>
      <c r="R250" s="109" t="s">
        <v>2308</v>
      </c>
      <c r="S250" s="22" t="s">
        <v>2396</v>
      </c>
      <c r="T250" s="22" t="s">
        <v>2396</v>
      </c>
      <c r="U250" s="22" t="s">
        <v>2396</v>
      </c>
      <c r="V250" s="22" t="s">
        <v>2396</v>
      </c>
      <c r="W250" s="22" t="s">
        <v>2308</v>
      </c>
      <c r="X250" s="4" t="s">
        <v>2308</v>
      </c>
      <c r="Y250" s="4" t="s">
        <v>2308</v>
      </c>
      <c r="Z250" s="4" t="s">
        <v>2308</v>
      </c>
      <c r="AA250" s="5" t="s">
        <v>457</v>
      </c>
      <c r="AB250" s="5"/>
    </row>
    <row r="251" spans="1:28" ht="101" customHeight="1">
      <c r="A251" s="7" t="str">
        <f>'Reported burning'!A251</f>
        <v>20a</v>
      </c>
      <c r="B251" s="7" t="str">
        <f>'Reported burning'!B251</f>
        <v>20a.3</v>
      </c>
      <c r="C251" s="7" t="str">
        <f>'Reported burning'!C251</f>
        <v>Human, deliberate</v>
      </c>
      <c r="D251" s="7" t="str">
        <f>'Reported burning'!D251</f>
        <v>Crop field preparation</v>
      </c>
      <c r="E251" s="7" t="str">
        <f>'Reported burning'!E251</f>
        <v>Cropping, Swidden</v>
      </c>
      <c r="F251" s="7" t="str">
        <f>'Reported burning'!F251</f>
        <v>Shrubland (Mixed forest &amp; grassland)</v>
      </c>
      <c r="G251" s="7" t="str">
        <f>'Reported burning'!G251</f>
        <v>ND</v>
      </c>
      <c r="H251" s="7" t="str">
        <f>'Reported burning'!H251</f>
        <v>Presence</v>
      </c>
      <c r="I251" s="4"/>
      <c r="J251" s="22" t="s">
        <v>2308</v>
      </c>
      <c r="K251" s="110" t="s">
        <v>2308</v>
      </c>
      <c r="L251" s="22" t="s">
        <v>2308</v>
      </c>
      <c r="M251" s="22" t="s">
        <v>2308</v>
      </c>
      <c r="N251" s="22" t="s">
        <v>2308</v>
      </c>
      <c r="O251" s="22" t="s">
        <v>2308</v>
      </c>
      <c r="P251" s="22" t="s">
        <v>2308</v>
      </c>
      <c r="Q251" s="109" t="s">
        <v>2308</v>
      </c>
      <c r="R251" s="109" t="s">
        <v>2308</v>
      </c>
      <c r="S251" s="22" t="s">
        <v>2308</v>
      </c>
      <c r="T251" s="22" t="s">
        <v>2308</v>
      </c>
      <c r="U251" s="22" t="s">
        <v>2308</v>
      </c>
      <c r="V251" s="22" t="s">
        <v>2308</v>
      </c>
      <c r="W251" s="22" t="s">
        <v>2308</v>
      </c>
      <c r="X251" s="4" t="s">
        <v>2308</v>
      </c>
      <c r="Y251" s="4" t="s">
        <v>2308</v>
      </c>
      <c r="Z251" s="4" t="s">
        <v>2308</v>
      </c>
      <c r="AA251" s="5" t="s">
        <v>1507</v>
      </c>
      <c r="AB251" s="5" t="s">
        <v>458</v>
      </c>
    </row>
    <row r="252" spans="1:28" ht="95" customHeight="1">
      <c r="A252" s="7" t="str">
        <f>'Reported burning'!A252</f>
        <v>21a</v>
      </c>
      <c r="B252" s="7" t="str">
        <f>'Reported burning'!B252</f>
        <v>21a.1</v>
      </c>
      <c r="C252" s="7" t="str">
        <f>'Reported burning'!C252</f>
        <v>Human, deliberate</v>
      </c>
      <c r="D252" s="7" t="str">
        <f>'Reported burning'!D252</f>
        <v>Crop field preparation</v>
      </c>
      <c r="E252" s="7" t="str">
        <f>'Reported burning'!E252</f>
        <v>Cropping, Monoculture, Market-oriented</v>
      </c>
      <c r="F252" s="7" t="str">
        <f>'Reported burning'!F252</f>
        <v>Cropland</v>
      </c>
      <c r="G252" s="7" t="str">
        <f>'Reported burning'!G252</f>
        <v>ND</v>
      </c>
      <c r="H252" s="7" t="str">
        <f>'Reported burning'!H252</f>
        <v>Absence</v>
      </c>
      <c r="I252" s="4"/>
      <c r="J252" s="22" t="s">
        <v>2396</v>
      </c>
      <c r="K252" s="110" t="s">
        <v>2396</v>
      </c>
      <c r="L252" s="22" t="s">
        <v>2396</v>
      </c>
      <c r="M252" s="22" t="s">
        <v>2396</v>
      </c>
      <c r="N252" s="22" t="s">
        <v>2396</v>
      </c>
      <c r="O252" s="22" t="s">
        <v>2396</v>
      </c>
      <c r="P252" s="22" t="s">
        <v>2396</v>
      </c>
      <c r="Q252" s="109" t="s">
        <v>2308</v>
      </c>
      <c r="R252" s="109" t="s">
        <v>2308</v>
      </c>
      <c r="S252" s="22" t="s">
        <v>2396</v>
      </c>
      <c r="T252" s="22" t="s">
        <v>2396</v>
      </c>
      <c r="U252" s="22" t="s">
        <v>2396</v>
      </c>
      <c r="V252" s="22" t="s">
        <v>2396</v>
      </c>
      <c r="W252" s="22" t="s">
        <v>2308</v>
      </c>
      <c r="X252" s="4" t="s">
        <v>2308</v>
      </c>
      <c r="Y252" s="4" t="s">
        <v>2308</v>
      </c>
      <c r="Z252" s="4" t="s">
        <v>2308</v>
      </c>
      <c r="AA252" s="5" t="s">
        <v>470</v>
      </c>
      <c r="AB252" s="4"/>
    </row>
    <row r="253" spans="1:28" ht="66" customHeight="1">
      <c r="A253" s="7" t="str">
        <f>'Reported burning'!A253</f>
        <v>21b</v>
      </c>
      <c r="B253" s="7" t="str">
        <f>'Reported burning'!B253</f>
        <v>21b.1</v>
      </c>
      <c r="C253" s="7" t="str">
        <f>'Reported burning'!C253</f>
        <v>Human, deliberate</v>
      </c>
      <c r="D253" s="7" t="str">
        <f>'Reported burning'!D253</f>
        <v>Crop field preparation</v>
      </c>
      <c r="E253" s="7" t="str">
        <f>'Reported burning'!E253</f>
        <v>Cropping, Monoculture, Market-oriented</v>
      </c>
      <c r="F253" s="7" t="str">
        <f>'Reported burning'!F253</f>
        <v>Cropland</v>
      </c>
      <c r="G253" s="7" t="str">
        <f>'Reported burning'!G253</f>
        <v>ND</v>
      </c>
      <c r="H253" s="7" t="str">
        <f>'Reported burning'!H253</f>
        <v>Absence</v>
      </c>
      <c r="I253" s="4"/>
      <c r="J253" s="22" t="s">
        <v>2396</v>
      </c>
      <c r="K253" s="110" t="s">
        <v>2396</v>
      </c>
      <c r="L253" s="22" t="s">
        <v>2396</v>
      </c>
      <c r="M253" s="22" t="s">
        <v>2396</v>
      </c>
      <c r="N253" s="22" t="s">
        <v>2396</v>
      </c>
      <c r="O253" s="22" t="s">
        <v>2396</v>
      </c>
      <c r="P253" s="22" t="s">
        <v>2396</v>
      </c>
      <c r="Q253" s="109" t="s">
        <v>2308</v>
      </c>
      <c r="R253" s="109" t="s">
        <v>2308</v>
      </c>
      <c r="S253" s="22" t="s">
        <v>2396</v>
      </c>
      <c r="T253" s="22" t="s">
        <v>2396</v>
      </c>
      <c r="U253" s="22" t="s">
        <v>2396</v>
      </c>
      <c r="V253" s="22" t="s">
        <v>2396</v>
      </c>
      <c r="W253" s="22" t="s">
        <v>2308</v>
      </c>
      <c r="X253" s="4" t="s">
        <v>2308</v>
      </c>
      <c r="Y253" s="4" t="s">
        <v>2308</v>
      </c>
      <c r="Z253" s="4" t="s">
        <v>2308</v>
      </c>
      <c r="AA253" s="5" t="s">
        <v>470</v>
      </c>
      <c r="AB253" s="4"/>
    </row>
    <row r="254" spans="1:28" ht="79.5" customHeight="1">
      <c r="A254" s="7" t="str">
        <f>'Reported burning'!A254</f>
        <v>21b</v>
      </c>
      <c r="B254" s="7" t="str">
        <f>'Reported burning'!B254</f>
        <v>21b.2</v>
      </c>
      <c r="C254" s="7" t="str">
        <f>'Reported burning'!C254</f>
        <v>Human, deliberate</v>
      </c>
      <c r="D254" s="7" t="str">
        <f>'Reported burning'!D254</f>
        <v>Crop field preparation</v>
      </c>
      <c r="E254" s="7" t="str">
        <f>'Reported burning'!E254</f>
        <v>Cropping, Swidden</v>
      </c>
      <c r="F254" s="7" t="str">
        <f>'Reported burning'!F254</f>
        <v>Grassland</v>
      </c>
      <c r="G254" s="7" t="str">
        <f>'Reported burning'!G254</f>
        <v>ND</v>
      </c>
      <c r="H254" s="7" t="str">
        <f>'Reported burning'!H254</f>
        <v>Absence</v>
      </c>
      <c r="I254" s="4"/>
      <c r="J254" s="22" t="s">
        <v>2396</v>
      </c>
      <c r="K254" s="110" t="s">
        <v>2396</v>
      </c>
      <c r="L254" s="22" t="s">
        <v>2396</v>
      </c>
      <c r="M254" s="22" t="s">
        <v>2396</v>
      </c>
      <c r="N254" s="22" t="s">
        <v>2396</v>
      </c>
      <c r="O254" s="22" t="s">
        <v>2396</v>
      </c>
      <c r="P254" s="22" t="s">
        <v>2396</v>
      </c>
      <c r="Q254" s="109" t="s">
        <v>2308</v>
      </c>
      <c r="R254" s="109" t="s">
        <v>2308</v>
      </c>
      <c r="S254" s="22" t="s">
        <v>2396</v>
      </c>
      <c r="T254" s="22" t="s">
        <v>2396</v>
      </c>
      <c r="U254" s="22" t="s">
        <v>2396</v>
      </c>
      <c r="V254" s="22" t="s">
        <v>2396</v>
      </c>
      <c r="W254" s="22" t="s">
        <v>2308</v>
      </c>
      <c r="X254" s="4" t="s">
        <v>2308</v>
      </c>
      <c r="Y254" s="4" t="s">
        <v>2308</v>
      </c>
      <c r="Z254" s="4" t="s">
        <v>2308</v>
      </c>
      <c r="AA254" s="5" t="s">
        <v>472</v>
      </c>
      <c r="AB254" s="4"/>
    </row>
    <row r="255" spans="1:28" ht="97.5" customHeight="1">
      <c r="A255" s="7" t="str">
        <f>'Reported burning'!A255</f>
        <v>22a</v>
      </c>
      <c r="B255" s="7" t="str">
        <f>'Reported burning'!B255</f>
        <v>22a.1</v>
      </c>
      <c r="C255" s="7" t="str">
        <f>'Reported burning'!C255</f>
        <v>Human, deliberate</v>
      </c>
      <c r="D255" s="7" t="str">
        <f>'Reported burning'!D255</f>
        <v>Crop field preparation</v>
      </c>
      <c r="E255" s="7" t="str">
        <f>'Reported burning'!E255</f>
        <v>Cropping, Monoculture, Subsistence-oriented</v>
      </c>
      <c r="F255" s="7" t="str">
        <f>'Reported burning'!F255</f>
        <v>Cropland</v>
      </c>
      <c r="G255" s="7" t="str">
        <f>'Reported burning'!G255</f>
        <v>ND</v>
      </c>
      <c r="H255" s="7" t="str">
        <f>'Reported burning'!H255</f>
        <v>Absence</v>
      </c>
      <c r="I255" s="4">
        <v>2010</v>
      </c>
      <c r="J255" s="22" t="s">
        <v>2396</v>
      </c>
      <c r="K255" s="110" t="s">
        <v>2396</v>
      </c>
      <c r="L255" s="22" t="s">
        <v>2396</v>
      </c>
      <c r="M255" s="22" t="s">
        <v>2396</v>
      </c>
      <c r="N255" s="22" t="s">
        <v>2396</v>
      </c>
      <c r="O255" s="22" t="s">
        <v>2396</v>
      </c>
      <c r="P255" s="22" t="s">
        <v>2396</v>
      </c>
      <c r="Q255" s="109" t="s">
        <v>2308</v>
      </c>
      <c r="R255" s="109" t="s">
        <v>2308</v>
      </c>
      <c r="S255" s="22" t="s">
        <v>2396</v>
      </c>
      <c r="T255" s="22" t="s">
        <v>2396</v>
      </c>
      <c r="U255" s="22" t="s">
        <v>2396</v>
      </c>
      <c r="V255" s="22" t="s">
        <v>2396</v>
      </c>
      <c r="W255" s="22" t="s">
        <v>2308</v>
      </c>
      <c r="X255" s="4" t="s">
        <v>2308</v>
      </c>
      <c r="Y255" s="4" t="s">
        <v>2308</v>
      </c>
      <c r="Z255" s="4" t="s">
        <v>2308</v>
      </c>
      <c r="AA255" s="5" t="s">
        <v>487</v>
      </c>
      <c r="AB255" s="4"/>
    </row>
    <row r="256" spans="1:28" ht="93.5" customHeight="1">
      <c r="A256" s="7" t="str">
        <f>'Reported burning'!A256</f>
        <v>22a</v>
      </c>
      <c r="B256" s="7" t="str">
        <f>'Reported burning'!B256</f>
        <v>22a.2</v>
      </c>
      <c r="C256" s="7" t="str">
        <f>'Reported burning'!C256</f>
        <v>Human, deliberate</v>
      </c>
      <c r="D256" s="7" t="str">
        <f>'Reported burning'!D256</f>
        <v>Crop field preparation</v>
      </c>
      <c r="E256" s="7" t="str">
        <f>'Reported burning'!E256</f>
        <v>Cropping, Swidden</v>
      </c>
      <c r="F256" s="7" t="str">
        <f>'Reported burning'!F256</f>
        <v>Shrubland (Mixed forest &amp; grassland)</v>
      </c>
      <c r="G256" s="7" t="str">
        <f>'Reported burning'!G256</f>
        <v>ND</v>
      </c>
      <c r="H256" s="7" t="str">
        <f>'Reported burning'!H256</f>
        <v>Absence</v>
      </c>
      <c r="I256" s="4">
        <v>2010</v>
      </c>
      <c r="J256" s="22" t="s">
        <v>2396</v>
      </c>
      <c r="K256" s="110" t="s">
        <v>2396</v>
      </c>
      <c r="L256" s="22" t="s">
        <v>2396</v>
      </c>
      <c r="M256" s="22" t="s">
        <v>2396</v>
      </c>
      <c r="N256" s="22" t="s">
        <v>2396</v>
      </c>
      <c r="O256" s="22" t="s">
        <v>2396</v>
      </c>
      <c r="P256" s="22" t="s">
        <v>2396</v>
      </c>
      <c r="Q256" s="109" t="s">
        <v>2308</v>
      </c>
      <c r="R256" s="109" t="s">
        <v>2308</v>
      </c>
      <c r="S256" s="22" t="s">
        <v>2396</v>
      </c>
      <c r="T256" s="22" t="s">
        <v>2396</v>
      </c>
      <c r="U256" s="22" t="s">
        <v>2396</v>
      </c>
      <c r="V256" s="22" t="s">
        <v>2396</v>
      </c>
      <c r="W256" s="22" t="s">
        <v>2308</v>
      </c>
      <c r="X256" s="4" t="s">
        <v>2308</v>
      </c>
      <c r="Y256" s="4" t="s">
        <v>2308</v>
      </c>
      <c r="Z256" s="4" t="s">
        <v>2308</v>
      </c>
      <c r="AA256" s="5" t="s">
        <v>486</v>
      </c>
      <c r="AB256" s="4"/>
    </row>
    <row r="257" spans="1:28" ht="87.5" customHeight="1">
      <c r="A257" s="7" t="str">
        <f>'Reported burning'!A257</f>
        <v>22b</v>
      </c>
      <c r="B257" s="7" t="str">
        <f>'Reported burning'!B257</f>
        <v>22b.1</v>
      </c>
      <c r="C257" s="7" t="str">
        <f>'Reported burning'!C257</f>
        <v>Human, deliberate</v>
      </c>
      <c r="D257" s="7" t="str">
        <f>'Reported burning'!D257</f>
        <v>Crop field preparation</v>
      </c>
      <c r="E257" s="7" t="str">
        <f>'Reported burning'!E257</f>
        <v>Cropping, Monoculture, Subsistence-oriented</v>
      </c>
      <c r="F257" s="7" t="str">
        <f>'Reported burning'!F257</f>
        <v>Cropland</v>
      </c>
      <c r="G257" s="7" t="str">
        <f>'Reported burning'!G257</f>
        <v>ND</v>
      </c>
      <c r="H257" s="7" t="str">
        <f>'Reported burning'!H257</f>
        <v>Absence</v>
      </c>
      <c r="I257" s="4">
        <v>2010</v>
      </c>
      <c r="J257" s="22" t="s">
        <v>2396</v>
      </c>
      <c r="K257" s="110" t="s">
        <v>2396</v>
      </c>
      <c r="L257" s="22" t="s">
        <v>2396</v>
      </c>
      <c r="M257" s="22" t="s">
        <v>2396</v>
      </c>
      <c r="N257" s="22" t="s">
        <v>2396</v>
      </c>
      <c r="O257" s="22" t="s">
        <v>2396</v>
      </c>
      <c r="P257" s="22" t="s">
        <v>2396</v>
      </c>
      <c r="Q257" s="109" t="s">
        <v>2308</v>
      </c>
      <c r="R257" s="109" t="s">
        <v>2308</v>
      </c>
      <c r="S257" s="22" t="s">
        <v>2396</v>
      </c>
      <c r="T257" s="22" t="s">
        <v>2396</v>
      </c>
      <c r="U257" s="22" t="s">
        <v>2396</v>
      </c>
      <c r="V257" s="22" t="s">
        <v>2396</v>
      </c>
      <c r="W257" s="22" t="s">
        <v>2308</v>
      </c>
      <c r="X257" s="4" t="s">
        <v>2308</v>
      </c>
      <c r="Y257" s="4" t="s">
        <v>2308</v>
      </c>
      <c r="Z257" s="4" t="s">
        <v>2308</v>
      </c>
      <c r="AA257" s="4"/>
      <c r="AB257" s="4"/>
    </row>
    <row r="258" spans="1:28" ht="83.5" customHeight="1">
      <c r="A258" s="7" t="str">
        <f>'Reported burning'!A258</f>
        <v>22b</v>
      </c>
      <c r="B258" s="7" t="str">
        <f>'Reported burning'!B258</f>
        <v>22b.2</v>
      </c>
      <c r="C258" s="7" t="str">
        <f>'Reported burning'!C258</f>
        <v>Human, deliberate</v>
      </c>
      <c r="D258" s="7" t="str">
        <f>'Reported burning'!D258</f>
        <v>Crop field preparation</v>
      </c>
      <c r="E258" s="7" t="str">
        <f>'Reported burning'!E258</f>
        <v>Cropping, Swidden</v>
      </c>
      <c r="F258" s="7" t="str">
        <f>'Reported burning'!F258</f>
        <v>Grassland</v>
      </c>
      <c r="G258" s="7" t="str">
        <f>'Reported burning'!G258</f>
        <v>ND</v>
      </c>
      <c r="H258" s="7" t="str">
        <f>'Reported burning'!H258</f>
        <v>Absence</v>
      </c>
      <c r="I258" s="4">
        <v>2010</v>
      </c>
      <c r="J258" s="22" t="s">
        <v>2396</v>
      </c>
      <c r="K258" s="110" t="s">
        <v>2396</v>
      </c>
      <c r="L258" s="22" t="s">
        <v>2396</v>
      </c>
      <c r="M258" s="22" t="s">
        <v>2396</v>
      </c>
      <c r="N258" s="22" t="s">
        <v>2396</v>
      </c>
      <c r="O258" s="22" t="s">
        <v>2396</v>
      </c>
      <c r="P258" s="22" t="s">
        <v>2396</v>
      </c>
      <c r="Q258" s="109" t="s">
        <v>2308</v>
      </c>
      <c r="R258" s="109" t="s">
        <v>2308</v>
      </c>
      <c r="S258" s="22" t="s">
        <v>2396</v>
      </c>
      <c r="T258" s="22" t="s">
        <v>2396</v>
      </c>
      <c r="U258" s="22" t="s">
        <v>2396</v>
      </c>
      <c r="V258" s="22" t="s">
        <v>2396</v>
      </c>
      <c r="W258" s="22" t="s">
        <v>2308</v>
      </c>
      <c r="X258" s="4" t="s">
        <v>2308</v>
      </c>
      <c r="Y258" s="4" t="s">
        <v>2308</v>
      </c>
      <c r="Z258" s="4" t="s">
        <v>2308</v>
      </c>
      <c r="AA258" s="5" t="s">
        <v>472</v>
      </c>
      <c r="AB258" s="4"/>
    </row>
    <row r="259" spans="1:28" ht="66" customHeight="1">
      <c r="A259" s="7" t="str">
        <f>'Reported burning'!A259</f>
        <v>22b</v>
      </c>
      <c r="B259" s="7" t="str">
        <f>'Reported burning'!B259</f>
        <v>22b.3</v>
      </c>
      <c r="C259" s="7" t="str">
        <f>'Reported burning'!C259</f>
        <v>Human, deliberate</v>
      </c>
      <c r="D259" s="7" t="str">
        <f>'Reported burning'!D259</f>
        <v>Crop field preparation</v>
      </c>
      <c r="E259" s="7" t="str">
        <f>'Reported burning'!E259</f>
        <v>Cropping, Swidden</v>
      </c>
      <c r="F259" s="7" t="str">
        <f>'Reported burning'!F259</f>
        <v>Secondary Vegetation</v>
      </c>
      <c r="G259" s="7" t="str">
        <f>'Reported burning'!G259</f>
        <v>ND</v>
      </c>
      <c r="H259" s="7" t="str">
        <f>'Reported burning'!H259</f>
        <v>Presence</v>
      </c>
      <c r="I259" s="4">
        <v>2010</v>
      </c>
      <c r="J259" s="22" t="s">
        <v>2308</v>
      </c>
      <c r="K259" s="110" t="s">
        <v>2308</v>
      </c>
      <c r="L259" s="22" t="s">
        <v>2308</v>
      </c>
      <c r="M259" s="22" t="s">
        <v>2308</v>
      </c>
      <c r="N259" s="22" t="s">
        <v>2308</v>
      </c>
      <c r="O259" s="22" t="s">
        <v>2308</v>
      </c>
      <c r="P259" s="22" t="s">
        <v>2308</v>
      </c>
      <c r="Q259" s="109" t="s">
        <v>2308</v>
      </c>
      <c r="R259" s="109" t="s">
        <v>2308</v>
      </c>
      <c r="S259" s="22" t="s">
        <v>2308</v>
      </c>
      <c r="T259" s="22" t="s">
        <v>2308</v>
      </c>
      <c r="U259" s="22" t="s">
        <v>2560</v>
      </c>
      <c r="V259" s="22" t="s">
        <v>2308</v>
      </c>
      <c r="W259" s="22" t="s">
        <v>2308</v>
      </c>
      <c r="X259" s="4" t="s">
        <v>68</v>
      </c>
      <c r="Y259" s="4" t="s">
        <v>35</v>
      </c>
      <c r="Z259" s="4" t="s">
        <v>64</v>
      </c>
      <c r="AA259" s="5" t="s">
        <v>491</v>
      </c>
      <c r="AB259" s="5" t="s">
        <v>2445</v>
      </c>
    </row>
    <row r="260" spans="1:28" ht="68.5" customHeight="1">
      <c r="A260" s="7" t="str">
        <f>'Reported burning'!A260</f>
        <v>22c</v>
      </c>
      <c r="B260" s="7" t="str">
        <f>'Reported burning'!B260</f>
        <v>22c.1</v>
      </c>
      <c r="C260" s="7" t="str">
        <f>'Reported burning'!C260</f>
        <v>Human, deliberate</v>
      </c>
      <c r="D260" s="7" t="str">
        <f>'Reported burning'!D260</f>
        <v>Crop field preparation</v>
      </c>
      <c r="E260" s="7" t="str">
        <f>'Reported burning'!E260</f>
        <v>Cropping, Monoculture, Subsistence-oriented</v>
      </c>
      <c r="F260" s="7" t="str">
        <f>'Reported burning'!F260</f>
        <v>Cropland</v>
      </c>
      <c r="G260" s="7" t="str">
        <f>'Reported burning'!G260</f>
        <v>ND</v>
      </c>
      <c r="H260" s="7" t="str">
        <f>'Reported burning'!H260</f>
        <v>Absence</v>
      </c>
      <c r="I260" s="4">
        <v>2010</v>
      </c>
      <c r="J260" s="79" t="s">
        <v>2396</v>
      </c>
      <c r="K260" s="118" t="s">
        <v>2396</v>
      </c>
      <c r="L260" s="79" t="s">
        <v>2396</v>
      </c>
      <c r="M260" s="79" t="s">
        <v>2396</v>
      </c>
      <c r="N260" s="79" t="s">
        <v>2396</v>
      </c>
      <c r="O260" s="79" t="s">
        <v>2396</v>
      </c>
      <c r="P260" s="79" t="s">
        <v>2396</v>
      </c>
      <c r="Q260" s="109" t="s">
        <v>2308</v>
      </c>
      <c r="R260" s="109" t="s">
        <v>2308</v>
      </c>
      <c r="S260" s="79" t="s">
        <v>2396</v>
      </c>
      <c r="T260" s="79" t="s">
        <v>2396</v>
      </c>
      <c r="U260" s="79" t="s">
        <v>2396</v>
      </c>
      <c r="V260" s="79" t="s">
        <v>2396</v>
      </c>
      <c r="W260" s="22" t="s">
        <v>2308</v>
      </c>
      <c r="X260" s="4" t="s">
        <v>2308</v>
      </c>
      <c r="Y260" s="4" t="s">
        <v>2308</v>
      </c>
      <c r="Z260" s="4" t="s">
        <v>2308</v>
      </c>
      <c r="AA260" s="4"/>
      <c r="AB260" s="5"/>
    </row>
    <row r="261" spans="1:28" ht="62.5" customHeight="1">
      <c r="A261" s="7" t="str">
        <f>'Reported burning'!A261</f>
        <v>22c</v>
      </c>
      <c r="B261" s="7" t="str">
        <f>'Reported burning'!B261</f>
        <v>22c.2</v>
      </c>
      <c r="C261" s="7" t="str">
        <f>'Reported burning'!C261</f>
        <v>Human, deliberate</v>
      </c>
      <c r="D261" s="7" t="str">
        <f>'Reported burning'!D261</f>
        <v>Crop field preparation</v>
      </c>
      <c r="E261" s="7" t="str">
        <f>'Reported burning'!E261</f>
        <v>Cropping, Swidden</v>
      </c>
      <c r="F261" s="7" t="str">
        <f>'Reported burning'!F261</f>
        <v>Grassland</v>
      </c>
      <c r="G261" s="7" t="str">
        <f>'Reported burning'!G261</f>
        <v>ND</v>
      </c>
      <c r="H261" s="7" t="str">
        <f>'Reported burning'!H261</f>
        <v>Absence</v>
      </c>
      <c r="I261" s="4">
        <v>2010</v>
      </c>
      <c r="J261" s="22" t="s">
        <v>2396</v>
      </c>
      <c r="K261" s="110" t="s">
        <v>2396</v>
      </c>
      <c r="L261" s="22" t="s">
        <v>2396</v>
      </c>
      <c r="M261" s="22" t="s">
        <v>2396</v>
      </c>
      <c r="N261" s="22" t="s">
        <v>2396</v>
      </c>
      <c r="O261" s="22" t="s">
        <v>2396</v>
      </c>
      <c r="P261" s="22" t="s">
        <v>2396</v>
      </c>
      <c r="Q261" s="109" t="s">
        <v>2308</v>
      </c>
      <c r="R261" s="109" t="s">
        <v>2308</v>
      </c>
      <c r="S261" s="22" t="s">
        <v>2396</v>
      </c>
      <c r="T261" s="22" t="s">
        <v>2396</v>
      </c>
      <c r="U261" s="22" t="s">
        <v>2396</v>
      </c>
      <c r="V261" s="22" t="s">
        <v>2396</v>
      </c>
      <c r="W261" s="22" t="s">
        <v>2308</v>
      </c>
      <c r="X261" s="4" t="s">
        <v>2308</v>
      </c>
      <c r="Y261" s="4" t="s">
        <v>2308</v>
      </c>
      <c r="Z261" s="4" t="s">
        <v>2308</v>
      </c>
      <c r="AA261" s="5" t="s">
        <v>472</v>
      </c>
      <c r="AB261" s="5"/>
    </row>
    <row r="262" spans="1:28" ht="65" customHeight="1">
      <c r="A262" s="7" t="str">
        <f>'Reported burning'!A262</f>
        <v>22c</v>
      </c>
      <c r="B262" s="7" t="str">
        <f>'Reported burning'!B262</f>
        <v>22c.3</v>
      </c>
      <c r="C262" s="7" t="str">
        <f>'Reported burning'!C262</f>
        <v>Human, deliberate</v>
      </c>
      <c r="D262" s="7" t="str">
        <f>'Reported burning'!D262</f>
        <v>Crop field preparation</v>
      </c>
      <c r="E262" s="7" t="str">
        <f>'Reported burning'!E262</f>
        <v>Cropping, Swidden</v>
      </c>
      <c r="F262" s="7" t="str">
        <f>'Reported burning'!F262</f>
        <v>Secondary Vegetation</v>
      </c>
      <c r="G262" s="7" t="str">
        <f>'Reported burning'!G262</f>
        <v>ND</v>
      </c>
      <c r="H262" s="7" t="str">
        <f>'Reported burning'!H262</f>
        <v>Presence</v>
      </c>
      <c r="I262" s="4">
        <v>2010</v>
      </c>
      <c r="J262" s="22" t="s">
        <v>2308</v>
      </c>
      <c r="K262" s="110" t="s">
        <v>2308</v>
      </c>
      <c r="L262" s="22" t="s">
        <v>2308</v>
      </c>
      <c r="M262" s="22" t="s">
        <v>2308</v>
      </c>
      <c r="N262" s="22" t="s">
        <v>2308</v>
      </c>
      <c r="O262" s="22" t="s">
        <v>2308</v>
      </c>
      <c r="P262" s="22" t="s">
        <v>2308</v>
      </c>
      <c r="Q262" s="109" t="s">
        <v>2308</v>
      </c>
      <c r="R262" s="109" t="s">
        <v>2308</v>
      </c>
      <c r="S262" s="22" t="s">
        <v>2308</v>
      </c>
      <c r="T262" s="22" t="s">
        <v>2308</v>
      </c>
      <c r="U262" s="22" t="s">
        <v>2560</v>
      </c>
      <c r="V262" s="22" t="s">
        <v>2308</v>
      </c>
      <c r="W262" s="22" t="s">
        <v>2308</v>
      </c>
      <c r="X262" s="4" t="s">
        <v>68</v>
      </c>
      <c r="Y262" s="4" t="s">
        <v>35</v>
      </c>
      <c r="Z262" s="4" t="s">
        <v>64</v>
      </c>
      <c r="AA262" s="5" t="s">
        <v>499</v>
      </c>
      <c r="AB262" s="5" t="s">
        <v>2445</v>
      </c>
    </row>
    <row r="263" spans="1:28" ht="60.5" customHeight="1">
      <c r="A263" s="7" t="str">
        <f>'Reported burning'!A263</f>
        <v>22d</v>
      </c>
      <c r="B263" s="7" t="str">
        <f>'Reported burning'!B263</f>
        <v>22d.1</v>
      </c>
      <c r="C263" s="7" t="str">
        <f>'Reported burning'!C263</f>
        <v>Human, deliberate</v>
      </c>
      <c r="D263" s="7" t="str">
        <f>'Reported burning'!D263</f>
        <v>Crop field preparation</v>
      </c>
      <c r="E263" s="7" t="str">
        <f>'Reported burning'!E263</f>
        <v>Cropping, Monoculture, Subsistence-oriented</v>
      </c>
      <c r="F263" s="7" t="str">
        <f>'Reported burning'!F263</f>
        <v>Cropland</v>
      </c>
      <c r="G263" s="7" t="str">
        <f>'Reported burning'!G263</f>
        <v>ND</v>
      </c>
      <c r="H263" s="7" t="str">
        <f>'Reported burning'!H263</f>
        <v>Absence</v>
      </c>
      <c r="I263" s="4">
        <v>2010</v>
      </c>
      <c r="J263" s="22" t="s">
        <v>2396</v>
      </c>
      <c r="K263" s="110" t="s">
        <v>2396</v>
      </c>
      <c r="L263" s="22" t="s">
        <v>2396</v>
      </c>
      <c r="M263" s="22" t="s">
        <v>2396</v>
      </c>
      <c r="N263" s="22" t="s">
        <v>2396</v>
      </c>
      <c r="O263" s="22" t="s">
        <v>2396</v>
      </c>
      <c r="P263" s="22" t="s">
        <v>2396</v>
      </c>
      <c r="Q263" s="109" t="s">
        <v>2308</v>
      </c>
      <c r="R263" s="109" t="s">
        <v>2308</v>
      </c>
      <c r="S263" s="22" t="s">
        <v>2396</v>
      </c>
      <c r="T263" s="22" t="s">
        <v>2396</v>
      </c>
      <c r="U263" s="22" t="s">
        <v>2396</v>
      </c>
      <c r="V263" s="22" t="s">
        <v>2396</v>
      </c>
      <c r="W263" s="22" t="s">
        <v>2308</v>
      </c>
      <c r="X263" s="4" t="s">
        <v>2308</v>
      </c>
      <c r="Y263" s="4" t="s">
        <v>2308</v>
      </c>
      <c r="Z263" s="4" t="s">
        <v>2308</v>
      </c>
      <c r="AA263" s="4"/>
      <c r="AB263" s="5"/>
    </row>
    <row r="264" spans="1:28" ht="61" customHeight="1">
      <c r="A264" s="7" t="str">
        <f>'Reported burning'!A264</f>
        <v>22d</v>
      </c>
      <c r="B264" s="7" t="str">
        <f>'Reported burning'!B264</f>
        <v>22d.2</v>
      </c>
      <c r="C264" s="7" t="str">
        <f>'Reported burning'!C264</f>
        <v>Human, deliberate</v>
      </c>
      <c r="D264" s="7" t="str">
        <f>'Reported burning'!D264</f>
        <v>Crop field preparation</v>
      </c>
      <c r="E264" s="7" t="str">
        <f>'Reported burning'!E264</f>
        <v>Cropping, Swidden</v>
      </c>
      <c r="F264" s="7" t="str">
        <f>'Reported burning'!F264</f>
        <v>Grassland</v>
      </c>
      <c r="G264" s="7" t="str">
        <f>'Reported burning'!G264</f>
        <v>ND</v>
      </c>
      <c r="H264" s="7" t="str">
        <f>'Reported burning'!H264</f>
        <v>Absence</v>
      </c>
      <c r="I264" s="4">
        <v>2010</v>
      </c>
      <c r="J264" s="22" t="s">
        <v>2396</v>
      </c>
      <c r="K264" s="110" t="s">
        <v>2396</v>
      </c>
      <c r="L264" s="22" t="s">
        <v>2396</v>
      </c>
      <c r="M264" s="22" t="s">
        <v>2396</v>
      </c>
      <c r="N264" s="22" t="s">
        <v>2396</v>
      </c>
      <c r="O264" s="22" t="s">
        <v>2396</v>
      </c>
      <c r="P264" s="22" t="s">
        <v>2396</v>
      </c>
      <c r="Q264" s="109" t="s">
        <v>2308</v>
      </c>
      <c r="R264" s="109" t="s">
        <v>2308</v>
      </c>
      <c r="S264" s="22" t="s">
        <v>2396</v>
      </c>
      <c r="T264" s="22" t="s">
        <v>2396</v>
      </c>
      <c r="U264" s="22" t="s">
        <v>2396</v>
      </c>
      <c r="V264" s="22" t="s">
        <v>2396</v>
      </c>
      <c r="W264" s="22" t="s">
        <v>2308</v>
      </c>
      <c r="X264" s="4" t="s">
        <v>2308</v>
      </c>
      <c r="Y264" s="4" t="s">
        <v>2308</v>
      </c>
      <c r="Z264" s="4" t="s">
        <v>2308</v>
      </c>
      <c r="AA264" s="4"/>
      <c r="AB264" s="5"/>
    </row>
    <row r="265" spans="1:28" ht="101" customHeight="1">
      <c r="A265" s="7" t="str">
        <f>'Reported burning'!A265</f>
        <v>22d</v>
      </c>
      <c r="B265" s="7" t="str">
        <f>'Reported burning'!B265</f>
        <v>22d.3</v>
      </c>
      <c r="C265" s="7" t="str">
        <f>'Reported burning'!C265</f>
        <v>Human, deliberate</v>
      </c>
      <c r="D265" s="7" t="str">
        <f>'Reported burning'!D265</f>
        <v>Crop field preparation</v>
      </c>
      <c r="E265" s="7" t="str">
        <f>'Reported burning'!E265</f>
        <v>Cropping, Swidden</v>
      </c>
      <c r="F265" s="7" t="str">
        <f>'Reported burning'!F265</f>
        <v>Secondary Vegetation</v>
      </c>
      <c r="G265" s="7" t="str">
        <f>'Reported burning'!G265</f>
        <v>ND</v>
      </c>
      <c r="H265" s="7" t="str">
        <f>'Reported burning'!H265</f>
        <v>Presence</v>
      </c>
      <c r="I265" s="4">
        <v>2010</v>
      </c>
      <c r="J265" s="79" t="s">
        <v>2308</v>
      </c>
      <c r="K265" s="118" t="s">
        <v>2308</v>
      </c>
      <c r="L265" s="79" t="s">
        <v>2308</v>
      </c>
      <c r="M265" s="79" t="s">
        <v>2308</v>
      </c>
      <c r="N265" s="79" t="s">
        <v>2308</v>
      </c>
      <c r="O265" s="79" t="s">
        <v>2308</v>
      </c>
      <c r="P265" s="79" t="s">
        <v>2308</v>
      </c>
      <c r="Q265" s="109" t="s">
        <v>2308</v>
      </c>
      <c r="R265" s="109" t="s">
        <v>2308</v>
      </c>
      <c r="S265" s="79" t="s">
        <v>2308</v>
      </c>
      <c r="T265" s="79" t="s">
        <v>2308</v>
      </c>
      <c r="U265" s="79" t="s">
        <v>2408</v>
      </c>
      <c r="V265" s="79" t="s">
        <v>2308</v>
      </c>
      <c r="W265" s="79" t="s">
        <v>2308</v>
      </c>
      <c r="X265" s="4" t="s">
        <v>68</v>
      </c>
      <c r="Y265" s="4" t="s">
        <v>35</v>
      </c>
      <c r="Z265" s="4" t="s">
        <v>64</v>
      </c>
      <c r="AA265" s="5" t="s">
        <v>498</v>
      </c>
      <c r="AB265" s="5" t="s">
        <v>2445</v>
      </c>
    </row>
    <row r="266" spans="1:28" ht="44" customHeight="1">
      <c r="A266" s="7" t="str">
        <f>'Reported burning'!A266</f>
        <v>22e</v>
      </c>
      <c r="B266" s="7" t="str">
        <f>'Reported burning'!B266</f>
        <v>22e.1</v>
      </c>
      <c r="C266" s="7" t="str">
        <f>'Reported burning'!C266</f>
        <v>Human, deliberate</v>
      </c>
      <c r="D266" s="7" t="str">
        <f>'Reported burning'!D266</f>
        <v>Crop field preparation</v>
      </c>
      <c r="E266" s="7" t="str">
        <f>'Reported burning'!E266</f>
        <v>Cropping, Monoculture, Subsistence-oriented</v>
      </c>
      <c r="F266" s="7" t="str">
        <f>'Reported burning'!F266</f>
        <v>Cropland</v>
      </c>
      <c r="G266" s="7" t="str">
        <f>'Reported burning'!G266</f>
        <v>ND</v>
      </c>
      <c r="H266" s="7" t="str">
        <f>'Reported burning'!H266</f>
        <v>Absence</v>
      </c>
      <c r="I266" s="4">
        <v>1990</v>
      </c>
      <c r="J266" s="22" t="s">
        <v>2396</v>
      </c>
      <c r="K266" s="110" t="s">
        <v>2396</v>
      </c>
      <c r="L266" s="22" t="s">
        <v>2396</v>
      </c>
      <c r="M266" s="22" t="s">
        <v>2396</v>
      </c>
      <c r="N266" s="22" t="s">
        <v>2396</v>
      </c>
      <c r="O266" s="22" t="s">
        <v>2396</v>
      </c>
      <c r="P266" s="22" t="s">
        <v>2396</v>
      </c>
      <c r="Q266" s="109" t="s">
        <v>2308</v>
      </c>
      <c r="R266" s="109" t="s">
        <v>2308</v>
      </c>
      <c r="S266" s="22" t="s">
        <v>2396</v>
      </c>
      <c r="T266" s="22" t="s">
        <v>2396</v>
      </c>
      <c r="U266" s="22" t="s">
        <v>2396</v>
      </c>
      <c r="V266" s="22" t="s">
        <v>2396</v>
      </c>
      <c r="W266" s="22" t="s">
        <v>2308</v>
      </c>
      <c r="X266" s="4" t="s">
        <v>2308</v>
      </c>
      <c r="Y266" s="4" t="s">
        <v>2308</v>
      </c>
      <c r="Z266" s="4" t="s">
        <v>2308</v>
      </c>
      <c r="AA266" s="4"/>
      <c r="AB266" s="5"/>
    </row>
    <row r="267" spans="1:28" ht="39.5" customHeight="1">
      <c r="A267" s="7" t="str">
        <f>'Reported burning'!A267</f>
        <v>22e</v>
      </c>
      <c r="B267" s="7" t="str">
        <f>'Reported burning'!B267</f>
        <v>22e.2</v>
      </c>
      <c r="C267" s="7" t="str">
        <f>'Reported burning'!C267</f>
        <v>Human, deliberate</v>
      </c>
      <c r="D267" s="7" t="str">
        <f>'Reported burning'!D267</f>
        <v>Crop field preparation</v>
      </c>
      <c r="E267" s="7" t="str">
        <f>'Reported burning'!E267</f>
        <v>Cropping, Swidden</v>
      </c>
      <c r="F267" s="7" t="str">
        <f>'Reported burning'!F267</f>
        <v>Grassland</v>
      </c>
      <c r="G267" s="7" t="str">
        <f>'Reported burning'!G267</f>
        <v>ND</v>
      </c>
      <c r="H267" s="7" t="str">
        <f>'Reported burning'!H267</f>
        <v>Absence</v>
      </c>
      <c r="I267" s="4">
        <v>1990</v>
      </c>
      <c r="J267" s="22" t="s">
        <v>2396</v>
      </c>
      <c r="K267" s="110" t="s">
        <v>2396</v>
      </c>
      <c r="L267" s="22" t="s">
        <v>2396</v>
      </c>
      <c r="M267" s="22" t="s">
        <v>2396</v>
      </c>
      <c r="N267" s="22" t="s">
        <v>2396</v>
      </c>
      <c r="O267" s="22" t="s">
        <v>2396</v>
      </c>
      <c r="P267" s="22" t="s">
        <v>2396</v>
      </c>
      <c r="Q267" s="109" t="s">
        <v>2308</v>
      </c>
      <c r="R267" s="109" t="s">
        <v>2308</v>
      </c>
      <c r="S267" s="22" t="s">
        <v>2396</v>
      </c>
      <c r="T267" s="22" t="s">
        <v>2396</v>
      </c>
      <c r="U267" s="22" t="s">
        <v>2396</v>
      </c>
      <c r="V267" s="22" t="s">
        <v>2396</v>
      </c>
      <c r="W267" s="22" t="s">
        <v>2308</v>
      </c>
      <c r="X267" s="4" t="s">
        <v>2308</v>
      </c>
      <c r="Y267" s="4" t="s">
        <v>2308</v>
      </c>
      <c r="Z267" s="4" t="s">
        <v>2308</v>
      </c>
      <c r="AA267" s="4"/>
      <c r="AB267" s="5"/>
    </row>
    <row r="268" spans="1:28" ht="47.5" customHeight="1">
      <c r="A268" s="7" t="str">
        <f>'Reported burning'!A268</f>
        <v>22f</v>
      </c>
      <c r="B268" s="7" t="str">
        <f>'Reported burning'!B268</f>
        <v>22f.1</v>
      </c>
      <c r="C268" s="7" t="str">
        <f>'Reported burning'!C268</f>
        <v>Human, deliberate</v>
      </c>
      <c r="D268" s="7" t="str">
        <f>'Reported burning'!D268</f>
        <v>Crop field preparation</v>
      </c>
      <c r="E268" s="7" t="str">
        <f>'Reported burning'!E268</f>
        <v>Cropping, Monoculture, Subsistence-oriented</v>
      </c>
      <c r="F268" s="7" t="str">
        <f>'Reported burning'!F268</f>
        <v>Cropland</v>
      </c>
      <c r="G268" s="7" t="str">
        <f>'Reported burning'!G268</f>
        <v>ND</v>
      </c>
      <c r="H268" s="7" t="str">
        <f>'Reported burning'!H268</f>
        <v>Absence</v>
      </c>
      <c r="I268" s="4">
        <v>1997</v>
      </c>
      <c r="J268" s="79" t="s">
        <v>2396</v>
      </c>
      <c r="K268" s="118" t="s">
        <v>2396</v>
      </c>
      <c r="L268" s="79" t="s">
        <v>2396</v>
      </c>
      <c r="M268" s="79" t="s">
        <v>2396</v>
      </c>
      <c r="N268" s="79" t="s">
        <v>2396</v>
      </c>
      <c r="O268" s="79" t="s">
        <v>2396</v>
      </c>
      <c r="P268" s="79" t="s">
        <v>2396</v>
      </c>
      <c r="Q268" s="109" t="s">
        <v>2308</v>
      </c>
      <c r="R268" s="109" t="s">
        <v>2308</v>
      </c>
      <c r="S268" s="79" t="s">
        <v>2396</v>
      </c>
      <c r="T268" s="79" t="s">
        <v>2396</v>
      </c>
      <c r="U268" s="79" t="s">
        <v>2396</v>
      </c>
      <c r="V268" s="79" t="s">
        <v>2396</v>
      </c>
      <c r="W268" s="22" t="s">
        <v>2308</v>
      </c>
      <c r="X268" s="4" t="s">
        <v>2308</v>
      </c>
      <c r="Y268" s="4" t="s">
        <v>2308</v>
      </c>
      <c r="Z268" s="4" t="s">
        <v>2308</v>
      </c>
      <c r="AA268" s="4"/>
      <c r="AB268" s="5"/>
    </row>
    <row r="269" spans="1:28" ht="34.5" customHeight="1">
      <c r="A269" s="7" t="str">
        <f>'Reported burning'!A269</f>
        <v>22f</v>
      </c>
      <c r="B269" s="7" t="str">
        <f>'Reported burning'!B269</f>
        <v>22f.2</v>
      </c>
      <c r="C269" s="7" t="str">
        <f>'Reported burning'!C269</f>
        <v>Human, deliberate</v>
      </c>
      <c r="D269" s="7" t="str">
        <f>'Reported burning'!D269</f>
        <v>Crop field preparation</v>
      </c>
      <c r="E269" s="7" t="str">
        <f>'Reported burning'!E269</f>
        <v>Cropping, Swidden</v>
      </c>
      <c r="F269" s="7" t="str">
        <f>'Reported burning'!F269</f>
        <v>Grassland</v>
      </c>
      <c r="G269" s="7" t="str">
        <f>'Reported burning'!G269</f>
        <v>ND</v>
      </c>
      <c r="H269" s="7" t="str">
        <f>'Reported burning'!H269</f>
        <v>Absence</v>
      </c>
      <c r="I269" s="4">
        <v>1997</v>
      </c>
      <c r="J269" s="22" t="s">
        <v>2396</v>
      </c>
      <c r="K269" s="110" t="s">
        <v>2396</v>
      </c>
      <c r="L269" s="22" t="s">
        <v>2396</v>
      </c>
      <c r="M269" s="22" t="s">
        <v>2396</v>
      </c>
      <c r="N269" s="22" t="s">
        <v>2396</v>
      </c>
      <c r="O269" s="22" t="s">
        <v>2396</v>
      </c>
      <c r="P269" s="22" t="s">
        <v>2396</v>
      </c>
      <c r="Q269" s="109" t="s">
        <v>2308</v>
      </c>
      <c r="R269" s="109" t="s">
        <v>2308</v>
      </c>
      <c r="S269" s="22" t="s">
        <v>2396</v>
      </c>
      <c r="T269" s="22" t="s">
        <v>2396</v>
      </c>
      <c r="U269" s="22" t="s">
        <v>2396</v>
      </c>
      <c r="V269" s="22" t="s">
        <v>2396</v>
      </c>
      <c r="W269" s="22" t="s">
        <v>2308</v>
      </c>
      <c r="X269" s="4" t="s">
        <v>2308</v>
      </c>
      <c r="Y269" s="4" t="s">
        <v>2308</v>
      </c>
      <c r="Z269" s="4" t="s">
        <v>2308</v>
      </c>
      <c r="AA269" s="4"/>
      <c r="AB269" s="5"/>
    </row>
    <row r="270" spans="1:28" ht="52" customHeight="1">
      <c r="A270" s="7" t="str">
        <f>'Reported burning'!A270</f>
        <v>22f</v>
      </c>
      <c r="B270" s="7" t="str">
        <f>'Reported burning'!B270</f>
        <v>22f.3</v>
      </c>
      <c r="C270" s="7" t="str">
        <f>'Reported burning'!C270</f>
        <v>Human, deliberate</v>
      </c>
      <c r="D270" s="7" t="str">
        <f>'Reported burning'!D270</f>
        <v>Crop field preparation</v>
      </c>
      <c r="E270" s="7" t="str">
        <f>'Reported burning'!E270</f>
        <v>Cropping, Swidden</v>
      </c>
      <c r="F270" s="7" t="str">
        <f>'Reported burning'!F270</f>
        <v>Secondary Vegetation</v>
      </c>
      <c r="G270" s="7" t="str">
        <f>'Reported burning'!G270</f>
        <v>ND</v>
      </c>
      <c r="H270" s="7" t="str">
        <f>'Reported burning'!H270</f>
        <v>Presence</v>
      </c>
      <c r="I270" s="4">
        <v>1997</v>
      </c>
      <c r="J270" s="22" t="s">
        <v>2308</v>
      </c>
      <c r="K270" s="110" t="s">
        <v>2308</v>
      </c>
      <c r="L270" s="22" t="s">
        <v>2308</v>
      </c>
      <c r="M270" s="22" t="s">
        <v>2308</v>
      </c>
      <c r="N270" s="22" t="s">
        <v>2308</v>
      </c>
      <c r="O270" s="22" t="s">
        <v>2308</v>
      </c>
      <c r="P270" s="22" t="s">
        <v>2308</v>
      </c>
      <c r="Q270" s="109" t="s">
        <v>2308</v>
      </c>
      <c r="R270" s="109" t="s">
        <v>2308</v>
      </c>
      <c r="S270" s="22" t="s">
        <v>2308</v>
      </c>
      <c r="T270" s="22" t="s">
        <v>2308</v>
      </c>
      <c r="U270" s="22" t="s">
        <v>2560</v>
      </c>
      <c r="V270" s="22" t="s">
        <v>2308</v>
      </c>
      <c r="W270" s="22" t="s">
        <v>2308</v>
      </c>
      <c r="X270" s="4" t="s">
        <v>68</v>
      </c>
      <c r="Y270" s="4" t="s">
        <v>35</v>
      </c>
      <c r="Z270" s="4" t="s">
        <v>64</v>
      </c>
      <c r="AA270" s="4"/>
      <c r="AB270" s="5" t="s">
        <v>2445</v>
      </c>
    </row>
    <row r="271" spans="1:28" ht="41.5" customHeight="1">
      <c r="A271" s="7" t="str">
        <f>'Reported burning'!A271</f>
        <v>22g</v>
      </c>
      <c r="B271" s="7" t="str">
        <f>'Reported burning'!B271</f>
        <v>22g.1</v>
      </c>
      <c r="C271" s="7" t="str">
        <f>'Reported burning'!C271</f>
        <v>Human, deliberate</v>
      </c>
      <c r="D271" s="7" t="str">
        <f>'Reported burning'!D271</f>
        <v>Crop field preparation</v>
      </c>
      <c r="E271" s="7" t="str">
        <f>'Reported burning'!E271</f>
        <v>Cropping, Monoculture, Subsistence-oriented</v>
      </c>
      <c r="F271" s="7" t="str">
        <f>'Reported burning'!F271</f>
        <v>Cropland</v>
      </c>
      <c r="G271" s="7" t="str">
        <f>'Reported burning'!G271</f>
        <v>ND</v>
      </c>
      <c r="H271" s="7" t="str">
        <f>'Reported burning'!H271</f>
        <v>Absence</v>
      </c>
      <c r="I271" s="4">
        <v>1990</v>
      </c>
      <c r="J271" s="22" t="s">
        <v>2396</v>
      </c>
      <c r="K271" s="110" t="s">
        <v>2396</v>
      </c>
      <c r="L271" s="22" t="s">
        <v>2396</v>
      </c>
      <c r="M271" s="22" t="s">
        <v>2396</v>
      </c>
      <c r="N271" s="22" t="s">
        <v>2396</v>
      </c>
      <c r="O271" s="22" t="s">
        <v>2396</v>
      </c>
      <c r="P271" s="22" t="s">
        <v>2396</v>
      </c>
      <c r="Q271" s="109" t="s">
        <v>2308</v>
      </c>
      <c r="R271" s="109" t="s">
        <v>2308</v>
      </c>
      <c r="S271" s="22" t="s">
        <v>2396</v>
      </c>
      <c r="T271" s="22" t="s">
        <v>2396</v>
      </c>
      <c r="U271" s="22" t="s">
        <v>2396</v>
      </c>
      <c r="V271" s="22" t="s">
        <v>2396</v>
      </c>
      <c r="W271" s="22" t="s">
        <v>2308</v>
      </c>
      <c r="X271" s="4" t="s">
        <v>2308</v>
      </c>
      <c r="Y271" s="4" t="s">
        <v>2308</v>
      </c>
      <c r="Z271" s="4" t="s">
        <v>2308</v>
      </c>
      <c r="AA271" s="4"/>
      <c r="AB271" s="5"/>
    </row>
    <row r="272" spans="1:28" ht="39.5" customHeight="1">
      <c r="A272" s="7" t="str">
        <f>'Reported burning'!A272</f>
        <v>22g</v>
      </c>
      <c r="B272" s="7" t="str">
        <f>'Reported burning'!B272</f>
        <v>22g.2</v>
      </c>
      <c r="C272" s="7" t="str">
        <f>'Reported burning'!C272</f>
        <v>Human, deliberate</v>
      </c>
      <c r="D272" s="7" t="str">
        <f>'Reported burning'!D272</f>
        <v>Crop field preparation</v>
      </c>
      <c r="E272" s="7" t="str">
        <f>'Reported burning'!E272</f>
        <v>Cropping, Swidden</v>
      </c>
      <c r="F272" s="7" t="str">
        <f>'Reported burning'!F272</f>
        <v>Grassland</v>
      </c>
      <c r="G272" s="7" t="str">
        <f>'Reported burning'!G272</f>
        <v>ND</v>
      </c>
      <c r="H272" s="7" t="str">
        <f>'Reported burning'!H272</f>
        <v>Absence</v>
      </c>
      <c r="I272" s="4">
        <v>1990</v>
      </c>
      <c r="J272" s="22" t="s">
        <v>2396</v>
      </c>
      <c r="K272" s="110" t="s">
        <v>2396</v>
      </c>
      <c r="L272" s="22" t="s">
        <v>2396</v>
      </c>
      <c r="M272" s="22" t="s">
        <v>2396</v>
      </c>
      <c r="N272" s="22" t="s">
        <v>2396</v>
      </c>
      <c r="O272" s="22" t="s">
        <v>2396</v>
      </c>
      <c r="P272" s="22" t="s">
        <v>2396</v>
      </c>
      <c r="Q272" s="109" t="s">
        <v>2308</v>
      </c>
      <c r="R272" s="109" t="s">
        <v>2308</v>
      </c>
      <c r="S272" s="22" t="s">
        <v>2396</v>
      </c>
      <c r="T272" s="22" t="s">
        <v>2396</v>
      </c>
      <c r="U272" s="22" t="s">
        <v>2396</v>
      </c>
      <c r="V272" s="22" t="s">
        <v>2396</v>
      </c>
      <c r="W272" s="22" t="s">
        <v>2308</v>
      </c>
      <c r="X272" s="4" t="s">
        <v>2308</v>
      </c>
      <c r="Y272" s="4" t="s">
        <v>2308</v>
      </c>
      <c r="Z272" s="4" t="s">
        <v>2308</v>
      </c>
      <c r="AA272" s="4"/>
      <c r="AB272" s="5"/>
    </row>
    <row r="273" spans="1:28" ht="59" customHeight="1">
      <c r="A273" s="7" t="str">
        <f>'Reported burning'!A273</f>
        <v>22g</v>
      </c>
      <c r="B273" s="7" t="str">
        <f>'Reported burning'!B273</f>
        <v>22g.3</v>
      </c>
      <c r="C273" s="7" t="str">
        <f>'Reported burning'!C273</f>
        <v>Human, deliberate</v>
      </c>
      <c r="D273" s="7" t="str">
        <f>'Reported burning'!D273</f>
        <v>Crop field preparation</v>
      </c>
      <c r="E273" s="7" t="str">
        <f>'Reported burning'!E273</f>
        <v>Cropping, Swidden</v>
      </c>
      <c r="F273" s="7" t="str">
        <f>'Reported burning'!F273</f>
        <v>Secondary Vegetation</v>
      </c>
      <c r="G273" s="7" t="str">
        <f>'Reported burning'!G273</f>
        <v>ND</v>
      </c>
      <c r="H273" s="7" t="str">
        <f>'Reported burning'!H273</f>
        <v>Presence</v>
      </c>
      <c r="I273" s="4">
        <v>1990</v>
      </c>
      <c r="J273" s="22" t="s">
        <v>2308</v>
      </c>
      <c r="K273" s="110" t="s">
        <v>2308</v>
      </c>
      <c r="L273" s="22" t="s">
        <v>2308</v>
      </c>
      <c r="M273" s="22" t="s">
        <v>2308</v>
      </c>
      <c r="N273" s="22" t="s">
        <v>2308</v>
      </c>
      <c r="O273" s="22" t="s">
        <v>2308</v>
      </c>
      <c r="P273" s="22" t="s">
        <v>2308</v>
      </c>
      <c r="Q273" s="109" t="s">
        <v>2308</v>
      </c>
      <c r="R273" s="109" t="s">
        <v>2308</v>
      </c>
      <c r="S273" s="22" t="s">
        <v>2308</v>
      </c>
      <c r="T273" s="22" t="s">
        <v>2308</v>
      </c>
      <c r="U273" s="22" t="s">
        <v>2560</v>
      </c>
      <c r="V273" s="22" t="s">
        <v>2308</v>
      </c>
      <c r="W273" s="22" t="s">
        <v>2308</v>
      </c>
      <c r="X273" s="4" t="s">
        <v>68</v>
      </c>
      <c r="Y273" s="4" t="s">
        <v>35</v>
      </c>
      <c r="Z273" s="4" t="s">
        <v>64</v>
      </c>
      <c r="AA273" s="4"/>
      <c r="AB273" s="5" t="s">
        <v>2445</v>
      </c>
    </row>
    <row r="274" spans="1:28" ht="154.5" customHeight="1">
      <c r="A274" s="7" t="str">
        <f>'Reported burning'!A274</f>
        <v>23a</v>
      </c>
      <c r="B274" s="7" t="str">
        <f>'Reported burning'!B274</f>
        <v>23a.1</v>
      </c>
      <c r="C274" s="7" t="str">
        <f>'Reported burning'!C274</f>
        <v>Human, deliberate</v>
      </c>
      <c r="D274" s="7" t="str">
        <f>'Reported burning'!D274</f>
        <v>Hunting</v>
      </c>
      <c r="E274" s="7" t="str">
        <f>'Reported burning'!E274</f>
        <v>Forestry, Traditional</v>
      </c>
      <c r="F274" s="7" t="str">
        <f>'Reported burning'!F274</f>
        <v>Secondary Vegetation</v>
      </c>
      <c r="G274" s="7" t="str">
        <f>'Reported burning'!G274</f>
        <v>ND</v>
      </c>
      <c r="H274" s="7" t="str">
        <f>'Reported burning'!H274</f>
        <v>Presence</v>
      </c>
      <c r="I274" s="4"/>
      <c r="J274" s="22" t="s">
        <v>2308</v>
      </c>
      <c r="K274" s="110" t="s">
        <v>2308</v>
      </c>
      <c r="L274" s="22" t="s">
        <v>2308</v>
      </c>
      <c r="M274" s="22" t="s">
        <v>2308</v>
      </c>
      <c r="N274" s="22" t="s">
        <v>2308</v>
      </c>
      <c r="O274" s="22" t="s">
        <v>2308</v>
      </c>
      <c r="P274" s="22" t="s">
        <v>2308</v>
      </c>
      <c r="Q274" s="109" t="s">
        <v>2308</v>
      </c>
      <c r="R274" s="109" t="s">
        <v>2308</v>
      </c>
      <c r="S274" s="22" t="s">
        <v>2308</v>
      </c>
      <c r="T274" s="22" t="s">
        <v>2308</v>
      </c>
      <c r="U274" s="22" t="s">
        <v>2308</v>
      </c>
      <c r="V274" s="22" t="s">
        <v>2408</v>
      </c>
      <c r="W274" s="22" t="s">
        <v>2407</v>
      </c>
      <c r="X274" s="4"/>
      <c r="Y274" s="4"/>
      <c r="Z274" s="4" t="s">
        <v>2344</v>
      </c>
      <c r="AA274" s="5" t="s">
        <v>2345</v>
      </c>
      <c r="AB274" s="5" t="s">
        <v>2355</v>
      </c>
    </row>
    <row r="275" spans="1:28" ht="138" customHeight="1">
      <c r="A275" s="7" t="str">
        <f>'Reported burning'!A275</f>
        <v>23a</v>
      </c>
      <c r="B275" s="7" t="str">
        <f>'Reported burning'!B275</f>
        <v>23a.2</v>
      </c>
      <c r="C275" s="7" t="str">
        <f>'Reported burning'!C275</f>
        <v>Human, deliberate</v>
      </c>
      <c r="D275" s="7" t="str">
        <f>'Reported burning'!D275</f>
        <v>Hunting</v>
      </c>
      <c r="E275" s="7" t="str">
        <f>'Reported burning'!E275</f>
        <v>Forestry, Traditional</v>
      </c>
      <c r="F275" s="7" t="str">
        <f>'Reported burning'!F275</f>
        <v>Forest</v>
      </c>
      <c r="G275" s="7" t="str">
        <f>'Reported burning'!G275</f>
        <v>ND</v>
      </c>
      <c r="H275" s="7" t="str">
        <f>'Reported burning'!H275</f>
        <v>Presence</v>
      </c>
      <c r="I275" s="4"/>
      <c r="J275" s="22" t="s">
        <v>2308</v>
      </c>
      <c r="K275" s="110" t="s">
        <v>2308</v>
      </c>
      <c r="L275" s="22" t="s">
        <v>2308</v>
      </c>
      <c r="M275" s="22" t="s">
        <v>2308</v>
      </c>
      <c r="N275" s="22" t="s">
        <v>2308</v>
      </c>
      <c r="O275" s="22" t="s">
        <v>2308</v>
      </c>
      <c r="P275" s="22" t="s">
        <v>2308</v>
      </c>
      <c r="Q275" s="109" t="s">
        <v>2308</v>
      </c>
      <c r="R275" s="109" t="s">
        <v>2308</v>
      </c>
      <c r="S275" s="22" t="s">
        <v>2308</v>
      </c>
      <c r="T275" s="22" t="s">
        <v>2308</v>
      </c>
      <c r="U275" s="22" t="s">
        <v>2308</v>
      </c>
      <c r="V275" s="22" t="s">
        <v>2560</v>
      </c>
      <c r="W275" s="22" t="s">
        <v>2308</v>
      </c>
      <c r="X275" s="4"/>
      <c r="Y275" s="4"/>
      <c r="Z275" s="4" t="s">
        <v>2344</v>
      </c>
      <c r="AA275" s="5" t="s">
        <v>2345</v>
      </c>
      <c r="AB275" s="5" t="s">
        <v>2356</v>
      </c>
    </row>
    <row r="276" spans="1:28" ht="108" customHeight="1">
      <c r="A276" s="7" t="str">
        <f>'Reported burning'!A276</f>
        <v>23a</v>
      </c>
      <c r="B276" s="7" t="str">
        <f>'Reported burning'!B276</f>
        <v>23a.3</v>
      </c>
      <c r="C276" s="7" t="str">
        <f>'Reported burning'!C276</f>
        <v>Human, deliberate</v>
      </c>
      <c r="D276" s="7" t="str">
        <f>'Reported burning'!D276</f>
        <v>Forest clearance</v>
      </c>
      <c r="E276" s="7" t="str">
        <f>'Reported burning'!E276</f>
        <v>All</v>
      </c>
      <c r="F276" s="7" t="str">
        <f>'Reported burning'!F276</f>
        <v>Forest</v>
      </c>
      <c r="G276" s="7" t="str">
        <f>'Reported burning'!G276</f>
        <v>ND</v>
      </c>
      <c r="H276" s="7" t="str">
        <f>'Reported burning'!H276</f>
        <v>Absence</v>
      </c>
      <c r="I276" s="4"/>
      <c r="J276" s="22" t="s">
        <v>2396</v>
      </c>
      <c r="K276" s="110" t="s">
        <v>2396</v>
      </c>
      <c r="L276" s="22" t="s">
        <v>2396</v>
      </c>
      <c r="M276" s="22" t="s">
        <v>2396</v>
      </c>
      <c r="N276" s="22" t="s">
        <v>2396</v>
      </c>
      <c r="O276" s="22" t="s">
        <v>2396</v>
      </c>
      <c r="P276" s="22" t="s">
        <v>2396</v>
      </c>
      <c r="Q276" s="109" t="s">
        <v>2308</v>
      </c>
      <c r="R276" s="109" t="s">
        <v>2308</v>
      </c>
      <c r="S276" s="22" t="s">
        <v>2396</v>
      </c>
      <c r="T276" s="22" t="s">
        <v>2396</v>
      </c>
      <c r="U276" s="22" t="s">
        <v>2396</v>
      </c>
      <c r="V276" s="22" t="s">
        <v>2396</v>
      </c>
      <c r="W276" s="22" t="s">
        <v>2308</v>
      </c>
      <c r="X276" s="4"/>
      <c r="Y276" s="4"/>
      <c r="Z276" s="4"/>
      <c r="AA276" s="5" t="s">
        <v>2346</v>
      </c>
      <c r="AB276" s="5"/>
    </row>
    <row r="277" spans="1:28" ht="147" customHeight="1">
      <c r="A277" s="7" t="str">
        <f>'Reported burning'!A277</f>
        <v>23b</v>
      </c>
      <c r="B277" s="7" t="str">
        <f>'Reported burning'!B277</f>
        <v>23b.1</v>
      </c>
      <c r="C277" s="7" t="str">
        <f>'Reported burning'!C277</f>
        <v>Human, deliberate</v>
      </c>
      <c r="D277" s="7" t="str">
        <f>'Reported burning'!D277</f>
        <v>Fishing</v>
      </c>
      <c r="E277" s="7" t="str">
        <f>'Reported burning'!E277</f>
        <v>Forestry, Traditional</v>
      </c>
      <c r="F277" s="7" t="str">
        <f>'Reported burning'!F277</f>
        <v>Secondary Vegetation</v>
      </c>
      <c r="G277" s="7" t="str">
        <f>'Reported burning'!G277</f>
        <v>ND</v>
      </c>
      <c r="H277" s="7" t="str">
        <f>'Reported burning'!H277</f>
        <v>Presence</v>
      </c>
      <c r="I277" s="4"/>
      <c r="J277" s="22" t="s">
        <v>2308</v>
      </c>
      <c r="K277" s="110" t="s">
        <v>2308</v>
      </c>
      <c r="L277" s="22" t="s">
        <v>2308</v>
      </c>
      <c r="M277" s="22" t="s">
        <v>2308</v>
      </c>
      <c r="N277" s="22" t="s">
        <v>2308</v>
      </c>
      <c r="O277" s="22" t="s">
        <v>2308</v>
      </c>
      <c r="P277" s="22" t="s">
        <v>2308</v>
      </c>
      <c r="Q277" s="109" t="s">
        <v>2308</v>
      </c>
      <c r="R277" s="109" t="s">
        <v>2308</v>
      </c>
      <c r="S277" s="22" t="s">
        <v>2308</v>
      </c>
      <c r="T277" s="22" t="s">
        <v>2308</v>
      </c>
      <c r="U277" s="22" t="s">
        <v>2308</v>
      </c>
      <c r="V277" s="22" t="s">
        <v>2408</v>
      </c>
      <c r="W277" s="22" t="s">
        <v>2407</v>
      </c>
      <c r="X277" s="4"/>
      <c r="Y277" s="4"/>
      <c r="Z277" s="4" t="s">
        <v>2344</v>
      </c>
      <c r="AA277" s="5" t="s">
        <v>2345</v>
      </c>
      <c r="AB277" s="5" t="s">
        <v>2357</v>
      </c>
    </row>
    <row r="278" spans="1:28" ht="138" customHeight="1">
      <c r="A278" s="7" t="str">
        <f>'Reported burning'!A278</f>
        <v>23b</v>
      </c>
      <c r="B278" s="7" t="str">
        <f>'Reported burning'!B278</f>
        <v>23b.2</v>
      </c>
      <c r="C278" s="7" t="str">
        <f>'Reported burning'!C278</f>
        <v>Human, deliberate</v>
      </c>
      <c r="D278" s="7" t="str">
        <f>'Reported burning'!D278</f>
        <v>Fishing</v>
      </c>
      <c r="E278" s="7" t="str">
        <f>'Reported burning'!E278</f>
        <v>Forestry, Traditional</v>
      </c>
      <c r="F278" s="7" t="str">
        <f>'Reported burning'!F278</f>
        <v>Forest</v>
      </c>
      <c r="G278" s="7" t="str">
        <f>'Reported burning'!G278</f>
        <v>ND</v>
      </c>
      <c r="H278" s="7" t="str">
        <f>'Reported burning'!H278</f>
        <v>Presence</v>
      </c>
      <c r="I278" s="4"/>
      <c r="J278" s="22" t="s">
        <v>2308</v>
      </c>
      <c r="K278" s="110" t="s">
        <v>2308</v>
      </c>
      <c r="L278" s="22" t="s">
        <v>2308</v>
      </c>
      <c r="M278" s="22" t="s">
        <v>2308</v>
      </c>
      <c r="N278" s="22" t="s">
        <v>2308</v>
      </c>
      <c r="O278" s="22" t="s">
        <v>2308</v>
      </c>
      <c r="P278" s="22" t="s">
        <v>2308</v>
      </c>
      <c r="Q278" s="109" t="s">
        <v>2308</v>
      </c>
      <c r="R278" s="109" t="s">
        <v>2308</v>
      </c>
      <c r="S278" s="22" t="s">
        <v>2308</v>
      </c>
      <c r="T278" s="22" t="s">
        <v>2308</v>
      </c>
      <c r="U278" s="22" t="s">
        <v>2308</v>
      </c>
      <c r="V278" s="22" t="s">
        <v>2560</v>
      </c>
      <c r="W278" s="22" t="s">
        <v>2308</v>
      </c>
      <c r="X278" s="4"/>
      <c r="Y278" s="4"/>
      <c r="Z278" s="4" t="s">
        <v>2344</v>
      </c>
      <c r="AA278" s="5" t="s">
        <v>2345</v>
      </c>
      <c r="AB278" s="5" t="s">
        <v>2358</v>
      </c>
    </row>
    <row r="279" spans="1:28" ht="138" customHeight="1">
      <c r="A279" s="7" t="str">
        <f>'Reported burning'!A279</f>
        <v>23b</v>
      </c>
      <c r="B279" s="7" t="str">
        <f>'Reported burning'!B279</f>
        <v>23b.3</v>
      </c>
      <c r="C279" s="7" t="str">
        <f>'Reported burning'!C279</f>
        <v>Human, deliberate</v>
      </c>
      <c r="D279" s="7" t="str">
        <f>'Reported burning'!D279</f>
        <v>Forest clearance</v>
      </c>
      <c r="E279" s="7" t="str">
        <f>'Reported burning'!E279</f>
        <v>All</v>
      </c>
      <c r="F279" s="7" t="str">
        <f>'Reported burning'!F279</f>
        <v>Forest</v>
      </c>
      <c r="G279" s="7" t="str">
        <f>'Reported burning'!G279</f>
        <v>ND</v>
      </c>
      <c r="H279" s="7" t="str">
        <f>'Reported burning'!H279</f>
        <v>Absence</v>
      </c>
      <c r="I279" s="4"/>
      <c r="J279" s="22" t="s">
        <v>2396</v>
      </c>
      <c r="K279" s="110" t="s">
        <v>2396</v>
      </c>
      <c r="L279" s="22" t="s">
        <v>2396</v>
      </c>
      <c r="M279" s="22" t="s">
        <v>2396</v>
      </c>
      <c r="N279" s="22" t="s">
        <v>2396</v>
      </c>
      <c r="O279" s="22" t="s">
        <v>2396</v>
      </c>
      <c r="P279" s="22" t="s">
        <v>2396</v>
      </c>
      <c r="Q279" s="109" t="s">
        <v>2308</v>
      </c>
      <c r="R279" s="109" t="s">
        <v>2308</v>
      </c>
      <c r="S279" s="22" t="s">
        <v>2396</v>
      </c>
      <c r="T279" s="22" t="s">
        <v>2396</v>
      </c>
      <c r="U279" s="22" t="s">
        <v>2396</v>
      </c>
      <c r="V279" s="22" t="s">
        <v>2396</v>
      </c>
      <c r="W279" s="22" t="s">
        <v>2308</v>
      </c>
      <c r="X279" s="4"/>
      <c r="Y279" s="4"/>
      <c r="Z279" s="4"/>
      <c r="AA279" s="5" t="s">
        <v>2346</v>
      </c>
      <c r="AB279" s="5"/>
    </row>
    <row r="280" spans="1:28" ht="152" customHeight="1">
      <c r="A280" s="7" t="str">
        <f>'Reported burning'!A280</f>
        <v>23c</v>
      </c>
      <c r="B280" s="7" t="str">
        <f>'Reported burning'!B280</f>
        <v>23c.1</v>
      </c>
      <c r="C280" s="7" t="str">
        <f>'Reported burning'!C280</f>
        <v>Human, deliberate</v>
      </c>
      <c r="D280" s="7" t="str">
        <f>'Reported burning'!D280</f>
        <v>Fishing</v>
      </c>
      <c r="E280" s="7" t="str">
        <f>'Reported burning'!E280</f>
        <v>Forestry, Traditional</v>
      </c>
      <c r="F280" s="7" t="str">
        <f>'Reported burning'!F280</f>
        <v>Secondary Vegetation</v>
      </c>
      <c r="G280" s="7" t="str">
        <f>'Reported burning'!G280</f>
        <v>ND</v>
      </c>
      <c r="H280" s="7" t="str">
        <f>'Reported burning'!H280</f>
        <v>Presence</v>
      </c>
      <c r="I280" s="4"/>
      <c r="J280" s="22" t="s">
        <v>2308</v>
      </c>
      <c r="K280" s="110" t="s">
        <v>2308</v>
      </c>
      <c r="L280" s="22" t="s">
        <v>2308</v>
      </c>
      <c r="M280" s="22" t="s">
        <v>2308</v>
      </c>
      <c r="N280" s="22" t="s">
        <v>2308</v>
      </c>
      <c r="O280" s="22" t="s">
        <v>2308</v>
      </c>
      <c r="P280" s="22" t="s">
        <v>2308</v>
      </c>
      <c r="Q280" s="109" t="s">
        <v>2308</v>
      </c>
      <c r="R280" s="109" t="s">
        <v>2308</v>
      </c>
      <c r="S280" s="22" t="s">
        <v>2308</v>
      </c>
      <c r="T280" s="22" t="s">
        <v>2308</v>
      </c>
      <c r="U280" s="22" t="s">
        <v>2308</v>
      </c>
      <c r="V280" s="22" t="s">
        <v>2408</v>
      </c>
      <c r="W280" s="22" t="s">
        <v>2407</v>
      </c>
      <c r="X280" s="4"/>
      <c r="Y280" s="4"/>
      <c r="Z280" s="4" t="s">
        <v>2344</v>
      </c>
      <c r="AA280" s="5" t="s">
        <v>2345</v>
      </c>
      <c r="AB280" s="5" t="s">
        <v>2359</v>
      </c>
    </row>
    <row r="281" spans="1:28" ht="138" customHeight="1">
      <c r="A281" s="7" t="str">
        <f>'Reported burning'!A281</f>
        <v>23c</v>
      </c>
      <c r="B281" s="7" t="str">
        <f>'Reported burning'!B281</f>
        <v>23c.2</v>
      </c>
      <c r="C281" s="7" t="str">
        <f>'Reported burning'!C281</f>
        <v>Human, deliberate</v>
      </c>
      <c r="D281" s="7" t="str">
        <f>'Reported burning'!D281</f>
        <v>Fishing</v>
      </c>
      <c r="E281" s="7" t="str">
        <f>'Reported burning'!E281</f>
        <v>Forestry, Traditional</v>
      </c>
      <c r="F281" s="7" t="str">
        <f>'Reported burning'!F281</f>
        <v>Forest</v>
      </c>
      <c r="G281" s="7" t="str">
        <f>'Reported burning'!G281</f>
        <v>ND</v>
      </c>
      <c r="H281" s="7" t="str">
        <f>'Reported burning'!H281</f>
        <v>Presence</v>
      </c>
      <c r="I281" s="4"/>
      <c r="J281" s="22" t="s">
        <v>2308</v>
      </c>
      <c r="K281" s="110" t="s">
        <v>2308</v>
      </c>
      <c r="L281" s="22" t="s">
        <v>2308</v>
      </c>
      <c r="M281" s="22" t="s">
        <v>2308</v>
      </c>
      <c r="N281" s="22" t="s">
        <v>2308</v>
      </c>
      <c r="O281" s="22" t="s">
        <v>2308</v>
      </c>
      <c r="P281" s="22" t="s">
        <v>2308</v>
      </c>
      <c r="Q281" s="109" t="s">
        <v>2308</v>
      </c>
      <c r="R281" s="109" t="s">
        <v>2308</v>
      </c>
      <c r="S281" s="22" t="s">
        <v>2308</v>
      </c>
      <c r="T281" s="22" t="s">
        <v>2308</v>
      </c>
      <c r="U281" s="22" t="s">
        <v>2308</v>
      </c>
      <c r="V281" s="22" t="s">
        <v>2408</v>
      </c>
      <c r="W281" s="22" t="s">
        <v>2308</v>
      </c>
      <c r="X281" s="4"/>
      <c r="Y281" s="4"/>
      <c r="Z281" s="4" t="s">
        <v>2344</v>
      </c>
      <c r="AA281" s="5" t="s">
        <v>2345</v>
      </c>
      <c r="AB281" s="5" t="s">
        <v>2360</v>
      </c>
    </row>
    <row r="282" spans="1:28" ht="138" customHeight="1">
      <c r="A282" s="7" t="str">
        <f>'Reported burning'!A282</f>
        <v>23c</v>
      </c>
      <c r="B282" s="7" t="str">
        <f>'Reported burning'!B282</f>
        <v>23c.3</v>
      </c>
      <c r="C282" s="7" t="str">
        <f>'Reported burning'!C282</f>
        <v>Human, deliberate</v>
      </c>
      <c r="D282" s="7" t="str">
        <f>'Reported burning'!D282</f>
        <v>Forest clearance</v>
      </c>
      <c r="E282" s="7" t="str">
        <f>'Reported burning'!E282</f>
        <v>All</v>
      </c>
      <c r="F282" s="7" t="str">
        <f>'Reported burning'!F282</f>
        <v>Forest</v>
      </c>
      <c r="G282" s="7" t="str">
        <f>'Reported burning'!G282</f>
        <v>ND</v>
      </c>
      <c r="H282" s="7" t="str">
        <f>'Reported burning'!H282</f>
        <v>Absence</v>
      </c>
      <c r="I282" s="4"/>
      <c r="J282" s="22" t="s">
        <v>2396</v>
      </c>
      <c r="K282" s="110" t="s">
        <v>2396</v>
      </c>
      <c r="L282" s="22" t="s">
        <v>2396</v>
      </c>
      <c r="M282" s="22" t="s">
        <v>2396</v>
      </c>
      <c r="N282" s="22" t="s">
        <v>2396</v>
      </c>
      <c r="O282" s="22" t="s">
        <v>2396</v>
      </c>
      <c r="P282" s="22" t="s">
        <v>2396</v>
      </c>
      <c r="Q282" s="109" t="s">
        <v>2308</v>
      </c>
      <c r="R282" s="109" t="s">
        <v>2308</v>
      </c>
      <c r="S282" s="22" t="s">
        <v>2396</v>
      </c>
      <c r="T282" s="22" t="s">
        <v>2396</v>
      </c>
      <c r="U282" s="22" t="s">
        <v>2396</v>
      </c>
      <c r="V282" s="22" t="s">
        <v>2396</v>
      </c>
      <c r="W282" s="22" t="s">
        <v>2308</v>
      </c>
      <c r="X282" s="4"/>
      <c r="Y282" s="4"/>
      <c r="Z282" s="4"/>
      <c r="AA282" s="5" t="s">
        <v>2346</v>
      </c>
      <c r="AB282" s="5"/>
    </row>
    <row r="283" spans="1:28" ht="75" customHeight="1">
      <c r="A283" s="7" t="str">
        <f>'Reported burning'!A283</f>
        <v>24a</v>
      </c>
      <c r="B283" s="7" t="str">
        <f>'Reported burning'!B283</f>
        <v>24a.1</v>
      </c>
      <c r="C283" s="7" t="str">
        <f>'Reported burning'!C283</f>
        <v>Human, deliberate</v>
      </c>
      <c r="D283" s="7" t="str">
        <f>'Reported burning'!D283</f>
        <v>Crop field preparation</v>
      </c>
      <c r="E283" s="7" t="str">
        <f>'Reported burning'!E283</f>
        <v>Cropping, Swidden</v>
      </c>
      <c r="F283" s="7" t="str">
        <f>'Reported burning'!F283</f>
        <v>Secondary Vegetation</v>
      </c>
      <c r="G283" s="7" t="str">
        <f>'Reported burning'!G283</f>
        <v>ND</v>
      </c>
      <c r="H283" s="7" t="str">
        <f>'Reported burning'!H283</f>
        <v>Presence</v>
      </c>
      <c r="I283" s="4"/>
      <c r="J283" s="22" t="s">
        <v>2308</v>
      </c>
      <c r="K283" s="110" t="s">
        <v>2308</v>
      </c>
      <c r="L283" s="22" t="s">
        <v>2308</v>
      </c>
      <c r="M283" s="22" t="s">
        <v>2308</v>
      </c>
      <c r="N283" s="22" t="s">
        <v>2308</v>
      </c>
      <c r="O283" s="22" t="s">
        <v>2308</v>
      </c>
      <c r="P283" s="22" t="s">
        <v>2308</v>
      </c>
      <c r="Q283" s="109" t="s">
        <v>2308</v>
      </c>
      <c r="R283" s="109" t="s">
        <v>2308</v>
      </c>
      <c r="S283" s="22" t="s">
        <v>2308</v>
      </c>
      <c r="T283" s="22" t="s">
        <v>2308</v>
      </c>
      <c r="U283" s="22" t="s">
        <v>2308</v>
      </c>
      <c r="V283" s="22" t="s">
        <v>2308</v>
      </c>
      <c r="W283" s="22" t="s">
        <v>2308</v>
      </c>
      <c r="X283" s="4" t="s">
        <v>2308</v>
      </c>
      <c r="Y283" s="4" t="s">
        <v>2308</v>
      </c>
      <c r="Z283" s="4" t="s">
        <v>2308</v>
      </c>
      <c r="AA283" s="5" t="s">
        <v>523</v>
      </c>
      <c r="AB283" s="5" t="s">
        <v>1517</v>
      </c>
    </row>
    <row r="284" spans="1:28" ht="109.5" customHeight="1">
      <c r="A284" s="7" t="str">
        <f>'Reported burning'!A284</f>
        <v>24a</v>
      </c>
      <c r="B284" s="7" t="str">
        <f>'Reported burning'!B284</f>
        <v>24a.2</v>
      </c>
      <c r="C284" s="7" t="str">
        <f>'Reported burning'!C284</f>
        <v>Human, deliberate</v>
      </c>
      <c r="D284" s="7" t="str">
        <f>'Reported burning'!D284</f>
        <v>Crop field preparation</v>
      </c>
      <c r="E284" s="7" t="str">
        <f>'Reported burning'!E284</f>
        <v>Cropping, Swidden</v>
      </c>
      <c r="F284" s="7" t="str">
        <f>'Reported burning'!F284</f>
        <v>Cropland</v>
      </c>
      <c r="G284" s="7" t="str">
        <f>'Reported burning'!G284</f>
        <v>ND</v>
      </c>
      <c r="H284" s="7" t="str">
        <f>'Reported burning'!H284</f>
        <v>Presence</v>
      </c>
      <c r="I284" s="4"/>
      <c r="J284" s="22" t="s">
        <v>2308</v>
      </c>
      <c r="K284" s="110" t="s">
        <v>2308</v>
      </c>
      <c r="L284" s="22" t="s">
        <v>2308</v>
      </c>
      <c r="M284" s="22" t="s">
        <v>2308</v>
      </c>
      <c r="N284" s="22" t="s">
        <v>2308</v>
      </c>
      <c r="O284" s="22" t="s">
        <v>2308</v>
      </c>
      <c r="P284" s="22" t="s">
        <v>2308</v>
      </c>
      <c r="Q284" s="109" t="s">
        <v>2308</v>
      </c>
      <c r="R284" s="109" t="s">
        <v>2308</v>
      </c>
      <c r="S284" s="22" t="s">
        <v>2308</v>
      </c>
      <c r="T284" s="22" t="s">
        <v>2308</v>
      </c>
      <c r="U284" s="22" t="s">
        <v>2308</v>
      </c>
      <c r="V284" s="4" t="s">
        <v>2308</v>
      </c>
      <c r="W284" s="4" t="s">
        <v>2308</v>
      </c>
      <c r="X284" s="4" t="s">
        <v>2308</v>
      </c>
      <c r="Y284" s="4" t="s">
        <v>2308</v>
      </c>
      <c r="Z284" s="4" t="s">
        <v>2308</v>
      </c>
      <c r="AA284" s="19" t="s">
        <v>524</v>
      </c>
      <c r="AB284" s="4"/>
    </row>
    <row r="285" spans="1:28" ht="79.5" customHeight="1">
      <c r="A285" s="7" t="str">
        <f>'Reported burning'!A285</f>
        <v>24a</v>
      </c>
      <c r="B285" s="7" t="str">
        <f>'Reported burning'!B285</f>
        <v>24a.3</v>
      </c>
      <c r="C285" s="7" t="str">
        <f>'Reported burning'!C285</f>
        <v>Human, deliberate</v>
      </c>
      <c r="D285" s="7" t="str">
        <f>'Reported burning'!D285</f>
        <v>Crop field preparation</v>
      </c>
      <c r="E285" s="7" t="str">
        <f>'Reported burning'!E285</f>
        <v>Cropping, Monoculture, Subsistence-oriented</v>
      </c>
      <c r="F285" s="7" t="str">
        <f>'Reported burning'!F285</f>
        <v>Cropland</v>
      </c>
      <c r="G285" s="7" t="str">
        <f>'Reported burning'!G285</f>
        <v>ND</v>
      </c>
      <c r="H285" s="7" t="str">
        <f>'Reported burning'!H285</f>
        <v>Absence</v>
      </c>
      <c r="I285" s="4"/>
      <c r="J285" s="22" t="s">
        <v>2396</v>
      </c>
      <c r="K285" s="110" t="s">
        <v>2396</v>
      </c>
      <c r="L285" s="22" t="s">
        <v>2396</v>
      </c>
      <c r="M285" s="22" t="s">
        <v>2396</v>
      </c>
      <c r="N285" s="22" t="s">
        <v>2396</v>
      </c>
      <c r="O285" s="22" t="s">
        <v>2396</v>
      </c>
      <c r="P285" s="22" t="s">
        <v>2396</v>
      </c>
      <c r="Q285" s="109" t="s">
        <v>2308</v>
      </c>
      <c r="R285" s="109" t="s">
        <v>2308</v>
      </c>
      <c r="S285" s="22" t="s">
        <v>2396</v>
      </c>
      <c r="T285" s="22" t="s">
        <v>2396</v>
      </c>
      <c r="U285" s="22" t="s">
        <v>2396</v>
      </c>
      <c r="V285" s="22" t="s">
        <v>2396</v>
      </c>
      <c r="W285" s="22" t="s">
        <v>2308</v>
      </c>
      <c r="X285" s="4" t="s">
        <v>2308</v>
      </c>
      <c r="Y285" s="4" t="s">
        <v>2308</v>
      </c>
      <c r="Z285" s="4" t="s">
        <v>2308</v>
      </c>
      <c r="AA285" s="19" t="s">
        <v>527</v>
      </c>
      <c r="AB285" s="4"/>
    </row>
    <row r="286" spans="1:28" ht="135" customHeight="1">
      <c r="A286" s="7" t="str">
        <f>'Reported burning'!A286</f>
        <v>25a</v>
      </c>
      <c r="B286" s="7" t="str">
        <f>'Reported burning'!B286</f>
        <v>25a.1</v>
      </c>
      <c r="C286" s="7" t="str">
        <f>'Reported burning'!C286</f>
        <v>Human, deliberate</v>
      </c>
      <c r="D286" s="7" t="str">
        <f>'Reported burning'!D286</f>
        <v>Forest clearance</v>
      </c>
      <c r="E286" s="7" t="str">
        <f>'Reported burning'!E286</f>
        <v>Cropping, Swidden</v>
      </c>
      <c r="F286" s="7" t="str">
        <f>'Reported burning'!F286</f>
        <v>Forest</v>
      </c>
      <c r="G286" s="7" t="str">
        <f>'Reported burning'!G286</f>
        <v>ND</v>
      </c>
      <c r="H286" s="7" t="str">
        <f>'Reported burning'!H286</f>
        <v>Presence</v>
      </c>
      <c r="I286" s="4"/>
      <c r="J286" s="22" t="s">
        <v>2308</v>
      </c>
      <c r="K286" s="110" t="s">
        <v>2308</v>
      </c>
      <c r="L286" s="22" t="s">
        <v>2308</v>
      </c>
      <c r="M286" s="22" t="s">
        <v>2308</v>
      </c>
      <c r="N286" s="22" t="s">
        <v>2308</v>
      </c>
      <c r="O286" s="22" t="s">
        <v>2308</v>
      </c>
      <c r="P286" s="22" t="s">
        <v>2308</v>
      </c>
      <c r="Q286" s="109" t="s">
        <v>2308</v>
      </c>
      <c r="R286" s="109" t="s">
        <v>2308</v>
      </c>
      <c r="S286" s="22" t="s">
        <v>2308</v>
      </c>
      <c r="T286" s="22" t="s">
        <v>2308</v>
      </c>
      <c r="U286" s="22" t="s">
        <v>2308</v>
      </c>
      <c r="V286" s="22" t="s">
        <v>2308</v>
      </c>
      <c r="W286" s="22" t="s">
        <v>2308</v>
      </c>
      <c r="X286" s="4" t="s">
        <v>2308</v>
      </c>
      <c r="Y286" s="4" t="s">
        <v>2308</v>
      </c>
      <c r="Z286" s="4" t="s">
        <v>2308</v>
      </c>
      <c r="AA286" s="5" t="s">
        <v>548</v>
      </c>
      <c r="AB286" s="5"/>
    </row>
    <row r="287" spans="1:28" ht="75.5" customHeight="1">
      <c r="A287" s="7" t="str">
        <f>'Reported burning'!A287</f>
        <v>25a</v>
      </c>
      <c r="B287" s="7" t="str">
        <f>'Reported burning'!B287</f>
        <v>25a.2</v>
      </c>
      <c r="C287" s="7" t="str">
        <f>'Reported burning'!C287</f>
        <v>Human, deliberate</v>
      </c>
      <c r="D287" s="7" t="str">
        <f>'Reported burning'!D287</f>
        <v>Forest clearance</v>
      </c>
      <c r="E287" s="7" t="str">
        <f>'Reported burning'!E287</f>
        <v>Cattle, Extensive</v>
      </c>
      <c r="F287" s="7" t="str">
        <f>'Reported burning'!F287</f>
        <v>Forest</v>
      </c>
      <c r="G287" s="7" t="str">
        <f>'Reported burning'!G287</f>
        <v>ND</v>
      </c>
      <c r="H287" s="7" t="str">
        <f>'Reported burning'!H287</f>
        <v>Absence</v>
      </c>
      <c r="I287" s="4"/>
      <c r="J287" s="22" t="s">
        <v>2396</v>
      </c>
      <c r="K287" s="110" t="s">
        <v>2396</v>
      </c>
      <c r="L287" s="22" t="s">
        <v>2396</v>
      </c>
      <c r="M287" s="22" t="s">
        <v>2396</v>
      </c>
      <c r="N287" s="22" t="s">
        <v>2396</v>
      </c>
      <c r="O287" s="22" t="s">
        <v>2396</v>
      </c>
      <c r="P287" s="22" t="s">
        <v>2396</v>
      </c>
      <c r="Q287" s="109" t="s">
        <v>2308</v>
      </c>
      <c r="R287" s="109" t="s">
        <v>2308</v>
      </c>
      <c r="S287" s="22" t="s">
        <v>2396</v>
      </c>
      <c r="T287" s="22" t="s">
        <v>2396</v>
      </c>
      <c r="U287" s="22" t="s">
        <v>2396</v>
      </c>
      <c r="V287" s="22" t="s">
        <v>2396</v>
      </c>
      <c r="W287" s="22" t="s">
        <v>2308</v>
      </c>
      <c r="X287" s="4" t="s">
        <v>2308</v>
      </c>
      <c r="Y287" s="4" t="s">
        <v>2308</v>
      </c>
      <c r="Z287" s="4" t="s">
        <v>2308</v>
      </c>
      <c r="AA287" s="5" t="s">
        <v>550</v>
      </c>
      <c r="AB287" s="5"/>
    </row>
    <row r="288" spans="1:28" ht="132" customHeight="1">
      <c r="A288" s="7" t="str">
        <f>'Reported burning'!A288</f>
        <v>26a</v>
      </c>
      <c r="B288" s="7" t="str">
        <f>'Reported burning'!B288</f>
        <v>26a.1</v>
      </c>
      <c r="C288" s="7" t="str">
        <f>'Reported burning'!C288</f>
        <v>Human, deliberate</v>
      </c>
      <c r="D288" s="7" t="str">
        <f>'Reported burning'!D288</f>
        <v>Crop field preparation</v>
      </c>
      <c r="E288" s="7" t="str">
        <f>'Reported burning'!E288</f>
        <v>Cropping, Swidden</v>
      </c>
      <c r="F288" s="7" t="str">
        <f>'Reported burning'!G288</f>
        <v>Secondary Vegetation</v>
      </c>
      <c r="G288" s="7" t="e">
        <f>'Reported burning'!#REF!</f>
        <v>#REF!</v>
      </c>
      <c r="H288" s="7" t="str">
        <f>'Reported burning'!H288</f>
        <v>Presence</v>
      </c>
      <c r="I288" s="4">
        <v>1987</v>
      </c>
      <c r="J288" s="22" t="s">
        <v>2308</v>
      </c>
      <c r="K288" s="110" t="s">
        <v>2308</v>
      </c>
      <c r="L288" s="22" t="s">
        <v>2308</v>
      </c>
      <c r="M288" s="22" t="s">
        <v>2308</v>
      </c>
      <c r="N288" s="22" t="s">
        <v>2308</v>
      </c>
      <c r="O288" s="22" t="s">
        <v>2308</v>
      </c>
      <c r="P288" s="22" t="s">
        <v>2308</v>
      </c>
      <c r="Q288" s="109" t="s">
        <v>2308</v>
      </c>
      <c r="R288" s="109" t="s">
        <v>2308</v>
      </c>
      <c r="S288" s="22" t="s">
        <v>2308</v>
      </c>
      <c r="T288" s="22" t="s">
        <v>2308</v>
      </c>
      <c r="U288" s="22" t="s">
        <v>2308</v>
      </c>
      <c r="V288" s="22" t="s">
        <v>2308</v>
      </c>
      <c r="W288" s="22" t="s">
        <v>2308</v>
      </c>
      <c r="X288" s="22" t="s">
        <v>2308</v>
      </c>
      <c r="Y288" s="22" t="s">
        <v>2308</v>
      </c>
      <c r="Z288" s="22" t="s">
        <v>2308</v>
      </c>
      <c r="AA288" s="5" t="s">
        <v>561</v>
      </c>
      <c r="AB288" s="5" t="s">
        <v>1525</v>
      </c>
    </row>
    <row r="289" spans="1:28" ht="118" customHeight="1">
      <c r="A289" s="7" t="str">
        <f>'Reported burning'!A289</f>
        <v>26a</v>
      </c>
      <c r="B289" s="7" t="str">
        <f>'Reported burning'!B289</f>
        <v>26a.2</v>
      </c>
      <c r="C289" s="7" t="str">
        <f>'Reported burning'!C289</f>
        <v>Human, deliberate</v>
      </c>
      <c r="D289" s="7" t="str">
        <f>'Reported burning'!D289</f>
        <v>Forest clearance</v>
      </c>
      <c r="E289" s="7" t="str">
        <f>'Reported burning'!E289</f>
        <v>Cropping, Swidden</v>
      </c>
      <c r="F289" s="7" t="str">
        <f>'Reported burning'!G289</f>
        <v>Forest</v>
      </c>
      <c r="G289" s="7" t="e">
        <f>'Reported burning'!#REF!</f>
        <v>#REF!</v>
      </c>
      <c r="H289" s="7" t="str">
        <f>'Reported burning'!H289</f>
        <v>Presence</v>
      </c>
      <c r="I289" s="4">
        <v>1987</v>
      </c>
      <c r="J289" s="22" t="s">
        <v>2308</v>
      </c>
      <c r="K289" s="110" t="s">
        <v>2308</v>
      </c>
      <c r="L289" s="22" t="s">
        <v>2308</v>
      </c>
      <c r="M289" s="22" t="s">
        <v>2308</v>
      </c>
      <c r="N289" s="22" t="s">
        <v>2308</v>
      </c>
      <c r="O289" s="22" t="s">
        <v>2308</v>
      </c>
      <c r="P289" s="22" t="s">
        <v>2308</v>
      </c>
      <c r="Q289" s="109" t="s">
        <v>2308</v>
      </c>
      <c r="R289" s="109" t="s">
        <v>2308</v>
      </c>
      <c r="S289" s="22" t="s">
        <v>2308</v>
      </c>
      <c r="T289" s="22" t="s">
        <v>2308</v>
      </c>
      <c r="U289" s="22" t="s">
        <v>2308</v>
      </c>
      <c r="V289" s="22" t="s">
        <v>2308</v>
      </c>
      <c r="W289" s="22" t="s">
        <v>2308</v>
      </c>
      <c r="X289" s="22" t="s">
        <v>2308</v>
      </c>
      <c r="Y289" s="22" t="s">
        <v>2308</v>
      </c>
      <c r="Z289" s="22" t="s">
        <v>2308</v>
      </c>
      <c r="AA289" s="5" t="s">
        <v>561</v>
      </c>
      <c r="AB289" s="5" t="s">
        <v>575</v>
      </c>
    </row>
    <row r="290" spans="1:28" ht="121" customHeight="1">
      <c r="A290" s="7" t="str">
        <f>'Reported burning'!A290</f>
        <v>26b</v>
      </c>
      <c r="B290" s="7" t="str">
        <f>'Reported burning'!B290</f>
        <v>26b.1</v>
      </c>
      <c r="C290" s="7" t="str">
        <f>'Reported burning'!C290</f>
        <v>Human, deliberate</v>
      </c>
      <c r="D290" s="7" t="str">
        <f>'Reported burning'!D290</f>
        <v>Crop field preparation</v>
      </c>
      <c r="E290" s="7" t="str">
        <f>'Reported burning'!E290</f>
        <v>Cropping, Swidden</v>
      </c>
      <c r="F290" s="7" t="str">
        <f>'Reported burning'!G290</f>
        <v>Secondary Vegetation</v>
      </c>
      <c r="G290" s="7" t="e">
        <f>'Reported burning'!#REF!</f>
        <v>#REF!</v>
      </c>
      <c r="H290" s="7" t="str">
        <f>'Reported burning'!H290</f>
        <v>Presence</v>
      </c>
      <c r="I290" s="4">
        <v>2014</v>
      </c>
      <c r="J290" s="22" t="s">
        <v>2308</v>
      </c>
      <c r="K290" s="110" t="s">
        <v>2308</v>
      </c>
      <c r="L290" s="22" t="s">
        <v>2308</v>
      </c>
      <c r="M290" s="22" t="s">
        <v>2308</v>
      </c>
      <c r="N290" s="22" t="s">
        <v>2308</v>
      </c>
      <c r="O290" s="22" t="s">
        <v>2308</v>
      </c>
      <c r="P290" s="22" t="s">
        <v>2308</v>
      </c>
      <c r="Q290" s="109" t="s">
        <v>2308</v>
      </c>
      <c r="R290" s="109" t="s">
        <v>2308</v>
      </c>
      <c r="S290" s="22" t="s">
        <v>2308</v>
      </c>
      <c r="T290" s="22" t="s">
        <v>2308</v>
      </c>
      <c r="U290" s="22" t="s">
        <v>2308</v>
      </c>
      <c r="V290" s="22" t="s">
        <v>2308</v>
      </c>
      <c r="W290" s="22" t="s">
        <v>2308</v>
      </c>
      <c r="X290" s="22" t="s">
        <v>2308</v>
      </c>
      <c r="Y290" s="22" t="s">
        <v>2308</v>
      </c>
      <c r="Z290" s="22" t="s">
        <v>2308</v>
      </c>
      <c r="AA290" s="5" t="s">
        <v>561</v>
      </c>
      <c r="AB290" s="5" t="s">
        <v>575</v>
      </c>
    </row>
    <row r="291" spans="1:28" ht="112" customHeight="1">
      <c r="A291" s="7" t="str">
        <f>'Reported burning'!A291</f>
        <v>26b</v>
      </c>
      <c r="B291" s="7" t="str">
        <f>'Reported burning'!B291</f>
        <v>26b.2</v>
      </c>
      <c r="C291" s="7" t="str">
        <f>'Reported burning'!C291</f>
        <v>Human, deliberate</v>
      </c>
      <c r="D291" s="7" t="str">
        <f>'Reported burning'!D291</f>
        <v>Crop field preparation</v>
      </c>
      <c r="E291" s="7" t="str">
        <f>'Reported burning'!E291</f>
        <v>Cropping, Swidden</v>
      </c>
      <c r="F291" s="7" t="str">
        <f>'Reported burning'!G291</f>
        <v>Secondary Vegetation</v>
      </c>
      <c r="G291" s="7" t="e">
        <f>'Reported burning'!#REF!</f>
        <v>#REF!</v>
      </c>
      <c r="H291" s="7" t="str">
        <f>'Reported burning'!H291</f>
        <v>Presence</v>
      </c>
      <c r="I291" s="4">
        <v>2014</v>
      </c>
      <c r="J291" s="22" t="s">
        <v>2308</v>
      </c>
      <c r="K291" s="110" t="s">
        <v>2308</v>
      </c>
      <c r="L291" s="22" t="s">
        <v>2308</v>
      </c>
      <c r="M291" s="22" t="s">
        <v>2308</v>
      </c>
      <c r="N291" s="22" t="s">
        <v>2308</v>
      </c>
      <c r="O291" s="22" t="s">
        <v>2308</v>
      </c>
      <c r="P291" s="22" t="s">
        <v>2308</v>
      </c>
      <c r="Q291" s="109" t="s">
        <v>2308</v>
      </c>
      <c r="R291" s="109" t="s">
        <v>2308</v>
      </c>
      <c r="S291" s="22" t="s">
        <v>2308</v>
      </c>
      <c r="T291" s="22" t="s">
        <v>2308</v>
      </c>
      <c r="U291" s="22" t="s">
        <v>2308</v>
      </c>
      <c r="V291" s="22" t="s">
        <v>2308</v>
      </c>
      <c r="W291" s="22" t="s">
        <v>2308</v>
      </c>
      <c r="X291" s="22" t="s">
        <v>2308</v>
      </c>
      <c r="Y291" s="22" t="s">
        <v>2308</v>
      </c>
      <c r="Z291" s="22" t="s">
        <v>2308</v>
      </c>
      <c r="AA291" s="5" t="s">
        <v>561</v>
      </c>
      <c r="AB291" s="5" t="s">
        <v>575</v>
      </c>
    </row>
    <row r="292" spans="1:28" ht="112" customHeight="1">
      <c r="A292" s="7" t="str">
        <f>'Reported burning'!A292</f>
        <v>27a</v>
      </c>
      <c r="B292" s="7" t="str">
        <f>'Reported burning'!B292</f>
        <v>27a.1</v>
      </c>
      <c r="C292" s="7" t="str">
        <f>'Reported burning'!C292</f>
        <v>Human, deliberate</v>
      </c>
      <c r="D292" s="7" t="str">
        <f>'Reported burning'!D292</f>
        <v>Forest clearance</v>
      </c>
      <c r="E292" s="7" t="str">
        <f>'Reported burning'!E292</f>
        <v>Cropping, Monoculture, Subsistence-oriented</v>
      </c>
      <c r="F292" s="7" t="str">
        <f>'Reported burning'!F292</f>
        <v>Forest</v>
      </c>
      <c r="G292" s="7" t="str">
        <f>'Reported burning'!G292</f>
        <v>ND</v>
      </c>
      <c r="H292" s="7" t="str">
        <f>'Reported burning'!H292</f>
        <v>Presence</v>
      </c>
      <c r="I292" s="4"/>
      <c r="J292" s="22" t="s">
        <v>2308</v>
      </c>
      <c r="K292" s="110" t="s">
        <v>2308</v>
      </c>
      <c r="L292" s="22" t="s">
        <v>2308</v>
      </c>
      <c r="M292" s="22" t="s">
        <v>2308</v>
      </c>
      <c r="N292" s="22" t="s">
        <v>2308</v>
      </c>
      <c r="O292" s="22" t="s">
        <v>2308</v>
      </c>
      <c r="P292" s="22" t="s">
        <v>2308</v>
      </c>
      <c r="Q292" s="109" t="s">
        <v>2308</v>
      </c>
      <c r="R292" s="109" t="s">
        <v>2308</v>
      </c>
      <c r="S292" s="22" t="s">
        <v>2308</v>
      </c>
      <c r="T292" s="22" t="s">
        <v>2308</v>
      </c>
      <c r="U292" s="22" t="s">
        <v>2308</v>
      </c>
      <c r="V292" s="22" t="s">
        <v>2308</v>
      </c>
      <c r="W292" s="22" t="s">
        <v>2308</v>
      </c>
      <c r="X292" s="4" t="s">
        <v>2308</v>
      </c>
      <c r="Y292" s="4" t="s">
        <v>2308</v>
      </c>
      <c r="Z292" s="4" t="s">
        <v>2308</v>
      </c>
      <c r="AA292" s="5"/>
      <c r="AB292" s="5"/>
    </row>
    <row r="293" spans="1:28" ht="112" customHeight="1">
      <c r="A293" s="7" t="str">
        <f>'Reported burning'!A293</f>
        <v>27b</v>
      </c>
      <c r="B293" s="7" t="str">
        <f>'Reported burning'!B293</f>
        <v>27b.1</v>
      </c>
      <c r="C293" s="7" t="str">
        <f>'Reported burning'!C293</f>
        <v>Human, deliberate</v>
      </c>
      <c r="D293" s="7" t="str">
        <f>'Reported burning'!D293</f>
        <v>Forest clearance</v>
      </c>
      <c r="E293" s="7" t="str">
        <f>'Reported burning'!E293</f>
        <v>Cropping, Monoculture, Subsistence-oriented</v>
      </c>
      <c r="F293" s="7" t="str">
        <f>'Reported burning'!F293</f>
        <v>Forest</v>
      </c>
      <c r="G293" s="7" t="str">
        <f>'Reported burning'!G293</f>
        <v>ND</v>
      </c>
      <c r="H293" s="7" t="str">
        <f>'Reported burning'!H293</f>
        <v>Presence</v>
      </c>
      <c r="I293" s="4"/>
      <c r="J293" s="22" t="s">
        <v>2308</v>
      </c>
      <c r="K293" s="110" t="s">
        <v>2308</v>
      </c>
      <c r="L293" s="22" t="s">
        <v>2308</v>
      </c>
      <c r="M293" s="22" t="s">
        <v>2308</v>
      </c>
      <c r="N293" s="22" t="s">
        <v>2308</v>
      </c>
      <c r="O293" s="22" t="s">
        <v>2308</v>
      </c>
      <c r="P293" s="22" t="s">
        <v>2308</v>
      </c>
      <c r="Q293" s="109" t="s">
        <v>2308</v>
      </c>
      <c r="R293" s="109" t="s">
        <v>2308</v>
      </c>
      <c r="S293" s="22" t="s">
        <v>2308</v>
      </c>
      <c r="T293" s="22" t="s">
        <v>2308</v>
      </c>
      <c r="U293" s="22" t="s">
        <v>2308</v>
      </c>
      <c r="V293" s="22" t="s">
        <v>2308</v>
      </c>
      <c r="W293" s="22" t="s">
        <v>2308</v>
      </c>
      <c r="X293" s="4" t="s">
        <v>2308</v>
      </c>
      <c r="Y293" s="4" t="s">
        <v>2308</v>
      </c>
      <c r="Z293" s="4" t="s">
        <v>2308</v>
      </c>
      <c r="AA293" s="5"/>
      <c r="AB293" s="5"/>
    </row>
    <row r="294" spans="1:28" ht="112" customHeight="1">
      <c r="A294" s="7" t="str">
        <f>'Reported burning'!A294</f>
        <v>27c</v>
      </c>
      <c r="B294" s="7" t="str">
        <f>'Reported burning'!B294</f>
        <v>27c.1</v>
      </c>
      <c r="C294" s="7" t="str">
        <f>'Reported burning'!C294</f>
        <v>Human, deliberate</v>
      </c>
      <c r="D294" s="7" t="str">
        <f>'Reported burning'!D294</f>
        <v>Forest clearance</v>
      </c>
      <c r="E294" s="7" t="str">
        <f>'Reported burning'!E294</f>
        <v>Cropping, Monoculture, Subsistence-oriented</v>
      </c>
      <c r="F294" s="7" t="str">
        <f>'Reported burning'!F294</f>
        <v>Forest</v>
      </c>
      <c r="G294" s="7" t="str">
        <f>'Reported burning'!G294</f>
        <v>ND</v>
      </c>
      <c r="H294" s="7" t="str">
        <f>'Reported burning'!H294</f>
        <v>Presence</v>
      </c>
      <c r="I294" s="4"/>
      <c r="J294" s="22" t="s">
        <v>2308</v>
      </c>
      <c r="K294" s="110" t="s">
        <v>2308</v>
      </c>
      <c r="L294" s="22" t="s">
        <v>2308</v>
      </c>
      <c r="M294" s="22" t="s">
        <v>2308</v>
      </c>
      <c r="N294" s="22" t="s">
        <v>2308</v>
      </c>
      <c r="O294" s="22" t="s">
        <v>2308</v>
      </c>
      <c r="P294" s="22" t="s">
        <v>2308</v>
      </c>
      <c r="Q294" s="109" t="s">
        <v>2308</v>
      </c>
      <c r="R294" s="109" t="s">
        <v>2308</v>
      </c>
      <c r="S294" s="22" t="s">
        <v>2308</v>
      </c>
      <c r="T294" s="22" t="s">
        <v>2308</v>
      </c>
      <c r="U294" s="22" t="s">
        <v>2308</v>
      </c>
      <c r="V294" s="22" t="s">
        <v>2308</v>
      </c>
      <c r="W294" s="22" t="s">
        <v>2308</v>
      </c>
      <c r="X294" s="4" t="s">
        <v>2308</v>
      </c>
      <c r="Y294" s="4" t="s">
        <v>2308</v>
      </c>
      <c r="Z294" s="4" t="s">
        <v>2308</v>
      </c>
      <c r="AA294" s="5"/>
      <c r="AB294" s="5"/>
    </row>
    <row r="295" spans="1:28" ht="112" customHeight="1">
      <c r="A295" s="7" t="str">
        <f>'Reported burning'!A295</f>
        <v>27d</v>
      </c>
      <c r="B295" s="7" t="str">
        <f>'Reported burning'!B295</f>
        <v>27d.1</v>
      </c>
      <c r="C295" s="7" t="str">
        <f>'Reported burning'!C295</f>
        <v>Human, deliberate</v>
      </c>
      <c r="D295" s="7" t="str">
        <f>'Reported burning'!D295</f>
        <v>Forest clearance</v>
      </c>
      <c r="E295" s="7" t="str">
        <f>'Reported burning'!E295</f>
        <v>Cropping, Swidden</v>
      </c>
      <c r="F295" s="7" t="str">
        <f>'Reported burning'!F295</f>
        <v>Forest</v>
      </c>
      <c r="G295" s="7" t="str">
        <f>'Reported burning'!G295</f>
        <v>ND</v>
      </c>
      <c r="H295" s="7" t="str">
        <f>'Reported burning'!H295</f>
        <v>Presence</v>
      </c>
      <c r="I295" s="4"/>
      <c r="J295" s="22" t="s">
        <v>2308</v>
      </c>
      <c r="K295" s="110" t="s">
        <v>2308</v>
      </c>
      <c r="L295" s="22" t="s">
        <v>2308</v>
      </c>
      <c r="M295" s="22" t="s">
        <v>2308</v>
      </c>
      <c r="N295" s="22" t="s">
        <v>2308</v>
      </c>
      <c r="O295" s="22" t="s">
        <v>2308</v>
      </c>
      <c r="P295" s="22" t="s">
        <v>2308</v>
      </c>
      <c r="Q295" s="109" t="s">
        <v>2308</v>
      </c>
      <c r="R295" s="109" t="s">
        <v>2308</v>
      </c>
      <c r="S295" s="22" t="s">
        <v>2308</v>
      </c>
      <c r="T295" s="22" t="s">
        <v>2308</v>
      </c>
      <c r="U295" s="22" t="s">
        <v>2308</v>
      </c>
      <c r="V295" s="22" t="s">
        <v>2308</v>
      </c>
      <c r="W295" s="22" t="s">
        <v>2308</v>
      </c>
      <c r="X295" s="4" t="s">
        <v>2308</v>
      </c>
      <c r="Y295" s="4" t="s">
        <v>2308</v>
      </c>
      <c r="Z295" s="4" t="s">
        <v>2308</v>
      </c>
      <c r="AA295" s="5"/>
      <c r="AB295" s="5"/>
    </row>
    <row r="296" spans="1:28" ht="112" customHeight="1">
      <c r="A296" s="7" t="str">
        <f>'Reported burning'!A296</f>
        <v>27d</v>
      </c>
      <c r="B296" s="7" t="str">
        <f>'Reported burning'!B296</f>
        <v>27d.2</v>
      </c>
      <c r="C296" s="7" t="str">
        <f>'Reported burning'!C296</f>
        <v>Human, deliberate</v>
      </c>
      <c r="D296" s="7" t="str">
        <f>'Reported burning'!D296</f>
        <v>Crop field preparation</v>
      </c>
      <c r="E296" s="7" t="str">
        <f>'Reported burning'!E296</f>
        <v>Cropping, Swidden</v>
      </c>
      <c r="F296" s="7" t="str">
        <f>'Reported burning'!F296</f>
        <v>Secondary Vegetation</v>
      </c>
      <c r="G296" s="7" t="str">
        <f>'Reported burning'!G296</f>
        <v>ND</v>
      </c>
      <c r="H296" s="7" t="str">
        <f>'Reported burning'!H296</f>
        <v>Presence</v>
      </c>
      <c r="I296" s="4"/>
      <c r="J296" s="22" t="s">
        <v>2308</v>
      </c>
      <c r="K296" s="110" t="s">
        <v>2308</v>
      </c>
      <c r="L296" s="22" t="s">
        <v>2308</v>
      </c>
      <c r="M296" s="22" t="s">
        <v>2308</v>
      </c>
      <c r="N296" s="22" t="s">
        <v>2308</v>
      </c>
      <c r="O296" s="22" t="s">
        <v>2308</v>
      </c>
      <c r="P296" s="22" t="s">
        <v>2308</v>
      </c>
      <c r="Q296" s="109" t="s">
        <v>2308</v>
      </c>
      <c r="R296" s="109" t="s">
        <v>2308</v>
      </c>
      <c r="S296" s="22" t="s">
        <v>2308</v>
      </c>
      <c r="T296" s="22" t="s">
        <v>2308</v>
      </c>
      <c r="U296" s="22" t="s">
        <v>2308</v>
      </c>
      <c r="V296" s="22" t="s">
        <v>2308</v>
      </c>
      <c r="W296" s="22" t="s">
        <v>2308</v>
      </c>
      <c r="X296" s="4" t="s">
        <v>2308</v>
      </c>
      <c r="Y296" s="4" t="s">
        <v>2308</v>
      </c>
      <c r="Z296" s="4" t="s">
        <v>2308</v>
      </c>
      <c r="AA296" s="5"/>
      <c r="AB296" s="5"/>
    </row>
    <row r="297" spans="1:28" ht="112" customHeight="1">
      <c r="A297" s="7" t="str">
        <f>'Reported burning'!A297</f>
        <v>27e</v>
      </c>
      <c r="B297" s="7" t="str">
        <f>'Reported burning'!B297</f>
        <v>27e.1</v>
      </c>
      <c r="C297" s="7" t="str">
        <f>'Reported burning'!C297</f>
        <v>Human, deliberate</v>
      </c>
      <c r="D297" s="7" t="str">
        <f>'Reported burning'!D297</f>
        <v>Forest clearance</v>
      </c>
      <c r="E297" s="7" t="str">
        <f>'Reported burning'!E297</f>
        <v>Cropping, Monoculture, Subsistence-oriented</v>
      </c>
      <c r="F297" s="7" t="str">
        <f>'Reported burning'!F297</f>
        <v>Forest</v>
      </c>
      <c r="G297" s="7" t="str">
        <f>'Reported burning'!G297</f>
        <v>ND</v>
      </c>
      <c r="H297" s="7" t="str">
        <f>'Reported burning'!H297</f>
        <v>Presence</v>
      </c>
      <c r="I297" s="4"/>
      <c r="J297" s="22" t="s">
        <v>2308</v>
      </c>
      <c r="K297" s="110" t="s">
        <v>2308</v>
      </c>
      <c r="L297" s="22" t="s">
        <v>2308</v>
      </c>
      <c r="M297" s="22" t="s">
        <v>2308</v>
      </c>
      <c r="N297" s="22" t="s">
        <v>2308</v>
      </c>
      <c r="O297" s="22" t="s">
        <v>2308</v>
      </c>
      <c r="P297" s="22" t="s">
        <v>2308</v>
      </c>
      <c r="Q297" s="109" t="s">
        <v>2308</v>
      </c>
      <c r="R297" s="109" t="s">
        <v>2308</v>
      </c>
      <c r="S297" s="22" t="s">
        <v>2308</v>
      </c>
      <c r="T297" s="22" t="s">
        <v>2308</v>
      </c>
      <c r="U297" s="22" t="s">
        <v>2308</v>
      </c>
      <c r="V297" s="22" t="s">
        <v>2308</v>
      </c>
      <c r="W297" s="22" t="s">
        <v>2308</v>
      </c>
      <c r="X297" s="4" t="s">
        <v>2308</v>
      </c>
      <c r="Y297" s="4" t="s">
        <v>2308</v>
      </c>
      <c r="Z297" s="4" t="s">
        <v>2308</v>
      </c>
      <c r="AA297" s="5"/>
      <c r="AB297" s="5"/>
    </row>
    <row r="298" spans="1:28" ht="112" customHeight="1">
      <c r="A298" s="7" t="str">
        <f>'Reported burning'!A298</f>
        <v>27f</v>
      </c>
      <c r="B298" s="7" t="str">
        <f>'Reported burning'!B298</f>
        <v>27f.1</v>
      </c>
      <c r="C298" s="7" t="str">
        <f>'Reported burning'!C298</f>
        <v>Human, deliberate</v>
      </c>
      <c r="D298" s="7" t="str">
        <f>'Reported burning'!D298</f>
        <v>Forest clearance</v>
      </c>
      <c r="E298" s="7" t="str">
        <f>'Reported burning'!E298</f>
        <v>Cropping, Swidden</v>
      </c>
      <c r="F298" s="7" t="str">
        <f>'Reported burning'!F298</f>
        <v>Forest</v>
      </c>
      <c r="G298" s="7" t="str">
        <f>'Reported burning'!G298</f>
        <v>ND</v>
      </c>
      <c r="H298" s="7" t="str">
        <f>'Reported burning'!H298</f>
        <v>Presence</v>
      </c>
      <c r="I298" s="4"/>
      <c r="J298" s="22" t="s">
        <v>2308</v>
      </c>
      <c r="K298" s="110" t="s">
        <v>2308</v>
      </c>
      <c r="L298" s="22" t="s">
        <v>2308</v>
      </c>
      <c r="M298" s="22" t="s">
        <v>2308</v>
      </c>
      <c r="N298" s="22" t="s">
        <v>2308</v>
      </c>
      <c r="O298" s="22" t="s">
        <v>2308</v>
      </c>
      <c r="P298" s="22" t="s">
        <v>2308</v>
      </c>
      <c r="Q298" s="109" t="s">
        <v>2308</v>
      </c>
      <c r="R298" s="109" t="s">
        <v>2308</v>
      </c>
      <c r="S298" s="22" t="s">
        <v>2308</v>
      </c>
      <c r="T298" s="22" t="s">
        <v>2308</v>
      </c>
      <c r="U298" s="22" t="s">
        <v>2308</v>
      </c>
      <c r="V298" s="22" t="s">
        <v>2308</v>
      </c>
      <c r="W298" s="22" t="s">
        <v>2308</v>
      </c>
      <c r="X298" s="4" t="s">
        <v>2308</v>
      </c>
      <c r="Y298" s="4" t="s">
        <v>2308</v>
      </c>
      <c r="Z298" s="4" t="s">
        <v>2308</v>
      </c>
      <c r="AA298" s="5"/>
      <c r="AB298" s="5"/>
    </row>
    <row r="299" spans="1:28" ht="112" customHeight="1">
      <c r="A299" s="7" t="str">
        <f>'Reported burning'!A299</f>
        <v>27f</v>
      </c>
      <c r="B299" s="7" t="str">
        <f>'Reported burning'!B299</f>
        <v>27f.2</v>
      </c>
      <c r="C299" s="7" t="str">
        <f>'Reported burning'!C299</f>
        <v>Human, deliberate</v>
      </c>
      <c r="D299" s="7" t="str">
        <f>'Reported burning'!D299</f>
        <v>Crop field preparation</v>
      </c>
      <c r="E299" s="7" t="str">
        <f>'Reported burning'!E299</f>
        <v>Cropping, Swidden</v>
      </c>
      <c r="F299" s="7" t="str">
        <f>'Reported burning'!F299</f>
        <v>Secondary Vegetation</v>
      </c>
      <c r="G299" s="7" t="str">
        <f>'Reported burning'!G299</f>
        <v>ND</v>
      </c>
      <c r="H299" s="7" t="str">
        <f>'Reported burning'!H299</f>
        <v>Presence</v>
      </c>
      <c r="I299" s="4"/>
      <c r="J299" s="22" t="s">
        <v>2308</v>
      </c>
      <c r="K299" s="110" t="s">
        <v>2308</v>
      </c>
      <c r="L299" s="22" t="s">
        <v>2308</v>
      </c>
      <c r="M299" s="22" t="s">
        <v>2308</v>
      </c>
      <c r="N299" s="22" t="s">
        <v>2308</v>
      </c>
      <c r="O299" s="22" t="s">
        <v>2308</v>
      </c>
      <c r="P299" s="22" t="s">
        <v>2308</v>
      </c>
      <c r="Q299" s="109" t="s">
        <v>2308</v>
      </c>
      <c r="R299" s="109" t="s">
        <v>2308</v>
      </c>
      <c r="S299" s="22" t="s">
        <v>2308</v>
      </c>
      <c r="T299" s="22" t="s">
        <v>2308</v>
      </c>
      <c r="U299" s="22" t="s">
        <v>2308</v>
      </c>
      <c r="V299" s="22" t="s">
        <v>2308</v>
      </c>
      <c r="W299" s="22" t="s">
        <v>2308</v>
      </c>
      <c r="X299" s="4" t="s">
        <v>2308</v>
      </c>
      <c r="Y299" s="4" t="s">
        <v>2308</v>
      </c>
      <c r="Z299" s="4" t="s">
        <v>2308</v>
      </c>
      <c r="AA299" s="5"/>
      <c r="AB299" s="5"/>
    </row>
    <row r="300" spans="1:28" ht="112" customHeight="1">
      <c r="A300" s="7" t="str">
        <f>'Reported burning'!A300</f>
        <v>27g</v>
      </c>
      <c r="B300" s="7" t="str">
        <f>'Reported burning'!B300</f>
        <v>27g.1</v>
      </c>
      <c r="C300" s="7" t="str">
        <f>'Reported burning'!C300</f>
        <v>Human, deliberate</v>
      </c>
      <c r="D300" s="7" t="str">
        <f>'Reported burning'!D300</f>
        <v>Forest clearance</v>
      </c>
      <c r="E300" s="7" t="str">
        <f>'Reported burning'!E300</f>
        <v>Cropping, Swidden</v>
      </c>
      <c r="F300" s="7" t="str">
        <f>'Reported burning'!F300</f>
        <v>Forest</v>
      </c>
      <c r="G300" s="7" t="str">
        <f>'Reported burning'!G300</f>
        <v>ND</v>
      </c>
      <c r="H300" s="7" t="str">
        <f>'Reported burning'!H300</f>
        <v>Presence</v>
      </c>
      <c r="I300" s="4"/>
      <c r="J300" s="22" t="s">
        <v>2308</v>
      </c>
      <c r="K300" s="110" t="s">
        <v>2308</v>
      </c>
      <c r="L300" s="22" t="s">
        <v>2308</v>
      </c>
      <c r="M300" s="22" t="s">
        <v>2308</v>
      </c>
      <c r="N300" s="22" t="s">
        <v>2308</v>
      </c>
      <c r="O300" s="22" t="s">
        <v>2308</v>
      </c>
      <c r="P300" s="22" t="s">
        <v>2308</v>
      </c>
      <c r="Q300" s="109" t="s">
        <v>2308</v>
      </c>
      <c r="R300" s="109" t="s">
        <v>2308</v>
      </c>
      <c r="S300" s="22" t="s">
        <v>2308</v>
      </c>
      <c r="T300" s="22" t="s">
        <v>2308</v>
      </c>
      <c r="U300" s="22" t="s">
        <v>2308</v>
      </c>
      <c r="V300" s="22" t="s">
        <v>2308</v>
      </c>
      <c r="W300" s="22" t="s">
        <v>2308</v>
      </c>
      <c r="X300" s="4" t="s">
        <v>2308</v>
      </c>
      <c r="Y300" s="4" t="s">
        <v>2308</v>
      </c>
      <c r="Z300" s="4" t="s">
        <v>2308</v>
      </c>
      <c r="AA300" s="5"/>
      <c r="AB300" s="5"/>
    </row>
    <row r="301" spans="1:28" ht="112" customHeight="1">
      <c r="A301" s="7" t="str">
        <f>'Reported burning'!A301</f>
        <v>27g</v>
      </c>
      <c r="B301" s="7" t="str">
        <f>'Reported burning'!B301</f>
        <v>27g.2</v>
      </c>
      <c r="C301" s="7" t="str">
        <f>'Reported burning'!C301</f>
        <v>Human, deliberate</v>
      </c>
      <c r="D301" s="7" t="str">
        <f>'Reported burning'!D301</f>
        <v>Crop field preparation</v>
      </c>
      <c r="E301" s="7" t="str">
        <f>'Reported burning'!E301</f>
        <v>Cropping, Swidden</v>
      </c>
      <c r="F301" s="7" t="str">
        <f>'Reported burning'!F301</f>
        <v>Secondary Vegetation</v>
      </c>
      <c r="G301" s="7" t="str">
        <f>'Reported burning'!G301</f>
        <v>ND</v>
      </c>
      <c r="H301" s="7" t="str">
        <f>'Reported burning'!H301</f>
        <v>Presence</v>
      </c>
      <c r="I301" s="4"/>
      <c r="J301" s="22" t="s">
        <v>2308</v>
      </c>
      <c r="K301" s="110" t="s">
        <v>2308</v>
      </c>
      <c r="L301" s="22" t="s">
        <v>2308</v>
      </c>
      <c r="M301" s="22" t="s">
        <v>2308</v>
      </c>
      <c r="N301" s="22" t="s">
        <v>2308</v>
      </c>
      <c r="O301" s="22" t="s">
        <v>2308</v>
      </c>
      <c r="P301" s="22" t="s">
        <v>2308</v>
      </c>
      <c r="Q301" s="109" t="s">
        <v>2308</v>
      </c>
      <c r="R301" s="109" t="s">
        <v>2308</v>
      </c>
      <c r="S301" s="22" t="s">
        <v>2308</v>
      </c>
      <c r="T301" s="22" t="s">
        <v>2308</v>
      </c>
      <c r="U301" s="22" t="s">
        <v>2308</v>
      </c>
      <c r="V301" s="22" t="s">
        <v>2308</v>
      </c>
      <c r="W301" s="22" t="s">
        <v>2308</v>
      </c>
      <c r="X301" s="4" t="s">
        <v>2308</v>
      </c>
      <c r="Y301" s="4" t="s">
        <v>2308</v>
      </c>
      <c r="Z301" s="4" t="s">
        <v>2308</v>
      </c>
      <c r="AA301" s="5"/>
      <c r="AB301" s="5"/>
    </row>
    <row r="302" spans="1:28" ht="112" customHeight="1">
      <c r="A302" s="7" t="str">
        <f>'Reported burning'!A302</f>
        <v>27h</v>
      </c>
      <c r="B302" s="7" t="str">
        <f>'Reported burning'!B302</f>
        <v>27h.1</v>
      </c>
      <c r="C302" s="7" t="str">
        <f>'Reported burning'!C302</f>
        <v>Human, deliberate</v>
      </c>
      <c r="D302" s="7" t="str">
        <f>'Reported burning'!D302</f>
        <v>Forest clearance</v>
      </c>
      <c r="E302" s="7" t="str">
        <f>'Reported burning'!E302</f>
        <v>Cropping, Swidden</v>
      </c>
      <c r="F302" s="7" t="str">
        <f>'Reported burning'!F302</f>
        <v>Forest</v>
      </c>
      <c r="G302" s="7" t="str">
        <f>'Reported burning'!G302</f>
        <v>ND</v>
      </c>
      <c r="H302" s="7" t="str">
        <f>'Reported burning'!H302</f>
        <v>Presence</v>
      </c>
      <c r="I302" s="4"/>
      <c r="J302" s="22" t="s">
        <v>2308</v>
      </c>
      <c r="K302" s="110" t="s">
        <v>2308</v>
      </c>
      <c r="L302" s="22" t="s">
        <v>2308</v>
      </c>
      <c r="M302" s="22" t="s">
        <v>2308</v>
      </c>
      <c r="N302" s="22" t="s">
        <v>2308</v>
      </c>
      <c r="O302" s="22" t="s">
        <v>2308</v>
      </c>
      <c r="P302" s="22" t="s">
        <v>2308</v>
      </c>
      <c r="Q302" s="109" t="s">
        <v>2308</v>
      </c>
      <c r="R302" s="109" t="s">
        <v>2308</v>
      </c>
      <c r="S302" s="22" t="s">
        <v>2308</v>
      </c>
      <c r="T302" s="22" t="s">
        <v>2308</v>
      </c>
      <c r="U302" s="22" t="s">
        <v>2308</v>
      </c>
      <c r="V302" s="22" t="s">
        <v>2308</v>
      </c>
      <c r="W302" s="22" t="s">
        <v>2308</v>
      </c>
      <c r="X302" s="4" t="s">
        <v>2308</v>
      </c>
      <c r="Y302" s="4" t="s">
        <v>2308</v>
      </c>
      <c r="Z302" s="4" t="s">
        <v>2308</v>
      </c>
      <c r="AA302" s="5"/>
      <c r="AB302" s="5"/>
    </row>
    <row r="303" spans="1:28" ht="112" customHeight="1">
      <c r="A303" s="7" t="str">
        <f>'Reported burning'!A303</f>
        <v>27h</v>
      </c>
      <c r="B303" s="7" t="str">
        <f>'Reported burning'!B303</f>
        <v>27h.2</v>
      </c>
      <c r="C303" s="7" t="str">
        <f>'Reported burning'!C303</f>
        <v>Human, deliberate</v>
      </c>
      <c r="D303" s="7" t="str">
        <f>'Reported burning'!D303</f>
        <v>Crop field preparation</v>
      </c>
      <c r="E303" s="7" t="str">
        <f>'Reported burning'!E303</f>
        <v>Cropping, Swidden</v>
      </c>
      <c r="F303" s="7" t="str">
        <f>'Reported burning'!F303</f>
        <v>Secondary Vegetation</v>
      </c>
      <c r="G303" s="7" t="str">
        <f>'Reported burning'!G303</f>
        <v>ND</v>
      </c>
      <c r="H303" s="7" t="str">
        <f>'Reported burning'!H303</f>
        <v>Presence</v>
      </c>
      <c r="I303" s="4"/>
      <c r="J303" s="22" t="s">
        <v>2308</v>
      </c>
      <c r="K303" s="110" t="s">
        <v>2308</v>
      </c>
      <c r="L303" s="22" t="s">
        <v>2308</v>
      </c>
      <c r="M303" s="22" t="s">
        <v>2308</v>
      </c>
      <c r="N303" s="22" t="s">
        <v>2308</v>
      </c>
      <c r="O303" s="22" t="s">
        <v>2308</v>
      </c>
      <c r="P303" s="22" t="s">
        <v>2308</v>
      </c>
      <c r="Q303" s="109" t="s">
        <v>2308</v>
      </c>
      <c r="R303" s="109" t="s">
        <v>2308</v>
      </c>
      <c r="S303" s="22" t="s">
        <v>2308</v>
      </c>
      <c r="T303" s="22" t="s">
        <v>2308</v>
      </c>
      <c r="U303" s="22" t="s">
        <v>2308</v>
      </c>
      <c r="V303" s="22" t="s">
        <v>2308</v>
      </c>
      <c r="W303" s="22" t="s">
        <v>2308</v>
      </c>
      <c r="X303" s="4" t="s">
        <v>2308</v>
      </c>
      <c r="Y303" s="4" t="s">
        <v>2308</v>
      </c>
      <c r="Z303" s="4" t="s">
        <v>2308</v>
      </c>
      <c r="AA303" s="5"/>
      <c r="AB303" s="5"/>
    </row>
    <row r="304" spans="1:28" ht="112" customHeight="1">
      <c r="A304" s="7" t="str">
        <f>'Reported burning'!A304</f>
        <v>27i</v>
      </c>
      <c r="B304" s="7" t="str">
        <f>'Reported burning'!B304</f>
        <v>27i.1</v>
      </c>
      <c r="C304" s="7" t="str">
        <f>'Reported burning'!C304</f>
        <v>Human, deliberate</v>
      </c>
      <c r="D304" s="7" t="str">
        <f>'Reported burning'!D304</f>
        <v>Forest clearance</v>
      </c>
      <c r="E304" s="7" t="str">
        <f>'Reported burning'!E304</f>
        <v>Cropping, Swidden</v>
      </c>
      <c r="F304" s="7" t="str">
        <f>'Reported burning'!F304</f>
        <v>Forest</v>
      </c>
      <c r="G304" s="7" t="str">
        <f>'Reported burning'!G304</f>
        <v>ND</v>
      </c>
      <c r="H304" s="7" t="str">
        <f>'Reported burning'!H304</f>
        <v>Presence</v>
      </c>
      <c r="I304" s="4"/>
      <c r="J304" s="22" t="s">
        <v>2308</v>
      </c>
      <c r="K304" s="110" t="s">
        <v>2308</v>
      </c>
      <c r="L304" s="22" t="s">
        <v>2308</v>
      </c>
      <c r="M304" s="22" t="s">
        <v>2308</v>
      </c>
      <c r="N304" s="22" t="s">
        <v>2308</v>
      </c>
      <c r="O304" s="22" t="s">
        <v>2308</v>
      </c>
      <c r="P304" s="22" t="s">
        <v>2308</v>
      </c>
      <c r="Q304" s="109" t="s">
        <v>2308</v>
      </c>
      <c r="R304" s="109" t="s">
        <v>2308</v>
      </c>
      <c r="S304" s="22" t="s">
        <v>2308</v>
      </c>
      <c r="T304" s="22" t="s">
        <v>2308</v>
      </c>
      <c r="U304" s="22" t="s">
        <v>2308</v>
      </c>
      <c r="V304" s="22" t="s">
        <v>2308</v>
      </c>
      <c r="W304" s="22" t="s">
        <v>2308</v>
      </c>
      <c r="X304" s="4" t="s">
        <v>2308</v>
      </c>
      <c r="Y304" s="4" t="s">
        <v>2308</v>
      </c>
      <c r="Z304" s="4" t="s">
        <v>2308</v>
      </c>
      <c r="AA304" s="5"/>
      <c r="AB304" s="5"/>
    </row>
    <row r="305" spans="1:28" ht="112" customHeight="1">
      <c r="A305" s="7" t="str">
        <f>'Reported burning'!A305</f>
        <v>27i</v>
      </c>
      <c r="B305" s="7" t="str">
        <f>'Reported burning'!B305</f>
        <v>27i.2</v>
      </c>
      <c r="C305" s="7" t="str">
        <f>'Reported burning'!C305</f>
        <v>Human, deliberate</v>
      </c>
      <c r="D305" s="7" t="str">
        <f>'Reported burning'!D305</f>
        <v>Crop field preparation</v>
      </c>
      <c r="E305" s="7" t="str">
        <f>'Reported burning'!E305</f>
        <v>Cropping, Swidden</v>
      </c>
      <c r="F305" s="7" t="str">
        <f>'Reported burning'!F305</f>
        <v>Secondary Vegetation</v>
      </c>
      <c r="G305" s="7" t="str">
        <f>'Reported burning'!G305</f>
        <v>ND</v>
      </c>
      <c r="H305" s="7" t="str">
        <f>'Reported burning'!H305</f>
        <v>Presence</v>
      </c>
      <c r="I305" s="4"/>
      <c r="J305" s="22" t="s">
        <v>2308</v>
      </c>
      <c r="K305" s="110" t="s">
        <v>2308</v>
      </c>
      <c r="L305" s="22" t="s">
        <v>2308</v>
      </c>
      <c r="M305" s="22" t="s">
        <v>2308</v>
      </c>
      <c r="N305" s="22" t="s">
        <v>2308</v>
      </c>
      <c r="O305" s="22" t="s">
        <v>2308</v>
      </c>
      <c r="P305" s="22" t="s">
        <v>2308</v>
      </c>
      <c r="Q305" s="109" t="s">
        <v>2308</v>
      </c>
      <c r="R305" s="109" t="s">
        <v>2308</v>
      </c>
      <c r="S305" s="22" t="s">
        <v>2308</v>
      </c>
      <c r="T305" s="22" t="s">
        <v>2308</v>
      </c>
      <c r="U305" s="22" t="s">
        <v>2308</v>
      </c>
      <c r="V305" s="22" t="s">
        <v>2308</v>
      </c>
      <c r="W305" s="22" t="s">
        <v>2308</v>
      </c>
      <c r="X305" s="4" t="s">
        <v>2308</v>
      </c>
      <c r="Y305" s="4" t="s">
        <v>2308</v>
      </c>
      <c r="Z305" s="4" t="s">
        <v>2308</v>
      </c>
      <c r="AA305" s="5"/>
      <c r="AB305" s="5"/>
    </row>
    <row r="306" spans="1:28" ht="112" customHeight="1">
      <c r="A306" s="7" t="str">
        <f>'Reported burning'!A306</f>
        <v>27j</v>
      </c>
      <c r="B306" s="7" t="str">
        <f>'Reported burning'!B306</f>
        <v>27j.1</v>
      </c>
      <c r="C306" s="7" t="str">
        <f>'Reported burning'!C306</f>
        <v>Human, deliberate</v>
      </c>
      <c r="D306" s="7" t="str">
        <f>'Reported burning'!D306</f>
        <v>Forest clearance</v>
      </c>
      <c r="E306" s="7" t="str">
        <f>'Reported burning'!E306</f>
        <v>Cropping, Swidden</v>
      </c>
      <c r="F306" s="7" t="str">
        <f>'Reported burning'!F306</f>
        <v>Forest</v>
      </c>
      <c r="G306" s="7" t="str">
        <f>'Reported burning'!G306</f>
        <v>ND</v>
      </c>
      <c r="H306" s="7" t="str">
        <f>'Reported burning'!H306</f>
        <v>Presence</v>
      </c>
      <c r="I306" s="4"/>
      <c r="J306" s="22" t="s">
        <v>2308</v>
      </c>
      <c r="K306" s="110" t="s">
        <v>2308</v>
      </c>
      <c r="L306" s="22" t="s">
        <v>2308</v>
      </c>
      <c r="M306" s="22" t="s">
        <v>2308</v>
      </c>
      <c r="N306" s="22" t="s">
        <v>2308</v>
      </c>
      <c r="O306" s="22" t="s">
        <v>2308</v>
      </c>
      <c r="P306" s="22" t="s">
        <v>2308</v>
      </c>
      <c r="Q306" s="109" t="s">
        <v>2308</v>
      </c>
      <c r="R306" s="109" t="s">
        <v>2308</v>
      </c>
      <c r="S306" s="22" t="s">
        <v>2308</v>
      </c>
      <c r="T306" s="22" t="s">
        <v>2308</v>
      </c>
      <c r="U306" s="22" t="s">
        <v>2308</v>
      </c>
      <c r="V306" s="22" t="s">
        <v>2308</v>
      </c>
      <c r="W306" s="22" t="s">
        <v>2308</v>
      </c>
      <c r="X306" s="4" t="s">
        <v>2308</v>
      </c>
      <c r="Y306" s="4" t="s">
        <v>2308</v>
      </c>
      <c r="Z306" s="4" t="s">
        <v>2308</v>
      </c>
      <c r="AA306" s="5"/>
      <c r="AB306" s="5"/>
    </row>
    <row r="307" spans="1:28" ht="112" customHeight="1">
      <c r="A307" s="7" t="str">
        <f>'Reported burning'!A307</f>
        <v>27j</v>
      </c>
      <c r="B307" s="7" t="str">
        <f>'Reported burning'!B307</f>
        <v>27j.2</v>
      </c>
      <c r="C307" s="7" t="str">
        <f>'Reported burning'!C307</f>
        <v>Human, deliberate</v>
      </c>
      <c r="D307" s="7" t="str">
        <f>'Reported burning'!D307</f>
        <v>Crop field preparation</v>
      </c>
      <c r="E307" s="7" t="str">
        <f>'Reported burning'!E307</f>
        <v>Cropping, Swidden</v>
      </c>
      <c r="F307" s="7" t="str">
        <f>'Reported burning'!F307</f>
        <v>Secondary Vegetation</v>
      </c>
      <c r="G307" s="7" t="str">
        <f>'Reported burning'!G307</f>
        <v>ND</v>
      </c>
      <c r="H307" s="7" t="str">
        <f>'Reported burning'!H307</f>
        <v>Presence</v>
      </c>
      <c r="I307" s="4"/>
      <c r="J307" s="22" t="s">
        <v>2308</v>
      </c>
      <c r="K307" s="110" t="s">
        <v>2308</v>
      </c>
      <c r="L307" s="22" t="s">
        <v>2308</v>
      </c>
      <c r="M307" s="22" t="s">
        <v>2308</v>
      </c>
      <c r="N307" s="22" t="s">
        <v>2308</v>
      </c>
      <c r="O307" s="22" t="s">
        <v>2308</v>
      </c>
      <c r="P307" s="22" t="s">
        <v>2308</v>
      </c>
      <c r="Q307" s="109" t="s">
        <v>2308</v>
      </c>
      <c r="R307" s="109" t="s">
        <v>2308</v>
      </c>
      <c r="S307" s="22" t="s">
        <v>2308</v>
      </c>
      <c r="T307" s="22" t="s">
        <v>2308</v>
      </c>
      <c r="U307" s="22" t="s">
        <v>2308</v>
      </c>
      <c r="V307" s="22" t="s">
        <v>2308</v>
      </c>
      <c r="W307" s="22" t="s">
        <v>2308</v>
      </c>
      <c r="X307" s="4" t="s">
        <v>2308</v>
      </c>
      <c r="Y307" s="4" t="s">
        <v>2308</v>
      </c>
      <c r="Z307" s="4" t="s">
        <v>2308</v>
      </c>
      <c r="AA307" s="5"/>
      <c r="AB307" s="5"/>
    </row>
    <row r="308" spans="1:28" ht="112" customHeight="1">
      <c r="A308" s="7" t="str">
        <f>'Reported burning'!A308</f>
        <v>27k</v>
      </c>
      <c r="B308" s="7" t="str">
        <f>'Reported burning'!B308</f>
        <v>27k.1</v>
      </c>
      <c r="C308" s="7" t="str">
        <f>'Reported burning'!C308</f>
        <v>Human, deliberate</v>
      </c>
      <c r="D308" s="7" t="str">
        <f>'Reported burning'!D308</f>
        <v>Forest clearance</v>
      </c>
      <c r="E308" s="7" t="str">
        <f>'Reported burning'!E308</f>
        <v>Cropping, Monoculture, Subsistence-oriented</v>
      </c>
      <c r="F308" s="7" t="str">
        <f>'Reported burning'!F308</f>
        <v>Forest</v>
      </c>
      <c r="G308" s="7" t="str">
        <f>'Reported burning'!G308</f>
        <v>ND</v>
      </c>
      <c r="H308" s="7" t="str">
        <f>'Reported burning'!H308</f>
        <v>Presence</v>
      </c>
      <c r="I308" s="4"/>
      <c r="J308" s="22" t="s">
        <v>2308</v>
      </c>
      <c r="K308" s="110" t="s">
        <v>2308</v>
      </c>
      <c r="L308" s="22" t="s">
        <v>2308</v>
      </c>
      <c r="M308" s="22" t="s">
        <v>2308</v>
      </c>
      <c r="N308" s="22" t="s">
        <v>2308</v>
      </c>
      <c r="O308" s="22" t="s">
        <v>2308</v>
      </c>
      <c r="P308" s="22" t="s">
        <v>2308</v>
      </c>
      <c r="Q308" s="109" t="s">
        <v>2308</v>
      </c>
      <c r="R308" s="109" t="s">
        <v>2308</v>
      </c>
      <c r="S308" s="22" t="s">
        <v>2308</v>
      </c>
      <c r="T308" s="22" t="s">
        <v>2308</v>
      </c>
      <c r="U308" s="22" t="s">
        <v>2308</v>
      </c>
      <c r="V308" s="22" t="s">
        <v>2308</v>
      </c>
      <c r="W308" s="22" t="s">
        <v>2308</v>
      </c>
      <c r="X308" s="4" t="s">
        <v>2308</v>
      </c>
      <c r="Y308" s="4" t="s">
        <v>2308</v>
      </c>
      <c r="Z308" s="4" t="s">
        <v>2308</v>
      </c>
      <c r="AA308" s="5"/>
      <c r="AB308" s="5"/>
    </row>
    <row r="309" spans="1:28" ht="112" customHeight="1">
      <c r="A309" s="7" t="str">
        <f>'Reported burning'!A309</f>
        <v>27l</v>
      </c>
      <c r="B309" s="7" t="str">
        <f>'Reported burning'!B309</f>
        <v>27l.1</v>
      </c>
      <c r="C309" s="7" t="str">
        <f>'Reported burning'!C309</f>
        <v>Human, deliberate</v>
      </c>
      <c r="D309" s="7" t="str">
        <f>'Reported burning'!D309</f>
        <v>Forest clearance</v>
      </c>
      <c r="E309" s="7" t="str">
        <f>'Reported burning'!E309</f>
        <v>Cropping, Swidden</v>
      </c>
      <c r="F309" s="7" t="str">
        <f>'Reported burning'!F309</f>
        <v>Forest</v>
      </c>
      <c r="G309" s="7" t="str">
        <f>'Reported burning'!G309</f>
        <v>ND</v>
      </c>
      <c r="H309" s="7" t="str">
        <f>'Reported burning'!H309</f>
        <v>Presence</v>
      </c>
      <c r="I309" s="4"/>
      <c r="J309" s="22" t="s">
        <v>2308</v>
      </c>
      <c r="K309" s="110" t="s">
        <v>2308</v>
      </c>
      <c r="L309" s="22" t="s">
        <v>2308</v>
      </c>
      <c r="M309" s="22" t="s">
        <v>2308</v>
      </c>
      <c r="N309" s="22" t="s">
        <v>2308</v>
      </c>
      <c r="O309" s="22" t="s">
        <v>2308</v>
      </c>
      <c r="P309" s="22" t="s">
        <v>2308</v>
      </c>
      <c r="Q309" s="109" t="s">
        <v>2308</v>
      </c>
      <c r="R309" s="109" t="s">
        <v>2308</v>
      </c>
      <c r="S309" s="22" t="s">
        <v>2308</v>
      </c>
      <c r="T309" s="22" t="s">
        <v>2308</v>
      </c>
      <c r="U309" s="22" t="s">
        <v>2308</v>
      </c>
      <c r="V309" s="22" t="s">
        <v>2308</v>
      </c>
      <c r="W309" s="22" t="s">
        <v>2308</v>
      </c>
      <c r="X309" s="4" t="s">
        <v>2308</v>
      </c>
      <c r="Y309" s="4" t="s">
        <v>2308</v>
      </c>
      <c r="Z309" s="4" t="s">
        <v>2308</v>
      </c>
      <c r="AA309" s="5"/>
      <c r="AB309" s="5"/>
    </row>
    <row r="310" spans="1:28" ht="112" customHeight="1">
      <c r="A310" s="7" t="str">
        <f>'Reported burning'!A310</f>
        <v>27l</v>
      </c>
      <c r="B310" s="7" t="str">
        <f>'Reported burning'!B310</f>
        <v>27l.2</v>
      </c>
      <c r="C310" s="7" t="str">
        <f>'Reported burning'!C310</f>
        <v>Human, deliberate</v>
      </c>
      <c r="D310" s="7" t="str">
        <f>'Reported burning'!D310</f>
        <v>Crop field preparation</v>
      </c>
      <c r="E310" s="7" t="str">
        <f>'Reported burning'!E310</f>
        <v>Cropping, Swidden</v>
      </c>
      <c r="F310" s="7" t="str">
        <f>'Reported burning'!F310</f>
        <v>Secondary Vegetation</v>
      </c>
      <c r="G310" s="7" t="str">
        <f>'Reported burning'!G310</f>
        <v>ND</v>
      </c>
      <c r="H310" s="7" t="str">
        <f>'Reported burning'!H310</f>
        <v>Presence</v>
      </c>
      <c r="I310" s="4"/>
      <c r="J310" s="22" t="s">
        <v>2308</v>
      </c>
      <c r="K310" s="110" t="s">
        <v>2308</v>
      </c>
      <c r="L310" s="22" t="s">
        <v>2308</v>
      </c>
      <c r="M310" s="22" t="s">
        <v>2308</v>
      </c>
      <c r="N310" s="22" t="s">
        <v>2308</v>
      </c>
      <c r="O310" s="22" t="s">
        <v>2308</v>
      </c>
      <c r="P310" s="22" t="s">
        <v>2308</v>
      </c>
      <c r="Q310" s="109" t="s">
        <v>2308</v>
      </c>
      <c r="R310" s="109" t="s">
        <v>2308</v>
      </c>
      <c r="S310" s="22" t="s">
        <v>2308</v>
      </c>
      <c r="T310" s="22" t="s">
        <v>2308</v>
      </c>
      <c r="U310" s="22" t="s">
        <v>2308</v>
      </c>
      <c r="V310" s="22" t="s">
        <v>2308</v>
      </c>
      <c r="W310" s="22" t="s">
        <v>2308</v>
      </c>
      <c r="X310" s="4" t="s">
        <v>2308</v>
      </c>
      <c r="Y310" s="4" t="s">
        <v>2308</v>
      </c>
      <c r="Z310" s="4" t="s">
        <v>2308</v>
      </c>
      <c r="AA310" s="5"/>
      <c r="AB310" s="5"/>
    </row>
    <row r="311" spans="1:28" ht="112" customHeight="1">
      <c r="A311" s="7" t="str">
        <f>'Reported burning'!A311</f>
        <v>27m</v>
      </c>
      <c r="B311" s="7" t="str">
        <f>'Reported burning'!B311</f>
        <v>27m.1</v>
      </c>
      <c r="C311" s="7" t="str">
        <f>'Reported burning'!C311</f>
        <v>Human, deliberate</v>
      </c>
      <c r="D311" s="7" t="str">
        <f>'Reported burning'!D311</f>
        <v>Forest clearance</v>
      </c>
      <c r="E311" s="7" t="str">
        <f>'Reported burning'!E311</f>
        <v>Cropping, Monoculture, Subsistence-oriented</v>
      </c>
      <c r="F311" s="7" t="str">
        <f>'Reported burning'!F311</f>
        <v>Forest</v>
      </c>
      <c r="G311" s="7" t="str">
        <f>'Reported burning'!G311</f>
        <v>ND</v>
      </c>
      <c r="H311" s="7" t="str">
        <f>'Reported burning'!H311</f>
        <v>Presence</v>
      </c>
      <c r="I311" s="4"/>
      <c r="J311" s="22" t="s">
        <v>2308</v>
      </c>
      <c r="K311" s="110" t="s">
        <v>2308</v>
      </c>
      <c r="L311" s="22" t="s">
        <v>2308</v>
      </c>
      <c r="M311" s="22" t="s">
        <v>2308</v>
      </c>
      <c r="N311" s="22" t="s">
        <v>2308</v>
      </c>
      <c r="O311" s="22" t="s">
        <v>2308</v>
      </c>
      <c r="P311" s="22" t="s">
        <v>2308</v>
      </c>
      <c r="Q311" s="109" t="s">
        <v>2308</v>
      </c>
      <c r="R311" s="109" t="s">
        <v>2308</v>
      </c>
      <c r="S311" s="22" t="s">
        <v>2308</v>
      </c>
      <c r="T311" s="22" t="s">
        <v>2308</v>
      </c>
      <c r="U311" s="22" t="s">
        <v>2308</v>
      </c>
      <c r="V311" s="22" t="s">
        <v>2308</v>
      </c>
      <c r="W311" s="22" t="s">
        <v>2308</v>
      </c>
      <c r="X311" s="4" t="s">
        <v>2308</v>
      </c>
      <c r="Y311" s="4" t="s">
        <v>2308</v>
      </c>
      <c r="Z311" s="4" t="s">
        <v>2308</v>
      </c>
      <c r="AA311" s="5"/>
      <c r="AB311" s="5"/>
    </row>
    <row r="312" spans="1:28" ht="112" customHeight="1">
      <c r="A312" s="7" t="str">
        <f>'Reported burning'!A312</f>
        <v>27m</v>
      </c>
      <c r="B312" s="7" t="str">
        <f>'Reported burning'!B312</f>
        <v>27m.2</v>
      </c>
      <c r="C312" s="7" t="str">
        <f>'Reported burning'!C312</f>
        <v>Human, deliberate</v>
      </c>
      <c r="D312" s="7" t="str">
        <f>'Reported burning'!D312</f>
        <v>Forest clearance</v>
      </c>
      <c r="E312" s="7" t="str">
        <f>'Reported burning'!E312</f>
        <v>Cropping, Swidden</v>
      </c>
      <c r="F312" s="7" t="str">
        <f>'Reported burning'!F312</f>
        <v>Forest</v>
      </c>
      <c r="G312" s="7" t="str">
        <f>'Reported burning'!G312</f>
        <v>ND</v>
      </c>
      <c r="H312" s="7" t="str">
        <f>'Reported burning'!H312</f>
        <v>Presence</v>
      </c>
      <c r="I312" s="4"/>
      <c r="J312" s="22" t="s">
        <v>2308</v>
      </c>
      <c r="K312" s="110" t="s">
        <v>2308</v>
      </c>
      <c r="L312" s="22" t="s">
        <v>2308</v>
      </c>
      <c r="M312" s="22" t="s">
        <v>2308</v>
      </c>
      <c r="N312" s="22" t="s">
        <v>2308</v>
      </c>
      <c r="O312" s="22" t="s">
        <v>2308</v>
      </c>
      <c r="P312" s="22" t="s">
        <v>2308</v>
      </c>
      <c r="Q312" s="109" t="s">
        <v>2308</v>
      </c>
      <c r="R312" s="109" t="s">
        <v>2308</v>
      </c>
      <c r="S312" s="22" t="s">
        <v>2308</v>
      </c>
      <c r="T312" s="22" t="s">
        <v>2308</v>
      </c>
      <c r="U312" s="22" t="s">
        <v>2308</v>
      </c>
      <c r="V312" s="22" t="s">
        <v>2308</v>
      </c>
      <c r="W312" s="22" t="s">
        <v>2308</v>
      </c>
      <c r="X312" s="4" t="s">
        <v>2308</v>
      </c>
      <c r="Y312" s="4" t="s">
        <v>2308</v>
      </c>
      <c r="Z312" s="4" t="s">
        <v>2308</v>
      </c>
      <c r="AA312" s="5"/>
      <c r="AB312" s="5"/>
    </row>
    <row r="313" spans="1:28" ht="112" customHeight="1">
      <c r="A313" s="7" t="str">
        <f>'Reported burning'!A313</f>
        <v>27m</v>
      </c>
      <c r="B313" s="7" t="str">
        <f>'Reported burning'!B313</f>
        <v>27m.3</v>
      </c>
      <c r="C313" s="7" t="str">
        <f>'Reported burning'!C313</f>
        <v>Human, deliberate</v>
      </c>
      <c r="D313" s="7" t="str">
        <f>'Reported burning'!D313</f>
        <v>Crop field preparation</v>
      </c>
      <c r="E313" s="7" t="str">
        <f>'Reported burning'!E313</f>
        <v>Cropping, Swidden</v>
      </c>
      <c r="F313" s="7" t="str">
        <f>'Reported burning'!F313</f>
        <v>Secondary Vegetation</v>
      </c>
      <c r="G313" s="7" t="str">
        <f>'Reported burning'!G313</f>
        <v>ND</v>
      </c>
      <c r="H313" s="7" t="str">
        <f>'Reported burning'!H313</f>
        <v>Presence</v>
      </c>
      <c r="I313" s="4"/>
      <c r="J313" s="22" t="s">
        <v>2308</v>
      </c>
      <c r="K313" s="110" t="s">
        <v>2308</v>
      </c>
      <c r="L313" s="22" t="s">
        <v>2308</v>
      </c>
      <c r="M313" s="22" t="s">
        <v>2308</v>
      </c>
      <c r="N313" s="22" t="s">
        <v>2308</v>
      </c>
      <c r="O313" s="22" t="s">
        <v>2308</v>
      </c>
      <c r="P313" s="22" t="s">
        <v>2308</v>
      </c>
      <c r="Q313" s="109" t="s">
        <v>2308</v>
      </c>
      <c r="R313" s="109" t="s">
        <v>2308</v>
      </c>
      <c r="S313" s="22" t="s">
        <v>2308</v>
      </c>
      <c r="T313" s="22" t="s">
        <v>2308</v>
      </c>
      <c r="U313" s="22" t="s">
        <v>2308</v>
      </c>
      <c r="V313" s="22" t="s">
        <v>2308</v>
      </c>
      <c r="W313" s="22" t="s">
        <v>2308</v>
      </c>
      <c r="X313" s="4" t="s">
        <v>2308</v>
      </c>
      <c r="Y313" s="4" t="s">
        <v>2308</v>
      </c>
      <c r="Z313" s="4" t="s">
        <v>2308</v>
      </c>
      <c r="AA313" s="5"/>
      <c r="AB313" s="5"/>
    </row>
    <row r="314" spans="1:28" ht="112" customHeight="1">
      <c r="A314" s="7" t="str">
        <f>'Reported burning'!A314</f>
        <v>27n</v>
      </c>
      <c r="B314" s="7" t="str">
        <f>'Reported burning'!B314</f>
        <v>27n.1</v>
      </c>
      <c r="C314" s="7" t="str">
        <f>'Reported burning'!C314</f>
        <v>Human, deliberate</v>
      </c>
      <c r="D314" s="7" t="str">
        <f>'Reported burning'!D314</f>
        <v>Forest clearance</v>
      </c>
      <c r="E314" s="7" t="str">
        <f>'Reported burning'!E314</f>
        <v>Cropping, Monoculture, Subsistence-oriented</v>
      </c>
      <c r="F314" s="7" t="str">
        <f>'Reported burning'!F314</f>
        <v>Forest</v>
      </c>
      <c r="G314" s="7" t="str">
        <f>'Reported burning'!G314</f>
        <v>ND</v>
      </c>
      <c r="H314" s="7" t="str">
        <f>'Reported burning'!H314</f>
        <v>Presence</v>
      </c>
      <c r="I314" s="4"/>
      <c r="J314" s="22" t="s">
        <v>2308</v>
      </c>
      <c r="K314" s="110" t="s">
        <v>2308</v>
      </c>
      <c r="L314" s="22" t="s">
        <v>2308</v>
      </c>
      <c r="M314" s="22" t="s">
        <v>2308</v>
      </c>
      <c r="N314" s="22" t="s">
        <v>2308</v>
      </c>
      <c r="O314" s="22" t="s">
        <v>2308</v>
      </c>
      <c r="P314" s="22" t="s">
        <v>2308</v>
      </c>
      <c r="Q314" s="109" t="s">
        <v>2308</v>
      </c>
      <c r="R314" s="109" t="s">
        <v>2308</v>
      </c>
      <c r="S314" s="22" t="s">
        <v>2308</v>
      </c>
      <c r="T314" s="22" t="s">
        <v>2308</v>
      </c>
      <c r="U314" s="22" t="s">
        <v>2308</v>
      </c>
      <c r="V314" s="22" t="s">
        <v>2308</v>
      </c>
      <c r="W314" s="22" t="s">
        <v>2308</v>
      </c>
      <c r="X314" s="4" t="s">
        <v>2308</v>
      </c>
      <c r="Y314" s="4" t="s">
        <v>2308</v>
      </c>
      <c r="Z314" s="4" t="s">
        <v>2308</v>
      </c>
      <c r="AA314" s="5"/>
      <c r="AB314" s="5"/>
    </row>
    <row r="315" spans="1:28" ht="112" customHeight="1">
      <c r="A315" s="7" t="str">
        <f>'Reported burning'!A315</f>
        <v>27o</v>
      </c>
      <c r="B315" s="7" t="str">
        <f>'Reported burning'!B315</f>
        <v>27o.1</v>
      </c>
      <c r="C315" s="7" t="str">
        <f>'Reported burning'!C315</f>
        <v>Human, deliberate</v>
      </c>
      <c r="D315" s="7" t="str">
        <f>'Reported burning'!D315</f>
        <v>Forest clearance</v>
      </c>
      <c r="E315" s="7" t="str">
        <f>'Reported burning'!E315</f>
        <v>Cropping, Swidden</v>
      </c>
      <c r="F315" s="7" t="str">
        <f>'Reported burning'!F315</f>
        <v>Forest</v>
      </c>
      <c r="G315" s="7" t="str">
        <f>'Reported burning'!G315</f>
        <v>ND</v>
      </c>
      <c r="H315" s="7" t="str">
        <f>'Reported burning'!H315</f>
        <v>Presence</v>
      </c>
      <c r="I315" s="4"/>
      <c r="J315" s="22" t="s">
        <v>2308</v>
      </c>
      <c r="K315" s="110" t="s">
        <v>2308</v>
      </c>
      <c r="L315" s="22" t="s">
        <v>2308</v>
      </c>
      <c r="M315" s="22" t="s">
        <v>2308</v>
      </c>
      <c r="N315" s="22" t="s">
        <v>2308</v>
      </c>
      <c r="O315" s="22" t="s">
        <v>2308</v>
      </c>
      <c r="P315" s="22" t="s">
        <v>2308</v>
      </c>
      <c r="Q315" s="109" t="s">
        <v>2308</v>
      </c>
      <c r="R315" s="109" t="s">
        <v>2308</v>
      </c>
      <c r="S315" s="22" t="s">
        <v>2308</v>
      </c>
      <c r="T315" s="22" t="s">
        <v>2308</v>
      </c>
      <c r="U315" s="22" t="s">
        <v>2308</v>
      </c>
      <c r="V315" s="22" t="s">
        <v>2308</v>
      </c>
      <c r="W315" s="22" t="s">
        <v>2308</v>
      </c>
      <c r="X315" s="4" t="s">
        <v>2308</v>
      </c>
      <c r="Y315" s="4" t="s">
        <v>2308</v>
      </c>
      <c r="Z315" s="4" t="s">
        <v>2308</v>
      </c>
      <c r="AA315" s="5"/>
      <c r="AB315" s="5"/>
    </row>
    <row r="316" spans="1:28" ht="112" customHeight="1">
      <c r="A316" s="7" t="str">
        <f>'Reported burning'!A316</f>
        <v>27o</v>
      </c>
      <c r="B316" s="7" t="str">
        <f>'Reported burning'!B316</f>
        <v>27o.2</v>
      </c>
      <c r="C316" s="7" t="str">
        <f>'Reported burning'!C316</f>
        <v>Human, deliberate</v>
      </c>
      <c r="D316" s="7" t="str">
        <f>'Reported burning'!D316</f>
        <v>Crop field preparation</v>
      </c>
      <c r="E316" s="7" t="str">
        <f>'Reported burning'!E316</f>
        <v>Cropping, Swidden</v>
      </c>
      <c r="F316" s="7" t="str">
        <f>'Reported burning'!F316</f>
        <v>Secondary Vegetation</v>
      </c>
      <c r="G316" s="7" t="str">
        <f>'Reported burning'!G316</f>
        <v>ND</v>
      </c>
      <c r="H316" s="7" t="str">
        <f>'Reported burning'!H316</f>
        <v>Presence</v>
      </c>
      <c r="I316" s="4"/>
      <c r="J316" s="22" t="s">
        <v>2308</v>
      </c>
      <c r="K316" s="110" t="s">
        <v>2308</v>
      </c>
      <c r="L316" s="22" t="s">
        <v>2308</v>
      </c>
      <c r="M316" s="22" t="s">
        <v>2308</v>
      </c>
      <c r="N316" s="22" t="s">
        <v>2308</v>
      </c>
      <c r="O316" s="22" t="s">
        <v>2308</v>
      </c>
      <c r="P316" s="22" t="s">
        <v>2308</v>
      </c>
      <c r="Q316" s="109" t="s">
        <v>2308</v>
      </c>
      <c r="R316" s="109" t="s">
        <v>2308</v>
      </c>
      <c r="S316" s="22" t="s">
        <v>2308</v>
      </c>
      <c r="T316" s="22" t="s">
        <v>2308</v>
      </c>
      <c r="U316" s="22" t="s">
        <v>2308</v>
      </c>
      <c r="V316" s="22" t="s">
        <v>2308</v>
      </c>
      <c r="W316" s="22" t="s">
        <v>2308</v>
      </c>
      <c r="X316" s="4" t="s">
        <v>2308</v>
      </c>
      <c r="Y316" s="4" t="s">
        <v>2308</v>
      </c>
      <c r="Z316" s="4" t="s">
        <v>2308</v>
      </c>
      <c r="AA316" s="5"/>
      <c r="AB316" s="5"/>
    </row>
    <row r="317" spans="1:28" ht="112" customHeight="1">
      <c r="A317" s="7" t="str">
        <f>'Reported burning'!A317</f>
        <v>27p</v>
      </c>
      <c r="B317" s="7" t="str">
        <f>'Reported burning'!B317</f>
        <v>27p.1</v>
      </c>
      <c r="C317" s="7" t="str">
        <f>'Reported burning'!C317</f>
        <v>Human, deliberate</v>
      </c>
      <c r="D317" s="7" t="str">
        <f>'Reported burning'!D317</f>
        <v>Forest clearance</v>
      </c>
      <c r="E317" s="7" t="str">
        <f>'Reported burning'!E317</f>
        <v>Cropping, Swidden</v>
      </c>
      <c r="F317" s="7" t="str">
        <f>'Reported burning'!F317</f>
        <v>Forest</v>
      </c>
      <c r="G317" s="7" t="str">
        <f>'Reported burning'!G317</f>
        <v>ND</v>
      </c>
      <c r="H317" s="7" t="str">
        <f>'Reported burning'!H317</f>
        <v>Presence</v>
      </c>
      <c r="I317" s="4"/>
      <c r="J317" s="22" t="s">
        <v>2308</v>
      </c>
      <c r="K317" s="110" t="s">
        <v>2308</v>
      </c>
      <c r="L317" s="22" t="s">
        <v>2308</v>
      </c>
      <c r="M317" s="22" t="s">
        <v>2308</v>
      </c>
      <c r="N317" s="22" t="s">
        <v>2308</v>
      </c>
      <c r="O317" s="22" t="s">
        <v>2308</v>
      </c>
      <c r="P317" s="22" t="s">
        <v>2308</v>
      </c>
      <c r="Q317" s="109" t="s">
        <v>2308</v>
      </c>
      <c r="R317" s="109" t="s">
        <v>2308</v>
      </c>
      <c r="S317" s="22" t="s">
        <v>2308</v>
      </c>
      <c r="T317" s="22" t="s">
        <v>2308</v>
      </c>
      <c r="U317" s="22" t="s">
        <v>2308</v>
      </c>
      <c r="V317" s="22" t="s">
        <v>2308</v>
      </c>
      <c r="W317" s="22" t="s">
        <v>2308</v>
      </c>
      <c r="X317" s="4" t="s">
        <v>2308</v>
      </c>
      <c r="Y317" s="4" t="s">
        <v>2308</v>
      </c>
      <c r="Z317" s="4" t="s">
        <v>2308</v>
      </c>
      <c r="AA317" s="5"/>
      <c r="AB317" s="5"/>
    </row>
    <row r="318" spans="1:28" ht="112" customHeight="1">
      <c r="A318" s="7" t="str">
        <f>'Reported burning'!A318</f>
        <v>27p</v>
      </c>
      <c r="B318" s="7" t="str">
        <f>'Reported burning'!B318</f>
        <v>27p.2</v>
      </c>
      <c r="C318" s="7" t="str">
        <f>'Reported burning'!C318</f>
        <v>Human, deliberate</v>
      </c>
      <c r="D318" s="7" t="str">
        <f>'Reported burning'!D318</f>
        <v>Crop field preparation</v>
      </c>
      <c r="E318" s="7" t="str">
        <f>'Reported burning'!E318</f>
        <v>Cropping, Swidden</v>
      </c>
      <c r="F318" s="7" t="str">
        <f>'Reported burning'!F318</f>
        <v>Secondary Vegetation</v>
      </c>
      <c r="G318" s="7" t="str">
        <f>'Reported burning'!G318</f>
        <v>ND</v>
      </c>
      <c r="H318" s="7" t="str">
        <f>'Reported burning'!H318</f>
        <v>Presence</v>
      </c>
      <c r="I318" s="4"/>
      <c r="J318" s="22" t="s">
        <v>2308</v>
      </c>
      <c r="K318" s="110" t="s">
        <v>2308</v>
      </c>
      <c r="L318" s="22" t="s">
        <v>2308</v>
      </c>
      <c r="M318" s="22" t="s">
        <v>2308</v>
      </c>
      <c r="N318" s="22" t="s">
        <v>2308</v>
      </c>
      <c r="O318" s="22" t="s">
        <v>2308</v>
      </c>
      <c r="P318" s="22" t="s">
        <v>2308</v>
      </c>
      <c r="Q318" s="109" t="s">
        <v>2308</v>
      </c>
      <c r="R318" s="109" t="s">
        <v>2308</v>
      </c>
      <c r="S318" s="22" t="s">
        <v>2308</v>
      </c>
      <c r="T318" s="22" t="s">
        <v>2308</v>
      </c>
      <c r="U318" s="22" t="s">
        <v>2308</v>
      </c>
      <c r="V318" s="22" t="s">
        <v>2308</v>
      </c>
      <c r="W318" s="22" t="s">
        <v>2308</v>
      </c>
      <c r="X318" s="4" t="s">
        <v>2308</v>
      </c>
      <c r="Y318" s="4" t="s">
        <v>2308</v>
      </c>
      <c r="Z318" s="4" t="s">
        <v>2308</v>
      </c>
      <c r="AA318" s="5"/>
      <c r="AB318" s="5"/>
    </row>
    <row r="319" spans="1:28" ht="112" customHeight="1">
      <c r="A319" s="7" t="str">
        <f>'Reported burning'!A319</f>
        <v>27q</v>
      </c>
      <c r="B319" s="7" t="str">
        <f>'Reported burning'!B319</f>
        <v>27q.1</v>
      </c>
      <c r="C319" s="7" t="str">
        <f>'Reported burning'!C319</f>
        <v>Human, deliberate</v>
      </c>
      <c r="D319" s="7" t="str">
        <f>'Reported burning'!D319</f>
        <v>Forest clearance</v>
      </c>
      <c r="E319" s="7" t="str">
        <f>'Reported burning'!E319</f>
        <v>Cropping, Swidden</v>
      </c>
      <c r="F319" s="7" t="str">
        <f>'Reported burning'!F319</f>
        <v>Forest</v>
      </c>
      <c r="G319" s="7" t="str">
        <f>'Reported burning'!G319</f>
        <v>ND</v>
      </c>
      <c r="H319" s="7" t="str">
        <f>'Reported burning'!H319</f>
        <v>Presence</v>
      </c>
      <c r="I319" s="4"/>
      <c r="J319" s="22" t="s">
        <v>2308</v>
      </c>
      <c r="K319" s="110" t="s">
        <v>2308</v>
      </c>
      <c r="L319" s="22" t="s">
        <v>2308</v>
      </c>
      <c r="M319" s="22" t="s">
        <v>2308</v>
      </c>
      <c r="N319" s="22" t="s">
        <v>2308</v>
      </c>
      <c r="O319" s="22" t="s">
        <v>2308</v>
      </c>
      <c r="P319" s="22" t="s">
        <v>2308</v>
      </c>
      <c r="Q319" s="109" t="s">
        <v>2308</v>
      </c>
      <c r="R319" s="109" t="s">
        <v>2308</v>
      </c>
      <c r="S319" s="22" t="s">
        <v>2308</v>
      </c>
      <c r="T319" s="22" t="s">
        <v>2308</v>
      </c>
      <c r="U319" s="22" t="s">
        <v>2308</v>
      </c>
      <c r="V319" s="22" t="s">
        <v>2308</v>
      </c>
      <c r="W319" s="22" t="s">
        <v>2308</v>
      </c>
      <c r="X319" s="4" t="s">
        <v>2308</v>
      </c>
      <c r="Y319" s="4" t="s">
        <v>2308</v>
      </c>
      <c r="Z319" s="4" t="s">
        <v>2308</v>
      </c>
      <c r="AA319" s="5"/>
      <c r="AB319" s="5"/>
    </row>
    <row r="320" spans="1:28" ht="112" customHeight="1">
      <c r="A320" s="7" t="str">
        <f>'Reported burning'!A320</f>
        <v>27q</v>
      </c>
      <c r="B320" s="7" t="str">
        <f>'Reported burning'!B320</f>
        <v>27q.2</v>
      </c>
      <c r="C320" s="7" t="str">
        <f>'Reported burning'!C320</f>
        <v>Human, deliberate</v>
      </c>
      <c r="D320" s="7" t="str">
        <f>'Reported burning'!D320</f>
        <v>Crop field preparation</v>
      </c>
      <c r="E320" s="7" t="str">
        <f>'Reported burning'!E320</f>
        <v>Cropping, Swidden</v>
      </c>
      <c r="F320" s="7" t="str">
        <f>'Reported burning'!F320</f>
        <v>Secondary Vegetation</v>
      </c>
      <c r="G320" s="7" t="str">
        <f>'Reported burning'!G320</f>
        <v>ND</v>
      </c>
      <c r="H320" s="7" t="str">
        <f>'Reported burning'!H320</f>
        <v>Presence</v>
      </c>
      <c r="I320" s="4"/>
      <c r="J320" s="22" t="s">
        <v>2308</v>
      </c>
      <c r="K320" s="110" t="s">
        <v>2308</v>
      </c>
      <c r="L320" s="22" t="s">
        <v>2308</v>
      </c>
      <c r="M320" s="22" t="s">
        <v>2308</v>
      </c>
      <c r="N320" s="22" t="s">
        <v>2308</v>
      </c>
      <c r="O320" s="22" t="s">
        <v>2308</v>
      </c>
      <c r="P320" s="22" t="s">
        <v>2308</v>
      </c>
      <c r="Q320" s="109" t="s">
        <v>2308</v>
      </c>
      <c r="R320" s="109" t="s">
        <v>2308</v>
      </c>
      <c r="S320" s="22" t="s">
        <v>2308</v>
      </c>
      <c r="T320" s="22" t="s">
        <v>2308</v>
      </c>
      <c r="U320" s="22" t="s">
        <v>2308</v>
      </c>
      <c r="V320" s="22" t="s">
        <v>2308</v>
      </c>
      <c r="W320" s="22" t="s">
        <v>2308</v>
      </c>
      <c r="X320" s="4" t="s">
        <v>2308</v>
      </c>
      <c r="Y320" s="4" t="s">
        <v>2308</v>
      </c>
      <c r="Z320" s="4" t="s">
        <v>2308</v>
      </c>
      <c r="AA320" s="5"/>
      <c r="AB320" s="5"/>
    </row>
    <row r="321" spans="1:28" ht="112" customHeight="1">
      <c r="A321" s="7" t="str">
        <f>'Reported burning'!A321</f>
        <v>27q</v>
      </c>
      <c r="B321" s="7" t="str">
        <f>'Reported burning'!B321</f>
        <v>27q.3</v>
      </c>
      <c r="C321" s="7" t="str">
        <f>'Reported burning'!C321</f>
        <v>Human, deliberate</v>
      </c>
      <c r="D321" s="7" t="str">
        <f>'Reported burning'!D321</f>
        <v>Forest clearance</v>
      </c>
      <c r="E321" s="7" t="str">
        <f>'Reported burning'!E321</f>
        <v>Cropping, Monoculture, Subsistence-oriented</v>
      </c>
      <c r="F321" s="7" t="str">
        <f>'Reported burning'!F321</f>
        <v>Forest</v>
      </c>
      <c r="G321" s="7" t="str">
        <f>'Reported burning'!G321</f>
        <v>ND</v>
      </c>
      <c r="H321" s="7" t="str">
        <f>'Reported burning'!H321</f>
        <v>Presence</v>
      </c>
      <c r="I321" s="4"/>
      <c r="J321" s="22" t="s">
        <v>2308</v>
      </c>
      <c r="K321" s="110" t="s">
        <v>2308</v>
      </c>
      <c r="L321" s="22" t="s">
        <v>2308</v>
      </c>
      <c r="M321" s="22" t="s">
        <v>2308</v>
      </c>
      <c r="N321" s="22" t="s">
        <v>2308</v>
      </c>
      <c r="O321" s="22" t="s">
        <v>2308</v>
      </c>
      <c r="P321" s="22" t="s">
        <v>2308</v>
      </c>
      <c r="Q321" s="109" t="s">
        <v>2308</v>
      </c>
      <c r="R321" s="109" t="s">
        <v>2308</v>
      </c>
      <c r="S321" s="22" t="s">
        <v>2308</v>
      </c>
      <c r="T321" s="22" t="s">
        <v>2308</v>
      </c>
      <c r="U321" s="22" t="s">
        <v>2308</v>
      </c>
      <c r="V321" s="22" t="s">
        <v>2308</v>
      </c>
      <c r="W321" s="22" t="s">
        <v>2308</v>
      </c>
      <c r="X321" s="4" t="s">
        <v>2308</v>
      </c>
      <c r="Y321" s="4" t="s">
        <v>2308</v>
      </c>
      <c r="Z321" s="4" t="s">
        <v>2308</v>
      </c>
      <c r="AA321" s="5"/>
      <c r="AB321" s="5"/>
    </row>
    <row r="322" spans="1:28" ht="112" customHeight="1">
      <c r="A322" s="7" t="str">
        <f>'Reported burning'!A322</f>
        <v>27r</v>
      </c>
      <c r="B322" s="7" t="str">
        <f>'Reported burning'!B322</f>
        <v>27r.1</v>
      </c>
      <c r="C322" s="7" t="str">
        <f>'Reported burning'!C322</f>
        <v>Human, deliberate</v>
      </c>
      <c r="D322" s="7" t="str">
        <f>'Reported burning'!D322</f>
        <v>Forest clearance</v>
      </c>
      <c r="E322" s="7" t="str">
        <f>'Reported burning'!E322</f>
        <v>Cropping, Swidden</v>
      </c>
      <c r="F322" s="7" t="str">
        <f>'Reported burning'!F322</f>
        <v>Forest</v>
      </c>
      <c r="G322" s="7" t="str">
        <f>'Reported burning'!G322</f>
        <v>ND</v>
      </c>
      <c r="H322" s="7" t="str">
        <f>'Reported burning'!H322</f>
        <v>Presence</v>
      </c>
      <c r="I322" s="4"/>
      <c r="J322" s="22" t="s">
        <v>2308</v>
      </c>
      <c r="K322" s="110" t="s">
        <v>2308</v>
      </c>
      <c r="L322" s="22" t="s">
        <v>2308</v>
      </c>
      <c r="M322" s="22" t="s">
        <v>2308</v>
      </c>
      <c r="N322" s="22" t="s">
        <v>2308</v>
      </c>
      <c r="O322" s="22" t="s">
        <v>2308</v>
      </c>
      <c r="P322" s="22" t="s">
        <v>2308</v>
      </c>
      <c r="Q322" s="109" t="s">
        <v>2308</v>
      </c>
      <c r="R322" s="109" t="s">
        <v>2308</v>
      </c>
      <c r="S322" s="22" t="s">
        <v>2308</v>
      </c>
      <c r="T322" s="22" t="s">
        <v>2308</v>
      </c>
      <c r="U322" s="22" t="s">
        <v>2308</v>
      </c>
      <c r="V322" s="22" t="s">
        <v>2308</v>
      </c>
      <c r="W322" s="22" t="s">
        <v>2308</v>
      </c>
      <c r="X322" s="4" t="s">
        <v>2308</v>
      </c>
      <c r="Y322" s="4" t="s">
        <v>2308</v>
      </c>
      <c r="Z322" s="4" t="s">
        <v>2308</v>
      </c>
      <c r="AA322" s="5"/>
      <c r="AB322" s="5"/>
    </row>
    <row r="323" spans="1:28" ht="112" customHeight="1">
      <c r="A323" s="7" t="str">
        <f>'Reported burning'!A323</f>
        <v>27r</v>
      </c>
      <c r="B323" s="7" t="str">
        <f>'Reported burning'!B323</f>
        <v>27r.2</v>
      </c>
      <c r="C323" s="7" t="str">
        <f>'Reported burning'!C323</f>
        <v>Human, deliberate</v>
      </c>
      <c r="D323" s="7" t="str">
        <f>'Reported burning'!D323</f>
        <v>Crop field preparation</v>
      </c>
      <c r="E323" s="7" t="str">
        <f>'Reported burning'!E323</f>
        <v>Cropping, Swidden</v>
      </c>
      <c r="F323" s="7" t="str">
        <f>'Reported burning'!F323</f>
        <v>Secondary Vegetation</v>
      </c>
      <c r="G323" s="7" t="str">
        <f>'Reported burning'!G323</f>
        <v>ND</v>
      </c>
      <c r="H323" s="7" t="str">
        <f>'Reported burning'!H323</f>
        <v>Presence</v>
      </c>
      <c r="I323" s="4"/>
      <c r="J323" s="22" t="s">
        <v>2308</v>
      </c>
      <c r="K323" s="110" t="s">
        <v>2308</v>
      </c>
      <c r="L323" s="22" t="s">
        <v>2308</v>
      </c>
      <c r="M323" s="22" t="s">
        <v>2308</v>
      </c>
      <c r="N323" s="22" t="s">
        <v>2308</v>
      </c>
      <c r="O323" s="22" t="s">
        <v>2308</v>
      </c>
      <c r="P323" s="22" t="s">
        <v>2308</v>
      </c>
      <c r="Q323" s="109" t="s">
        <v>2308</v>
      </c>
      <c r="R323" s="109" t="s">
        <v>2308</v>
      </c>
      <c r="S323" s="22" t="s">
        <v>2308</v>
      </c>
      <c r="T323" s="22" t="s">
        <v>2308</v>
      </c>
      <c r="U323" s="22" t="s">
        <v>2308</v>
      </c>
      <c r="V323" s="22" t="s">
        <v>2308</v>
      </c>
      <c r="W323" s="22" t="s">
        <v>2308</v>
      </c>
      <c r="X323" s="4" t="s">
        <v>2308</v>
      </c>
      <c r="Y323" s="4" t="s">
        <v>2308</v>
      </c>
      <c r="Z323" s="4" t="s">
        <v>2308</v>
      </c>
      <c r="AA323" s="5"/>
      <c r="AB323" s="5"/>
    </row>
    <row r="324" spans="1:28" ht="112" customHeight="1">
      <c r="A324" s="7" t="str">
        <f>'Reported burning'!A324</f>
        <v>27r</v>
      </c>
      <c r="B324" s="7" t="str">
        <f>'Reported burning'!B324</f>
        <v>27r.3</v>
      </c>
      <c r="C324" s="7" t="str">
        <f>'Reported burning'!C324</f>
        <v>Human, deliberate</v>
      </c>
      <c r="D324" s="7" t="str">
        <f>'Reported burning'!D324</f>
        <v>Forest clearance</v>
      </c>
      <c r="E324" s="7" t="str">
        <f>'Reported burning'!E324</f>
        <v>Cropping, Monoculture, Subsistence-oriented</v>
      </c>
      <c r="F324" s="7" t="str">
        <f>'Reported burning'!F324</f>
        <v>Forest</v>
      </c>
      <c r="G324" s="7" t="str">
        <f>'Reported burning'!G324</f>
        <v>ND</v>
      </c>
      <c r="H324" s="7" t="str">
        <f>'Reported burning'!H324</f>
        <v>Presence</v>
      </c>
      <c r="I324" s="4"/>
      <c r="J324" s="22" t="s">
        <v>2308</v>
      </c>
      <c r="K324" s="110" t="s">
        <v>2308</v>
      </c>
      <c r="L324" s="22" t="s">
        <v>2308</v>
      </c>
      <c r="M324" s="22" t="s">
        <v>2308</v>
      </c>
      <c r="N324" s="22" t="s">
        <v>2308</v>
      </c>
      <c r="O324" s="22" t="s">
        <v>2308</v>
      </c>
      <c r="P324" s="22" t="s">
        <v>2308</v>
      </c>
      <c r="Q324" s="109" t="s">
        <v>2308</v>
      </c>
      <c r="R324" s="109" t="s">
        <v>2308</v>
      </c>
      <c r="S324" s="22" t="s">
        <v>2308</v>
      </c>
      <c r="T324" s="22" t="s">
        <v>2308</v>
      </c>
      <c r="U324" s="22" t="s">
        <v>2308</v>
      </c>
      <c r="V324" s="22" t="s">
        <v>2308</v>
      </c>
      <c r="W324" s="22" t="s">
        <v>2308</v>
      </c>
      <c r="X324" s="4" t="s">
        <v>2308</v>
      </c>
      <c r="Y324" s="4" t="s">
        <v>2308</v>
      </c>
      <c r="Z324" s="4" t="s">
        <v>2308</v>
      </c>
      <c r="AA324" s="5"/>
      <c r="AB324" s="5"/>
    </row>
    <row r="325" spans="1:28" ht="112" customHeight="1">
      <c r="A325" s="7" t="str">
        <f>'Reported burning'!A325</f>
        <v>27s</v>
      </c>
      <c r="B325" s="7" t="str">
        <f>'Reported burning'!B325</f>
        <v>27s.1</v>
      </c>
      <c r="C325" s="7" t="str">
        <f>'Reported burning'!C325</f>
        <v>Human, deliberate</v>
      </c>
      <c r="D325" s="7" t="str">
        <f>'Reported burning'!D325</f>
        <v>Forest clearance</v>
      </c>
      <c r="E325" s="7" t="str">
        <f>'Reported burning'!E325</f>
        <v>Cropping, Monoculture, Subsistence-oriented</v>
      </c>
      <c r="F325" s="7" t="str">
        <f>'Reported burning'!F325</f>
        <v>Forest</v>
      </c>
      <c r="G325" s="7" t="str">
        <f>'Reported burning'!G325</f>
        <v>ND</v>
      </c>
      <c r="H325" s="7" t="str">
        <f>'Reported burning'!H325</f>
        <v>Presence</v>
      </c>
      <c r="I325" s="4"/>
      <c r="J325" s="22" t="s">
        <v>2308</v>
      </c>
      <c r="K325" s="110" t="s">
        <v>2308</v>
      </c>
      <c r="L325" s="22" t="s">
        <v>2308</v>
      </c>
      <c r="M325" s="22" t="s">
        <v>2308</v>
      </c>
      <c r="N325" s="22" t="s">
        <v>2308</v>
      </c>
      <c r="O325" s="22" t="s">
        <v>2308</v>
      </c>
      <c r="P325" s="22" t="s">
        <v>2308</v>
      </c>
      <c r="Q325" s="109" t="s">
        <v>2308</v>
      </c>
      <c r="R325" s="109" t="s">
        <v>2308</v>
      </c>
      <c r="S325" s="22" t="s">
        <v>2308</v>
      </c>
      <c r="T325" s="22" t="s">
        <v>2308</v>
      </c>
      <c r="U325" s="22" t="s">
        <v>2308</v>
      </c>
      <c r="V325" s="22" t="s">
        <v>2308</v>
      </c>
      <c r="W325" s="22" t="s">
        <v>2308</v>
      </c>
      <c r="X325" s="4" t="s">
        <v>2308</v>
      </c>
      <c r="Y325" s="4" t="s">
        <v>2308</v>
      </c>
      <c r="Z325" s="4" t="s">
        <v>2308</v>
      </c>
      <c r="AA325" s="5"/>
      <c r="AB325" s="5"/>
    </row>
    <row r="326" spans="1:28" ht="112" customHeight="1">
      <c r="A326" s="7" t="str">
        <f>'Reported burning'!A326</f>
        <v>27t</v>
      </c>
      <c r="B326" s="7" t="str">
        <f>'Reported burning'!B326</f>
        <v>27t.1</v>
      </c>
      <c r="C326" s="7" t="str">
        <f>'Reported burning'!C326</f>
        <v>Human, deliberate</v>
      </c>
      <c r="D326" s="7" t="str">
        <f>'Reported burning'!D326</f>
        <v>Forest clearance</v>
      </c>
      <c r="E326" s="7" t="str">
        <f>'Reported burning'!E326</f>
        <v>Cropping, Swidden</v>
      </c>
      <c r="F326" s="7" t="str">
        <f>'Reported burning'!F326</f>
        <v>Forest</v>
      </c>
      <c r="G326" s="7" t="str">
        <f>'Reported burning'!G326</f>
        <v>ND</v>
      </c>
      <c r="H326" s="7" t="str">
        <f>'Reported burning'!H326</f>
        <v>Presence</v>
      </c>
      <c r="I326" s="4"/>
      <c r="J326" s="22" t="s">
        <v>2308</v>
      </c>
      <c r="K326" s="110" t="s">
        <v>2308</v>
      </c>
      <c r="L326" s="22" t="s">
        <v>2308</v>
      </c>
      <c r="M326" s="22" t="s">
        <v>2308</v>
      </c>
      <c r="N326" s="22" t="s">
        <v>2308</v>
      </c>
      <c r="O326" s="22" t="s">
        <v>2308</v>
      </c>
      <c r="P326" s="22" t="s">
        <v>2308</v>
      </c>
      <c r="Q326" s="109" t="s">
        <v>2308</v>
      </c>
      <c r="R326" s="109" t="s">
        <v>2308</v>
      </c>
      <c r="S326" s="22" t="s">
        <v>2308</v>
      </c>
      <c r="T326" s="22" t="s">
        <v>2308</v>
      </c>
      <c r="U326" s="22" t="s">
        <v>2308</v>
      </c>
      <c r="V326" s="22" t="s">
        <v>2308</v>
      </c>
      <c r="W326" s="22" t="s">
        <v>2308</v>
      </c>
      <c r="X326" s="4" t="s">
        <v>2308</v>
      </c>
      <c r="Y326" s="4" t="s">
        <v>2308</v>
      </c>
      <c r="Z326" s="4" t="s">
        <v>2308</v>
      </c>
      <c r="AA326" s="5"/>
      <c r="AB326" s="5"/>
    </row>
    <row r="327" spans="1:28" ht="112" customHeight="1">
      <c r="A327" s="7" t="str">
        <f>'Reported burning'!A327</f>
        <v>27t</v>
      </c>
      <c r="B327" s="7" t="str">
        <f>'Reported burning'!B327</f>
        <v>27t.2</v>
      </c>
      <c r="C327" s="7" t="str">
        <f>'Reported burning'!C327</f>
        <v>Human, deliberate</v>
      </c>
      <c r="D327" s="7" t="str">
        <f>'Reported burning'!D327</f>
        <v>Crop field preparation</v>
      </c>
      <c r="E327" s="7" t="str">
        <f>'Reported burning'!E327</f>
        <v>Cropping, Swidden</v>
      </c>
      <c r="F327" s="7" t="str">
        <f>'Reported burning'!F327</f>
        <v>Secondary Vegetation</v>
      </c>
      <c r="G327" s="7" t="str">
        <f>'Reported burning'!G327</f>
        <v>ND</v>
      </c>
      <c r="H327" s="7" t="str">
        <f>'Reported burning'!H327</f>
        <v>Presence</v>
      </c>
      <c r="I327" s="4"/>
      <c r="J327" s="22" t="s">
        <v>2308</v>
      </c>
      <c r="K327" s="110" t="s">
        <v>2308</v>
      </c>
      <c r="L327" s="22" t="s">
        <v>2308</v>
      </c>
      <c r="M327" s="22" t="s">
        <v>2308</v>
      </c>
      <c r="N327" s="22" t="s">
        <v>2308</v>
      </c>
      <c r="O327" s="22" t="s">
        <v>2308</v>
      </c>
      <c r="P327" s="22" t="s">
        <v>2308</v>
      </c>
      <c r="Q327" s="109" t="s">
        <v>2308</v>
      </c>
      <c r="R327" s="109" t="s">
        <v>2308</v>
      </c>
      <c r="S327" s="22" t="s">
        <v>2308</v>
      </c>
      <c r="T327" s="22" t="s">
        <v>2308</v>
      </c>
      <c r="U327" s="22" t="s">
        <v>2308</v>
      </c>
      <c r="V327" s="22" t="s">
        <v>2308</v>
      </c>
      <c r="W327" s="22" t="s">
        <v>2308</v>
      </c>
      <c r="X327" s="4" t="s">
        <v>2308</v>
      </c>
      <c r="Y327" s="4" t="s">
        <v>2308</v>
      </c>
      <c r="Z327" s="4" t="s">
        <v>2308</v>
      </c>
      <c r="AA327" s="5"/>
      <c r="AB327" s="5"/>
    </row>
    <row r="328" spans="1:28" ht="112" customHeight="1">
      <c r="A328" s="7" t="str">
        <f>'Reported burning'!A328</f>
        <v>27t</v>
      </c>
      <c r="B328" s="7" t="str">
        <f>'Reported burning'!B328</f>
        <v>27t.3</v>
      </c>
      <c r="C328" s="7" t="str">
        <f>'Reported burning'!C328</f>
        <v>Human, deliberate</v>
      </c>
      <c r="D328" s="7" t="str">
        <f>'Reported burning'!D328</f>
        <v>Forest clearance</v>
      </c>
      <c r="E328" s="7" t="str">
        <f>'Reported burning'!E328</f>
        <v>Cropping, Monoculture, Subsistence-oriented</v>
      </c>
      <c r="F328" s="7" t="str">
        <f>'Reported burning'!F328</f>
        <v>Forest</v>
      </c>
      <c r="G328" s="7" t="str">
        <f>'Reported burning'!G328</f>
        <v>ND</v>
      </c>
      <c r="H328" s="7" t="str">
        <f>'Reported burning'!H328</f>
        <v>Presence</v>
      </c>
      <c r="I328" s="4"/>
      <c r="J328" s="22" t="s">
        <v>2308</v>
      </c>
      <c r="K328" s="110" t="s">
        <v>2308</v>
      </c>
      <c r="L328" s="22" t="s">
        <v>2308</v>
      </c>
      <c r="M328" s="22" t="s">
        <v>2308</v>
      </c>
      <c r="N328" s="22" t="s">
        <v>2308</v>
      </c>
      <c r="O328" s="22" t="s">
        <v>2308</v>
      </c>
      <c r="P328" s="22" t="s">
        <v>2308</v>
      </c>
      <c r="Q328" s="109" t="s">
        <v>2308</v>
      </c>
      <c r="R328" s="109" t="s">
        <v>2308</v>
      </c>
      <c r="S328" s="22" t="s">
        <v>2308</v>
      </c>
      <c r="T328" s="22" t="s">
        <v>2308</v>
      </c>
      <c r="U328" s="22" t="s">
        <v>2308</v>
      </c>
      <c r="V328" s="22" t="s">
        <v>2308</v>
      </c>
      <c r="W328" s="22" t="s">
        <v>2308</v>
      </c>
      <c r="X328" s="4" t="s">
        <v>2308</v>
      </c>
      <c r="Y328" s="4" t="s">
        <v>2308</v>
      </c>
      <c r="Z328" s="4" t="s">
        <v>2308</v>
      </c>
      <c r="AA328" s="5"/>
      <c r="AB328" s="5"/>
    </row>
    <row r="329" spans="1:28" ht="112" customHeight="1">
      <c r="A329" s="7" t="str">
        <f>'Reported burning'!A329</f>
        <v>27u</v>
      </c>
      <c r="B329" s="7" t="str">
        <f>'Reported burning'!B329</f>
        <v>27u.1</v>
      </c>
      <c r="C329" s="7" t="str">
        <f>'Reported burning'!C329</f>
        <v>Human, deliberate</v>
      </c>
      <c r="D329" s="7" t="str">
        <f>'Reported burning'!D329</f>
        <v>Forest clearance</v>
      </c>
      <c r="E329" s="7" t="str">
        <f>'Reported burning'!E329</f>
        <v>Cropping, Monoculture, Subsistence-oriented</v>
      </c>
      <c r="F329" s="7" t="str">
        <f>'Reported burning'!F329</f>
        <v>Forest</v>
      </c>
      <c r="G329" s="7" t="str">
        <f>'Reported burning'!G329</f>
        <v>ND</v>
      </c>
      <c r="H329" s="7" t="str">
        <f>'Reported burning'!H329</f>
        <v>Presence</v>
      </c>
      <c r="I329" s="4"/>
      <c r="J329" s="22" t="s">
        <v>2308</v>
      </c>
      <c r="K329" s="110" t="s">
        <v>2308</v>
      </c>
      <c r="L329" s="22" t="s">
        <v>2308</v>
      </c>
      <c r="M329" s="22" t="s">
        <v>2308</v>
      </c>
      <c r="N329" s="22" t="s">
        <v>2308</v>
      </c>
      <c r="O329" s="22" t="s">
        <v>2308</v>
      </c>
      <c r="P329" s="22" t="s">
        <v>2308</v>
      </c>
      <c r="Q329" s="109" t="s">
        <v>2308</v>
      </c>
      <c r="R329" s="109" t="s">
        <v>2308</v>
      </c>
      <c r="S329" s="22" t="s">
        <v>2308</v>
      </c>
      <c r="T329" s="22" t="s">
        <v>2308</v>
      </c>
      <c r="U329" s="22" t="s">
        <v>2308</v>
      </c>
      <c r="V329" s="22" t="s">
        <v>2308</v>
      </c>
      <c r="W329" s="22" t="s">
        <v>2308</v>
      </c>
      <c r="X329" s="4" t="s">
        <v>2308</v>
      </c>
      <c r="Y329" s="4" t="s">
        <v>2308</v>
      </c>
      <c r="Z329" s="4" t="s">
        <v>2308</v>
      </c>
      <c r="AA329" s="5"/>
      <c r="AB329" s="5"/>
    </row>
    <row r="330" spans="1:28" ht="112" customHeight="1">
      <c r="A330" s="7" t="str">
        <f>'Reported burning'!A330</f>
        <v>27v</v>
      </c>
      <c r="B330" s="7" t="str">
        <f>'Reported burning'!B330</f>
        <v>27v.1</v>
      </c>
      <c r="C330" s="7" t="str">
        <f>'Reported burning'!C330</f>
        <v>Human, deliberate</v>
      </c>
      <c r="D330" s="7" t="str">
        <f>'Reported burning'!D330</f>
        <v>Forest clearance</v>
      </c>
      <c r="E330" s="7" t="str">
        <f>'Reported burning'!E330</f>
        <v>Cropping, Monoculture, Subsistence-oriented</v>
      </c>
      <c r="F330" s="7" t="str">
        <f>'Reported burning'!F330</f>
        <v>Forest</v>
      </c>
      <c r="G330" s="7" t="str">
        <f>'Reported burning'!G330</f>
        <v>ND</v>
      </c>
      <c r="H330" s="7" t="str">
        <f>'Reported burning'!H330</f>
        <v>Presence</v>
      </c>
      <c r="I330" s="4"/>
      <c r="J330" s="22" t="s">
        <v>2308</v>
      </c>
      <c r="K330" s="110" t="s">
        <v>2308</v>
      </c>
      <c r="L330" s="22" t="s">
        <v>2308</v>
      </c>
      <c r="M330" s="22" t="s">
        <v>2308</v>
      </c>
      <c r="N330" s="22" t="s">
        <v>2308</v>
      </c>
      <c r="O330" s="22" t="s">
        <v>2308</v>
      </c>
      <c r="P330" s="22" t="s">
        <v>2308</v>
      </c>
      <c r="Q330" s="109" t="s">
        <v>2308</v>
      </c>
      <c r="R330" s="109" t="s">
        <v>2308</v>
      </c>
      <c r="S330" s="22" t="s">
        <v>2308</v>
      </c>
      <c r="T330" s="22" t="s">
        <v>2308</v>
      </c>
      <c r="U330" s="22" t="s">
        <v>2308</v>
      </c>
      <c r="V330" s="22" t="s">
        <v>2308</v>
      </c>
      <c r="W330" s="22" t="s">
        <v>2308</v>
      </c>
      <c r="X330" s="4" t="s">
        <v>2308</v>
      </c>
      <c r="Y330" s="4" t="s">
        <v>2308</v>
      </c>
      <c r="Z330" s="4" t="s">
        <v>2308</v>
      </c>
      <c r="AA330" s="5"/>
      <c r="AB330" s="5"/>
    </row>
    <row r="331" spans="1:28" ht="112" customHeight="1">
      <c r="A331" s="7" t="str">
        <f>'Reported burning'!A331</f>
        <v>27w</v>
      </c>
      <c r="B331" s="7" t="str">
        <f>'Reported burning'!B331</f>
        <v>27w.1</v>
      </c>
      <c r="C331" s="7" t="str">
        <f>'Reported burning'!C331</f>
        <v>Human, deliberate</v>
      </c>
      <c r="D331" s="7" t="str">
        <f>'Reported burning'!D331</f>
        <v>Forest clearance</v>
      </c>
      <c r="E331" s="7" t="str">
        <f>'Reported burning'!E331</f>
        <v>Cropping, Monoculture, Subsistence-oriented</v>
      </c>
      <c r="F331" s="7" t="str">
        <f>'Reported burning'!F331</f>
        <v>Forest</v>
      </c>
      <c r="G331" s="7" t="str">
        <f>'Reported burning'!G331</f>
        <v>ND</v>
      </c>
      <c r="H331" s="7" t="str">
        <f>'Reported burning'!H331</f>
        <v>Presence</v>
      </c>
      <c r="I331" s="4"/>
      <c r="J331" s="22" t="s">
        <v>2308</v>
      </c>
      <c r="K331" s="110" t="s">
        <v>2308</v>
      </c>
      <c r="L331" s="22" t="s">
        <v>2308</v>
      </c>
      <c r="M331" s="22" t="s">
        <v>2308</v>
      </c>
      <c r="N331" s="22" t="s">
        <v>2308</v>
      </c>
      <c r="O331" s="22" t="s">
        <v>2308</v>
      </c>
      <c r="P331" s="22" t="s">
        <v>2308</v>
      </c>
      <c r="Q331" s="109" t="s">
        <v>2308</v>
      </c>
      <c r="R331" s="109" t="s">
        <v>2308</v>
      </c>
      <c r="S331" s="22" t="s">
        <v>2308</v>
      </c>
      <c r="T331" s="22" t="s">
        <v>2308</v>
      </c>
      <c r="U331" s="22" t="s">
        <v>2308</v>
      </c>
      <c r="V331" s="22" t="s">
        <v>2308</v>
      </c>
      <c r="W331" s="22" t="s">
        <v>2308</v>
      </c>
      <c r="X331" s="4" t="s">
        <v>2308</v>
      </c>
      <c r="Y331" s="4" t="s">
        <v>2308</v>
      </c>
      <c r="Z331" s="4" t="s">
        <v>2308</v>
      </c>
      <c r="AA331" s="5"/>
      <c r="AB331" s="5"/>
    </row>
    <row r="332" spans="1:28" ht="112" customHeight="1">
      <c r="A332" s="7" t="str">
        <f>'Reported burning'!A332</f>
        <v>27w</v>
      </c>
      <c r="B332" s="7" t="str">
        <f>'Reported burning'!B332</f>
        <v>27w.2</v>
      </c>
      <c r="C332" s="7" t="str">
        <f>'Reported burning'!C332</f>
        <v>Human, deliberate</v>
      </c>
      <c r="D332" s="7" t="str">
        <f>'Reported burning'!D332</f>
        <v>Forest clearance</v>
      </c>
      <c r="E332" s="7" t="str">
        <f>'Reported burning'!E332</f>
        <v>Cropping, Swidden</v>
      </c>
      <c r="F332" s="7" t="str">
        <f>'Reported burning'!F332</f>
        <v>Forest</v>
      </c>
      <c r="G332" s="7" t="str">
        <f>'Reported burning'!G332</f>
        <v>ND</v>
      </c>
      <c r="H332" s="7" t="str">
        <f>'Reported burning'!H332</f>
        <v>Presence</v>
      </c>
      <c r="I332" s="4"/>
      <c r="J332" s="22" t="s">
        <v>2308</v>
      </c>
      <c r="K332" s="110" t="s">
        <v>2308</v>
      </c>
      <c r="L332" s="22" t="s">
        <v>2308</v>
      </c>
      <c r="M332" s="22" t="s">
        <v>2308</v>
      </c>
      <c r="N332" s="22" t="s">
        <v>2308</v>
      </c>
      <c r="O332" s="22" t="s">
        <v>2308</v>
      </c>
      <c r="P332" s="22" t="s">
        <v>2308</v>
      </c>
      <c r="Q332" s="109" t="s">
        <v>2308</v>
      </c>
      <c r="R332" s="109" t="s">
        <v>2308</v>
      </c>
      <c r="S332" s="22" t="s">
        <v>2308</v>
      </c>
      <c r="T332" s="22" t="s">
        <v>2308</v>
      </c>
      <c r="U332" s="22" t="s">
        <v>2308</v>
      </c>
      <c r="V332" s="22" t="s">
        <v>2308</v>
      </c>
      <c r="W332" s="22" t="s">
        <v>2308</v>
      </c>
      <c r="X332" s="4" t="s">
        <v>2308</v>
      </c>
      <c r="Y332" s="4" t="s">
        <v>2308</v>
      </c>
      <c r="Z332" s="4" t="s">
        <v>2308</v>
      </c>
      <c r="AA332" s="5"/>
      <c r="AB332" s="5"/>
    </row>
    <row r="333" spans="1:28" ht="112" customHeight="1">
      <c r="A333" s="7" t="str">
        <f>'Reported burning'!A333</f>
        <v>27w</v>
      </c>
      <c r="B333" s="7" t="str">
        <f>'Reported burning'!B333</f>
        <v>27w.3</v>
      </c>
      <c r="C333" s="7" t="str">
        <f>'Reported burning'!C333</f>
        <v>Human, deliberate</v>
      </c>
      <c r="D333" s="7" t="str">
        <f>'Reported burning'!D333</f>
        <v>Crop field preparation</v>
      </c>
      <c r="E333" s="7" t="str">
        <f>'Reported burning'!E333</f>
        <v>Cropping, Swidden</v>
      </c>
      <c r="F333" s="7" t="str">
        <f>'Reported burning'!F333</f>
        <v>Secondary Vegetation</v>
      </c>
      <c r="G333" s="7" t="str">
        <f>'Reported burning'!G333</f>
        <v>ND</v>
      </c>
      <c r="H333" s="7" t="str">
        <f>'Reported burning'!H333</f>
        <v>Presence</v>
      </c>
      <c r="I333" s="4"/>
      <c r="J333" s="22" t="s">
        <v>2308</v>
      </c>
      <c r="K333" s="110" t="s">
        <v>2308</v>
      </c>
      <c r="L333" s="22" t="s">
        <v>2308</v>
      </c>
      <c r="M333" s="22" t="s">
        <v>2308</v>
      </c>
      <c r="N333" s="22" t="s">
        <v>2308</v>
      </c>
      <c r="O333" s="22" t="s">
        <v>2308</v>
      </c>
      <c r="P333" s="22" t="s">
        <v>2308</v>
      </c>
      <c r="Q333" s="109" t="s">
        <v>2308</v>
      </c>
      <c r="R333" s="109" t="s">
        <v>2308</v>
      </c>
      <c r="S333" s="22" t="s">
        <v>2308</v>
      </c>
      <c r="T333" s="22" t="s">
        <v>2308</v>
      </c>
      <c r="U333" s="22" t="s">
        <v>2308</v>
      </c>
      <c r="V333" s="22" t="s">
        <v>2308</v>
      </c>
      <c r="W333" s="22" t="s">
        <v>2308</v>
      </c>
      <c r="X333" s="4" t="s">
        <v>2308</v>
      </c>
      <c r="Y333" s="4" t="s">
        <v>2308</v>
      </c>
      <c r="Z333" s="4" t="s">
        <v>2308</v>
      </c>
      <c r="AA333" s="5"/>
      <c r="AB333" s="5"/>
    </row>
    <row r="334" spans="1:28" ht="112" customHeight="1">
      <c r="A334" s="7" t="str">
        <f>'Reported burning'!A334</f>
        <v>27x</v>
      </c>
      <c r="B334" s="7" t="str">
        <f>'Reported burning'!B334</f>
        <v>27x.1</v>
      </c>
      <c r="C334" s="7" t="str">
        <f>'Reported burning'!C334</f>
        <v>Human, deliberate</v>
      </c>
      <c r="D334" s="7" t="str">
        <f>'Reported burning'!D334</f>
        <v>Forest clearance</v>
      </c>
      <c r="E334" s="7" t="str">
        <f>'Reported burning'!E334</f>
        <v>Cropping, Monoculture, Subsistence-oriented</v>
      </c>
      <c r="F334" s="7" t="str">
        <f>'Reported burning'!F334</f>
        <v>Forest</v>
      </c>
      <c r="G334" s="7" t="str">
        <f>'Reported burning'!G334</f>
        <v>ND</v>
      </c>
      <c r="H334" s="7" t="str">
        <f>'Reported burning'!H334</f>
        <v>Presence</v>
      </c>
      <c r="I334" s="4"/>
      <c r="J334" s="22" t="s">
        <v>2308</v>
      </c>
      <c r="K334" s="110" t="s">
        <v>2308</v>
      </c>
      <c r="L334" s="22" t="s">
        <v>2308</v>
      </c>
      <c r="M334" s="22" t="s">
        <v>2308</v>
      </c>
      <c r="N334" s="22" t="s">
        <v>2308</v>
      </c>
      <c r="O334" s="22" t="s">
        <v>2308</v>
      </c>
      <c r="P334" s="22" t="s">
        <v>2308</v>
      </c>
      <c r="Q334" s="109" t="s">
        <v>2308</v>
      </c>
      <c r="R334" s="109" t="s">
        <v>2308</v>
      </c>
      <c r="S334" s="22" t="s">
        <v>2308</v>
      </c>
      <c r="T334" s="22" t="s">
        <v>2308</v>
      </c>
      <c r="U334" s="22" t="s">
        <v>2308</v>
      </c>
      <c r="V334" s="22" t="s">
        <v>2308</v>
      </c>
      <c r="W334" s="22" t="s">
        <v>2308</v>
      </c>
      <c r="X334" s="4" t="s">
        <v>2308</v>
      </c>
      <c r="Y334" s="4" t="s">
        <v>2308</v>
      </c>
      <c r="Z334" s="4" t="s">
        <v>2308</v>
      </c>
      <c r="AA334" s="5"/>
      <c r="AB334" s="5"/>
    </row>
    <row r="335" spans="1:28" ht="112" customHeight="1">
      <c r="A335" s="7" t="str">
        <f>'Reported burning'!A335</f>
        <v>27y</v>
      </c>
      <c r="B335" s="7" t="str">
        <f>'Reported burning'!B335</f>
        <v>27y.1</v>
      </c>
      <c r="C335" s="7" t="str">
        <f>'Reported burning'!C335</f>
        <v>Human, deliberate</v>
      </c>
      <c r="D335" s="7" t="str">
        <f>'Reported burning'!D335</f>
        <v>Forest clearance</v>
      </c>
      <c r="E335" s="7" t="str">
        <f>'Reported burning'!E335</f>
        <v>Cropping, Monoculture, Subsistence-oriented</v>
      </c>
      <c r="F335" s="7" t="str">
        <f>'Reported burning'!F335</f>
        <v>Forest</v>
      </c>
      <c r="G335" s="7" t="str">
        <f>'Reported burning'!G335</f>
        <v>ND</v>
      </c>
      <c r="H335" s="7" t="str">
        <f>'Reported burning'!H335</f>
        <v>Presence</v>
      </c>
      <c r="I335" s="4"/>
      <c r="J335" s="22" t="s">
        <v>2308</v>
      </c>
      <c r="K335" s="110" t="s">
        <v>2308</v>
      </c>
      <c r="L335" s="22" t="s">
        <v>2308</v>
      </c>
      <c r="M335" s="22" t="s">
        <v>2308</v>
      </c>
      <c r="N335" s="22" t="s">
        <v>2308</v>
      </c>
      <c r="O335" s="22" t="s">
        <v>2308</v>
      </c>
      <c r="P335" s="22" t="s">
        <v>2308</v>
      </c>
      <c r="Q335" s="109" t="s">
        <v>2308</v>
      </c>
      <c r="R335" s="109" t="s">
        <v>2308</v>
      </c>
      <c r="S335" s="22" t="s">
        <v>2308</v>
      </c>
      <c r="T335" s="22" t="s">
        <v>2308</v>
      </c>
      <c r="U335" s="22" t="s">
        <v>2308</v>
      </c>
      <c r="V335" s="22" t="s">
        <v>2308</v>
      </c>
      <c r="W335" s="22" t="s">
        <v>2308</v>
      </c>
      <c r="X335" s="4" t="s">
        <v>2308</v>
      </c>
      <c r="Y335" s="4" t="s">
        <v>2308</v>
      </c>
      <c r="Z335" s="4" t="s">
        <v>2308</v>
      </c>
      <c r="AA335" s="5"/>
      <c r="AB335" s="5"/>
    </row>
    <row r="336" spans="1:28" ht="112" customHeight="1">
      <c r="A336" s="7" t="str">
        <f>'Reported burning'!A336</f>
        <v>27z</v>
      </c>
      <c r="B336" s="7" t="str">
        <f>'Reported burning'!B336</f>
        <v>27z.1</v>
      </c>
      <c r="C336" s="7" t="str">
        <f>'Reported burning'!C336</f>
        <v>Human, deliberate</v>
      </c>
      <c r="D336" s="7" t="str">
        <f>'Reported burning'!D336</f>
        <v>Forest clearance</v>
      </c>
      <c r="E336" s="7" t="str">
        <f>'Reported burning'!E336</f>
        <v>Cropping, Monoculture, Subsistence-oriented</v>
      </c>
      <c r="F336" s="7" t="str">
        <f>'Reported burning'!F336</f>
        <v>Forest</v>
      </c>
      <c r="G336" s="7" t="str">
        <f>'Reported burning'!G336</f>
        <v>ND</v>
      </c>
      <c r="H336" s="7" t="str">
        <f>'Reported burning'!H336</f>
        <v>Presence</v>
      </c>
      <c r="I336" s="4"/>
      <c r="J336" s="22" t="s">
        <v>2308</v>
      </c>
      <c r="K336" s="110" t="s">
        <v>2308</v>
      </c>
      <c r="L336" s="22" t="s">
        <v>2308</v>
      </c>
      <c r="M336" s="22" t="s">
        <v>2308</v>
      </c>
      <c r="N336" s="22" t="s">
        <v>2308</v>
      </c>
      <c r="O336" s="22" t="s">
        <v>2308</v>
      </c>
      <c r="P336" s="22" t="s">
        <v>2308</v>
      </c>
      <c r="Q336" s="109" t="s">
        <v>2308</v>
      </c>
      <c r="R336" s="109" t="s">
        <v>2308</v>
      </c>
      <c r="S336" s="22" t="s">
        <v>2308</v>
      </c>
      <c r="T336" s="22" t="s">
        <v>2308</v>
      </c>
      <c r="U336" s="22" t="s">
        <v>2308</v>
      </c>
      <c r="V336" s="22" t="s">
        <v>2308</v>
      </c>
      <c r="W336" s="22" t="s">
        <v>2308</v>
      </c>
      <c r="X336" s="4" t="s">
        <v>2308</v>
      </c>
      <c r="Y336" s="4" t="s">
        <v>2308</v>
      </c>
      <c r="Z336" s="4" t="s">
        <v>2308</v>
      </c>
      <c r="AA336" s="5"/>
      <c r="AB336" s="5"/>
    </row>
    <row r="337" spans="1:28" ht="112" customHeight="1">
      <c r="A337" s="7" t="str">
        <f>'Reported burning'!A337</f>
        <v>27z</v>
      </c>
      <c r="B337" s="7" t="str">
        <f>'Reported burning'!B337</f>
        <v>27z.2</v>
      </c>
      <c r="C337" s="7" t="str">
        <f>'Reported burning'!C337</f>
        <v>Human, deliberate</v>
      </c>
      <c r="D337" s="7" t="str">
        <f>'Reported burning'!D337</f>
        <v>Forest clearance</v>
      </c>
      <c r="E337" s="7" t="str">
        <f>'Reported burning'!E337</f>
        <v>Cropping, Swidden</v>
      </c>
      <c r="F337" s="7" t="str">
        <f>'Reported burning'!F337</f>
        <v>Forest</v>
      </c>
      <c r="G337" s="7" t="str">
        <f>'Reported burning'!G337</f>
        <v>ND</v>
      </c>
      <c r="H337" s="7" t="str">
        <f>'Reported burning'!H337</f>
        <v>Presence</v>
      </c>
      <c r="I337" s="4"/>
      <c r="J337" s="22" t="s">
        <v>2308</v>
      </c>
      <c r="K337" s="110" t="s">
        <v>2308</v>
      </c>
      <c r="L337" s="22" t="s">
        <v>2308</v>
      </c>
      <c r="M337" s="22" t="s">
        <v>2308</v>
      </c>
      <c r="N337" s="22" t="s">
        <v>2308</v>
      </c>
      <c r="O337" s="22" t="s">
        <v>2308</v>
      </c>
      <c r="P337" s="22" t="s">
        <v>2308</v>
      </c>
      <c r="Q337" s="109" t="s">
        <v>2308</v>
      </c>
      <c r="R337" s="109" t="s">
        <v>2308</v>
      </c>
      <c r="S337" s="22" t="s">
        <v>2308</v>
      </c>
      <c r="T337" s="22" t="s">
        <v>2308</v>
      </c>
      <c r="U337" s="22" t="s">
        <v>2308</v>
      </c>
      <c r="V337" s="22" t="s">
        <v>2308</v>
      </c>
      <c r="W337" s="22" t="s">
        <v>2308</v>
      </c>
      <c r="X337" s="4" t="s">
        <v>2308</v>
      </c>
      <c r="Y337" s="4" t="s">
        <v>2308</v>
      </c>
      <c r="Z337" s="4" t="s">
        <v>2308</v>
      </c>
      <c r="AA337" s="5"/>
      <c r="AB337" s="5"/>
    </row>
    <row r="338" spans="1:28" ht="112" customHeight="1">
      <c r="A338" s="7" t="str">
        <f>'Reported burning'!A338</f>
        <v>27z</v>
      </c>
      <c r="B338" s="7" t="str">
        <f>'Reported burning'!B338</f>
        <v>27z.3</v>
      </c>
      <c r="C338" s="7" t="str">
        <f>'Reported burning'!C338</f>
        <v>Human, deliberate</v>
      </c>
      <c r="D338" s="7" t="str">
        <f>'Reported burning'!D338</f>
        <v>Crop field preparation</v>
      </c>
      <c r="E338" s="7" t="str">
        <f>'Reported burning'!E338</f>
        <v>Cropping, Swidden</v>
      </c>
      <c r="F338" s="7" t="str">
        <f>'Reported burning'!F338</f>
        <v>Secondary Vegetation</v>
      </c>
      <c r="G338" s="7" t="str">
        <f>'Reported burning'!G338</f>
        <v>ND</v>
      </c>
      <c r="H338" s="7" t="str">
        <f>'Reported burning'!H338</f>
        <v>Presence</v>
      </c>
      <c r="I338" s="4"/>
      <c r="J338" s="22" t="s">
        <v>2308</v>
      </c>
      <c r="K338" s="110" t="s">
        <v>2308</v>
      </c>
      <c r="L338" s="22" t="s">
        <v>2308</v>
      </c>
      <c r="M338" s="22" t="s">
        <v>2308</v>
      </c>
      <c r="N338" s="22" t="s">
        <v>2308</v>
      </c>
      <c r="O338" s="22" t="s">
        <v>2308</v>
      </c>
      <c r="P338" s="22" t="s">
        <v>2308</v>
      </c>
      <c r="Q338" s="109" t="s">
        <v>2308</v>
      </c>
      <c r="R338" s="109" t="s">
        <v>2308</v>
      </c>
      <c r="S338" s="22" t="s">
        <v>2308</v>
      </c>
      <c r="T338" s="22" t="s">
        <v>2308</v>
      </c>
      <c r="U338" s="22" t="s">
        <v>2308</v>
      </c>
      <c r="V338" s="22" t="s">
        <v>2308</v>
      </c>
      <c r="W338" s="22" t="s">
        <v>2308</v>
      </c>
      <c r="X338" s="4" t="s">
        <v>2308</v>
      </c>
      <c r="Y338" s="4" t="s">
        <v>2308</v>
      </c>
      <c r="Z338" s="4" t="s">
        <v>2308</v>
      </c>
      <c r="AA338" s="5"/>
      <c r="AB338" s="5"/>
    </row>
    <row r="339" spans="1:28" ht="112" customHeight="1">
      <c r="A339" s="7" t="str">
        <f>'Reported burning'!A339</f>
        <v>27aa</v>
      </c>
      <c r="B339" s="7" t="str">
        <f>'Reported burning'!B339</f>
        <v>27aa.1</v>
      </c>
      <c r="C339" s="7" t="str">
        <f>'Reported burning'!C339</f>
        <v>Human, deliberate</v>
      </c>
      <c r="D339" s="7" t="str">
        <f>'Reported burning'!D339</f>
        <v>Forest clearance</v>
      </c>
      <c r="E339" s="7" t="str">
        <f>'Reported burning'!E339</f>
        <v>Cropping, Swidden</v>
      </c>
      <c r="F339" s="7" t="str">
        <f>'Reported burning'!F339</f>
        <v>Forest</v>
      </c>
      <c r="G339" s="7" t="str">
        <f>'Reported burning'!G339</f>
        <v>ND</v>
      </c>
      <c r="H339" s="7" t="str">
        <f>'Reported burning'!H339</f>
        <v>Presence</v>
      </c>
      <c r="I339" s="4"/>
      <c r="J339" s="22" t="s">
        <v>2308</v>
      </c>
      <c r="K339" s="110" t="s">
        <v>2308</v>
      </c>
      <c r="L339" s="22" t="s">
        <v>2308</v>
      </c>
      <c r="M339" s="22" t="s">
        <v>2308</v>
      </c>
      <c r="N339" s="22" t="s">
        <v>2308</v>
      </c>
      <c r="O339" s="22" t="s">
        <v>2308</v>
      </c>
      <c r="P339" s="22" t="s">
        <v>2308</v>
      </c>
      <c r="Q339" s="109" t="s">
        <v>2308</v>
      </c>
      <c r="R339" s="109" t="s">
        <v>2308</v>
      </c>
      <c r="S339" s="22" t="s">
        <v>2308</v>
      </c>
      <c r="T339" s="22" t="s">
        <v>2308</v>
      </c>
      <c r="U339" s="22" t="s">
        <v>2308</v>
      </c>
      <c r="V339" s="22" t="s">
        <v>2308</v>
      </c>
      <c r="W339" s="22" t="s">
        <v>2308</v>
      </c>
      <c r="X339" s="4" t="s">
        <v>2308</v>
      </c>
      <c r="Y339" s="4" t="s">
        <v>2308</v>
      </c>
      <c r="Z339" s="4" t="s">
        <v>2308</v>
      </c>
      <c r="AA339" s="5"/>
      <c r="AB339" s="5"/>
    </row>
    <row r="340" spans="1:28" ht="112" customHeight="1">
      <c r="A340" s="7" t="str">
        <f>'Reported burning'!A340</f>
        <v>27aa</v>
      </c>
      <c r="B340" s="7" t="str">
        <f>'Reported burning'!B340</f>
        <v>27aa.2</v>
      </c>
      <c r="C340" s="7" t="str">
        <f>'Reported burning'!C340</f>
        <v>Human, deliberate</v>
      </c>
      <c r="D340" s="7" t="str">
        <f>'Reported burning'!D340</f>
        <v>Crop field preparation</v>
      </c>
      <c r="E340" s="7" t="str">
        <f>'Reported burning'!E340</f>
        <v>Cropping, Swidden</v>
      </c>
      <c r="F340" s="7" t="str">
        <f>'Reported burning'!F340</f>
        <v>Secondary Vegetation</v>
      </c>
      <c r="G340" s="7" t="str">
        <f>'Reported burning'!G340</f>
        <v>ND</v>
      </c>
      <c r="H340" s="7" t="str">
        <f>'Reported burning'!H340</f>
        <v>Presence</v>
      </c>
      <c r="I340" s="4"/>
      <c r="J340" s="22" t="s">
        <v>2308</v>
      </c>
      <c r="K340" s="110" t="s">
        <v>2308</v>
      </c>
      <c r="L340" s="22" t="s">
        <v>2308</v>
      </c>
      <c r="M340" s="22" t="s">
        <v>2308</v>
      </c>
      <c r="N340" s="22" t="s">
        <v>2308</v>
      </c>
      <c r="O340" s="22" t="s">
        <v>2308</v>
      </c>
      <c r="P340" s="22" t="s">
        <v>2308</v>
      </c>
      <c r="Q340" s="109" t="s">
        <v>2308</v>
      </c>
      <c r="R340" s="109" t="s">
        <v>2308</v>
      </c>
      <c r="S340" s="22" t="s">
        <v>2308</v>
      </c>
      <c r="T340" s="22" t="s">
        <v>2308</v>
      </c>
      <c r="U340" s="22" t="s">
        <v>2308</v>
      </c>
      <c r="V340" s="22" t="s">
        <v>2308</v>
      </c>
      <c r="W340" s="22" t="s">
        <v>2308</v>
      </c>
      <c r="X340" s="4" t="s">
        <v>2308</v>
      </c>
      <c r="Y340" s="4" t="s">
        <v>2308</v>
      </c>
      <c r="Z340" s="4" t="s">
        <v>2308</v>
      </c>
      <c r="AA340" s="5"/>
      <c r="AB340" s="5"/>
    </row>
    <row r="341" spans="1:28" ht="112" customHeight="1">
      <c r="A341" s="7" t="str">
        <f>'Reported burning'!A341</f>
        <v>27ab</v>
      </c>
      <c r="B341" s="7" t="str">
        <f>'Reported burning'!B341</f>
        <v>27ab.1</v>
      </c>
      <c r="C341" s="7" t="str">
        <f>'Reported burning'!C341</f>
        <v>Human, deliberate</v>
      </c>
      <c r="D341" s="7" t="str">
        <f>'Reported burning'!D341</f>
        <v>Forest clearance</v>
      </c>
      <c r="E341" s="7" t="str">
        <f>'Reported burning'!E341</f>
        <v>Cropping, Monoculture, Subsistence-oriented</v>
      </c>
      <c r="F341" s="7" t="str">
        <f>'Reported burning'!F341</f>
        <v>Forest</v>
      </c>
      <c r="G341" s="7" t="str">
        <f>'Reported burning'!G341</f>
        <v>ND</v>
      </c>
      <c r="H341" s="7" t="str">
        <f>'Reported burning'!H341</f>
        <v>Presence</v>
      </c>
      <c r="I341" s="4"/>
      <c r="J341" s="22" t="s">
        <v>2308</v>
      </c>
      <c r="K341" s="110" t="s">
        <v>2308</v>
      </c>
      <c r="L341" s="22" t="s">
        <v>2308</v>
      </c>
      <c r="M341" s="22" t="s">
        <v>2308</v>
      </c>
      <c r="N341" s="22" t="s">
        <v>2308</v>
      </c>
      <c r="O341" s="22" t="s">
        <v>2308</v>
      </c>
      <c r="P341" s="22" t="s">
        <v>2308</v>
      </c>
      <c r="Q341" s="109" t="s">
        <v>2308</v>
      </c>
      <c r="R341" s="109" t="s">
        <v>2308</v>
      </c>
      <c r="S341" s="22" t="s">
        <v>2308</v>
      </c>
      <c r="T341" s="22" t="s">
        <v>2308</v>
      </c>
      <c r="U341" s="22" t="s">
        <v>2308</v>
      </c>
      <c r="V341" s="22" t="s">
        <v>2308</v>
      </c>
      <c r="W341" s="22" t="s">
        <v>2308</v>
      </c>
      <c r="X341" s="4" t="s">
        <v>2308</v>
      </c>
      <c r="Y341" s="4" t="s">
        <v>2308</v>
      </c>
      <c r="Z341" s="4" t="s">
        <v>2308</v>
      </c>
      <c r="AA341" s="5"/>
      <c r="AB341" s="5"/>
    </row>
    <row r="342" spans="1:28" ht="112" customHeight="1">
      <c r="A342" s="7" t="str">
        <f>'Reported burning'!A342</f>
        <v>27ac</v>
      </c>
      <c r="B342" s="7" t="str">
        <f>'Reported burning'!B342</f>
        <v>27ac.1</v>
      </c>
      <c r="C342" s="7" t="str">
        <f>'Reported burning'!C342</f>
        <v>Human, deliberate</v>
      </c>
      <c r="D342" s="7" t="str">
        <f>'Reported burning'!D342</f>
        <v>Forest clearance</v>
      </c>
      <c r="E342" s="7" t="str">
        <f>'Reported burning'!E342</f>
        <v>Cropping, Swidden</v>
      </c>
      <c r="F342" s="7" t="str">
        <f>'Reported burning'!F342</f>
        <v>Forest</v>
      </c>
      <c r="G342" s="7" t="str">
        <f>'Reported burning'!G342</f>
        <v>ND</v>
      </c>
      <c r="H342" s="7" t="str">
        <f>'Reported burning'!H342</f>
        <v>Presence</v>
      </c>
      <c r="I342" s="4"/>
      <c r="J342" s="22" t="s">
        <v>2308</v>
      </c>
      <c r="K342" s="110" t="s">
        <v>2308</v>
      </c>
      <c r="L342" s="22" t="s">
        <v>2308</v>
      </c>
      <c r="M342" s="22" t="s">
        <v>2308</v>
      </c>
      <c r="N342" s="22" t="s">
        <v>2308</v>
      </c>
      <c r="O342" s="22" t="s">
        <v>2308</v>
      </c>
      <c r="P342" s="22" t="s">
        <v>2308</v>
      </c>
      <c r="Q342" s="109" t="s">
        <v>2308</v>
      </c>
      <c r="R342" s="109" t="s">
        <v>2308</v>
      </c>
      <c r="S342" s="22" t="s">
        <v>2308</v>
      </c>
      <c r="T342" s="22" t="s">
        <v>2308</v>
      </c>
      <c r="U342" s="22" t="s">
        <v>2308</v>
      </c>
      <c r="V342" s="22" t="s">
        <v>2308</v>
      </c>
      <c r="W342" s="22" t="s">
        <v>2308</v>
      </c>
      <c r="X342" s="4" t="s">
        <v>2308</v>
      </c>
      <c r="Y342" s="4" t="s">
        <v>2308</v>
      </c>
      <c r="Z342" s="4" t="s">
        <v>2308</v>
      </c>
      <c r="AA342" s="5"/>
      <c r="AB342" s="5"/>
    </row>
    <row r="343" spans="1:28" ht="112" customHeight="1">
      <c r="A343" s="7" t="str">
        <f>'Reported burning'!A343</f>
        <v>27ac</v>
      </c>
      <c r="B343" s="7" t="str">
        <f>'Reported burning'!B343</f>
        <v>27ac.1</v>
      </c>
      <c r="C343" s="7" t="str">
        <f>'Reported burning'!C343</f>
        <v>Human, deliberate</v>
      </c>
      <c r="D343" s="7" t="str">
        <f>'Reported burning'!D343</f>
        <v>Crop field preparation</v>
      </c>
      <c r="E343" s="7" t="str">
        <f>'Reported burning'!E343</f>
        <v>Cropping, Swidden</v>
      </c>
      <c r="F343" s="7" t="str">
        <f>'Reported burning'!F343</f>
        <v>Secondary Vegetation</v>
      </c>
      <c r="G343" s="7" t="str">
        <f>'Reported burning'!G343</f>
        <v>ND</v>
      </c>
      <c r="H343" s="7" t="str">
        <f>'Reported burning'!H343</f>
        <v>Presence</v>
      </c>
      <c r="I343" s="4"/>
      <c r="J343" s="22" t="s">
        <v>2308</v>
      </c>
      <c r="K343" s="110" t="s">
        <v>2308</v>
      </c>
      <c r="L343" s="22" t="s">
        <v>2308</v>
      </c>
      <c r="M343" s="22" t="s">
        <v>2308</v>
      </c>
      <c r="N343" s="22" t="s">
        <v>2308</v>
      </c>
      <c r="O343" s="22" t="s">
        <v>2308</v>
      </c>
      <c r="P343" s="22" t="s">
        <v>2308</v>
      </c>
      <c r="Q343" s="109" t="s">
        <v>2308</v>
      </c>
      <c r="R343" s="109" t="s">
        <v>2308</v>
      </c>
      <c r="S343" s="22" t="s">
        <v>2308</v>
      </c>
      <c r="T343" s="22" t="s">
        <v>2308</v>
      </c>
      <c r="U343" s="22" t="s">
        <v>2308</v>
      </c>
      <c r="V343" s="22" t="s">
        <v>2308</v>
      </c>
      <c r="W343" s="22" t="s">
        <v>2308</v>
      </c>
      <c r="X343" s="4" t="s">
        <v>2308</v>
      </c>
      <c r="Y343" s="4" t="s">
        <v>2308</v>
      </c>
      <c r="Z343" s="4" t="s">
        <v>2308</v>
      </c>
      <c r="AA343" s="5"/>
      <c r="AB343" s="5"/>
    </row>
    <row r="344" spans="1:28" ht="112" customHeight="1">
      <c r="A344" s="7" t="str">
        <f>'Reported burning'!A344</f>
        <v>27ad</v>
      </c>
      <c r="B344" s="7" t="str">
        <f>'Reported burning'!B344</f>
        <v>27ad.1</v>
      </c>
      <c r="C344" s="7" t="str">
        <f>'Reported burning'!C344</f>
        <v>Human, deliberate</v>
      </c>
      <c r="D344" s="7" t="str">
        <f>'Reported burning'!D344</f>
        <v>Forest clearance</v>
      </c>
      <c r="E344" s="7" t="str">
        <f>'Reported burning'!E344</f>
        <v>Cropping, Swidden</v>
      </c>
      <c r="F344" s="7" t="str">
        <f>'Reported burning'!F344</f>
        <v>Forest</v>
      </c>
      <c r="G344" s="7" t="str">
        <f>'Reported burning'!G344</f>
        <v>ND</v>
      </c>
      <c r="H344" s="7" t="str">
        <f>'Reported burning'!H344</f>
        <v>Presence</v>
      </c>
      <c r="I344" s="4"/>
      <c r="J344" s="22" t="s">
        <v>2308</v>
      </c>
      <c r="K344" s="110" t="s">
        <v>2308</v>
      </c>
      <c r="L344" s="22" t="s">
        <v>2308</v>
      </c>
      <c r="M344" s="22" t="s">
        <v>2308</v>
      </c>
      <c r="N344" s="22" t="s">
        <v>2308</v>
      </c>
      <c r="O344" s="22" t="s">
        <v>2308</v>
      </c>
      <c r="P344" s="22" t="s">
        <v>2308</v>
      </c>
      <c r="Q344" s="109" t="s">
        <v>2308</v>
      </c>
      <c r="R344" s="109" t="s">
        <v>2308</v>
      </c>
      <c r="S344" s="22" t="s">
        <v>2308</v>
      </c>
      <c r="T344" s="22" t="s">
        <v>2308</v>
      </c>
      <c r="U344" s="22" t="s">
        <v>2308</v>
      </c>
      <c r="V344" s="22" t="s">
        <v>2308</v>
      </c>
      <c r="W344" s="22" t="s">
        <v>2308</v>
      </c>
      <c r="X344" s="4" t="s">
        <v>2308</v>
      </c>
      <c r="Y344" s="4" t="s">
        <v>2308</v>
      </c>
      <c r="Z344" s="4" t="s">
        <v>2308</v>
      </c>
      <c r="AA344" s="5"/>
      <c r="AB344" s="5"/>
    </row>
    <row r="345" spans="1:28" ht="112" customHeight="1">
      <c r="A345" s="7" t="str">
        <f>'Reported burning'!A345</f>
        <v>27ad</v>
      </c>
      <c r="B345" s="7" t="str">
        <f>'Reported burning'!B345</f>
        <v>27ad.1</v>
      </c>
      <c r="C345" s="7" t="str">
        <f>'Reported burning'!C345</f>
        <v>Human, deliberate</v>
      </c>
      <c r="D345" s="7" t="str">
        <f>'Reported burning'!D345</f>
        <v>Crop field preparation</v>
      </c>
      <c r="E345" s="7" t="str">
        <f>'Reported burning'!E345</f>
        <v>Cropping, Swidden</v>
      </c>
      <c r="F345" s="7" t="str">
        <f>'Reported burning'!F345</f>
        <v>Secondary Vegetation</v>
      </c>
      <c r="G345" s="7" t="str">
        <f>'Reported burning'!G345</f>
        <v>ND</v>
      </c>
      <c r="H345" s="7" t="str">
        <f>'Reported burning'!H345</f>
        <v>Presence</v>
      </c>
      <c r="I345" s="4"/>
      <c r="J345" s="22" t="s">
        <v>2308</v>
      </c>
      <c r="K345" s="110" t="s">
        <v>2308</v>
      </c>
      <c r="L345" s="22" t="s">
        <v>2308</v>
      </c>
      <c r="M345" s="22" t="s">
        <v>2308</v>
      </c>
      <c r="N345" s="22" t="s">
        <v>2308</v>
      </c>
      <c r="O345" s="22" t="s">
        <v>2308</v>
      </c>
      <c r="P345" s="22" t="s">
        <v>2308</v>
      </c>
      <c r="Q345" s="109" t="s">
        <v>2308</v>
      </c>
      <c r="R345" s="109" t="s">
        <v>2308</v>
      </c>
      <c r="S345" s="22" t="s">
        <v>2308</v>
      </c>
      <c r="T345" s="22" t="s">
        <v>2308</v>
      </c>
      <c r="U345" s="22" t="s">
        <v>2308</v>
      </c>
      <c r="V345" s="22" t="s">
        <v>2308</v>
      </c>
      <c r="W345" s="22" t="s">
        <v>2308</v>
      </c>
      <c r="X345" s="4" t="s">
        <v>2308</v>
      </c>
      <c r="Y345" s="4" t="s">
        <v>2308</v>
      </c>
      <c r="Z345" s="4" t="s">
        <v>2308</v>
      </c>
      <c r="AA345" s="5"/>
      <c r="AB345" s="5"/>
    </row>
    <row r="346" spans="1:28" ht="112" customHeight="1">
      <c r="A346" s="7" t="str">
        <f>'Reported burning'!A346</f>
        <v>27ae</v>
      </c>
      <c r="B346" s="7" t="str">
        <f>'Reported burning'!B346</f>
        <v>27ae.1</v>
      </c>
      <c r="C346" s="7" t="str">
        <f>'Reported burning'!C346</f>
        <v>Human, deliberate</v>
      </c>
      <c r="D346" s="7" t="str">
        <f>'Reported burning'!D346</f>
        <v>Forest clearance</v>
      </c>
      <c r="E346" s="7" t="str">
        <f>'Reported burning'!E346</f>
        <v>Cropping, Swidden</v>
      </c>
      <c r="F346" s="7" t="str">
        <f>'Reported burning'!F346</f>
        <v>Forest</v>
      </c>
      <c r="G346" s="7" t="str">
        <f>'Reported burning'!G346</f>
        <v>ND</v>
      </c>
      <c r="H346" s="7" t="str">
        <f>'Reported burning'!H346</f>
        <v>Presence</v>
      </c>
      <c r="I346" s="4"/>
      <c r="J346" s="22" t="s">
        <v>2308</v>
      </c>
      <c r="K346" s="110" t="s">
        <v>2308</v>
      </c>
      <c r="L346" s="22" t="s">
        <v>2308</v>
      </c>
      <c r="M346" s="22" t="s">
        <v>2308</v>
      </c>
      <c r="N346" s="22" t="s">
        <v>2308</v>
      </c>
      <c r="O346" s="22" t="s">
        <v>2308</v>
      </c>
      <c r="P346" s="22" t="s">
        <v>2308</v>
      </c>
      <c r="Q346" s="109" t="s">
        <v>2308</v>
      </c>
      <c r="R346" s="109" t="s">
        <v>2308</v>
      </c>
      <c r="S346" s="22" t="s">
        <v>2308</v>
      </c>
      <c r="T346" s="22" t="s">
        <v>2308</v>
      </c>
      <c r="U346" s="22" t="s">
        <v>2308</v>
      </c>
      <c r="V346" s="22" t="s">
        <v>2308</v>
      </c>
      <c r="W346" s="22" t="s">
        <v>2308</v>
      </c>
      <c r="X346" s="4" t="s">
        <v>2308</v>
      </c>
      <c r="Y346" s="4" t="s">
        <v>2308</v>
      </c>
      <c r="Z346" s="4" t="s">
        <v>2308</v>
      </c>
      <c r="AA346" s="5"/>
      <c r="AB346" s="5"/>
    </row>
    <row r="347" spans="1:28" ht="112" customHeight="1">
      <c r="A347" s="7" t="str">
        <f>'Reported burning'!A347</f>
        <v>27ae</v>
      </c>
      <c r="B347" s="7" t="str">
        <f>'Reported burning'!B347</f>
        <v>27ae.2</v>
      </c>
      <c r="C347" s="7" t="str">
        <f>'Reported burning'!C347</f>
        <v>Human, deliberate</v>
      </c>
      <c r="D347" s="7" t="str">
        <f>'Reported burning'!D347</f>
        <v>Crop field preparation</v>
      </c>
      <c r="E347" s="7" t="str">
        <f>'Reported burning'!E347</f>
        <v>Cropping, Swidden</v>
      </c>
      <c r="F347" s="7" t="str">
        <f>'Reported burning'!F347</f>
        <v>Secondary Vegetation</v>
      </c>
      <c r="G347" s="7" t="str">
        <f>'Reported burning'!G347</f>
        <v>ND</v>
      </c>
      <c r="H347" s="7" t="str">
        <f>'Reported burning'!H347</f>
        <v>Presence</v>
      </c>
      <c r="I347" s="4"/>
      <c r="J347" s="22" t="s">
        <v>2308</v>
      </c>
      <c r="K347" s="110" t="s">
        <v>2308</v>
      </c>
      <c r="L347" s="22" t="s">
        <v>2308</v>
      </c>
      <c r="M347" s="22" t="s">
        <v>2308</v>
      </c>
      <c r="N347" s="22" t="s">
        <v>2308</v>
      </c>
      <c r="O347" s="22" t="s">
        <v>2308</v>
      </c>
      <c r="P347" s="22" t="s">
        <v>2308</v>
      </c>
      <c r="Q347" s="109" t="s">
        <v>2308</v>
      </c>
      <c r="R347" s="109" t="s">
        <v>2308</v>
      </c>
      <c r="S347" s="22" t="s">
        <v>2308</v>
      </c>
      <c r="T347" s="22" t="s">
        <v>2308</v>
      </c>
      <c r="U347" s="22" t="s">
        <v>2308</v>
      </c>
      <c r="V347" s="22" t="s">
        <v>2308</v>
      </c>
      <c r="W347" s="22" t="s">
        <v>2308</v>
      </c>
      <c r="X347" s="4" t="s">
        <v>2308</v>
      </c>
      <c r="Y347" s="4" t="s">
        <v>2308</v>
      </c>
      <c r="Z347" s="4" t="s">
        <v>2308</v>
      </c>
      <c r="AA347" s="5"/>
      <c r="AB347" s="5"/>
    </row>
    <row r="348" spans="1:28" ht="112" customHeight="1">
      <c r="A348" s="7" t="str">
        <f>'Reported burning'!A348</f>
        <v>27ae</v>
      </c>
      <c r="B348" s="7" t="str">
        <f>'Reported burning'!B348</f>
        <v>27ae.3</v>
      </c>
      <c r="C348" s="7" t="str">
        <f>'Reported burning'!C348</f>
        <v>Human, deliberate</v>
      </c>
      <c r="D348" s="7" t="str">
        <f>'Reported burning'!D348</f>
        <v>Forest clearance</v>
      </c>
      <c r="E348" s="7" t="str">
        <f>'Reported burning'!E348</f>
        <v>Cropping, Monoculture, Subsistence-oriented</v>
      </c>
      <c r="F348" s="7" t="str">
        <f>'Reported burning'!F348</f>
        <v>Forest</v>
      </c>
      <c r="G348" s="7" t="str">
        <f>'Reported burning'!G348</f>
        <v>ND</v>
      </c>
      <c r="H348" s="7" t="str">
        <f>'Reported burning'!H348</f>
        <v>Presence</v>
      </c>
      <c r="I348" s="4"/>
      <c r="J348" s="22" t="s">
        <v>2308</v>
      </c>
      <c r="K348" s="110" t="s">
        <v>2308</v>
      </c>
      <c r="L348" s="22" t="s">
        <v>2308</v>
      </c>
      <c r="M348" s="22" t="s">
        <v>2308</v>
      </c>
      <c r="N348" s="22" t="s">
        <v>2308</v>
      </c>
      <c r="O348" s="22" t="s">
        <v>2308</v>
      </c>
      <c r="P348" s="22" t="s">
        <v>2308</v>
      </c>
      <c r="Q348" s="109" t="s">
        <v>2308</v>
      </c>
      <c r="R348" s="109" t="s">
        <v>2308</v>
      </c>
      <c r="S348" s="22" t="s">
        <v>2308</v>
      </c>
      <c r="T348" s="22" t="s">
        <v>2308</v>
      </c>
      <c r="U348" s="22" t="s">
        <v>2308</v>
      </c>
      <c r="V348" s="22" t="s">
        <v>2308</v>
      </c>
      <c r="W348" s="22" t="s">
        <v>2308</v>
      </c>
      <c r="X348" s="4" t="s">
        <v>2308</v>
      </c>
      <c r="Y348" s="4" t="s">
        <v>2308</v>
      </c>
      <c r="Z348" s="4" t="s">
        <v>2308</v>
      </c>
      <c r="AA348" s="5"/>
      <c r="AB348" s="5"/>
    </row>
    <row r="349" spans="1:28" ht="112" customHeight="1">
      <c r="A349" s="7" t="str">
        <f>'Reported burning'!A349</f>
        <v>27af</v>
      </c>
      <c r="B349" s="7" t="str">
        <f>'Reported burning'!B349</f>
        <v>27af.1</v>
      </c>
      <c r="C349" s="7" t="str">
        <f>'Reported burning'!C349</f>
        <v>Human, deliberate</v>
      </c>
      <c r="D349" s="7" t="str">
        <f>'Reported burning'!D349</f>
        <v>Forest clearance</v>
      </c>
      <c r="E349" s="7" t="str">
        <f>'Reported burning'!E349</f>
        <v>Cropping, Swidden</v>
      </c>
      <c r="F349" s="7" t="str">
        <f>'Reported burning'!F349</f>
        <v>Forest</v>
      </c>
      <c r="G349" s="7" t="str">
        <f>'Reported burning'!G349</f>
        <v>ND</v>
      </c>
      <c r="H349" s="7" t="str">
        <f>'Reported burning'!H349</f>
        <v>Presence</v>
      </c>
      <c r="I349" s="4"/>
      <c r="J349" s="22" t="s">
        <v>2308</v>
      </c>
      <c r="K349" s="110" t="s">
        <v>2308</v>
      </c>
      <c r="L349" s="22" t="s">
        <v>2308</v>
      </c>
      <c r="M349" s="22" t="s">
        <v>2308</v>
      </c>
      <c r="N349" s="22" t="s">
        <v>2308</v>
      </c>
      <c r="O349" s="22" t="s">
        <v>2308</v>
      </c>
      <c r="P349" s="22" t="s">
        <v>2308</v>
      </c>
      <c r="Q349" s="109" t="s">
        <v>2308</v>
      </c>
      <c r="R349" s="109" t="s">
        <v>2308</v>
      </c>
      <c r="S349" s="22" t="s">
        <v>2308</v>
      </c>
      <c r="T349" s="22" t="s">
        <v>2308</v>
      </c>
      <c r="U349" s="22" t="s">
        <v>2308</v>
      </c>
      <c r="V349" s="22" t="s">
        <v>2308</v>
      </c>
      <c r="W349" s="22" t="s">
        <v>2308</v>
      </c>
      <c r="X349" s="4" t="s">
        <v>2308</v>
      </c>
      <c r="Y349" s="4" t="s">
        <v>2308</v>
      </c>
      <c r="Z349" s="4" t="s">
        <v>2308</v>
      </c>
      <c r="AA349" s="5"/>
      <c r="AB349" s="5"/>
    </row>
    <row r="350" spans="1:28" ht="112" customHeight="1">
      <c r="A350" s="7" t="str">
        <f>'Reported burning'!A350</f>
        <v>27af</v>
      </c>
      <c r="B350" s="7" t="str">
        <f>'Reported burning'!B350</f>
        <v>27af.2</v>
      </c>
      <c r="C350" s="7" t="str">
        <f>'Reported burning'!C350</f>
        <v>Human, deliberate</v>
      </c>
      <c r="D350" s="7" t="str">
        <f>'Reported burning'!D350</f>
        <v>Crop field preparation</v>
      </c>
      <c r="E350" s="7" t="str">
        <f>'Reported burning'!E350</f>
        <v>Cropping, Swidden</v>
      </c>
      <c r="F350" s="7" t="str">
        <f>'Reported burning'!F350</f>
        <v>Secondary Vegetation</v>
      </c>
      <c r="G350" s="7" t="str">
        <f>'Reported burning'!G350</f>
        <v>ND</v>
      </c>
      <c r="H350" s="7" t="str">
        <f>'Reported burning'!H350</f>
        <v>Presence</v>
      </c>
      <c r="I350" s="4"/>
      <c r="J350" s="22" t="s">
        <v>2308</v>
      </c>
      <c r="K350" s="110" t="s">
        <v>2308</v>
      </c>
      <c r="L350" s="22" t="s">
        <v>2308</v>
      </c>
      <c r="M350" s="22" t="s">
        <v>2308</v>
      </c>
      <c r="N350" s="22" t="s">
        <v>2308</v>
      </c>
      <c r="O350" s="22" t="s">
        <v>2308</v>
      </c>
      <c r="P350" s="22" t="s">
        <v>2308</v>
      </c>
      <c r="Q350" s="109" t="s">
        <v>2308</v>
      </c>
      <c r="R350" s="109" t="s">
        <v>2308</v>
      </c>
      <c r="S350" s="22" t="s">
        <v>2308</v>
      </c>
      <c r="T350" s="22" t="s">
        <v>2308</v>
      </c>
      <c r="U350" s="22" t="s">
        <v>2308</v>
      </c>
      <c r="V350" s="22" t="s">
        <v>2308</v>
      </c>
      <c r="W350" s="22" t="s">
        <v>2308</v>
      </c>
      <c r="X350" s="4" t="s">
        <v>2308</v>
      </c>
      <c r="Y350" s="4" t="s">
        <v>2308</v>
      </c>
      <c r="Z350" s="4" t="s">
        <v>2308</v>
      </c>
      <c r="AA350" s="5"/>
      <c r="AB350" s="5"/>
    </row>
    <row r="351" spans="1:28" ht="112" customHeight="1">
      <c r="A351" s="7" t="str">
        <f>'Reported burning'!A351</f>
        <v>27af</v>
      </c>
      <c r="B351" s="7" t="str">
        <f>'Reported burning'!B351</f>
        <v>27af.3</v>
      </c>
      <c r="C351" s="7" t="str">
        <f>'Reported burning'!C351</f>
        <v>Human, deliberate</v>
      </c>
      <c r="D351" s="7" t="str">
        <f>'Reported burning'!D351</f>
        <v>Forest clearance</v>
      </c>
      <c r="E351" s="7" t="str">
        <f>'Reported burning'!E351</f>
        <v>Cropping, Monoculture, Subsistence-oriented</v>
      </c>
      <c r="F351" s="7" t="str">
        <f>'Reported burning'!F351</f>
        <v>Forest</v>
      </c>
      <c r="G351" s="7" t="str">
        <f>'Reported burning'!G351</f>
        <v>ND</v>
      </c>
      <c r="H351" s="7" t="str">
        <f>'Reported burning'!H351</f>
        <v>Presence</v>
      </c>
      <c r="I351" s="4"/>
      <c r="J351" s="22" t="s">
        <v>2308</v>
      </c>
      <c r="K351" s="110" t="s">
        <v>2308</v>
      </c>
      <c r="L351" s="22" t="s">
        <v>2308</v>
      </c>
      <c r="M351" s="22" t="s">
        <v>2308</v>
      </c>
      <c r="N351" s="22" t="s">
        <v>2308</v>
      </c>
      <c r="O351" s="22" t="s">
        <v>2308</v>
      </c>
      <c r="P351" s="22" t="s">
        <v>2308</v>
      </c>
      <c r="Q351" s="109" t="s">
        <v>2308</v>
      </c>
      <c r="R351" s="109" t="s">
        <v>2308</v>
      </c>
      <c r="S351" s="22" t="s">
        <v>2308</v>
      </c>
      <c r="T351" s="22" t="s">
        <v>2308</v>
      </c>
      <c r="U351" s="22" t="s">
        <v>2308</v>
      </c>
      <c r="V351" s="22" t="s">
        <v>2308</v>
      </c>
      <c r="W351" s="22" t="s">
        <v>2308</v>
      </c>
      <c r="X351" s="4" t="s">
        <v>2308</v>
      </c>
      <c r="Y351" s="4" t="s">
        <v>2308</v>
      </c>
      <c r="Z351" s="4" t="s">
        <v>2308</v>
      </c>
      <c r="AA351" s="5"/>
      <c r="AB351" s="5"/>
    </row>
    <row r="352" spans="1:28" ht="112" customHeight="1">
      <c r="A352" s="7" t="str">
        <f>'Reported burning'!A352</f>
        <v>27ag</v>
      </c>
      <c r="B352" s="7" t="str">
        <f>'Reported burning'!B352</f>
        <v>27ag.1</v>
      </c>
      <c r="C352" s="7" t="str">
        <f>'Reported burning'!C352</f>
        <v>Human, deliberate</v>
      </c>
      <c r="D352" s="7" t="str">
        <f>'Reported burning'!D352</f>
        <v>Forest clearance</v>
      </c>
      <c r="E352" s="7" t="str">
        <f>'Reported burning'!E352</f>
        <v>Cropping, Swidden</v>
      </c>
      <c r="F352" s="7" t="str">
        <f>'Reported burning'!F352</f>
        <v>Forest</v>
      </c>
      <c r="G352" s="7" t="str">
        <f>'Reported burning'!G352</f>
        <v>ND</v>
      </c>
      <c r="H352" s="7" t="str">
        <f>'Reported burning'!H352</f>
        <v>Presence</v>
      </c>
      <c r="I352" s="4"/>
      <c r="J352" s="22" t="s">
        <v>2308</v>
      </c>
      <c r="K352" s="110" t="s">
        <v>2308</v>
      </c>
      <c r="L352" s="22" t="s">
        <v>2308</v>
      </c>
      <c r="M352" s="22" t="s">
        <v>2308</v>
      </c>
      <c r="N352" s="22" t="s">
        <v>2308</v>
      </c>
      <c r="O352" s="22" t="s">
        <v>2308</v>
      </c>
      <c r="P352" s="22" t="s">
        <v>2308</v>
      </c>
      <c r="Q352" s="109" t="s">
        <v>2308</v>
      </c>
      <c r="R352" s="109" t="s">
        <v>2308</v>
      </c>
      <c r="S352" s="22" t="s">
        <v>2308</v>
      </c>
      <c r="T352" s="22" t="s">
        <v>2308</v>
      </c>
      <c r="U352" s="22" t="s">
        <v>2308</v>
      </c>
      <c r="V352" s="22" t="s">
        <v>2308</v>
      </c>
      <c r="W352" s="22" t="s">
        <v>2308</v>
      </c>
      <c r="X352" s="4" t="s">
        <v>2308</v>
      </c>
      <c r="Y352" s="4" t="s">
        <v>2308</v>
      </c>
      <c r="Z352" s="4" t="s">
        <v>2308</v>
      </c>
      <c r="AA352" s="5"/>
      <c r="AB352" s="5"/>
    </row>
    <row r="353" spans="1:28" ht="112" customHeight="1">
      <c r="A353" s="7" t="str">
        <f>'Reported burning'!A353</f>
        <v>27ag</v>
      </c>
      <c r="B353" s="7" t="str">
        <f>'Reported burning'!B353</f>
        <v>27ag.2</v>
      </c>
      <c r="C353" s="7" t="str">
        <f>'Reported burning'!C353</f>
        <v>Human, deliberate</v>
      </c>
      <c r="D353" s="7" t="str">
        <f>'Reported burning'!D353</f>
        <v>Crop field preparation</v>
      </c>
      <c r="E353" s="7" t="str">
        <f>'Reported burning'!E353</f>
        <v>Cropping, Swidden</v>
      </c>
      <c r="F353" s="7" t="str">
        <f>'Reported burning'!F353</f>
        <v>Secondary Vegetation</v>
      </c>
      <c r="G353" s="7" t="str">
        <f>'Reported burning'!G353</f>
        <v>ND</v>
      </c>
      <c r="H353" s="7" t="str">
        <f>'Reported burning'!H353</f>
        <v>Presence</v>
      </c>
      <c r="I353" s="4"/>
      <c r="J353" s="22" t="s">
        <v>2308</v>
      </c>
      <c r="K353" s="110" t="s">
        <v>2308</v>
      </c>
      <c r="L353" s="22" t="s">
        <v>2308</v>
      </c>
      <c r="M353" s="22" t="s">
        <v>2308</v>
      </c>
      <c r="N353" s="22" t="s">
        <v>2308</v>
      </c>
      <c r="O353" s="22" t="s">
        <v>2308</v>
      </c>
      <c r="P353" s="22" t="s">
        <v>2308</v>
      </c>
      <c r="Q353" s="109" t="s">
        <v>2308</v>
      </c>
      <c r="R353" s="109" t="s">
        <v>2308</v>
      </c>
      <c r="S353" s="22" t="s">
        <v>2308</v>
      </c>
      <c r="T353" s="22" t="s">
        <v>2308</v>
      </c>
      <c r="U353" s="22" t="s">
        <v>2308</v>
      </c>
      <c r="V353" s="22" t="s">
        <v>2308</v>
      </c>
      <c r="W353" s="22" t="s">
        <v>2308</v>
      </c>
      <c r="X353" s="4" t="s">
        <v>2308</v>
      </c>
      <c r="Y353" s="4" t="s">
        <v>2308</v>
      </c>
      <c r="Z353" s="4" t="s">
        <v>2308</v>
      </c>
      <c r="AA353" s="5"/>
      <c r="AB353" s="5"/>
    </row>
    <row r="354" spans="1:28" ht="112" customHeight="1">
      <c r="A354" s="7" t="str">
        <f>'Reported burning'!A354</f>
        <v>27ah</v>
      </c>
      <c r="B354" s="7" t="str">
        <f>'Reported burning'!B354</f>
        <v>27ah.1</v>
      </c>
      <c r="C354" s="7" t="str">
        <f>'Reported burning'!C354</f>
        <v>Human, deliberate</v>
      </c>
      <c r="D354" s="7" t="str">
        <f>'Reported burning'!D354</f>
        <v>Forest clearance</v>
      </c>
      <c r="E354" s="7" t="str">
        <f>'Reported burning'!E354</f>
        <v>Cropping, Swidden</v>
      </c>
      <c r="F354" s="7" t="str">
        <f>'Reported burning'!F354</f>
        <v>Forest</v>
      </c>
      <c r="G354" s="7" t="str">
        <f>'Reported burning'!G354</f>
        <v>ND</v>
      </c>
      <c r="H354" s="7" t="str">
        <f>'Reported burning'!H354</f>
        <v>Presence</v>
      </c>
      <c r="I354" s="4"/>
      <c r="J354" s="22" t="s">
        <v>2308</v>
      </c>
      <c r="K354" s="110" t="s">
        <v>2308</v>
      </c>
      <c r="L354" s="22" t="s">
        <v>2308</v>
      </c>
      <c r="M354" s="22" t="s">
        <v>2308</v>
      </c>
      <c r="N354" s="22" t="s">
        <v>2308</v>
      </c>
      <c r="O354" s="22" t="s">
        <v>2308</v>
      </c>
      <c r="P354" s="22" t="s">
        <v>2308</v>
      </c>
      <c r="Q354" s="109" t="s">
        <v>2308</v>
      </c>
      <c r="R354" s="109" t="s">
        <v>2308</v>
      </c>
      <c r="S354" s="22" t="s">
        <v>2308</v>
      </c>
      <c r="T354" s="22" t="s">
        <v>2308</v>
      </c>
      <c r="U354" s="22" t="s">
        <v>2308</v>
      </c>
      <c r="V354" s="22" t="s">
        <v>2308</v>
      </c>
      <c r="W354" s="22" t="s">
        <v>2308</v>
      </c>
      <c r="X354" s="4" t="s">
        <v>2308</v>
      </c>
      <c r="Y354" s="4" t="s">
        <v>2308</v>
      </c>
      <c r="Z354" s="4" t="s">
        <v>2308</v>
      </c>
      <c r="AA354" s="5"/>
      <c r="AB354" s="5"/>
    </row>
    <row r="355" spans="1:28" ht="112" customHeight="1">
      <c r="A355" s="7" t="str">
        <f>'Reported burning'!A355</f>
        <v>27ah</v>
      </c>
      <c r="B355" s="7" t="str">
        <f>'Reported burning'!B355</f>
        <v>27ah.2</v>
      </c>
      <c r="C355" s="7" t="str">
        <f>'Reported burning'!C355</f>
        <v>Human, deliberate</v>
      </c>
      <c r="D355" s="7" t="str">
        <f>'Reported burning'!D355</f>
        <v>Crop field preparation</v>
      </c>
      <c r="E355" s="7" t="str">
        <f>'Reported burning'!E355</f>
        <v>Cropping, Swidden</v>
      </c>
      <c r="F355" s="7" t="str">
        <f>'Reported burning'!F355</f>
        <v>Secondary Vegetation</v>
      </c>
      <c r="G355" s="7" t="str">
        <f>'Reported burning'!G355</f>
        <v>ND</v>
      </c>
      <c r="H355" s="7" t="str">
        <f>'Reported burning'!H355</f>
        <v>Presence</v>
      </c>
      <c r="I355" s="4"/>
      <c r="J355" s="22" t="s">
        <v>2308</v>
      </c>
      <c r="K355" s="110" t="s">
        <v>2308</v>
      </c>
      <c r="L355" s="22" t="s">
        <v>2308</v>
      </c>
      <c r="M355" s="22" t="s">
        <v>2308</v>
      </c>
      <c r="N355" s="22" t="s">
        <v>2308</v>
      </c>
      <c r="O355" s="22" t="s">
        <v>2308</v>
      </c>
      <c r="P355" s="22" t="s">
        <v>2308</v>
      </c>
      <c r="Q355" s="109" t="s">
        <v>2308</v>
      </c>
      <c r="R355" s="109" t="s">
        <v>2308</v>
      </c>
      <c r="S355" s="22" t="s">
        <v>2308</v>
      </c>
      <c r="T355" s="22" t="s">
        <v>2308</v>
      </c>
      <c r="U355" s="22" t="s">
        <v>2308</v>
      </c>
      <c r="V355" s="22" t="s">
        <v>2308</v>
      </c>
      <c r="W355" s="22" t="s">
        <v>2308</v>
      </c>
      <c r="X355" s="4" t="s">
        <v>2308</v>
      </c>
      <c r="Y355" s="4" t="s">
        <v>2308</v>
      </c>
      <c r="Z355" s="4" t="s">
        <v>2308</v>
      </c>
      <c r="AA355" s="5"/>
      <c r="AB355" s="5"/>
    </row>
    <row r="356" spans="1:28" ht="112" customHeight="1">
      <c r="A356" s="7" t="str">
        <f>'Reported burning'!A356</f>
        <v>27ah</v>
      </c>
      <c r="B356" s="7" t="str">
        <f>'Reported burning'!B356</f>
        <v>27ah.3</v>
      </c>
      <c r="C356" s="7" t="str">
        <f>'Reported burning'!C356</f>
        <v>Human, deliberate</v>
      </c>
      <c r="D356" s="7" t="str">
        <f>'Reported burning'!D356</f>
        <v>Forest clearance</v>
      </c>
      <c r="E356" s="7" t="str">
        <f>'Reported burning'!E356</f>
        <v>Cropping, Monoculture, Subsistence-oriented</v>
      </c>
      <c r="F356" s="7" t="str">
        <f>'Reported burning'!F356</f>
        <v>Forest</v>
      </c>
      <c r="G356" s="7" t="str">
        <f>'Reported burning'!G356</f>
        <v>ND</v>
      </c>
      <c r="H356" s="7" t="str">
        <f>'Reported burning'!H356</f>
        <v>Presence</v>
      </c>
      <c r="I356" s="4"/>
      <c r="J356" s="22" t="s">
        <v>2308</v>
      </c>
      <c r="K356" s="110" t="s">
        <v>2308</v>
      </c>
      <c r="L356" s="22" t="s">
        <v>2308</v>
      </c>
      <c r="M356" s="22" t="s">
        <v>2308</v>
      </c>
      <c r="N356" s="22" t="s">
        <v>2308</v>
      </c>
      <c r="O356" s="22" t="s">
        <v>2308</v>
      </c>
      <c r="P356" s="22" t="s">
        <v>2308</v>
      </c>
      <c r="Q356" s="109" t="s">
        <v>2308</v>
      </c>
      <c r="R356" s="109" t="s">
        <v>2308</v>
      </c>
      <c r="S356" s="22" t="s">
        <v>2308</v>
      </c>
      <c r="T356" s="22" t="s">
        <v>2308</v>
      </c>
      <c r="U356" s="22" t="s">
        <v>2308</v>
      </c>
      <c r="V356" s="22" t="s">
        <v>2308</v>
      </c>
      <c r="W356" s="22" t="s">
        <v>2308</v>
      </c>
      <c r="X356" s="4" t="s">
        <v>2308</v>
      </c>
      <c r="Y356" s="4" t="s">
        <v>2308</v>
      </c>
      <c r="Z356" s="4" t="s">
        <v>2308</v>
      </c>
      <c r="AA356" s="5"/>
      <c r="AB356" s="5"/>
    </row>
    <row r="357" spans="1:28" ht="112" customHeight="1">
      <c r="A357" s="7" t="str">
        <f>'Reported burning'!A357</f>
        <v>27ai</v>
      </c>
      <c r="B357" s="7" t="str">
        <f>'Reported burning'!B357</f>
        <v>27ai.1</v>
      </c>
      <c r="C357" s="7" t="str">
        <f>'Reported burning'!C357</f>
        <v>Human, deliberate</v>
      </c>
      <c r="D357" s="7" t="str">
        <f>'Reported burning'!D357</f>
        <v>Forest clearance</v>
      </c>
      <c r="E357" s="7" t="str">
        <f>'Reported burning'!E357</f>
        <v>Cropping, Swidden</v>
      </c>
      <c r="F357" s="7" t="str">
        <f>'Reported burning'!F357</f>
        <v>Forest</v>
      </c>
      <c r="G357" s="7" t="str">
        <f>'Reported burning'!G357</f>
        <v>ND</v>
      </c>
      <c r="H357" s="7" t="str">
        <f>'Reported burning'!H357</f>
        <v>Presence</v>
      </c>
      <c r="I357" s="4"/>
      <c r="J357" s="22" t="s">
        <v>2308</v>
      </c>
      <c r="K357" s="110" t="s">
        <v>2308</v>
      </c>
      <c r="L357" s="22" t="s">
        <v>2308</v>
      </c>
      <c r="M357" s="22" t="s">
        <v>2308</v>
      </c>
      <c r="N357" s="22" t="s">
        <v>2308</v>
      </c>
      <c r="O357" s="22" t="s">
        <v>2308</v>
      </c>
      <c r="P357" s="22" t="s">
        <v>2308</v>
      </c>
      <c r="Q357" s="109" t="s">
        <v>2308</v>
      </c>
      <c r="R357" s="109" t="s">
        <v>2308</v>
      </c>
      <c r="S357" s="22" t="s">
        <v>2308</v>
      </c>
      <c r="T357" s="22" t="s">
        <v>2308</v>
      </c>
      <c r="U357" s="22" t="s">
        <v>2308</v>
      </c>
      <c r="V357" s="22" t="s">
        <v>2308</v>
      </c>
      <c r="W357" s="22" t="s">
        <v>2308</v>
      </c>
      <c r="X357" s="4" t="s">
        <v>2308</v>
      </c>
      <c r="Y357" s="4" t="s">
        <v>2308</v>
      </c>
      <c r="Z357" s="4" t="s">
        <v>2308</v>
      </c>
      <c r="AA357" s="5"/>
      <c r="AB357" s="5"/>
    </row>
    <row r="358" spans="1:28" ht="112" customHeight="1">
      <c r="A358" s="7" t="str">
        <f>'Reported burning'!A358</f>
        <v>27ai</v>
      </c>
      <c r="B358" s="7" t="str">
        <f>'Reported burning'!B358</f>
        <v>27ai.2</v>
      </c>
      <c r="C358" s="7" t="str">
        <f>'Reported burning'!C358</f>
        <v>Human, deliberate</v>
      </c>
      <c r="D358" s="7" t="str">
        <f>'Reported burning'!D358</f>
        <v>Crop field preparation</v>
      </c>
      <c r="E358" s="7" t="str">
        <f>'Reported burning'!E358</f>
        <v>Cropping, Swidden</v>
      </c>
      <c r="F358" s="7" t="str">
        <f>'Reported burning'!F358</f>
        <v>Secondary Vegetation</v>
      </c>
      <c r="G358" s="7" t="str">
        <f>'Reported burning'!G358</f>
        <v>ND</v>
      </c>
      <c r="H358" s="7" t="str">
        <f>'Reported burning'!H358</f>
        <v>Presence</v>
      </c>
      <c r="I358" s="4"/>
      <c r="J358" s="22" t="s">
        <v>2308</v>
      </c>
      <c r="K358" s="110" t="s">
        <v>2308</v>
      </c>
      <c r="L358" s="22" t="s">
        <v>2308</v>
      </c>
      <c r="M358" s="22" t="s">
        <v>2308</v>
      </c>
      <c r="N358" s="22" t="s">
        <v>2308</v>
      </c>
      <c r="O358" s="22" t="s">
        <v>2308</v>
      </c>
      <c r="P358" s="22" t="s">
        <v>2308</v>
      </c>
      <c r="Q358" s="109" t="s">
        <v>2308</v>
      </c>
      <c r="R358" s="109" t="s">
        <v>2308</v>
      </c>
      <c r="S358" s="22" t="s">
        <v>2308</v>
      </c>
      <c r="T358" s="22" t="s">
        <v>2308</v>
      </c>
      <c r="U358" s="22" t="s">
        <v>2308</v>
      </c>
      <c r="V358" s="22" t="s">
        <v>2308</v>
      </c>
      <c r="W358" s="22" t="s">
        <v>2308</v>
      </c>
      <c r="X358" s="4" t="s">
        <v>2308</v>
      </c>
      <c r="Y358" s="4" t="s">
        <v>2308</v>
      </c>
      <c r="Z358" s="4" t="s">
        <v>2308</v>
      </c>
      <c r="AA358" s="5"/>
      <c r="AB358" s="5"/>
    </row>
    <row r="359" spans="1:28" ht="112" customHeight="1">
      <c r="A359" s="7" t="str">
        <f>'Reported burning'!A359</f>
        <v>27ai</v>
      </c>
      <c r="B359" s="7" t="str">
        <f>'Reported burning'!B359</f>
        <v>27ai.3</v>
      </c>
      <c r="C359" s="7" t="str">
        <f>'Reported burning'!C359</f>
        <v>Human, deliberate</v>
      </c>
      <c r="D359" s="7" t="str">
        <f>'Reported burning'!D359</f>
        <v>Forest clearance</v>
      </c>
      <c r="E359" s="7" t="str">
        <f>'Reported burning'!E359</f>
        <v>Cropping, Monoculture, Subsistence-oriented</v>
      </c>
      <c r="F359" s="7" t="str">
        <f>'Reported burning'!F359</f>
        <v>Forest</v>
      </c>
      <c r="G359" s="7" t="str">
        <f>'Reported burning'!G359</f>
        <v>ND</v>
      </c>
      <c r="H359" s="7" t="str">
        <f>'Reported burning'!H359</f>
        <v>Presence</v>
      </c>
      <c r="I359" s="4"/>
      <c r="J359" s="22" t="s">
        <v>2308</v>
      </c>
      <c r="K359" s="110" t="s">
        <v>2308</v>
      </c>
      <c r="L359" s="22" t="s">
        <v>2308</v>
      </c>
      <c r="M359" s="22" t="s">
        <v>2308</v>
      </c>
      <c r="N359" s="22" t="s">
        <v>2308</v>
      </c>
      <c r="O359" s="22" t="s">
        <v>2308</v>
      </c>
      <c r="P359" s="22" t="s">
        <v>2308</v>
      </c>
      <c r="Q359" s="109" t="s">
        <v>2308</v>
      </c>
      <c r="R359" s="109" t="s">
        <v>2308</v>
      </c>
      <c r="S359" s="22" t="s">
        <v>2308</v>
      </c>
      <c r="T359" s="22" t="s">
        <v>2308</v>
      </c>
      <c r="U359" s="22" t="s">
        <v>2308</v>
      </c>
      <c r="V359" s="22" t="s">
        <v>2308</v>
      </c>
      <c r="W359" s="22" t="s">
        <v>2308</v>
      </c>
      <c r="X359" s="4" t="s">
        <v>2308</v>
      </c>
      <c r="Y359" s="4" t="s">
        <v>2308</v>
      </c>
      <c r="Z359" s="4" t="s">
        <v>2308</v>
      </c>
      <c r="AA359" s="5"/>
      <c r="AB359" s="5"/>
    </row>
    <row r="360" spans="1:28" ht="112" customHeight="1">
      <c r="A360" s="7" t="str">
        <f>'Reported burning'!A360</f>
        <v>27aj</v>
      </c>
      <c r="B360" s="7" t="str">
        <f>'Reported burning'!B360</f>
        <v>27aj.1</v>
      </c>
      <c r="C360" s="7" t="str">
        <f>'Reported burning'!C360</f>
        <v>Human, deliberate</v>
      </c>
      <c r="D360" s="7" t="str">
        <f>'Reported burning'!D360</f>
        <v>Forest clearance</v>
      </c>
      <c r="E360" s="7" t="str">
        <f>'Reported burning'!E360</f>
        <v>Cropping, Swidden</v>
      </c>
      <c r="F360" s="7" t="str">
        <f>'Reported burning'!F360</f>
        <v>Forest</v>
      </c>
      <c r="G360" s="7" t="str">
        <f>'Reported burning'!G360</f>
        <v>ND</v>
      </c>
      <c r="H360" s="7" t="str">
        <f>'Reported burning'!H360</f>
        <v>Presence</v>
      </c>
      <c r="I360" s="4"/>
      <c r="J360" s="22" t="s">
        <v>2308</v>
      </c>
      <c r="K360" s="110" t="s">
        <v>2308</v>
      </c>
      <c r="L360" s="22" t="s">
        <v>2308</v>
      </c>
      <c r="M360" s="22" t="s">
        <v>2308</v>
      </c>
      <c r="N360" s="22" t="s">
        <v>2308</v>
      </c>
      <c r="O360" s="22" t="s">
        <v>2308</v>
      </c>
      <c r="P360" s="22" t="s">
        <v>2308</v>
      </c>
      <c r="Q360" s="109" t="s">
        <v>2308</v>
      </c>
      <c r="R360" s="109" t="s">
        <v>2308</v>
      </c>
      <c r="S360" s="22" t="s">
        <v>2308</v>
      </c>
      <c r="T360" s="22" t="s">
        <v>2308</v>
      </c>
      <c r="U360" s="22" t="s">
        <v>2308</v>
      </c>
      <c r="V360" s="22" t="s">
        <v>2308</v>
      </c>
      <c r="W360" s="22" t="s">
        <v>2308</v>
      </c>
      <c r="X360" s="4" t="s">
        <v>2308</v>
      </c>
      <c r="Y360" s="4" t="s">
        <v>2308</v>
      </c>
      <c r="Z360" s="4" t="s">
        <v>2308</v>
      </c>
      <c r="AA360" s="5"/>
      <c r="AB360" s="5"/>
    </row>
    <row r="361" spans="1:28" ht="112" customHeight="1">
      <c r="A361" s="7" t="str">
        <f>'Reported burning'!A361</f>
        <v>27aj</v>
      </c>
      <c r="B361" s="7" t="str">
        <f>'Reported burning'!B361</f>
        <v>27aj.2</v>
      </c>
      <c r="C361" s="7" t="str">
        <f>'Reported burning'!C361</f>
        <v>Human, deliberate</v>
      </c>
      <c r="D361" s="7" t="str">
        <f>'Reported burning'!D361</f>
        <v>Crop field preparation</v>
      </c>
      <c r="E361" s="7" t="str">
        <f>'Reported burning'!E361</f>
        <v>Cropping, Swidden</v>
      </c>
      <c r="F361" s="7" t="str">
        <f>'Reported burning'!F361</f>
        <v>Secondary Vegetation</v>
      </c>
      <c r="G361" s="7" t="str">
        <f>'Reported burning'!G361</f>
        <v>ND</v>
      </c>
      <c r="H361" s="7" t="str">
        <f>'Reported burning'!H361</f>
        <v>Presence</v>
      </c>
      <c r="I361" s="4"/>
      <c r="J361" s="22" t="s">
        <v>2308</v>
      </c>
      <c r="K361" s="110" t="s">
        <v>2308</v>
      </c>
      <c r="L361" s="22" t="s">
        <v>2308</v>
      </c>
      <c r="M361" s="22" t="s">
        <v>2308</v>
      </c>
      <c r="N361" s="22" t="s">
        <v>2308</v>
      </c>
      <c r="O361" s="22" t="s">
        <v>2308</v>
      </c>
      <c r="P361" s="22" t="s">
        <v>2308</v>
      </c>
      <c r="Q361" s="109" t="s">
        <v>2308</v>
      </c>
      <c r="R361" s="109" t="s">
        <v>2308</v>
      </c>
      <c r="S361" s="22" t="s">
        <v>2308</v>
      </c>
      <c r="T361" s="22" t="s">
        <v>2308</v>
      </c>
      <c r="U361" s="22" t="s">
        <v>2308</v>
      </c>
      <c r="V361" s="22" t="s">
        <v>2308</v>
      </c>
      <c r="W361" s="22" t="s">
        <v>2308</v>
      </c>
      <c r="X361" s="4" t="s">
        <v>2308</v>
      </c>
      <c r="Y361" s="4" t="s">
        <v>2308</v>
      </c>
      <c r="Z361" s="4" t="s">
        <v>2308</v>
      </c>
      <c r="AA361" s="5"/>
      <c r="AB361" s="5"/>
    </row>
    <row r="362" spans="1:28" ht="112" customHeight="1">
      <c r="A362" s="7" t="str">
        <f>'Reported burning'!A362</f>
        <v>27aj</v>
      </c>
      <c r="B362" s="7" t="str">
        <f>'Reported burning'!B362</f>
        <v>27aj.3</v>
      </c>
      <c r="C362" s="7" t="str">
        <f>'Reported burning'!C362</f>
        <v>Human, deliberate</v>
      </c>
      <c r="D362" s="7" t="str">
        <f>'Reported burning'!D362</f>
        <v>Forest clearance</v>
      </c>
      <c r="E362" s="7" t="str">
        <f>'Reported burning'!E362</f>
        <v>Cropping, Monoculture, Subsistence-oriented</v>
      </c>
      <c r="F362" s="7" t="str">
        <f>'Reported burning'!F362</f>
        <v>Forest</v>
      </c>
      <c r="G362" s="7" t="str">
        <f>'Reported burning'!G362</f>
        <v>ND</v>
      </c>
      <c r="H362" s="7" t="str">
        <f>'Reported burning'!H362</f>
        <v>Presence</v>
      </c>
      <c r="I362" s="4"/>
      <c r="J362" s="22" t="s">
        <v>2308</v>
      </c>
      <c r="K362" s="110" t="s">
        <v>2308</v>
      </c>
      <c r="L362" s="22" t="s">
        <v>2308</v>
      </c>
      <c r="M362" s="22" t="s">
        <v>2308</v>
      </c>
      <c r="N362" s="22" t="s">
        <v>2308</v>
      </c>
      <c r="O362" s="22" t="s">
        <v>2308</v>
      </c>
      <c r="P362" s="22" t="s">
        <v>2308</v>
      </c>
      <c r="Q362" s="109" t="s">
        <v>2308</v>
      </c>
      <c r="R362" s="109" t="s">
        <v>2308</v>
      </c>
      <c r="S362" s="22" t="s">
        <v>2308</v>
      </c>
      <c r="T362" s="22" t="s">
        <v>2308</v>
      </c>
      <c r="U362" s="22" t="s">
        <v>2308</v>
      </c>
      <c r="V362" s="22" t="s">
        <v>2308</v>
      </c>
      <c r="W362" s="22" t="s">
        <v>2308</v>
      </c>
      <c r="X362" s="4" t="s">
        <v>2308</v>
      </c>
      <c r="Y362" s="4" t="s">
        <v>2308</v>
      </c>
      <c r="Z362" s="4" t="s">
        <v>2308</v>
      </c>
      <c r="AA362" s="5"/>
      <c r="AB362" s="5"/>
    </row>
    <row r="363" spans="1:28" ht="112" customHeight="1">
      <c r="A363" s="7" t="str">
        <f>'Reported burning'!A363</f>
        <v>27ak</v>
      </c>
      <c r="B363" s="7" t="str">
        <f>'Reported burning'!B363</f>
        <v>27ak.1</v>
      </c>
      <c r="C363" s="7" t="str">
        <f>'Reported burning'!C363</f>
        <v>Human, deliberate</v>
      </c>
      <c r="D363" s="7" t="str">
        <f>'Reported burning'!D363</f>
        <v>Forest clearance</v>
      </c>
      <c r="E363" s="7" t="str">
        <f>'Reported burning'!E363</f>
        <v>Cropping, Swidden</v>
      </c>
      <c r="F363" s="7" t="str">
        <f>'Reported burning'!F363</f>
        <v>Forest</v>
      </c>
      <c r="G363" s="7" t="str">
        <f>'Reported burning'!G363</f>
        <v>ND</v>
      </c>
      <c r="H363" s="7" t="str">
        <f>'Reported burning'!H363</f>
        <v>Presence</v>
      </c>
      <c r="I363" s="4"/>
      <c r="J363" s="22" t="s">
        <v>2308</v>
      </c>
      <c r="K363" s="110" t="s">
        <v>2308</v>
      </c>
      <c r="L363" s="22" t="s">
        <v>2308</v>
      </c>
      <c r="M363" s="22" t="s">
        <v>2308</v>
      </c>
      <c r="N363" s="22" t="s">
        <v>2308</v>
      </c>
      <c r="O363" s="22" t="s">
        <v>2308</v>
      </c>
      <c r="P363" s="22" t="s">
        <v>2308</v>
      </c>
      <c r="Q363" s="109" t="s">
        <v>2308</v>
      </c>
      <c r="R363" s="109" t="s">
        <v>2308</v>
      </c>
      <c r="S363" s="22" t="s">
        <v>2308</v>
      </c>
      <c r="T363" s="22" t="s">
        <v>2308</v>
      </c>
      <c r="U363" s="22" t="s">
        <v>2308</v>
      </c>
      <c r="V363" s="22" t="s">
        <v>2308</v>
      </c>
      <c r="W363" s="22" t="s">
        <v>2308</v>
      </c>
      <c r="X363" s="4" t="s">
        <v>2308</v>
      </c>
      <c r="Y363" s="4" t="s">
        <v>2308</v>
      </c>
      <c r="Z363" s="4" t="s">
        <v>2308</v>
      </c>
      <c r="AA363" s="5"/>
      <c r="AB363" s="5"/>
    </row>
    <row r="364" spans="1:28" ht="112" customHeight="1">
      <c r="A364" s="7" t="str">
        <f>'Reported burning'!A364</f>
        <v>27ak</v>
      </c>
      <c r="B364" s="7" t="str">
        <f>'Reported burning'!B364</f>
        <v>27ak.2</v>
      </c>
      <c r="C364" s="7" t="str">
        <f>'Reported burning'!C364</f>
        <v>Human, deliberate</v>
      </c>
      <c r="D364" s="7" t="str">
        <f>'Reported burning'!D364</f>
        <v>Crop field preparation</v>
      </c>
      <c r="E364" s="7" t="str">
        <f>'Reported burning'!E364</f>
        <v>Cropping, Swidden</v>
      </c>
      <c r="F364" s="7" t="str">
        <f>'Reported burning'!F364</f>
        <v>Secondary Vegetation</v>
      </c>
      <c r="G364" s="7" t="str">
        <f>'Reported burning'!G364</f>
        <v>ND</v>
      </c>
      <c r="H364" s="7" t="str">
        <f>'Reported burning'!H364</f>
        <v>Presence</v>
      </c>
      <c r="I364" s="4"/>
      <c r="J364" s="22" t="s">
        <v>2308</v>
      </c>
      <c r="K364" s="110" t="s">
        <v>2308</v>
      </c>
      <c r="L364" s="22" t="s">
        <v>2308</v>
      </c>
      <c r="M364" s="22" t="s">
        <v>2308</v>
      </c>
      <c r="N364" s="22" t="s">
        <v>2308</v>
      </c>
      <c r="O364" s="22" t="s">
        <v>2308</v>
      </c>
      <c r="P364" s="22" t="s">
        <v>2308</v>
      </c>
      <c r="Q364" s="109" t="s">
        <v>2308</v>
      </c>
      <c r="R364" s="109" t="s">
        <v>2308</v>
      </c>
      <c r="S364" s="22" t="s">
        <v>2308</v>
      </c>
      <c r="T364" s="22" t="s">
        <v>2308</v>
      </c>
      <c r="U364" s="22" t="s">
        <v>2308</v>
      </c>
      <c r="V364" s="22" t="s">
        <v>2308</v>
      </c>
      <c r="W364" s="22" t="s">
        <v>2308</v>
      </c>
      <c r="X364" s="4" t="s">
        <v>2308</v>
      </c>
      <c r="Y364" s="4" t="s">
        <v>2308</v>
      </c>
      <c r="Z364" s="4" t="s">
        <v>2308</v>
      </c>
      <c r="AA364" s="5"/>
      <c r="AB364" s="5"/>
    </row>
    <row r="365" spans="1:28" ht="112" customHeight="1">
      <c r="A365" s="7" t="str">
        <f>'Reported burning'!A365</f>
        <v>27ak</v>
      </c>
      <c r="B365" s="7" t="str">
        <f>'Reported burning'!B365</f>
        <v>27ak.3</v>
      </c>
      <c r="C365" s="7" t="str">
        <f>'Reported burning'!C365</f>
        <v>Human, deliberate</v>
      </c>
      <c r="D365" s="7" t="str">
        <f>'Reported burning'!D365</f>
        <v>Forest clearance</v>
      </c>
      <c r="E365" s="7" t="str">
        <f>'Reported burning'!E365</f>
        <v>Cropping, Monoculture, Subsistence-oriented</v>
      </c>
      <c r="F365" s="7" t="str">
        <f>'Reported burning'!F365</f>
        <v>Forest</v>
      </c>
      <c r="G365" s="7" t="str">
        <f>'Reported burning'!G365</f>
        <v>ND</v>
      </c>
      <c r="H365" s="7" t="str">
        <f>'Reported burning'!H365</f>
        <v>Presence</v>
      </c>
      <c r="I365" s="4"/>
      <c r="J365" s="22" t="s">
        <v>2308</v>
      </c>
      <c r="K365" s="110" t="s">
        <v>2308</v>
      </c>
      <c r="L365" s="22" t="s">
        <v>2308</v>
      </c>
      <c r="M365" s="22" t="s">
        <v>2308</v>
      </c>
      <c r="N365" s="22" t="s">
        <v>2308</v>
      </c>
      <c r="O365" s="22" t="s">
        <v>2308</v>
      </c>
      <c r="P365" s="22" t="s">
        <v>2308</v>
      </c>
      <c r="Q365" s="109" t="s">
        <v>2308</v>
      </c>
      <c r="R365" s="109" t="s">
        <v>2308</v>
      </c>
      <c r="S365" s="22" t="s">
        <v>2308</v>
      </c>
      <c r="T365" s="22" t="s">
        <v>2308</v>
      </c>
      <c r="U365" s="22" t="s">
        <v>2308</v>
      </c>
      <c r="V365" s="22" t="s">
        <v>2308</v>
      </c>
      <c r="W365" s="22" t="s">
        <v>2308</v>
      </c>
      <c r="X365" s="4" t="s">
        <v>2308</v>
      </c>
      <c r="Y365" s="4" t="s">
        <v>2308</v>
      </c>
      <c r="Z365" s="4" t="s">
        <v>2308</v>
      </c>
      <c r="AA365" s="5"/>
      <c r="AB365" s="5"/>
    </row>
    <row r="366" spans="1:28" ht="112" customHeight="1">
      <c r="A366" s="7" t="str">
        <f>'Reported burning'!A366</f>
        <v>27al</v>
      </c>
      <c r="B366" s="7" t="str">
        <f>'Reported burning'!B366</f>
        <v>27al.1</v>
      </c>
      <c r="C366" s="7" t="str">
        <f>'Reported burning'!C366</f>
        <v>Human, deliberate</v>
      </c>
      <c r="D366" s="7" t="str">
        <f>'Reported burning'!D366</f>
        <v>Forest clearance</v>
      </c>
      <c r="E366" s="7" t="str">
        <f>'Reported burning'!E366</f>
        <v>Cropping, Swidden</v>
      </c>
      <c r="F366" s="7" t="str">
        <f>'Reported burning'!F366</f>
        <v>Forest</v>
      </c>
      <c r="G366" s="7" t="str">
        <f>'Reported burning'!G366</f>
        <v>ND</v>
      </c>
      <c r="H366" s="7" t="str">
        <f>'Reported burning'!H366</f>
        <v>Presence</v>
      </c>
      <c r="I366" s="4"/>
      <c r="J366" s="22" t="s">
        <v>2308</v>
      </c>
      <c r="K366" s="110" t="s">
        <v>2308</v>
      </c>
      <c r="L366" s="22" t="s">
        <v>2308</v>
      </c>
      <c r="M366" s="22" t="s">
        <v>2308</v>
      </c>
      <c r="N366" s="22" t="s">
        <v>2308</v>
      </c>
      <c r="O366" s="22" t="s">
        <v>2308</v>
      </c>
      <c r="P366" s="22" t="s">
        <v>2308</v>
      </c>
      <c r="Q366" s="109" t="s">
        <v>2308</v>
      </c>
      <c r="R366" s="109" t="s">
        <v>2308</v>
      </c>
      <c r="S366" s="22" t="s">
        <v>2308</v>
      </c>
      <c r="T366" s="22" t="s">
        <v>2308</v>
      </c>
      <c r="U366" s="22" t="s">
        <v>2308</v>
      </c>
      <c r="V366" s="22" t="s">
        <v>2308</v>
      </c>
      <c r="W366" s="22" t="s">
        <v>2308</v>
      </c>
      <c r="X366" s="4" t="s">
        <v>2308</v>
      </c>
      <c r="Y366" s="4" t="s">
        <v>2308</v>
      </c>
      <c r="Z366" s="4" t="s">
        <v>2308</v>
      </c>
      <c r="AA366" s="5"/>
      <c r="AB366" s="5"/>
    </row>
    <row r="367" spans="1:28" ht="112" customHeight="1">
      <c r="A367" s="7" t="str">
        <f>'Reported burning'!A367</f>
        <v>27al</v>
      </c>
      <c r="B367" s="7" t="str">
        <f>'Reported burning'!B367</f>
        <v>27al.2</v>
      </c>
      <c r="C367" s="7" t="str">
        <f>'Reported burning'!C367</f>
        <v>Human, deliberate</v>
      </c>
      <c r="D367" s="7" t="str">
        <f>'Reported burning'!D367</f>
        <v>Crop field preparation</v>
      </c>
      <c r="E367" s="7" t="str">
        <f>'Reported burning'!E367</f>
        <v>Cropping, Swidden</v>
      </c>
      <c r="F367" s="7" t="str">
        <f>'Reported burning'!F367</f>
        <v>Secondary Vegetation</v>
      </c>
      <c r="G367" s="7" t="str">
        <f>'Reported burning'!G367</f>
        <v>ND</v>
      </c>
      <c r="H367" s="7" t="str">
        <f>'Reported burning'!H367</f>
        <v>Presence</v>
      </c>
      <c r="I367" s="4"/>
      <c r="J367" s="22" t="s">
        <v>2308</v>
      </c>
      <c r="K367" s="110" t="s">
        <v>2308</v>
      </c>
      <c r="L367" s="22" t="s">
        <v>2308</v>
      </c>
      <c r="M367" s="22" t="s">
        <v>2308</v>
      </c>
      <c r="N367" s="22" t="s">
        <v>2308</v>
      </c>
      <c r="O367" s="22" t="s">
        <v>2308</v>
      </c>
      <c r="P367" s="22" t="s">
        <v>2308</v>
      </c>
      <c r="Q367" s="109" t="s">
        <v>2308</v>
      </c>
      <c r="R367" s="109" t="s">
        <v>2308</v>
      </c>
      <c r="S367" s="22" t="s">
        <v>2308</v>
      </c>
      <c r="T367" s="22" t="s">
        <v>2308</v>
      </c>
      <c r="U367" s="22" t="s">
        <v>2308</v>
      </c>
      <c r="V367" s="22" t="s">
        <v>2308</v>
      </c>
      <c r="W367" s="22" t="s">
        <v>2308</v>
      </c>
      <c r="X367" s="4" t="s">
        <v>2308</v>
      </c>
      <c r="Y367" s="4" t="s">
        <v>2308</v>
      </c>
      <c r="Z367" s="4" t="s">
        <v>2308</v>
      </c>
      <c r="AA367" s="5"/>
      <c r="AB367" s="5"/>
    </row>
    <row r="368" spans="1:28" ht="112" customHeight="1">
      <c r="A368" s="7" t="str">
        <f>'Reported burning'!A368</f>
        <v>27am</v>
      </c>
      <c r="B368" s="7" t="str">
        <f>'Reported burning'!B368</f>
        <v>27am.1</v>
      </c>
      <c r="C368" s="7" t="str">
        <f>'Reported burning'!C368</f>
        <v>Human, deliberate</v>
      </c>
      <c r="D368" s="7" t="str">
        <f>'Reported burning'!D368</f>
        <v>Forest clearance</v>
      </c>
      <c r="E368" s="7" t="str">
        <f>'Reported burning'!E368</f>
        <v>Cropping, Swidden</v>
      </c>
      <c r="F368" s="7" t="str">
        <f>'Reported burning'!F368</f>
        <v>Forest</v>
      </c>
      <c r="G368" s="7" t="str">
        <f>'Reported burning'!G368</f>
        <v>ND</v>
      </c>
      <c r="H368" s="7" t="str">
        <f>'Reported burning'!H368</f>
        <v>Presence</v>
      </c>
      <c r="I368" s="4"/>
      <c r="J368" s="22" t="s">
        <v>2308</v>
      </c>
      <c r="K368" s="110" t="s">
        <v>2308</v>
      </c>
      <c r="L368" s="22" t="s">
        <v>2308</v>
      </c>
      <c r="M368" s="22" t="s">
        <v>2308</v>
      </c>
      <c r="N368" s="22" t="s">
        <v>2308</v>
      </c>
      <c r="O368" s="22" t="s">
        <v>2308</v>
      </c>
      <c r="P368" s="22" t="s">
        <v>2308</v>
      </c>
      <c r="Q368" s="109" t="s">
        <v>2308</v>
      </c>
      <c r="R368" s="109" t="s">
        <v>2308</v>
      </c>
      <c r="S368" s="22" t="s">
        <v>2308</v>
      </c>
      <c r="T368" s="22" t="s">
        <v>2308</v>
      </c>
      <c r="U368" s="22" t="s">
        <v>2308</v>
      </c>
      <c r="V368" s="22" t="s">
        <v>2308</v>
      </c>
      <c r="W368" s="22" t="s">
        <v>2308</v>
      </c>
      <c r="X368" s="4" t="s">
        <v>2308</v>
      </c>
      <c r="Y368" s="4" t="s">
        <v>2308</v>
      </c>
      <c r="Z368" s="4" t="s">
        <v>2308</v>
      </c>
      <c r="AA368" s="5"/>
      <c r="AB368" s="5"/>
    </row>
    <row r="369" spans="1:28" ht="112" customHeight="1">
      <c r="A369" s="7" t="str">
        <f>'Reported burning'!A369</f>
        <v>27am</v>
      </c>
      <c r="B369" s="7" t="str">
        <f>'Reported burning'!B369</f>
        <v>27am.2</v>
      </c>
      <c r="C369" s="7" t="str">
        <f>'Reported burning'!C369</f>
        <v>Human, deliberate</v>
      </c>
      <c r="D369" s="7" t="str">
        <f>'Reported burning'!D369</f>
        <v>Crop field preparation</v>
      </c>
      <c r="E369" s="7" t="str">
        <f>'Reported burning'!E369</f>
        <v>Cropping, Swidden</v>
      </c>
      <c r="F369" s="7" t="str">
        <f>'Reported burning'!F369</f>
        <v>Secondary Vegetation</v>
      </c>
      <c r="G369" s="7" t="str">
        <f>'Reported burning'!G369</f>
        <v>ND</v>
      </c>
      <c r="H369" s="7" t="str">
        <f>'Reported burning'!H369</f>
        <v>Presence</v>
      </c>
      <c r="I369" s="4"/>
      <c r="J369" s="22" t="s">
        <v>2308</v>
      </c>
      <c r="K369" s="110" t="s">
        <v>2308</v>
      </c>
      <c r="L369" s="22" t="s">
        <v>2308</v>
      </c>
      <c r="M369" s="22" t="s">
        <v>2308</v>
      </c>
      <c r="N369" s="22" t="s">
        <v>2308</v>
      </c>
      <c r="O369" s="22" t="s">
        <v>2308</v>
      </c>
      <c r="P369" s="22" t="s">
        <v>2308</v>
      </c>
      <c r="Q369" s="109" t="s">
        <v>2308</v>
      </c>
      <c r="R369" s="109" t="s">
        <v>2308</v>
      </c>
      <c r="S369" s="22" t="s">
        <v>2308</v>
      </c>
      <c r="T369" s="22" t="s">
        <v>2308</v>
      </c>
      <c r="U369" s="22" t="s">
        <v>2308</v>
      </c>
      <c r="V369" s="22" t="s">
        <v>2308</v>
      </c>
      <c r="W369" s="22" t="s">
        <v>2308</v>
      </c>
      <c r="X369" s="4" t="s">
        <v>2308</v>
      </c>
      <c r="Y369" s="4" t="s">
        <v>2308</v>
      </c>
      <c r="Z369" s="4" t="s">
        <v>2308</v>
      </c>
      <c r="AA369" s="5"/>
      <c r="AB369" s="5"/>
    </row>
    <row r="370" spans="1:28" ht="112" customHeight="1">
      <c r="A370" s="7" t="str">
        <f>'Reported burning'!A370</f>
        <v>27am</v>
      </c>
      <c r="B370" s="7" t="str">
        <f>'Reported burning'!B370</f>
        <v>27am.3</v>
      </c>
      <c r="C370" s="7" t="str">
        <f>'Reported burning'!C370</f>
        <v>Human, deliberate</v>
      </c>
      <c r="D370" s="7" t="str">
        <f>'Reported burning'!D370</f>
        <v>Forest clearance</v>
      </c>
      <c r="E370" s="7" t="str">
        <f>'Reported burning'!E370</f>
        <v>Cropping, Monoculture, Subsistence-oriented</v>
      </c>
      <c r="F370" s="7" t="str">
        <f>'Reported burning'!F370</f>
        <v>Forest</v>
      </c>
      <c r="G370" s="7" t="str">
        <f>'Reported burning'!G370</f>
        <v>ND</v>
      </c>
      <c r="H370" s="7" t="str">
        <f>'Reported burning'!H370</f>
        <v>Presence</v>
      </c>
      <c r="I370" s="4"/>
      <c r="J370" s="22" t="s">
        <v>2308</v>
      </c>
      <c r="K370" s="110" t="s">
        <v>2308</v>
      </c>
      <c r="L370" s="22" t="s">
        <v>2308</v>
      </c>
      <c r="M370" s="22" t="s">
        <v>2308</v>
      </c>
      <c r="N370" s="22" t="s">
        <v>2308</v>
      </c>
      <c r="O370" s="22" t="s">
        <v>2308</v>
      </c>
      <c r="P370" s="22" t="s">
        <v>2308</v>
      </c>
      <c r="Q370" s="109" t="s">
        <v>2308</v>
      </c>
      <c r="R370" s="109" t="s">
        <v>2308</v>
      </c>
      <c r="S370" s="22" t="s">
        <v>2308</v>
      </c>
      <c r="T370" s="22" t="s">
        <v>2308</v>
      </c>
      <c r="U370" s="22" t="s">
        <v>2308</v>
      </c>
      <c r="V370" s="22" t="s">
        <v>2308</v>
      </c>
      <c r="W370" s="22" t="s">
        <v>2308</v>
      </c>
      <c r="X370" s="4" t="s">
        <v>2308</v>
      </c>
      <c r="Y370" s="4" t="s">
        <v>2308</v>
      </c>
      <c r="Z370" s="4" t="s">
        <v>2308</v>
      </c>
      <c r="AA370" s="5"/>
      <c r="AB370" s="5"/>
    </row>
    <row r="371" spans="1:28" ht="112" customHeight="1">
      <c r="A371" s="7" t="str">
        <f>'Reported burning'!A371</f>
        <v>27ao</v>
      </c>
      <c r="B371" s="7" t="str">
        <f>'Reported burning'!B371</f>
        <v>27ao.1</v>
      </c>
      <c r="C371" s="7" t="str">
        <f>'Reported burning'!C371</f>
        <v>Human, deliberate</v>
      </c>
      <c r="D371" s="7" t="str">
        <f>'Reported burning'!D371</f>
        <v>Forest clearance</v>
      </c>
      <c r="E371" s="7" t="str">
        <f>'Reported burning'!E371</f>
        <v>Cropping, Swidden</v>
      </c>
      <c r="F371" s="7" t="str">
        <f>'Reported burning'!F371</f>
        <v>Forest</v>
      </c>
      <c r="G371" s="7" t="str">
        <f>'Reported burning'!G371</f>
        <v>ND</v>
      </c>
      <c r="H371" s="7" t="str">
        <f>'Reported burning'!H371</f>
        <v>Presence</v>
      </c>
      <c r="I371" s="4"/>
      <c r="J371" s="22" t="s">
        <v>2308</v>
      </c>
      <c r="K371" s="110" t="s">
        <v>2308</v>
      </c>
      <c r="L371" s="22" t="s">
        <v>2308</v>
      </c>
      <c r="M371" s="22" t="s">
        <v>2308</v>
      </c>
      <c r="N371" s="22" t="s">
        <v>2308</v>
      </c>
      <c r="O371" s="22" t="s">
        <v>2308</v>
      </c>
      <c r="P371" s="22" t="s">
        <v>2308</v>
      </c>
      <c r="Q371" s="109" t="s">
        <v>2308</v>
      </c>
      <c r="R371" s="109" t="s">
        <v>2308</v>
      </c>
      <c r="S371" s="22" t="s">
        <v>2308</v>
      </c>
      <c r="T371" s="22" t="s">
        <v>2308</v>
      </c>
      <c r="U371" s="22" t="s">
        <v>2308</v>
      </c>
      <c r="V371" s="22" t="s">
        <v>2308</v>
      </c>
      <c r="W371" s="22" t="s">
        <v>2308</v>
      </c>
      <c r="X371" s="4" t="s">
        <v>2308</v>
      </c>
      <c r="Y371" s="4" t="s">
        <v>2308</v>
      </c>
      <c r="Z371" s="4" t="s">
        <v>2308</v>
      </c>
      <c r="AA371" s="5"/>
      <c r="AB371" s="5"/>
    </row>
    <row r="372" spans="1:28" ht="112" customHeight="1">
      <c r="A372" s="7" t="str">
        <f>'Reported burning'!A372</f>
        <v>27ao</v>
      </c>
      <c r="B372" s="7" t="str">
        <f>'Reported burning'!B372</f>
        <v>27ao.2</v>
      </c>
      <c r="C372" s="7" t="str">
        <f>'Reported burning'!C372</f>
        <v>Human, deliberate</v>
      </c>
      <c r="D372" s="7" t="str">
        <f>'Reported burning'!D372</f>
        <v>Crop field preparation</v>
      </c>
      <c r="E372" s="7" t="str">
        <f>'Reported burning'!E372</f>
        <v>Cropping, Swidden</v>
      </c>
      <c r="F372" s="7" t="str">
        <f>'Reported burning'!F372</f>
        <v>Secondary Vegetation</v>
      </c>
      <c r="G372" s="7" t="str">
        <f>'Reported burning'!G372</f>
        <v>ND</v>
      </c>
      <c r="H372" s="7" t="str">
        <f>'Reported burning'!H372</f>
        <v>Presence</v>
      </c>
      <c r="I372" s="4"/>
      <c r="J372" s="22" t="s">
        <v>2308</v>
      </c>
      <c r="K372" s="110" t="s">
        <v>2308</v>
      </c>
      <c r="L372" s="22" t="s">
        <v>2308</v>
      </c>
      <c r="M372" s="22" t="s">
        <v>2308</v>
      </c>
      <c r="N372" s="22" t="s">
        <v>2308</v>
      </c>
      <c r="O372" s="22" t="s">
        <v>2308</v>
      </c>
      <c r="P372" s="22" t="s">
        <v>2308</v>
      </c>
      <c r="Q372" s="109" t="s">
        <v>2308</v>
      </c>
      <c r="R372" s="109" t="s">
        <v>2308</v>
      </c>
      <c r="S372" s="22" t="s">
        <v>2308</v>
      </c>
      <c r="T372" s="22" t="s">
        <v>2308</v>
      </c>
      <c r="U372" s="22" t="s">
        <v>2308</v>
      </c>
      <c r="V372" s="22" t="s">
        <v>2308</v>
      </c>
      <c r="W372" s="22" t="s">
        <v>2308</v>
      </c>
      <c r="X372" s="4" t="s">
        <v>2308</v>
      </c>
      <c r="Y372" s="4" t="s">
        <v>2308</v>
      </c>
      <c r="Z372" s="4" t="s">
        <v>2308</v>
      </c>
      <c r="AA372" s="5"/>
      <c r="AB372" s="5"/>
    </row>
    <row r="373" spans="1:28" ht="112" customHeight="1">
      <c r="A373" s="7" t="str">
        <f>'Reported burning'!A373</f>
        <v>27ap</v>
      </c>
      <c r="B373" s="7" t="str">
        <f>'Reported burning'!B373</f>
        <v>27ap.1</v>
      </c>
      <c r="C373" s="7" t="str">
        <f>'Reported burning'!C373</f>
        <v>Human, deliberate</v>
      </c>
      <c r="D373" s="7" t="str">
        <f>'Reported burning'!D373</f>
        <v>Forest clearance</v>
      </c>
      <c r="E373" s="7" t="str">
        <f>'Reported burning'!E373</f>
        <v>Cropping, Monoculture, Subsistence-oriented</v>
      </c>
      <c r="F373" s="7" t="str">
        <f>'Reported burning'!F373</f>
        <v>Forest</v>
      </c>
      <c r="G373" s="7" t="str">
        <f>'Reported burning'!G373</f>
        <v>ND</v>
      </c>
      <c r="H373" s="7" t="str">
        <f>'Reported burning'!H373</f>
        <v>Presence</v>
      </c>
      <c r="I373" s="4"/>
      <c r="J373" s="22" t="s">
        <v>2308</v>
      </c>
      <c r="K373" s="110" t="s">
        <v>2308</v>
      </c>
      <c r="L373" s="22" t="s">
        <v>2308</v>
      </c>
      <c r="M373" s="22" t="s">
        <v>2308</v>
      </c>
      <c r="N373" s="22" t="s">
        <v>2308</v>
      </c>
      <c r="O373" s="22" t="s">
        <v>2308</v>
      </c>
      <c r="P373" s="22" t="s">
        <v>2308</v>
      </c>
      <c r="Q373" s="109" t="s">
        <v>2308</v>
      </c>
      <c r="R373" s="109" t="s">
        <v>2308</v>
      </c>
      <c r="S373" s="22" t="s">
        <v>2308</v>
      </c>
      <c r="T373" s="22" t="s">
        <v>2308</v>
      </c>
      <c r="U373" s="22" t="s">
        <v>2308</v>
      </c>
      <c r="V373" s="22" t="s">
        <v>2308</v>
      </c>
      <c r="W373" s="22" t="s">
        <v>2308</v>
      </c>
      <c r="X373" s="4" t="s">
        <v>2308</v>
      </c>
      <c r="Y373" s="4" t="s">
        <v>2308</v>
      </c>
      <c r="Z373" s="4" t="s">
        <v>2308</v>
      </c>
      <c r="AA373" s="5"/>
      <c r="AB373" s="5"/>
    </row>
    <row r="374" spans="1:28" ht="112" customHeight="1">
      <c r="A374" s="7" t="str">
        <f>'Reported burning'!A374</f>
        <v>27aq</v>
      </c>
      <c r="B374" s="7" t="str">
        <f>'Reported burning'!B374</f>
        <v>27aq.1</v>
      </c>
      <c r="C374" s="7" t="str">
        <f>'Reported burning'!C374</f>
        <v>Human, deliberate</v>
      </c>
      <c r="D374" s="7" t="str">
        <f>'Reported burning'!D374</f>
        <v>Forest clearance</v>
      </c>
      <c r="E374" s="7" t="str">
        <f>'Reported burning'!E374</f>
        <v>Cropping, Monoculture, Subsistence-oriented</v>
      </c>
      <c r="F374" s="7" t="str">
        <f>'Reported burning'!F374</f>
        <v>Forest</v>
      </c>
      <c r="G374" s="7" t="str">
        <f>'Reported burning'!G374</f>
        <v>ND</v>
      </c>
      <c r="H374" s="7" t="str">
        <f>'Reported burning'!H374</f>
        <v>Presence</v>
      </c>
      <c r="I374" s="4"/>
      <c r="J374" s="22" t="s">
        <v>2308</v>
      </c>
      <c r="K374" s="110" t="s">
        <v>2308</v>
      </c>
      <c r="L374" s="22" t="s">
        <v>2308</v>
      </c>
      <c r="M374" s="22" t="s">
        <v>2308</v>
      </c>
      <c r="N374" s="22" t="s">
        <v>2308</v>
      </c>
      <c r="O374" s="22" t="s">
        <v>2308</v>
      </c>
      <c r="P374" s="22" t="s">
        <v>2308</v>
      </c>
      <c r="Q374" s="109" t="s">
        <v>2308</v>
      </c>
      <c r="R374" s="109" t="s">
        <v>2308</v>
      </c>
      <c r="S374" s="22" t="s">
        <v>2308</v>
      </c>
      <c r="T374" s="22" t="s">
        <v>2308</v>
      </c>
      <c r="U374" s="22" t="s">
        <v>2308</v>
      </c>
      <c r="V374" s="22" t="s">
        <v>2308</v>
      </c>
      <c r="W374" s="22" t="s">
        <v>2308</v>
      </c>
      <c r="X374" s="4" t="s">
        <v>2308</v>
      </c>
      <c r="Y374" s="4" t="s">
        <v>2308</v>
      </c>
      <c r="Z374" s="4" t="s">
        <v>2308</v>
      </c>
      <c r="AA374" s="5"/>
      <c r="AB374" s="5"/>
    </row>
    <row r="375" spans="1:28" ht="112" customHeight="1">
      <c r="A375" s="7" t="str">
        <f>'Reported burning'!A375</f>
        <v>27ar</v>
      </c>
      <c r="B375" s="7" t="str">
        <f>'Reported burning'!B375</f>
        <v>27ar.1</v>
      </c>
      <c r="C375" s="7" t="str">
        <f>'Reported burning'!C375</f>
        <v>Human, deliberate</v>
      </c>
      <c r="D375" s="7" t="str">
        <f>'Reported burning'!D375</f>
        <v>Forest clearance</v>
      </c>
      <c r="E375" s="7" t="str">
        <f>'Reported burning'!E375</f>
        <v>Cropping, Swidden</v>
      </c>
      <c r="F375" s="7" t="str">
        <f>'Reported burning'!F375</f>
        <v>Forest</v>
      </c>
      <c r="G375" s="7" t="str">
        <f>'Reported burning'!G375</f>
        <v>ND</v>
      </c>
      <c r="H375" s="7" t="str">
        <f>'Reported burning'!H375</f>
        <v>Presence</v>
      </c>
      <c r="I375" s="4"/>
      <c r="J375" s="22" t="s">
        <v>2308</v>
      </c>
      <c r="K375" s="110" t="s">
        <v>2308</v>
      </c>
      <c r="L375" s="22" t="s">
        <v>2308</v>
      </c>
      <c r="M375" s="22" t="s">
        <v>2308</v>
      </c>
      <c r="N375" s="22" t="s">
        <v>2308</v>
      </c>
      <c r="O375" s="22" t="s">
        <v>2308</v>
      </c>
      <c r="P375" s="22" t="s">
        <v>2308</v>
      </c>
      <c r="Q375" s="109" t="s">
        <v>2308</v>
      </c>
      <c r="R375" s="109" t="s">
        <v>2308</v>
      </c>
      <c r="S375" s="22" t="s">
        <v>2308</v>
      </c>
      <c r="T375" s="22" t="s">
        <v>2308</v>
      </c>
      <c r="U375" s="22" t="s">
        <v>2308</v>
      </c>
      <c r="V375" s="22" t="s">
        <v>2308</v>
      </c>
      <c r="W375" s="22" t="s">
        <v>2308</v>
      </c>
      <c r="X375" s="4" t="s">
        <v>2308</v>
      </c>
      <c r="Y375" s="4" t="s">
        <v>2308</v>
      </c>
      <c r="Z375" s="4" t="s">
        <v>2308</v>
      </c>
      <c r="AA375" s="5"/>
      <c r="AB375" s="5"/>
    </row>
    <row r="376" spans="1:28" ht="112" customHeight="1">
      <c r="A376" s="7" t="str">
        <f>'Reported burning'!A376</f>
        <v>27ar</v>
      </c>
      <c r="B376" s="7" t="str">
        <f>'Reported burning'!B376</f>
        <v>27ar.2</v>
      </c>
      <c r="C376" s="7" t="str">
        <f>'Reported burning'!C376</f>
        <v>Human, deliberate</v>
      </c>
      <c r="D376" s="7" t="str">
        <f>'Reported burning'!D376</f>
        <v>Crop field preparation</v>
      </c>
      <c r="E376" s="7" t="str">
        <f>'Reported burning'!E376</f>
        <v>Cropping, Swidden</v>
      </c>
      <c r="F376" s="7" t="str">
        <f>'Reported burning'!F376</f>
        <v>Secondary Vegetation</v>
      </c>
      <c r="G376" s="7" t="str">
        <f>'Reported burning'!G376</f>
        <v>ND</v>
      </c>
      <c r="H376" s="7" t="str">
        <f>'Reported burning'!H376</f>
        <v>Presence</v>
      </c>
      <c r="I376" s="4"/>
      <c r="J376" s="22" t="s">
        <v>2308</v>
      </c>
      <c r="K376" s="110" t="s">
        <v>2308</v>
      </c>
      <c r="L376" s="22" t="s">
        <v>2308</v>
      </c>
      <c r="M376" s="22" t="s">
        <v>2308</v>
      </c>
      <c r="N376" s="22" t="s">
        <v>2308</v>
      </c>
      <c r="O376" s="22" t="s">
        <v>2308</v>
      </c>
      <c r="P376" s="22" t="s">
        <v>2308</v>
      </c>
      <c r="Q376" s="109" t="s">
        <v>2308</v>
      </c>
      <c r="R376" s="109" t="s">
        <v>2308</v>
      </c>
      <c r="S376" s="22" t="s">
        <v>2308</v>
      </c>
      <c r="T376" s="22" t="s">
        <v>2308</v>
      </c>
      <c r="U376" s="22" t="s">
        <v>2308</v>
      </c>
      <c r="V376" s="22" t="s">
        <v>2308</v>
      </c>
      <c r="W376" s="22" t="s">
        <v>2308</v>
      </c>
      <c r="X376" s="4" t="s">
        <v>2308</v>
      </c>
      <c r="Y376" s="4" t="s">
        <v>2308</v>
      </c>
      <c r="Z376" s="4" t="s">
        <v>2308</v>
      </c>
      <c r="AA376" s="5"/>
      <c r="AB376" s="5"/>
    </row>
    <row r="377" spans="1:28" ht="112" customHeight="1">
      <c r="A377" s="7" t="str">
        <f>'Reported burning'!A377</f>
        <v>27ar</v>
      </c>
      <c r="B377" s="7" t="str">
        <f>'Reported burning'!B377</f>
        <v>27ar.3</v>
      </c>
      <c r="C377" s="7" t="str">
        <f>'Reported burning'!C377</f>
        <v>Human, deliberate</v>
      </c>
      <c r="D377" s="7" t="str">
        <f>'Reported burning'!D377</f>
        <v>Forest clearance</v>
      </c>
      <c r="E377" s="7" t="str">
        <f>'Reported burning'!E377</f>
        <v>Cropping, Monoculture, Subsistence-oriented</v>
      </c>
      <c r="F377" s="7" t="str">
        <f>'Reported burning'!F377</f>
        <v>Forest</v>
      </c>
      <c r="G377" s="7" t="str">
        <f>'Reported burning'!G377</f>
        <v>ND</v>
      </c>
      <c r="H377" s="7" t="str">
        <f>'Reported burning'!H377</f>
        <v>Presence</v>
      </c>
      <c r="I377" s="4"/>
      <c r="J377" s="22" t="s">
        <v>2308</v>
      </c>
      <c r="K377" s="110" t="s">
        <v>2308</v>
      </c>
      <c r="L377" s="22" t="s">
        <v>2308</v>
      </c>
      <c r="M377" s="22" t="s">
        <v>2308</v>
      </c>
      <c r="N377" s="22" t="s">
        <v>2308</v>
      </c>
      <c r="O377" s="22" t="s">
        <v>2308</v>
      </c>
      <c r="P377" s="22" t="s">
        <v>2308</v>
      </c>
      <c r="Q377" s="109" t="s">
        <v>2308</v>
      </c>
      <c r="R377" s="109" t="s">
        <v>2308</v>
      </c>
      <c r="S377" s="22" t="s">
        <v>2308</v>
      </c>
      <c r="T377" s="22" t="s">
        <v>2308</v>
      </c>
      <c r="U377" s="22" t="s">
        <v>2308</v>
      </c>
      <c r="V377" s="22" t="s">
        <v>2308</v>
      </c>
      <c r="W377" s="22" t="s">
        <v>2308</v>
      </c>
      <c r="X377" s="4" t="s">
        <v>2308</v>
      </c>
      <c r="Y377" s="4" t="s">
        <v>2308</v>
      </c>
      <c r="Z377" s="4" t="s">
        <v>2308</v>
      </c>
      <c r="AA377" s="5"/>
      <c r="AB377" s="5"/>
    </row>
    <row r="378" spans="1:28" ht="112" customHeight="1">
      <c r="A378" s="7" t="str">
        <f>'Reported burning'!A378</f>
        <v>27as</v>
      </c>
      <c r="B378" s="7" t="str">
        <f>'Reported burning'!B378</f>
        <v>27as.1</v>
      </c>
      <c r="C378" s="7" t="str">
        <f>'Reported burning'!C378</f>
        <v>Human, deliberate</v>
      </c>
      <c r="D378" s="7" t="str">
        <f>'Reported burning'!D378</f>
        <v>Forest clearance</v>
      </c>
      <c r="E378" s="7" t="str">
        <f>'Reported burning'!E378</f>
        <v>Cropping, Swidden</v>
      </c>
      <c r="F378" s="7" t="str">
        <f>'Reported burning'!F378</f>
        <v>Forest</v>
      </c>
      <c r="G378" s="7" t="str">
        <f>'Reported burning'!G378</f>
        <v>ND</v>
      </c>
      <c r="H378" s="7" t="str">
        <f>'Reported burning'!H378</f>
        <v>Presence</v>
      </c>
      <c r="I378" s="4"/>
      <c r="J378" s="22" t="s">
        <v>2308</v>
      </c>
      <c r="K378" s="110" t="s">
        <v>2308</v>
      </c>
      <c r="L378" s="22" t="s">
        <v>2308</v>
      </c>
      <c r="M378" s="22" t="s">
        <v>2308</v>
      </c>
      <c r="N378" s="22" t="s">
        <v>2308</v>
      </c>
      <c r="O378" s="22" t="s">
        <v>2308</v>
      </c>
      <c r="P378" s="22" t="s">
        <v>2308</v>
      </c>
      <c r="Q378" s="109" t="s">
        <v>2308</v>
      </c>
      <c r="R378" s="109" t="s">
        <v>2308</v>
      </c>
      <c r="S378" s="22" t="s">
        <v>2308</v>
      </c>
      <c r="T378" s="22" t="s">
        <v>2308</v>
      </c>
      <c r="U378" s="22" t="s">
        <v>2308</v>
      </c>
      <c r="V378" s="22" t="s">
        <v>2308</v>
      </c>
      <c r="W378" s="22" t="s">
        <v>2308</v>
      </c>
      <c r="X378" s="4" t="s">
        <v>2308</v>
      </c>
      <c r="Y378" s="4" t="s">
        <v>2308</v>
      </c>
      <c r="Z378" s="4" t="s">
        <v>2308</v>
      </c>
      <c r="AA378" s="5"/>
      <c r="AB378" s="5"/>
    </row>
    <row r="379" spans="1:28" ht="112" customHeight="1">
      <c r="A379" s="7" t="str">
        <f>'Reported burning'!A379</f>
        <v>27as</v>
      </c>
      <c r="B379" s="7" t="str">
        <f>'Reported burning'!B379</f>
        <v>27as.2</v>
      </c>
      <c r="C379" s="7" t="str">
        <f>'Reported burning'!C379</f>
        <v>Human, deliberate</v>
      </c>
      <c r="D379" s="7" t="str">
        <f>'Reported burning'!D379</f>
        <v>Crop field preparation</v>
      </c>
      <c r="E379" s="7" t="str">
        <f>'Reported burning'!E379</f>
        <v>Cropping, Swidden</v>
      </c>
      <c r="F379" s="7" t="str">
        <f>'Reported burning'!F379</f>
        <v>Secondary Vegetation</v>
      </c>
      <c r="G379" s="7" t="str">
        <f>'Reported burning'!G379</f>
        <v>ND</v>
      </c>
      <c r="H379" s="7" t="str">
        <f>'Reported burning'!H379</f>
        <v>Presence</v>
      </c>
      <c r="I379" s="4"/>
      <c r="J379" s="22" t="s">
        <v>2308</v>
      </c>
      <c r="K379" s="110" t="s">
        <v>2308</v>
      </c>
      <c r="L379" s="22" t="s">
        <v>2308</v>
      </c>
      <c r="M379" s="22" t="s">
        <v>2308</v>
      </c>
      <c r="N379" s="22" t="s">
        <v>2308</v>
      </c>
      <c r="O379" s="22" t="s">
        <v>2308</v>
      </c>
      <c r="P379" s="22" t="s">
        <v>2308</v>
      </c>
      <c r="Q379" s="109" t="s">
        <v>2308</v>
      </c>
      <c r="R379" s="109" t="s">
        <v>2308</v>
      </c>
      <c r="S379" s="22" t="s">
        <v>2308</v>
      </c>
      <c r="T379" s="22" t="s">
        <v>2308</v>
      </c>
      <c r="U379" s="22" t="s">
        <v>2308</v>
      </c>
      <c r="V379" s="22" t="s">
        <v>2308</v>
      </c>
      <c r="W379" s="22" t="s">
        <v>2308</v>
      </c>
      <c r="X379" s="4" t="s">
        <v>2308</v>
      </c>
      <c r="Y379" s="4" t="s">
        <v>2308</v>
      </c>
      <c r="Z379" s="4" t="s">
        <v>2308</v>
      </c>
      <c r="AA379" s="5"/>
      <c r="AB379" s="5"/>
    </row>
    <row r="380" spans="1:28" ht="112" customHeight="1">
      <c r="A380" s="7" t="str">
        <f>'Reported burning'!A380</f>
        <v>27as</v>
      </c>
      <c r="B380" s="7" t="str">
        <f>'Reported burning'!B380</f>
        <v>27as.3</v>
      </c>
      <c r="C380" s="7" t="str">
        <f>'Reported burning'!C380</f>
        <v>Human, deliberate</v>
      </c>
      <c r="D380" s="7" t="str">
        <f>'Reported burning'!D380</f>
        <v>Forest clearance</v>
      </c>
      <c r="E380" s="7" t="str">
        <f>'Reported burning'!E380</f>
        <v>Cropping, Monoculture, Subsistence-oriented</v>
      </c>
      <c r="F380" s="7" t="str">
        <f>'Reported burning'!F380</f>
        <v>Forest</v>
      </c>
      <c r="G380" s="7" t="str">
        <f>'Reported burning'!G380</f>
        <v>ND</v>
      </c>
      <c r="H380" s="7" t="str">
        <f>'Reported burning'!H380</f>
        <v>Presence</v>
      </c>
      <c r="I380" s="4"/>
      <c r="J380" s="22" t="s">
        <v>2308</v>
      </c>
      <c r="K380" s="110" t="s">
        <v>2308</v>
      </c>
      <c r="L380" s="22" t="s">
        <v>2308</v>
      </c>
      <c r="M380" s="22" t="s">
        <v>2308</v>
      </c>
      <c r="N380" s="22" t="s">
        <v>2308</v>
      </c>
      <c r="O380" s="22" t="s">
        <v>2308</v>
      </c>
      <c r="P380" s="22" t="s">
        <v>2308</v>
      </c>
      <c r="Q380" s="109" t="s">
        <v>2308</v>
      </c>
      <c r="R380" s="109" t="s">
        <v>2308</v>
      </c>
      <c r="S380" s="22" t="s">
        <v>2308</v>
      </c>
      <c r="T380" s="22" t="s">
        <v>2308</v>
      </c>
      <c r="U380" s="22" t="s">
        <v>2308</v>
      </c>
      <c r="V380" s="22" t="s">
        <v>2308</v>
      </c>
      <c r="W380" s="22" t="s">
        <v>2308</v>
      </c>
      <c r="X380" s="4" t="s">
        <v>2308</v>
      </c>
      <c r="Y380" s="4" t="s">
        <v>2308</v>
      </c>
      <c r="Z380" s="4" t="s">
        <v>2308</v>
      </c>
      <c r="AA380" s="5"/>
      <c r="AB380" s="5"/>
    </row>
    <row r="381" spans="1:28" ht="112" customHeight="1">
      <c r="A381" s="7" t="str">
        <f>'Reported burning'!A381</f>
        <v>27at</v>
      </c>
      <c r="B381" s="7" t="str">
        <f>'Reported burning'!B381</f>
        <v>27at.1</v>
      </c>
      <c r="C381" s="7" t="str">
        <f>'Reported burning'!C381</f>
        <v>Human, deliberate</v>
      </c>
      <c r="D381" s="7" t="str">
        <f>'Reported burning'!D381</f>
        <v>Forest clearance</v>
      </c>
      <c r="E381" s="7" t="str">
        <f>'Reported burning'!E381</f>
        <v>Cropping, Swidden</v>
      </c>
      <c r="F381" s="7" t="str">
        <f>'Reported burning'!F381</f>
        <v>Forest</v>
      </c>
      <c r="G381" s="7" t="str">
        <f>'Reported burning'!G381</f>
        <v>ND</v>
      </c>
      <c r="H381" s="7" t="str">
        <f>'Reported burning'!H381</f>
        <v>Presence</v>
      </c>
      <c r="I381" s="4"/>
      <c r="J381" s="22" t="s">
        <v>2308</v>
      </c>
      <c r="K381" s="110" t="s">
        <v>2308</v>
      </c>
      <c r="L381" s="22" t="s">
        <v>2308</v>
      </c>
      <c r="M381" s="22" t="s">
        <v>2308</v>
      </c>
      <c r="N381" s="22" t="s">
        <v>2308</v>
      </c>
      <c r="O381" s="22" t="s">
        <v>2308</v>
      </c>
      <c r="P381" s="22" t="s">
        <v>2308</v>
      </c>
      <c r="Q381" s="109" t="s">
        <v>2308</v>
      </c>
      <c r="R381" s="109" t="s">
        <v>2308</v>
      </c>
      <c r="S381" s="22" t="s">
        <v>2308</v>
      </c>
      <c r="T381" s="22" t="s">
        <v>2308</v>
      </c>
      <c r="U381" s="22" t="s">
        <v>2308</v>
      </c>
      <c r="V381" s="22" t="s">
        <v>2308</v>
      </c>
      <c r="W381" s="22" t="s">
        <v>2308</v>
      </c>
      <c r="X381" s="4" t="s">
        <v>2308</v>
      </c>
      <c r="Y381" s="4" t="s">
        <v>2308</v>
      </c>
      <c r="Z381" s="4" t="s">
        <v>2308</v>
      </c>
      <c r="AA381" s="5"/>
      <c r="AB381" s="5"/>
    </row>
    <row r="382" spans="1:28" ht="112" customHeight="1">
      <c r="A382" s="7" t="str">
        <f>'Reported burning'!A382</f>
        <v>27at</v>
      </c>
      <c r="B382" s="7" t="str">
        <f>'Reported burning'!B382</f>
        <v>27at.2</v>
      </c>
      <c r="C382" s="7" t="str">
        <f>'Reported burning'!C382</f>
        <v>Human, deliberate</v>
      </c>
      <c r="D382" s="7" t="str">
        <f>'Reported burning'!D382</f>
        <v>Crop field preparation</v>
      </c>
      <c r="E382" s="7" t="str">
        <f>'Reported burning'!E382</f>
        <v>Cropping, Swidden</v>
      </c>
      <c r="F382" s="7" t="str">
        <f>'Reported burning'!F382</f>
        <v>Secondary Vegetation</v>
      </c>
      <c r="G382" s="7" t="str">
        <f>'Reported burning'!G382</f>
        <v>ND</v>
      </c>
      <c r="H382" s="7" t="str">
        <f>'Reported burning'!H382</f>
        <v>Presence</v>
      </c>
      <c r="I382" s="4"/>
      <c r="J382" s="22" t="s">
        <v>2308</v>
      </c>
      <c r="K382" s="110" t="s">
        <v>2308</v>
      </c>
      <c r="L382" s="22" t="s">
        <v>2308</v>
      </c>
      <c r="M382" s="22" t="s">
        <v>2308</v>
      </c>
      <c r="N382" s="22" t="s">
        <v>2308</v>
      </c>
      <c r="O382" s="22" t="s">
        <v>2308</v>
      </c>
      <c r="P382" s="22" t="s">
        <v>2308</v>
      </c>
      <c r="Q382" s="109" t="s">
        <v>2308</v>
      </c>
      <c r="R382" s="109" t="s">
        <v>2308</v>
      </c>
      <c r="S382" s="22" t="s">
        <v>2308</v>
      </c>
      <c r="T382" s="22" t="s">
        <v>2308</v>
      </c>
      <c r="U382" s="22" t="s">
        <v>2308</v>
      </c>
      <c r="V382" s="22" t="s">
        <v>2308</v>
      </c>
      <c r="W382" s="22" t="s">
        <v>2308</v>
      </c>
      <c r="X382" s="4" t="s">
        <v>2308</v>
      </c>
      <c r="Y382" s="4" t="s">
        <v>2308</v>
      </c>
      <c r="Z382" s="4" t="s">
        <v>2308</v>
      </c>
      <c r="AA382" s="5"/>
      <c r="AB382" s="5"/>
    </row>
    <row r="383" spans="1:28" ht="112" customHeight="1">
      <c r="A383" s="7" t="str">
        <f>'Reported burning'!A383</f>
        <v>27au</v>
      </c>
      <c r="B383" s="7" t="str">
        <f>'Reported burning'!B383</f>
        <v>27au.1</v>
      </c>
      <c r="C383" s="7" t="str">
        <f>'Reported burning'!C383</f>
        <v>Human, deliberate</v>
      </c>
      <c r="D383" s="7" t="str">
        <f>'Reported burning'!D383</f>
        <v>Forest clearance</v>
      </c>
      <c r="E383" s="7" t="str">
        <f>'Reported burning'!E383</f>
        <v>Cropping, Swidden</v>
      </c>
      <c r="F383" s="7" t="str">
        <f>'Reported burning'!F383</f>
        <v>Forest</v>
      </c>
      <c r="G383" s="7" t="str">
        <f>'Reported burning'!G383</f>
        <v>ND</v>
      </c>
      <c r="H383" s="7" t="str">
        <f>'Reported burning'!H383</f>
        <v>Presence</v>
      </c>
      <c r="I383" s="4"/>
      <c r="J383" s="22" t="s">
        <v>2308</v>
      </c>
      <c r="K383" s="110" t="s">
        <v>2308</v>
      </c>
      <c r="L383" s="22" t="s">
        <v>2308</v>
      </c>
      <c r="M383" s="22" t="s">
        <v>2308</v>
      </c>
      <c r="N383" s="22" t="s">
        <v>2308</v>
      </c>
      <c r="O383" s="22" t="s">
        <v>2308</v>
      </c>
      <c r="P383" s="22" t="s">
        <v>2308</v>
      </c>
      <c r="Q383" s="109" t="s">
        <v>2308</v>
      </c>
      <c r="R383" s="109" t="s">
        <v>2308</v>
      </c>
      <c r="S383" s="22" t="s">
        <v>2308</v>
      </c>
      <c r="T383" s="22" t="s">
        <v>2308</v>
      </c>
      <c r="U383" s="22" t="s">
        <v>2308</v>
      </c>
      <c r="V383" s="22" t="s">
        <v>2308</v>
      </c>
      <c r="W383" s="22" t="s">
        <v>2308</v>
      </c>
      <c r="X383" s="4" t="s">
        <v>2308</v>
      </c>
      <c r="Y383" s="4" t="s">
        <v>2308</v>
      </c>
      <c r="Z383" s="4" t="s">
        <v>2308</v>
      </c>
      <c r="AA383" s="5"/>
      <c r="AB383" s="5"/>
    </row>
    <row r="384" spans="1:28" ht="112" customHeight="1">
      <c r="A384" s="7" t="str">
        <f>'Reported burning'!A384</f>
        <v>27au</v>
      </c>
      <c r="B384" s="7" t="str">
        <f>'Reported burning'!B384</f>
        <v>27au.2</v>
      </c>
      <c r="C384" s="7" t="str">
        <f>'Reported burning'!C384</f>
        <v>Human, deliberate</v>
      </c>
      <c r="D384" s="7" t="str">
        <f>'Reported burning'!D384</f>
        <v>Crop field preparation</v>
      </c>
      <c r="E384" s="7" t="str">
        <f>'Reported burning'!E384</f>
        <v>Cropping, Swidden</v>
      </c>
      <c r="F384" s="7" t="str">
        <f>'Reported burning'!F384</f>
        <v>Secondary Vegetation</v>
      </c>
      <c r="G384" s="7" t="str">
        <f>'Reported burning'!G384</f>
        <v>ND</v>
      </c>
      <c r="H384" s="7" t="str">
        <f>'Reported burning'!H384</f>
        <v>Presence</v>
      </c>
      <c r="I384" s="4"/>
      <c r="J384" s="22" t="s">
        <v>2308</v>
      </c>
      <c r="K384" s="110" t="s">
        <v>2308</v>
      </c>
      <c r="L384" s="22" t="s">
        <v>2308</v>
      </c>
      <c r="M384" s="22" t="s">
        <v>2308</v>
      </c>
      <c r="N384" s="22" t="s">
        <v>2308</v>
      </c>
      <c r="O384" s="22" t="s">
        <v>2308</v>
      </c>
      <c r="P384" s="22" t="s">
        <v>2308</v>
      </c>
      <c r="Q384" s="109" t="s">
        <v>2308</v>
      </c>
      <c r="R384" s="109" t="s">
        <v>2308</v>
      </c>
      <c r="S384" s="22" t="s">
        <v>2308</v>
      </c>
      <c r="T384" s="22" t="s">
        <v>2308</v>
      </c>
      <c r="U384" s="22" t="s">
        <v>2308</v>
      </c>
      <c r="V384" s="22" t="s">
        <v>2308</v>
      </c>
      <c r="W384" s="22" t="s">
        <v>2308</v>
      </c>
      <c r="X384" s="4" t="s">
        <v>2308</v>
      </c>
      <c r="Y384" s="4" t="s">
        <v>2308</v>
      </c>
      <c r="Z384" s="4" t="s">
        <v>2308</v>
      </c>
      <c r="AA384" s="5"/>
      <c r="AB384" s="5"/>
    </row>
    <row r="385" spans="1:28" ht="112" customHeight="1">
      <c r="A385" s="7" t="str">
        <f>'Reported burning'!A385</f>
        <v>27av</v>
      </c>
      <c r="B385" s="7" t="str">
        <f>'Reported burning'!B385</f>
        <v>27av.1</v>
      </c>
      <c r="C385" s="7" t="str">
        <f>'Reported burning'!C385</f>
        <v>Human, deliberate</v>
      </c>
      <c r="D385" s="7" t="str">
        <f>'Reported burning'!D385</f>
        <v>Forest clearance</v>
      </c>
      <c r="E385" s="7" t="str">
        <f>'Reported burning'!E385</f>
        <v>Cropping, Monoculture, Subsistence-oriented</v>
      </c>
      <c r="F385" s="7" t="str">
        <f>'Reported burning'!F385</f>
        <v>Forest</v>
      </c>
      <c r="G385" s="7" t="str">
        <f>'Reported burning'!G385</f>
        <v>ND</v>
      </c>
      <c r="H385" s="7" t="str">
        <f>'Reported burning'!H385</f>
        <v>Presence</v>
      </c>
      <c r="I385" s="4"/>
      <c r="J385" s="22" t="s">
        <v>2308</v>
      </c>
      <c r="K385" s="110" t="s">
        <v>2308</v>
      </c>
      <c r="L385" s="22" t="s">
        <v>2308</v>
      </c>
      <c r="M385" s="22" t="s">
        <v>2308</v>
      </c>
      <c r="N385" s="22" t="s">
        <v>2308</v>
      </c>
      <c r="O385" s="22" t="s">
        <v>2308</v>
      </c>
      <c r="P385" s="22" t="s">
        <v>2308</v>
      </c>
      <c r="Q385" s="109" t="s">
        <v>2308</v>
      </c>
      <c r="R385" s="109" t="s">
        <v>2308</v>
      </c>
      <c r="S385" s="22" t="s">
        <v>2308</v>
      </c>
      <c r="T385" s="22" t="s">
        <v>2308</v>
      </c>
      <c r="U385" s="22" t="s">
        <v>2308</v>
      </c>
      <c r="V385" s="22" t="s">
        <v>2308</v>
      </c>
      <c r="W385" s="22" t="s">
        <v>2308</v>
      </c>
      <c r="X385" s="4" t="s">
        <v>2308</v>
      </c>
      <c r="Y385" s="4" t="s">
        <v>2308</v>
      </c>
      <c r="Z385" s="4" t="s">
        <v>2308</v>
      </c>
      <c r="AA385" s="5"/>
      <c r="AB385" s="5"/>
    </row>
    <row r="386" spans="1:28" ht="112" customHeight="1">
      <c r="A386" s="7" t="str">
        <f>'Reported burning'!A386</f>
        <v>27aw</v>
      </c>
      <c r="B386" s="7" t="str">
        <f>'Reported burning'!B386</f>
        <v>27aw.1</v>
      </c>
      <c r="C386" s="7" t="str">
        <f>'Reported burning'!C386</f>
        <v>Human, deliberate</v>
      </c>
      <c r="D386" s="7" t="str">
        <f>'Reported burning'!D386</f>
        <v>Forest clearance</v>
      </c>
      <c r="E386" s="7" t="str">
        <f>'Reported burning'!E386</f>
        <v>Cropping, Monoculture, Subsistence-oriented</v>
      </c>
      <c r="F386" s="7" t="str">
        <f>'Reported burning'!F386</f>
        <v>Forest</v>
      </c>
      <c r="G386" s="7" t="str">
        <f>'Reported burning'!G386</f>
        <v>ND</v>
      </c>
      <c r="H386" s="7" t="str">
        <f>'Reported burning'!H386</f>
        <v>Presence</v>
      </c>
      <c r="I386" s="4"/>
      <c r="J386" s="22" t="s">
        <v>2308</v>
      </c>
      <c r="K386" s="110" t="s">
        <v>2308</v>
      </c>
      <c r="L386" s="22" t="s">
        <v>2308</v>
      </c>
      <c r="M386" s="22" t="s">
        <v>2308</v>
      </c>
      <c r="N386" s="22" t="s">
        <v>2308</v>
      </c>
      <c r="O386" s="22" t="s">
        <v>2308</v>
      </c>
      <c r="P386" s="22" t="s">
        <v>2308</v>
      </c>
      <c r="Q386" s="109" t="s">
        <v>2308</v>
      </c>
      <c r="R386" s="109" t="s">
        <v>2308</v>
      </c>
      <c r="S386" s="22" t="s">
        <v>2308</v>
      </c>
      <c r="T386" s="22" t="s">
        <v>2308</v>
      </c>
      <c r="U386" s="22" t="s">
        <v>2308</v>
      </c>
      <c r="V386" s="22" t="s">
        <v>2308</v>
      </c>
      <c r="W386" s="22" t="s">
        <v>2308</v>
      </c>
      <c r="X386" s="4" t="s">
        <v>2308</v>
      </c>
      <c r="Y386" s="4" t="s">
        <v>2308</v>
      </c>
      <c r="Z386" s="4" t="s">
        <v>2308</v>
      </c>
      <c r="AA386" s="5"/>
      <c r="AB386" s="5"/>
    </row>
    <row r="387" spans="1:28" ht="67" customHeight="1">
      <c r="A387" s="7" t="str">
        <f>'Reported burning'!A387</f>
        <v>28a</v>
      </c>
      <c r="B387" s="7" t="str">
        <f>'Reported burning'!B387</f>
        <v>28a.1</v>
      </c>
      <c r="C387" s="7" t="str">
        <f>'Reported burning'!C387</f>
        <v>Human, deliberate</v>
      </c>
      <c r="D387" s="7" t="str">
        <f>'Reported burning'!D387</f>
        <v>Crop field preparation</v>
      </c>
      <c r="E387" s="7" t="str">
        <f>'Reported burning'!E387</f>
        <v>Cropping, Swidden</v>
      </c>
      <c r="F387" s="7" t="str">
        <f>'Reported burning'!F387</f>
        <v>Secondary Vegetation</v>
      </c>
      <c r="G387" s="7" t="str">
        <f>'Reported burning'!G387</f>
        <v>ND</v>
      </c>
      <c r="H387" s="7" t="str">
        <f>'Reported burning'!H387</f>
        <v>Presence</v>
      </c>
      <c r="I387" s="4">
        <v>1996</v>
      </c>
      <c r="J387" s="22" t="s">
        <v>2308</v>
      </c>
      <c r="K387" s="110" t="s">
        <v>2308</v>
      </c>
      <c r="L387" s="22" t="s">
        <v>2308</v>
      </c>
      <c r="M387" s="22" t="s">
        <v>2308</v>
      </c>
      <c r="N387" s="22" t="s">
        <v>2308</v>
      </c>
      <c r="O387" s="22" t="s">
        <v>2308</v>
      </c>
      <c r="P387" s="22" t="s">
        <v>2308</v>
      </c>
      <c r="Q387" s="109" t="s">
        <v>2308</v>
      </c>
      <c r="R387" s="109" t="s">
        <v>2308</v>
      </c>
      <c r="S387" s="22" t="s">
        <v>2308</v>
      </c>
      <c r="T387" s="22" t="s">
        <v>2308</v>
      </c>
      <c r="U387" s="22" t="s">
        <v>2308</v>
      </c>
      <c r="V387" s="22" t="s">
        <v>2560</v>
      </c>
      <c r="W387" s="22" t="s">
        <v>2308</v>
      </c>
      <c r="X387" s="4" t="s">
        <v>412</v>
      </c>
      <c r="Y387" s="4" t="s">
        <v>432</v>
      </c>
      <c r="Z387" s="4" t="s">
        <v>2308</v>
      </c>
      <c r="AA387" s="5" t="s">
        <v>1897</v>
      </c>
      <c r="AB387" s="5" t="s">
        <v>1892</v>
      </c>
    </row>
    <row r="388" spans="1:28" ht="67" customHeight="1">
      <c r="A388" s="7" t="str">
        <f>'Reported burning'!A388</f>
        <v>28a</v>
      </c>
      <c r="B388" s="7" t="str">
        <f>'Reported burning'!B388</f>
        <v>28a.2</v>
      </c>
      <c r="C388" s="7" t="str">
        <f>'Reported burning'!C388</f>
        <v>Human, deliberate</v>
      </c>
      <c r="D388" s="7" t="str">
        <f>'Reported burning'!D388</f>
        <v>Forest clearance</v>
      </c>
      <c r="E388" s="7" t="str">
        <f>'Reported burning'!E388</f>
        <v>Cropping, Swidden</v>
      </c>
      <c r="F388" s="7" t="str">
        <f>'Reported burning'!F388</f>
        <v>Forest</v>
      </c>
      <c r="G388" s="7" t="str">
        <f>'Reported burning'!G388</f>
        <v>Forest</v>
      </c>
      <c r="H388" s="7" t="str">
        <f>'Reported burning'!H388</f>
        <v>Presence</v>
      </c>
      <c r="I388" s="4">
        <v>1996</v>
      </c>
      <c r="J388" s="22" t="s">
        <v>2308</v>
      </c>
      <c r="K388" s="110" t="s">
        <v>2308</v>
      </c>
      <c r="L388" s="22" t="s">
        <v>2394</v>
      </c>
      <c r="M388" s="22" t="s">
        <v>2308</v>
      </c>
      <c r="N388" s="22" t="s">
        <v>2409</v>
      </c>
      <c r="O388" s="22" t="s">
        <v>2308</v>
      </c>
      <c r="P388" s="22" t="s">
        <v>2405</v>
      </c>
      <c r="Q388" s="109" t="s">
        <v>2308</v>
      </c>
      <c r="R388" s="109" t="s">
        <v>2308</v>
      </c>
      <c r="S388" s="22" t="s">
        <v>2308</v>
      </c>
      <c r="T388" s="22" t="s">
        <v>2308</v>
      </c>
      <c r="U388" s="22" t="s">
        <v>2308</v>
      </c>
      <c r="V388" s="22" t="s">
        <v>2560</v>
      </c>
      <c r="W388" s="22" t="s">
        <v>2308</v>
      </c>
      <c r="X388" s="4" t="s">
        <v>412</v>
      </c>
      <c r="Y388" s="4" t="s">
        <v>432</v>
      </c>
      <c r="Z388" s="4" t="s">
        <v>2308</v>
      </c>
      <c r="AA388" s="5" t="s">
        <v>1893</v>
      </c>
      <c r="AB388" s="5" t="s">
        <v>1895</v>
      </c>
    </row>
    <row r="389" spans="1:28" ht="67" customHeight="1">
      <c r="A389" s="7" t="str">
        <f>'Reported burning'!A389</f>
        <v>28a</v>
      </c>
      <c r="B389" s="7" t="str">
        <f>'Reported burning'!B389</f>
        <v>28a.3</v>
      </c>
      <c r="C389" s="7" t="str">
        <f>'Reported burning'!C389</f>
        <v>Human, deliberate</v>
      </c>
      <c r="D389" s="7" t="str">
        <f>'Reported burning'!D389</f>
        <v>Forest clearance</v>
      </c>
      <c r="E389" s="7" t="str">
        <f>'Reported burning'!E389</f>
        <v>Cropping, Monoculture, Market-oriented</v>
      </c>
      <c r="F389" s="7" t="str">
        <f>'Reported burning'!F389</f>
        <v>Forest</v>
      </c>
      <c r="G389" s="7" t="str">
        <f>'Reported burning'!G389</f>
        <v>Forest</v>
      </c>
      <c r="H389" s="7" t="str">
        <f>'Reported burning'!H389</f>
        <v>Presence</v>
      </c>
      <c r="I389" s="4">
        <v>1996</v>
      </c>
      <c r="J389" s="22" t="s">
        <v>2308</v>
      </c>
      <c r="K389" s="110" t="s">
        <v>2308</v>
      </c>
      <c r="L389" s="22" t="s">
        <v>2394</v>
      </c>
      <c r="M389" s="22" t="s">
        <v>2308</v>
      </c>
      <c r="N389" s="22" t="s">
        <v>2409</v>
      </c>
      <c r="O389" s="22" t="s">
        <v>2308</v>
      </c>
      <c r="P389" s="22" t="s">
        <v>2405</v>
      </c>
      <c r="Q389" s="109" t="s">
        <v>2308</v>
      </c>
      <c r="R389" s="109" t="s">
        <v>2308</v>
      </c>
      <c r="S389" s="22" t="s">
        <v>2308</v>
      </c>
      <c r="T389" s="22" t="s">
        <v>2308</v>
      </c>
      <c r="U389" s="22" t="s">
        <v>2308</v>
      </c>
      <c r="V389" s="22" t="s">
        <v>2560</v>
      </c>
      <c r="W389" s="22" t="s">
        <v>2308</v>
      </c>
      <c r="X389" s="4" t="s">
        <v>412</v>
      </c>
      <c r="Y389" s="4" t="s">
        <v>432</v>
      </c>
      <c r="Z389" s="4" t="s">
        <v>2308</v>
      </c>
      <c r="AA389" s="5" t="s">
        <v>1893</v>
      </c>
      <c r="AB389" s="5" t="s">
        <v>1895</v>
      </c>
    </row>
    <row r="390" spans="1:28" ht="98.5" customHeight="1">
      <c r="A390" s="7" t="str">
        <f>'Reported burning'!A390</f>
        <v>28a</v>
      </c>
      <c r="B390" s="7" t="str">
        <f>'Reported burning'!B390</f>
        <v>28a.4</v>
      </c>
      <c r="C390" s="7" t="str">
        <f>'Reported burning'!C390</f>
        <v>Human, deliberate</v>
      </c>
      <c r="D390" s="7" t="str">
        <f>'Reported burning'!D390</f>
        <v>Pasture renewal</v>
      </c>
      <c r="E390" s="7" t="str">
        <f>'Reported burning'!E390</f>
        <v>Cattle, Extensive</v>
      </c>
      <c r="F390" s="7" t="str">
        <f>'Reported burning'!F390</f>
        <v>Pasture</v>
      </c>
      <c r="G390" s="7" t="str">
        <f>'Reported burning'!G390</f>
        <v>ND</v>
      </c>
      <c r="H390" s="7" t="str">
        <f>'Reported burning'!H390</f>
        <v>Presence</v>
      </c>
      <c r="I390" s="4">
        <v>1996</v>
      </c>
      <c r="J390" s="22" t="s">
        <v>2308</v>
      </c>
      <c r="K390" s="110" t="s">
        <v>2308</v>
      </c>
      <c r="L390" s="22" t="s">
        <v>2308</v>
      </c>
      <c r="M390" s="22" t="s">
        <v>2410</v>
      </c>
      <c r="N390" s="22" t="s">
        <v>2308</v>
      </c>
      <c r="O390" s="22" t="s">
        <v>2308</v>
      </c>
      <c r="P390" s="22" t="s">
        <v>2308</v>
      </c>
      <c r="Q390" s="22" t="s">
        <v>2308</v>
      </c>
      <c r="R390" s="109" t="s">
        <v>2308</v>
      </c>
      <c r="S390" s="22" t="s">
        <v>2308</v>
      </c>
      <c r="T390" s="22" t="s">
        <v>2427</v>
      </c>
      <c r="U390" s="22" t="s">
        <v>2308</v>
      </c>
      <c r="V390" s="22" t="s">
        <v>2421</v>
      </c>
      <c r="W390" s="22" t="s">
        <v>2308</v>
      </c>
      <c r="X390" s="4" t="s">
        <v>412</v>
      </c>
      <c r="Y390" s="4" t="s">
        <v>432</v>
      </c>
      <c r="Z390" s="4" t="s">
        <v>2308</v>
      </c>
      <c r="AA390" s="5" t="s">
        <v>1896</v>
      </c>
      <c r="AB390" s="5" t="s">
        <v>5093</v>
      </c>
    </row>
    <row r="391" spans="1:28" ht="59.5" customHeight="1">
      <c r="A391" s="7" t="str">
        <f>'Reported burning'!A391</f>
        <v>28b</v>
      </c>
      <c r="B391" s="7" t="str">
        <f>'Reported burning'!B391</f>
        <v>28b.1</v>
      </c>
      <c r="C391" s="7" t="str">
        <f>'Reported burning'!C391</f>
        <v>Human, deliberate</v>
      </c>
      <c r="D391" s="7" t="str">
        <f>'Reported burning'!D391</f>
        <v>Crop field preparation</v>
      </c>
      <c r="E391" s="7" t="str">
        <f>'Reported burning'!E391</f>
        <v>Cropping, Swidden</v>
      </c>
      <c r="F391" s="7" t="str">
        <f>'Reported burning'!F391</f>
        <v>Secondary Vegetation</v>
      </c>
      <c r="G391" s="7" t="str">
        <f>'Reported burning'!G391</f>
        <v>ND</v>
      </c>
      <c r="H391" s="7" t="str">
        <f>'Reported burning'!H391</f>
        <v>Presence</v>
      </c>
      <c r="I391" s="4">
        <v>1996</v>
      </c>
      <c r="J391" s="22" t="s">
        <v>2308</v>
      </c>
      <c r="K391" s="110" t="s">
        <v>2308</v>
      </c>
      <c r="L391" s="22" t="s">
        <v>2308</v>
      </c>
      <c r="M391" s="22" t="s">
        <v>2308</v>
      </c>
      <c r="N391" s="22" t="s">
        <v>2308</v>
      </c>
      <c r="O391" s="22" t="s">
        <v>2308</v>
      </c>
      <c r="P391" s="22" t="s">
        <v>2308</v>
      </c>
      <c r="Q391" s="109" t="s">
        <v>2308</v>
      </c>
      <c r="R391" s="109" t="s">
        <v>2308</v>
      </c>
      <c r="S391" s="22" t="s">
        <v>2308</v>
      </c>
      <c r="T391" s="22" t="s">
        <v>2308</v>
      </c>
      <c r="U391" s="22" t="s">
        <v>2308</v>
      </c>
      <c r="V391" s="22" t="s">
        <v>2308</v>
      </c>
      <c r="W391" s="22" t="s">
        <v>2308</v>
      </c>
      <c r="X391" s="4" t="s">
        <v>412</v>
      </c>
      <c r="Y391" s="4" t="s">
        <v>432</v>
      </c>
      <c r="Z391" s="4" t="s">
        <v>2308</v>
      </c>
      <c r="AA391" s="5" t="s">
        <v>1897</v>
      </c>
      <c r="AB391" s="5" t="s">
        <v>1892</v>
      </c>
    </row>
    <row r="392" spans="1:28" ht="62" customHeight="1">
      <c r="A392" s="7" t="str">
        <f>'Reported burning'!A392</f>
        <v>28b</v>
      </c>
      <c r="B392" s="7" t="str">
        <f>'Reported burning'!B392</f>
        <v>28b.2</v>
      </c>
      <c r="C392" s="7" t="str">
        <f>'Reported burning'!C392</f>
        <v>Human, deliberate</v>
      </c>
      <c r="D392" s="7" t="str">
        <f>'Reported burning'!D392</f>
        <v>Forest clearance</v>
      </c>
      <c r="E392" s="7" t="str">
        <f>'Reported burning'!E392</f>
        <v>Cropping, Swidden</v>
      </c>
      <c r="F392" s="7" t="str">
        <f>'Reported burning'!F392</f>
        <v>Forest</v>
      </c>
      <c r="G392" s="7" t="str">
        <f>'Reported burning'!G392</f>
        <v>Forest</v>
      </c>
      <c r="H392" s="7" t="str">
        <f>'Reported burning'!H392</f>
        <v>Presence</v>
      </c>
      <c r="I392" s="4">
        <v>1996</v>
      </c>
      <c r="J392" s="22" t="s">
        <v>2308</v>
      </c>
      <c r="K392" s="110" t="s">
        <v>2308</v>
      </c>
      <c r="L392" s="22" t="s">
        <v>2394</v>
      </c>
      <c r="M392" s="22" t="s">
        <v>2308</v>
      </c>
      <c r="N392" s="22" t="s">
        <v>2409</v>
      </c>
      <c r="O392" s="22" t="s">
        <v>2308</v>
      </c>
      <c r="P392" s="22" t="s">
        <v>2405</v>
      </c>
      <c r="Q392" s="109" t="s">
        <v>2308</v>
      </c>
      <c r="R392" s="109" t="s">
        <v>2308</v>
      </c>
      <c r="S392" s="22" t="s">
        <v>2308</v>
      </c>
      <c r="T392" s="22" t="s">
        <v>2308</v>
      </c>
      <c r="U392" s="22" t="s">
        <v>2308</v>
      </c>
      <c r="V392" s="22" t="s">
        <v>2560</v>
      </c>
      <c r="W392" s="22" t="s">
        <v>2308</v>
      </c>
      <c r="X392" s="4" t="s">
        <v>412</v>
      </c>
      <c r="Y392" s="4" t="s">
        <v>432</v>
      </c>
      <c r="Z392" s="4" t="s">
        <v>2308</v>
      </c>
      <c r="AA392" s="5" t="s">
        <v>1893</v>
      </c>
      <c r="AB392" s="5" t="s">
        <v>1895</v>
      </c>
    </row>
    <row r="393" spans="1:28" ht="62" customHeight="1">
      <c r="A393" s="7" t="str">
        <f>'Reported burning'!A393</f>
        <v>28b</v>
      </c>
      <c r="B393" s="7" t="str">
        <f>'Reported burning'!B393</f>
        <v>28b.3</v>
      </c>
      <c r="C393" s="7" t="str">
        <f>'Reported burning'!C393</f>
        <v>Human, deliberate</v>
      </c>
      <c r="D393" s="7" t="str">
        <f>'Reported burning'!D393</f>
        <v>Forest clearance</v>
      </c>
      <c r="E393" s="7" t="str">
        <f>'Reported burning'!E393</f>
        <v>Cropping, Monoculture, Market-oriented</v>
      </c>
      <c r="F393" s="7" t="str">
        <f>'Reported burning'!F393</f>
        <v>Forest</v>
      </c>
      <c r="G393" s="7" t="str">
        <f>'Reported burning'!G393</f>
        <v>ND</v>
      </c>
      <c r="H393" s="7" t="str">
        <f>'Reported burning'!H393</f>
        <v>Presence</v>
      </c>
      <c r="I393" s="4">
        <v>1996</v>
      </c>
      <c r="J393" s="22" t="s">
        <v>2308</v>
      </c>
      <c r="K393" s="110" t="s">
        <v>2308</v>
      </c>
      <c r="L393" s="22" t="s">
        <v>2394</v>
      </c>
      <c r="M393" s="22" t="s">
        <v>2308</v>
      </c>
      <c r="N393" s="22" t="s">
        <v>2409</v>
      </c>
      <c r="O393" s="22" t="s">
        <v>2308</v>
      </c>
      <c r="P393" s="22" t="s">
        <v>2405</v>
      </c>
      <c r="Q393" s="109" t="s">
        <v>2308</v>
      </c>
      <c r="R393" s="109" t="s">
        <v>2308</v>
      </c>
      <c r="S393" s="22" t="s">
        <v>2308</v>
      </c>
      <c r="T393" s="22" t="s">
        <v>2308</v>
      </c>
      <c r="U393" s="22" t="s">
        <v>2308</v>
      </c>
      <c r="V393" s="22" t="s">
        <v>2560</v>
      </c>
      <c r="W393" s="22" t="s">
        <v>2308</v>
      </c>
      <c r="X393" s="4" t="s">
        <v>412</v>
      </c>
      <c r="Y393" s="4" t="s">
        <v>432</v>
      </c>
      <c r="Z393" s="4" t="s">
        <v>2308</v>
      </c>
      <c r="AA393" s="5" t="s">
        <v>1893</v>
      </c>
      <c r="AB393" s="5" t="s">
        <v>1895</v>
      </c>
    </row>
    <row r="394" spans="1:28" ht="84" customHeight="1">
      <c r="A394" s="7" t="str">
        <f>'Reported burning'!A394</f>
        <v>28b</v>
      </c>
      <c r="B394" s="7" t="str">
        <f>'Reported burning'!B394</f>
        <v>28b.3</v>
      </c>
      <c r="C394" s="7" t="str">
        <f>'Reported burning'!C394</f>
        <v>Human, deliberate</v>
      </c>
      <c r="D394" s="7" t="str">
        <f>'Reported burning'!D394</f>
        <v>Pasture renewal</v>
      </c>
      <c r="E394" s="7" t="str">
        <f>'Reported burning'!E394</f>
        <v>Cattle, Extensive</v>
      </c>
      <c r="F394" s="7" t="str">
        <f>'Reported burning'!F394</f>
        <v>Pasture</v>
      </c>
      <c r="G394" s="7" t="str">
        <f>'Reported burning'!G394</f>
        <v>ND</v>
      </c>
      <c r="H394" s="7" t="str">
        <f>'Reported burning'!H394</f>
        <v>Presence</v>
      </c>
      <c r="I394" s="4">
        <v>1996</v>
      </c>
      <c r="J394" s="22" t="s">
        <v>2308</v>
      </c>
      <c r="K394" s="110" t="s">
        <v>2308</v>
      </c>
      <c r="L394" s="22" t="s">
        <v>2308</v>
      </c>
      <c r="M394" s="22" t="s">
        <v>2410</v>
      </c>
      <c r="N394" s="22" t="s">
        <v>2308</v>
      </c>
      <c r="O394" s="22" t="s">
        <v>2308</v>
      </c>
      <c r="P394" s="22" t="s">
        <v>2308</v>
      </c>
      <c r="Q394" s="22" t="s">
        <v>2308</v>
      </c>
      <c r="R394" s="109" t="s">
        <v>2308</v>
      </c>
      <c r="S394" s="22" t="s">
        <v>2308</v>
      </c>
      <c r="T394" s="22" t="s">
        <v>2427</v>
      </c>
      <c r="U394" s="22" t="s">
        <v>2308</v>
      </c>
      <c r="V394" s="22" t="s">
        <v>2421</v>
      </c>
      <c r="W394" s="22" t="s">
        <v>2308</v>
      </c>
      <c r="X394" s="4" t="s">
        <v>412</v>
      </c>
      <c r="Y394" s="4" t="s">
        <v>432</v>
      </c>
      <c r="Z394" s="4" t="s">
        <v>2308</v>
      </c>
      <c r="AA394" s="5" t="s">
        <v>1896</v>
      </c>
      <c r="AB394" s="5" t="s">
        <v>5093</v>
      </c>
    </row>
    <row r="395" spans="1:28" ht="56" customHeight="1">
      <c r="A395" s="7" t="str">
        <f>'Reported burning'!A395</f>
        <v>29a</v>
      </c>
      <c r="B395" s="7" t="str">
        <f>'Reported burning'!B395</f>
        <v>29a.1</v>
      </c>
      <c r="C395" s="7" t="str">
        <f>'Reported burning'!C395</f>
        <v>Human, deliberate</v>
      </c>
      <c r="D395" s="7" t="str">
        <f>'Reported burning'!D395</f>
        <v>Crop field preparation</v>
      </c>
      <c r="E395" s="7" t="str">
        <f>'Reported burning'!E395</f>
        <v>Cropping, Swidden</v>
      </c>
      <c r="F395" s="7" t="str">
        <f>'Reported burning'!F395</f>
        <v>Secondary Vegetation</v>
      </c>
      <c r="G395" s="7" t="str">
        <f>'Reported burning'!G395</f>
        <v>ND</v>
      </c>
      <c r="H395" s="7" t="str">
        <f>'Reported burning'!H395</f>
        <v>Absence</v>
      </c>
      <c r="I395" s="4"/>
      <c r="J395" s="22" t="s">
        <v>2396</v>
      </c>
      <c r="K395" s="110" t="s">
        <v>2396</v>
      </c>
      <c r="L395" s="22" t="s">
        <v>2396</v>
      </c>
      <c r="M395" s="22" t="s">
        <v>2396</v>
      </c>
      <c r="N395" s="22" t="s">
        <v>2396</v>
      </c>
      <c r="O395" s="22" t="s">
        <v>2396</v>
      </c>
      <c r="P395" s="22" t="s">
        <v>2396</v>
      </c>
      <c r="Q395" s="109" t="s">
        <v>2308</v>
      </c>
      <c r="R395" s="109" t="s">
        <v>2308</v>
      </c>
      <c r="S395" s="22" t="s">
        <v>2396</v>
      </c>
      <c r="T395" s="22" t="s">
        <v>2396</v>
      </c>
      <c r="U395" s="22" t="s">
        <v>2396</v>
      </c>
      <c r="V395" s="22" t="s">
        <v>2396</v>
      </c>
      <c r="W395" s="22" t="s">
        <v>2308</v>
      </c>
      <c r="X395" s="4" t="s">
        <v>2308</v>
      </c>
      <c r="Y395" s="4" t="s">
        <v>2308</v>
      </c>
      <c r="Z395" s="4" t="s">
        <v>2308</v>
      </c>
      <c r="AA395" s="5" t="s">
        <v>1983</v>
      </c>
      <c r="AB395" s="5"/>
    </row>
    <row r="396" spans="1:28" ht="56" customHeight="1">
      <c r="A396" s="7" t="str">
        <f>'Reported burning'!A396</f>
        <v>29b</v>
      </c>
      <c r="B396" s="7" t="str">
        <f>'Reported burning'!B396</f>
        <v>29b.1</v>
      </c>
      <c r="C396" s="7" t="str">
        <f>'Reported burning'!C396</f>
        <v>Human, deliberate</v>
      </c>
      <c r="D396" s="7" t="str">
        <f>'Reported burning'!D396</f>
        <v>Crop field preparation</v>
      </c>
      <c r="E396" s="7" t="str">
        <f>'Reported burning'!E396</f>
        <v>Cropping, Swidden</v>
      </c>
      <c r="F396" s="7" t="str">
        <f>'Reported burning'!F396</f>
        <v>Secondary Vegetation</v>
      </c>
      <c r="G396" s="7" t="str">
        <f>'Reported burning'!G396</f>
        <v>ND</v>
      </c>
      <c r="H396" s="7" t="str">
        <f>'Reported burning'!H396</f>
        <v>Absence</v>
      </c>
      <c r="I396" s="4"/>
      <c r="J396" s="22" t="s">
        <v>2396</v>
      </c>
      <c r="K396" s="110" t="s">
        <v>2396</v>
      </c>
      <c r="L396" s="22" t="s">
        <v>2396</v>
      </c>
      <c r="M396" s="22" t="s">
        <v>2396</v>
      </c>
      <c r="N396" s="22" t="s">
        <v>2396</v>
      </c>
      <c r="O396" s="22" t="s">
        <v>2396</v>
      </c>
      <c r="P396" s="22" t="s">
        <v>2396</v>
      </c>
      <c r="Q396" s="109" t="s">
        <v>2308</v>
      </c>
      <c r="R396" s="109" t="s">
        <v>2308</v>
      </c>
      <c r="S396" s="22" t="s">
        <v>2396</v>
      </c>
      <c r="T396" s="22" t="s">
        <v>2396</v>
      </c>
      <c r="U396" s="22" t="s">
        <v>2396</v>
      </c>
      <c r="V396" s="22" t="s">
        <v>2396</v>
      </c>
      <c r="W396" s="22" t="s">
        <v>2308</v>
      </c>
      <c r="X396" s="4" t="s">
        <v>2308</v>
      </c>
      <c r="Y396" s="4" t="s">
        <v>2308</v>
      </c>
      <c r="Z396" s="4" t="s">
        <v>2308</v>
      </c>
      <c r="AA396" s="5" t="s">
        <v>1983</v>
      </c>
      <c r="AB396" s="5"/>
    </row>
    <row r="397" spans="1:28" ht="56" customHeight="1">
      <c r="A397" s="7" t="str">
        <f>'Reported burning'!A397</f>
        <v>29c</v>
      </c>
      <c r="B397" s="7" t="str">
        <f>'Reported burning'!B397</f>
        <v>29c.1</v>
      </c>
      <c r="C397" s="7" t="str">
        <f>'Reported burning'!C397</f>
        <v>Human, deliberate</v>
      </c>
      <c r="D397" s="7" t="str">
        <f>'Reported burning'!D397</f>
        <v>Crop field preparation</v>
      </c>
      <c r="E397" s="7" t="str">
        <f>'Reported burning'!E397</f>
        <v>Cropping, Swidden</v>
      </c>
      <c r="F397" s="7" t="str">
        <f>'Reported burning'!F397</f>
        <v>Secondary Vegetation</v>
      </c>
      <c r="G397" s="7" t="str">
        <f>'Reported burning'!G397</f>
        <v>ND</v>
      </c>
      <c r="H397" s="7" t="str">
        <f>'Reported burning'!H397</f>
        <v>Absence</v>
      </c>
      <c r="I397" s="4"/>
      <c r="J397" s="22" t="s">
        <v>2396</v>
      </c>
      <c r="K397" s="110" t="s">
        <v>2396</v>
      </c>
      <c r="L397" s="22" t="s">
        <v>2396</v>
      </c>
      <c r="M397" s="22" t="s">
        <v>2396</v>
      </c>
      <c r="N397" s="22" t="s">
        <v>2396</v>
      </c>
      <c r="O397" s="22" t="s">
        <v>2396</v>
      </c>
      <c r="P397" s="22" t="s">
        <v>2396</v>
      </c>
      <c r="Q397" s="109" t="s">
        <v>2308</v>
      </c>
      <c r="R397" s="109" t="s">
        <v>2308</v>
      </c>
      <c r="S397" s="22" t="s">
        <v>2396</v>
      </c>
      <c r="T397" s="22" t="s">
        <v>2396</v>
      </c>
      <c r="U397" s="22" t="s">
        <v>2396</v>
      </c>
      <c r="V397" s="22" t="s">
        <v>2396</v>
      </c>
      <c r="W397" s="22" t="s">
        <v>2308</v>
      </c>
      <c r="X397" s="4" t="s">
        <v>2308</v>
      </c>
      <c r="Y397" s="4" t="s">
        <v>2308</v>
      </c>
      <c r="Z397" s="4" t="s">
        <v>2308</v>
      </c>
      <c r="AA397" s="5" t="s">
        <v>1983</v>
      </c>
      <c r="AB397" s="5"/>
    </row>
    <row r="398" spans="1:28" ht="56" customHeight="1">
      <c r="A398" s="7" t="str">
        <f>'Reported burning'!A398</f>
        <v>29d</v>
      </c>
      <c r="B398" s="7" t="str">
        <f>'Reported burning'!B398</f>
        <v>29d.1</v>
      </c>
      <c r="C398" s="7" t="str">
        <f>'Reported burning'!C398</f>
        <v>Human, deliberate</v>
      </c>
      <c r="D398" s="7" t="str">
        <f>'Reported burning'!D398</f>
        <v>Crop field preparation</v>
      </c>
      <c r="E398" s="7" t="str">
        <f>'Reported burning'!E398</f>
        <v>Cropping, Swidden</v>
      </c>
      <c r="F398" s="7" t="str">
        <f>'Reported burning'!F398</f>
        <v>Secondary Vegetation</v>
      </c>
      <c r="G398" s="7" t="str">
        <f>'Reported burning'!G398</f>
        <v>ND</v>
      </c>
      <c r="H398" s="7" t="str">
        <f>'Reported burning'!H398</f>
        <v>Absence</v>
      </c>
      <c r="I398" s="4"/>
      <c r="J398" s="22" t="s">
        <v>2396</v>
      </c>
      <c r="K398" s="110" t="s">
        <v>2396</v>
      </c>
      <c r="L398" s="22" t="s">
        <v>2396</v>
      </c>
      <c r="M398" s="22" t="s">
        <v>2396</v>
      </c>
      <c r="N398" s="22" t="s">
        <v>2396</v>
      </c>
      <c r="O398" s="22" t="s">
        <v>2396</v>
      </c>
      <c r="P398" s="22" t="s">
        <v>2396</v>
      </c>
      <c r="Q398" s="109" t="s">
        <v>2308</v>
      </c>
      <c r="R398" s="109" t="s">
        <v>2308</v>
      </c>
      <c r="S398" s="22" t="s">
        <v>2396</v>
      </c>
      <c r="T398" s="22" t="s">
        <v>2396</v>
      </c>
      <c r="U398" s="22" t="s">
        <v>2396</v>
      </c>
      <c r="V398" s="22" t="s">
        <v>2396</v>
      </c>
      <c r="W398" s="22" t="s">
        <v>2308</v>
      </c>
      <c r="X398" s="4" t="s">
        <v>2308</v>
      </c>
      <c r="Y398" s="4" t="s">
        <v>2308</v>
      </c>
      <c r="Z398" s="4" t="s">
        <v>2308</v>
      </c>
      <c r="AA398" s="5" t="s">
        <v>1983</v>
      </c>
      <c r="AB398" s="5"/>
    </row>
    <row r="399" spans="1:28" ht="56" customHeight="1">
      <c r="A399" s="7" t="str">
        <f>'Reported burning'!A399</f>
        <v>29e</v>
      </c>
      <c r="B399" s="7" t="str">
        <f>'Reported burning'!B399</f>
        <v>29e.1</v>
      </c>
      <c r="C399" s="7" t="str">
        <f>'Reported burning'!C399</f>
        <v>Human, deliberate</v>
      </c>
      <c r="D399" s="7" t="str">
        <f>'Reported burning'!D399</f>
        <v>Crop field preparation</v>
      </c>
      <c r="E399" s="7" t="str">
        <f>'Reported burning'!E399</f>
        <v>Cropping, Swidden</v>
      </c>
      <c r="F399" s="7" t="str">
        <f>'Reported burning'!F399</f>
        <v>Secondary Vegetation</v>
      </c>
      <c r="G399" s="7" t="str">
        <f>'Reported burning'!G399</f>
        <v>ND</v>
      </c>
      <c r="H399" s="7" t="str">
        <f>'Reported burning'!H399</f>
        <v>Absence</v>
      </c>
      <c r="I399" s="4"/>
      <c r="J399" s="22" t="s">
        <v>2396</v>
      </c>
      <c r="K399" s="110" t="s">
        <v>2396</v>
      </c>
      <c r="L399" s="22" t="s">
        <v>2396</v>
      </c>
      <c r="M399" s="22" t="s">
        <v>2396</v>
      </c>
      <c r="N399" s="22" t="s">
        <v>2396</v>
      </c>
      <c r="O399" s="22" t="s">
        <v>2396</v>
      </c>
      <c r="P399" s="22" t="s">
        <v>2396</v>
      </c>
      <c r="Q399" s="109" t="s">
        <v>2308</v>
      </c>
      <c r="R399" s="109" t="s">
        <v>2308</v>
      </c>
      <c r="S399" s="22" t="s">
        <v>2396</v>
      </c>
      <c r="T399" s="22" t="s">
        <v>2396</v>
      </c>
      <c r="U399" s="22" t="s">
        <v>2396</v>
      </c>
      <c r="V399" s="22" t="s">
        <v>2396</v>
      </c>
      <c r="W399" s="22" t="s">
        <v>2308</v>
      </c>
      <c r="X399" s="4" t="s">
        <v>2308</v>
      </c>
      <c r="Y399" s="4" t="s">
        <v>2308</v>
      </c>
      <c r="Z399" s="4" t="s">
        <v>2308</v>
      </c>
      <c r="AA399" s="5" t="s">
        <v>1983</v>
      </c>
      <c r="AB399" s="5"/>
    </row>
    <row r="400" spans="1:28" ht="56" customHeight="1">
      <c r="A400" s="7" t="str">
        <f>'Reported burning'!A400</f>
        <v>29f</v>
      </c>
      <c r="B400" s="7" t="str">
        <f>'Reported burning'!B400</f>
        <v>29f.1</v>
      </c>
      <c r="C400" s="7" t="str">
        <f>'Reported burning'!C400</f>
        <v>Human, deliberate</v>
      </c>
      <c r="D400" s="7" t="str">
        <f>'Reported burning'!D400</f>
        <v>Crop field preparation</v>
      </c>
      <c r="E400" s="7" t="str">
        <f>'Reported burning'!E400</f>
        <v>Cropping, Swidden</v>
      </c>
      <c r="F400" s="7" t="str">
        <f>'Reported burning'!F400</f>
        <v>Secondary Vegetation</v>
      </c>
      <c r="G400" s="7" t="str">
        <f>'Reported burning'!G400</f>
        <v>ND</v>
      </c>
      <c r="H400" s="7" t="str">
        <f>'Reported burning'!H400</f>
        <v>Absence</v>
      </c>
      <c r="I400" s="4"/>
      <c r="J400" s="22" t="s">
        <v>2396</v>
      </c>
      <c r="K400" s="110" t="s">
        <v>2396</v>
      </c>
      <c r="L400" s="22" t="s">
        <v>2396</v>
      </c>
      <c r="M400" s="22" t="s">
        <v>2396</v>
      </c>
      <c r="N400" s="22" t="s">
        <v>2396</v>
      </c>
      <c r="O400" s="22" t="s">
        <v>2396</v>
      </c>
      <c r="P400" s="22" t="s">
        <v>2396</v>
      </c>
      <c r="Q400" s="109" t="s">
        <v>2308</v>
      </c>
      <c r="R400" s="109" t="s">
        <v>2308</v>
      </c>
      <c r="S400" s="22" t="s">
        <v>2396</v>
      </c>
      <c r="T400" s="22" t="s">
        <v>2396</v>
      </c>
      <c r="U400" s="22" t="s">
        <v>2396</v>
      </c>
      <c r="V400" s="22" t="s">
        <v>2396</v>
      </c>
      <c r="W400" s="22" t="s">
        <v>2308</v>
      </c>
      <c r="X400" s="4" t="s">
        <v>2308</v>
      </c>
      <c r="Y400" s="4" t="s">
        <v>2308</v>
      </c>
      <c r="Z400" s="4" t="s">
        <v>2308</v>
      </c>
      <c r="AA400" s="5" t="s">
        <v>1983</v>
      </c>
      <c r="AB400" s="5"/>
    </row>
    <row r="401" spans="1:28" ht="67.5" customHeight="1">
      <c r="A401" s="7" t="str">
        <f>'Reported burning'!A401</f>
        <v>29g</v>
      </c>
      <c r="B401" s="7" t="str">
        <f>'Reported burning'!B401</f>
        <v>29g.1</v>
      </c>
      <c r="C401" s="7" t="str">
        <f>'Reported burning'!C401</f>
        <v>Human, deliberate</v>
      </c>
      <c r="D401" s="7" t="str">
        <f>'Reported burning'!D401</f>
        <v>Crop field preparation</v>
      </c>
      <c r="E401" s="7" t="str">
        <f>'Reported burning'!E401</f>
        <v>Cropping, Monoculture, Subsistence-oriented</v>
      </c>
      <c r="F401" s="7" t="str">
        <f>'Reported burning'!F401</f>
        <v>Cropland</v>
      </c>
      <c r="G401" s="7" t="str">
        <f>'Reported burning'!G401</f>
        <v>ND</v>
      </c>
      <c r="H401" s="7" t="str">
        <f>'Reported burning'!H401</f>
        <v>Absence</v>
      </c>
      <c r="I401" s="4"/>
      <c r="J401" s="22" t="s">
        <v>2396</v>
      </c>
      <c r="K401" s="110" t="s">
        <v>2396</v>
      </c>
      <c r="L401" s="22" t="s">
        <v>2396</v>
      </c>
      <c r="M401" s="22" t="s">
        <v>2396</v>
      </c>
      <c r="N401" s="22" t="s">
        <v>2396</v>
      </c>
      <c r="O401" s="22" t="s">
        <v>2396</v>
      </c>
      <c r="P401" s="22" t="s">
        <v>2396</v>
      </c>
      <c r="Q401" s="109" t="s">
        <v>2308</v>
      </c>
      <c r="R401" s="109" t="s">
        <v>2308</v>
      </c>
      <c r="S401" s="22" t="s">
        <v>2396</v>
      </c>
      <c r="T401" s="22" t="s">
        <v>2396</v>
      </c>
      <c r="U401" s="22" t="s">
        <v>2396</v>
      </c>
      <c r="V401" s="22" t="s">
        <v>2396</v>
      </c>
      <c r="W401" s="22" t="s">
        <v>2308</v>
      </c>
      <c r="X401" s="4" t="s">
        <v>2308</v>
      </c>
      <c r="Y401" s="4" t="s">
        <v>2308</v>
      </c>
      <c r="Z401" s="4" t="s">
        <v>2308</v>
      </c>
      <c r="AA401" s="19" t="s">
        <v>2001</v>
      </c>
      <c r="AB401" s="5"/>
    </row>
    <row r="402" spans="1:28" ht="68.5" customHeight="1">
      <c r="A402" s="7" t="str">
        <f>'Reported burning'!A402</f>
        <v>29h</v>
      </c>
      <c r="B402" s="7" t="str">
        <f>'Reported burning'!B402</f>
        <v>29h.1</v>
      </c>
      <c r="C402" s="7" t="str">
        <f>'Reported burning'!C402</f>
        <v>Human, deliberate</v>
      </c>
      <c r="D402" s="7" t="str">
        <f>'Reported burning'!D402</f>
        <v>Crop field preparation</v>
      </c>
      <c r="E402" s="7" t="str">
        <f>'Reported burning'!E402</f>
        <v>Cropping, Monoculture, Subsistence-oriented</v>
      </c>
      <c r="F402" s="7" t="str">
        <f>'Reported burning'!F402</f>
        <v>Cropland</v>
      </c>
      <c r="G402" s="7" t="str">
        <f>'Reported burning'!G402</f>
        <v>ND</v>
      </c>
      <c r="H402" s="7" t="str">
        <f>'Reported burning'!H402</f>
        <v>Absence</v>
      </c>
      <c r="I402" s="4"/>
      <c r="J402" s="22" t="s">
        <v>2396</v>
      </c>
      <c r="K402" s="110" t="s">
        <v>2396</v>
      </c>
      <c r="L402" s="22" t="s">
        <v>2396</v>
      </c>
      <c r="M402" s="22" t="s">
        <v>2396</v>
      </c>
      <c r="N402" s="22" t="s">
        <v>2396</v>
      </c>
      <c r="O402" s="22" t="s">
        <v>2396</v>
      </c>
      <c r="P402" s="22" t="s">
        <v>2396</v>
      </c>
      <c r="Q402" s="109" t="s">
        <v>2308</v>
      </c>
      <c r="R402" s="109" t="s">
        <v>2308</v>
      </c>
      <c r="S402" s="22" t="s">
        <v>2396</v>
      </c>
      <c r="T402" s="22" t="s">
        <v>2396</v>
      </c>
      <c r="U402" s="22" t="s">
        <v>2396</v>
      </c>
      <c r="V402" s="22" t="s">
        <v>2396</v>
      </c>
      <c r="W402" s="22" t="s">
        <v>2308</v>
      </c>
      <c r="X402" s="4" t="s">
        <v>2308</v>
      </c>
      <c r="Y402" s="4" t="s">
        <v>2308</v>
      </c>
      <c r="Z402" s="4" t="s">
        <v>2308</v>
      </c>
      <c r="AA402" s="19" t="s">
        <v>1984</v>
      </c>
      <c r="AB402" s="5"/>
    </row>
    <row r="403" spans="1:28" ht="56" customHeight="1">
      <c r="A403" s="7" t="str">
        <f>'Reported burning'!A403</f>
        <v>29i</v>
      </c>
      <c r="B403" s="7" t="str">
        <f>'Reported burning'!B403</f>
        <v>29i.1</v>
      </c>
      <c r="C403" s="7" t="str">
        <f>'Reported burning'!C403</f>
        <v>Human, deliberate</v>
      </c>
      <c r="D403" s="7" t="str">
        <f>'Reported burning'!D403</f>
        <v>Crop field preparation</v>
      </c>
      <c r="E403" s="7" t="str">
        <f>'Reported burning'!E403</f>
        <v>Cropping, Swidden</v>
      </c>
      <c r="F403" s="7" t="str">
        <f>'Reported burning'!F403</f>
        <v>Secondary Vegetation</v>
      </c>
      <c r="G403" s="7" t="str">
        <f>'Reported burning'!G403</f>
        <v>ND</v>
      </c>
      <c r="H403" s="7" t="str">
        <f>'Reported burning'!H403</f>
        <v>Absence</v>
      </c>
      <c r="I403" s="4"/>
      <c r="J403" s="22" t="s">
        <v>2396</v>
      </c>
      <c r="K403" s="110" t="s">
        <v>2396</v>
      </c>
      <c r="L403" s="22" t="s">
        <v>2396</v>
      </c>
      <c r="M403" s="22" t="s">
        <v>2396</v>
      </c>
      <c r="N403" s="22" t="s">
        <v>2396</v>
      </c>
      <c r="O403" s="22" t="s">
        <v>2396</v>
      </c>
      <c r="P403" s="22" t="s">
        <v>2396</v>
      </c>
      <c r="Q403" s="109" t="s">
        <v>2308</v>
      </c>
      <c r="R403" s="109" t="s">
        <v>2308</v>
      </c>
      <c r="S403" s="22" t="s">
        <v>2396</v>
      </c>
      <c r="T403" s="22" t="s">
        <v>2396</v>
      </c>
      <c r="U403" s="22" t="s">
        <v>2396</v>
      </c>
      <c r="V403" s="22" t="s">
        <v>2396</v>
      </c>
      <c r="W403" s="22" t="s">
        <v>2308</v>
      </c>
      <c r="X403" s="4" t="s">
        <v>2308</v>
      </c>
      <c r="Y403" s="4" t="s">
        <v>2308</v>
      </c>
      <c r="Z403" s="4" t="s">
        <v>2308</v>
      </c>
      <c r="AA403" s="5" t="s">
        <v>1983</v>
      </c>
      <c r="AB403" s="5"/>
    </row>
    <row r="404" spans="1:28" ht="56" customHeight="1">
      <c r="A404" s="7" t="str">
        <f>'Reported burning'!A404</f>
        <v>29j</v>
      </c>
      <c r="B404" s="7" t="str">
        <f>'Reported burning'!B404</f>
        <v>29j.1</v>
      </c>
      <c r="C404" s="7" t="str">
        <f>'Reported burning'!C404</f>
        <v>Human, deliberate</v>
      </c>
      <c r="D404" s="7" t="str">
        <f>'Reported burning'!D404</f>
        <v>Crop field preparation</v>
      </c>
      <c r="E404" s="7" t="str">
        <f>'Reported burning'!E404</f>
        <v>Cropping, Swidden</v>
      </c>
      <c r="F404" s="7" t="str">
        <f>'Reported burning'!F404</f>
        <v>Secondary Vegetation</v>
      </c>
      <c r="G404" s="7" t="str">
        <f>'Reported burning'!G404</f>
        <v>ND</v>
      </c>
      <c r="H404" s="7" t="str">
        <f>'Reported burning'!H404</f>
        <v>Absence</v>
      </c>
      <c r="I404" s="4"/>
      <c r="J404" s="22" t="s">
        <v>2396</v>
      </c>
      <c r="K404" s="110" t="s">
        <v>2396</v>
      </c>
      <c r="L404" s="22" t="s">
        <v>2396</v>
      </c>
      <c r="M404" s="22" t="s">
        <v>2396</v>
      </c>
      <c r="N404" s="22" t="s">
        <v>2396</v>
      </c>
      <c r="O404" s="22" t="s">
        <v>2396</v>
      </c>
      <c r="P404" s="22" t="s">
        <v>2396</v>
      </c>
      <c r="Q404" s="109" t="s">
        <v>2308</v>
      </c>
      <c r="R404" s="109" t="s">
        <v>2308</v>
      </c>
      <c r="S404" s="22" t="s">
        <v>2396</v>
      </c>
      <c r="T404" s="22" t="s">
        <v>2396</v>
      </c>
      <c r="U404" s="22" t="s">
        <v>2396</v>
      </c>
      <c r="V404" s="22" t="s">
        <v>2396</v>
      </c>
      <c r="W404" s="22" t="s">
        <v>2308</v>
      </c>
      <c r="X404" s="4" t="s">
        <v>2308</v>
      </c>
      <c r="Y404" s="4" t="s">
        <v>2308</v>
      </c>
      <c r="Z404" s="4" t="s">
        <v>2308</v>
      </c>
      <c r="AA404" s="5" t="s">
        <v>1983</v>
      </c>
      <c r="AB404" s="5"/>
    </row>
    <row r="405" spans="1:28" ht="56" customHeight="1">
      <c r="A405" s="7" t="str">
        <f>'Reported burning'!A405</f>
        <v>29k</v>
      </c>
      <c r="B405" s="7" t="str">
        <f>'Reported burning'!B405</f>
        <v>29k.1</v>
      </c>
      <c r="C405" s="7" t="str">
        <f>'Reported burning'!C405</f>
        <v>Human, deliberate</v>
      </c>
      <c r="D405" s="7" t="str">
        <f>'Reported burning'!D405</f>
        <v>Crop field preparation</v>
      </c>
      <c r="E405" s="7" t="str">
        <f>'Reported burning'!E405</f>
        <v>Cropping, Swidden</v>
      </c>
      <c r="F405" s="7" t="str">
        <f>'Reported burning'!F405</f>
        <v>Secondary Vegetation</v>
      </c>
      <c r="G405" s="7" t="str">
        <f>'Reported burning'!G405</f>
        <v>ND</v>
      </c>
      <c r="H405" s="7" t="str">
        <f>'Reported burning'!H405</f>
        <v>Absence</v>
      </c>
      <c r="I405" s="4"/>
      <c r="J405" s="22" t="s">
        <v>2396</v>
      </c>
      <c r="K405" s="110" t="s">
        <v>2396</v>
      </c>
      <c r="L405" s="22" t="s">
        <v>2396</v>
      </c>
      <c r="M405" s="22" t="s">
        <v>2396</v>
      </c>
      <c r="N405" s="22" t="s">
        <v>2396</v>
      </c>
      <c r="O405" s="22" t="s">
        <v>2396</v>
      </c>
      <c r="P405" s="22" t="s">
        <v>2396</v>
      </c>
      <c r="Q405" s="109" t="s">
        <v>2308</v>
      </c>
      <c r="R405" s="109" t="s">
        <v>2308</v>
      </c>
      <c r="S405" s="22" t="s">
        <v>2396</v>
      </c>
      <c r="T405" s="22" t="s">
        <v>2396</v>
      </c>
      <c r="U405" s="22" t="s">
        <v>2396</v>
      </c>
      <c r="V405" s="22" t="s">
        <v>2396</v>
      </c>
      <c r="W405" s="22" t="s">
        <v>2308</v>
      </c>
      <c r="X405" s="4" t="s">
        <v>2308</v>
      </c>
      <c r="Y405" s="4" t="s">
        <v>2308</v>
      </c>
      <c r="Z405" s="4" t="s">
        <v>2308</v>
      </c>
      <c r="AA405" s="5" t="s">
        <v>1983</v>
      </c>
      <c r="AB405" s="5"/>
    </row>
    <row r="406" spans="1:28" ht="56" customHeight="1">
      <c r="A406" s="7" t="str">
        <f>'Reported burning'!A406</f>
        <v>29l</v>
      </c>
      <c r="B406" s="7" t="str">
        <f>'Reported burning'!B406</f>
        <v>29l.1</v>
      </c>
      <c r="C406" s="7" t="str">
        <f>'Reported burning'!C406</f>
        <v>Human, deliberate</v>
      </c>
      <c r="D406" s="7" t="str">
        <f>'Reported burning'!D406</f>
        <v>Crop field preparation</v>
      </c>
      <c r="E406" s="7" t="str">
        <f>'Reported burning'!E406</f>
        <v>Cropping, Monoculture, Subsistence-oriented</v>
      </c>
      <c r="F406" s="7" t="str">
        <f>'Reported burning'!F406</f>
        <v>Cropland</v>
      </c>
      <c r="G406" s="7" t="str">
        <f>'Reported burning'!G406</f>
        <v>ND</v>
      </c>
      <c r="H406" s="7" t="str">
        <f>'Reported burning'!H406</f>
        <v>Absence</v>
      </c>
      <c r="I406" s="4"/>
      <c r="J406" s="22" t="s">
        <v>2396</v>
      </c>
      <c r="K406" s="110" t="s">
        <v>2396</v>
      </c>
      <c r="L406" s="22" t="s">
        <v>2396</v>
      </c>
      <c r="M406" s="22" t="s">
        <v>2396</v>
      </c>
      <c r="N406" s="22" t="s">
        <v>2396</v>
      </c>
      <c r="O406" s="22" t="s">
        <v>2396</v>
      </c>
      <c r="P406" s="22" t="s">
        <v>2396</v>
      </c>
      <c r="Q406" s="109" t="s">
        <v>2308</v>
      </c>
      <c r="R406" s="109" t="s">
        <v>2308</v>
      </c>
      <c r="S406" s="22" t="s">
        <v>2396</v>
      </c>
      <c r="T406" s="22" t="s">
        <v>2396</v>
      </c>
      <c r="U406" s="22" t="s">
        <v>2396</v>
      </c>
      <c r="V406" s="22" t="s">
        <v>2396</v>
      </c>
      <c r="W406" s="22" t="s">
        <v>2308</v>
      </c>
      <c r="X406" s="4" t="s">
        <v>2308</v>
      </c>
      <c r="Y406" s="4" t="s">
        <v>2308</v>
      </c>
      <c r="Z406" s="4" t="s">
        <v>2308</v>
      </c>
      <c r="AA406" s="4" t="s">
        <v>1989</v>
      </c>
      <c r="AB406" s="5"/>
    </row>
    <row r="407" spans="1:28" ht="56" customHeight="1">
      <c r="A407" s="7" t="str">
        <f>'Reported burning'!A407</f>
        <v>29m</v>
      </c>
      <c r="B407" s="7" t="str">
        <f>'Reported burning'!B407</f>
        <v>29m.1</v>
      </c>
      <c r="C407" s="7" t="str">
        <f>'Reported burning'!C407</f>
        <v>Human, deliberate</v>
      </c>
      <c r="D407" s="7" t="str">
        <f>'Reported burning'!D407</f>
        <v>Crop field preparation</v>
      </c>
      <c r="E407" s="7" t="str">
        <f>'Reported burning'!E407</f>
        <v>Cropping, Swidden</v>
      </c>
      <c r="F407" s="7" t="str">
        <f>'Reported burning'!F407</f>
        <v>Secondary Vegetation</v>
      </c>
      <c r="G407" s="7" t="str">
        <f>'Reported burning'!G407</f>
        <v>ND</v>
      </c>
      <c r="H407" s="7" t="str">
        <f>'Reported burning'!H407</f>
        <v>Absence</v>
      </c>
      <c r="I407" s="4"/>
      <c r="J407" s="22" t="s">
        <v>2396</v>
      </c>
      <c r="K407" s="110" t="s">
        <v>2396</v>
      </c>
      <c r="L407" s="22" t="s">
        <v>2396</v>
      </c>
      <c r="M407" s="22" t="s">
        <v>2396</v>
      </c>
      <c r="N407" s="22" t="s">
        <v>2396</v>
      </c>
      <c r="O407" s="22" t="s">
        <v>2396</v>
      </c>
      <c r="P407" s="22" t="s">
        <v>2396</v>
      </c>
      <c r="Q407" s="109" t="s">
        <v>2308</v>
      </c>
      <c r="R407" s="109" t="s">
        <v>2308</v>
      </c>
      <c r="S407" s="22" t="s">
        <v>2396</v>
      </c>
      <c r="T407" s="22" t="s">
        <v>2396</v>
      </c>
      <c r="U407" s="22" t="s">
        <v>2396</v>
      </c>
      <c r="V407" s="22" t="s">
        <v>2396</v>
      </c>
      <c r="W407" s="22" t="s">
        <v>2308</v>
      </c>
      <c r="X407" s="4" t="s">
        <v>2308</v>
      </c>
      <c r="Y407" s="4" t="s">
        <v>2308</v>
      </c>
      <c r="Z407" s="4" t="s">
        <v>2308</v>
      </c>
      <c r="AA407" s="5" t="s">
        <v>1983</v>
      </c>
      <c r="AB407" s="5"/>
    </row>
    <row r="408" spans="1:28" ht="56" customHeight="1">
      <c r="A408" s="7" t="str">
        <f>'Reported burning'!A408</f>
        <v>29n</v>
      </c>
      <c r="B408" s="7" t="str">
        <f>'Reported burning'!B408</f>
        <v>29n.1</v>
      </c>
      <c r="C408" s="7" t="str">
        <f>'Reported burning'!C408</f>
        <v>Human, deliberate</v>
      </c>
      <c r="D408" s="7" t="str">
        <f>'Reported burning'!D408</f>
        <v>Crop field preparation</v>
      </c>
      <c r="E408" s="7" t="str">
        <f>'Reported burning'!E408</f>
        <v>Cropping, Swidden</v>
      </c>
      <c r="F408" s="7" t="str">
        <f>'Reported burning'!F408</f>
        <v>Secondary Vegetation</v>
      </c>
      <c r="G408" s="7" t="str">
        <f>'Reported burning'!G408</f>
        <v>ND</v>
      </c>
      <c r="H408" s="7" t="str">
        <f>'Reported burning'!H408</f>
        <v>Absence</v>
      </c>
      <c r="I408" s="4"/>
      <c r="J408" s="22" t="s">
        <v>2396</v>
      </c>
      <c r="K408" s="110" t="s">
        <v>2396</v>
      </c>
      <c r="L408" s="22" t="s">
        <v>2396</v>
      </c>
      <c r="M408" s="22" t="s">
        <v>2396</v>
      </c>
      <c r="N408" s="22" t="s">
        <v>2396</v>
      </c>
      <c r="O408" s="22" t="s">
        <v>2396</v>
      </c>
      <c r="P408" s="22" t="s">
        <v>2396</v>
      </c>
      <c r="Q408" s="109" t="s">
        <v>2308</v>
      </c>
      <c r="R408" s="109" t="s">
        <v>2308</v>
      </c>
      <c r="S408" s="22" t="s">
        <v>2396</v>
      </c>
      <c r="T408" s="22" t="s">
        <v>2396</v>
      </c>
      <c r="U408" s="22" t="s">
        <v>2396</v>
      </c>
      <c r="V408" s="22" t="s">
        <v>2396</v>
      </c>
      <c r="W408" s="22" t="s">
        <v>2308</v>
      </c>
      <c r="X408" s="4" t="s">
        <v>2308</v>
      </c>
      <c r="Y408" s="4" t="s">
        <v>2308</v>
      </c>
      <c r="Z408" s="4" t="s">
        <v>2308</v>
      </c>
      <c r="AA408" s="5" t="s">
        <v>1983</v>
      </c>
      <c r="AB408" s="5"/>
    </row>
    <row r="409" spans="1:28" ht="56" customHeight="1">
      <c r="A409" s="7" t="str">
        <f>'Reported burning'!A409</f>
        <v>29o</v>
      </c>
      <c r="B409" s="7" t="str">
        <f>'Reported burning'!B409</f>
        <v>29o.1</v>
      </c>
      <c r="C409" s="7" t="str">
        <f>'Reported burning'!C409</f>
        <v>Human, deliberate</v>
      </c>
      <c r="D409" s="7" t="str">
        <f>'Reported burning'!D409</f>
        <v>Crop field preparation</v>
      </c>
      <c r="E409" s="7" t="str">
        <f>'Reported burning'!E409</f>
        <v>Cropping, Swidden</v>
      </c>
      <c r="F409" s="7" t="str">
        <f>'Reported burning'!F409</f>
        <v>Forest</v>
      </c>
      <c r="G409" s="7" t="str">
        <f>'Reported burning'!G409</f>
        <v>ND</v>
      </c>
      <c r="H409" s="7" t="str">
        <f>'Reported burning'!H409</f>
        <v>Presence</v>
      </c>
      <c r="I409" s="4"/>
      <c r="J409" s="22" t="s">
        <v>2308</v>
      </c>
      <c r="K409" s="110" t="s">
        <v>2308</v>
      </c>
      <c r="L409" s="22" t="s">
        <v>2308</v>
      </c>
      <c r="M409" s="22" t="s">
        <v>2308</v>
      </c>
      <c r="N409" s="22" t="s">
        <v>2308</v>
      </c>
      <c r="O409" s="22" t="s">
        <v>2308</v>
      </c>
      <c r="P409" s="22" t="s">
        <v>2308</v>
      </c>
      <c r="Q409" s="109" t="s">
        <v>2308</v>
      </c>
      <c r="R409" s="109" t="s">
        <v>2308</v>
      </c>
      <c r="S409" s="22" t="s">
        <v>2308</v>
      </c>
      <c r="T409" s="22" t="s">
        <v>2308</v>
      </c>
      <c r="U409" s="22" t="s">
        <v>2308</v>
      </c>
      <c r="V409" s="22" t="s">
        <v>2308</v>
      </c>
      <c r="W409" s="22" t="s">
        <v>2437</v>
      </c>
      <c r="X409" s="4" t="s">
        <v>2308</v>
      </c>
      <c r="Y409" s="4" t="s">
        <v>2308</v>
      </c>
      <c r="Z409" s="4" t="s">
        <v>2308</v>
      </c>
      <c r="AA409" s="5" t="s">
        <v>1993</v>
      </c>
      <c r="AB409" s="5"/>
    </row>
    <row r="410" spans="1:28" ht="56" customHeight="1">
      <c r="A410" s="7" t="str">
        <f>'Reported burning'!A410</f>
        <v>29o</v>
      </c>
      <c r="B410" s="7" t="str">
        <f>'Reported burning'!B410</f>
        <v>29o.2</v>
      </c>
      <c r="C410" s="7" t="str">
        <f>'Reported burning'!C410</f>
        <v>Human, deliberate</v>
      </c>
      <c r="D410" s="7" t="str">
        <f>'Reported burning'!D410</f>
        <v>Crop field preparation</v>
      </c>
      <c r="E410" s="7" t="str">
        <f>'Reported burning'!E410</f>
        <v>Cropping, Swidden</v>
      </c>
      <c r="F410" s="7" t="str">
        <f>'Reported burning'!F410</f>
        <v>Secondary Vegetation</v>
      </c>
      <c r="G410" s="7" t="str">
        <f>'Reported burning'!G410</f>
        <v>ND</v>
      </c>
      <c r="H410" s="7" t="str">
        <f>'Reported burning'!H410</f>
        <v>Presence</v>
      </c>
      <c r="I410" s="4"/>
      <c r="J410" s="22" t="s">
        <v>2308</v>
      </c>
      <c r="K410" s="110" t="s">
        <v>2308</v>
      </c>
      <c r="L410" s="22" t="s">
        <v>2308</v>
      </c>
      <c r="M410" s="22" t="s">
        <v>2308</v>
      </c>
      <c r="N410" s="22" t="s">
        <v>2308</v>
      </c>
      <c r="O410" s="22" t="s">
        <v>2308</v>
      </c>
      <c r="P410" s="22" t="s">
        <v>2308</v>
      </c>
      <c r="Q410" s="109" t="s">
        <v>2308</v>
      </c>
      <c r="R410" s="109" t="s">
        <v>2308</v>
      </c>
      <c r="S410" s="22" t="s">
        <v>2308</v>
      </c>
      <c r="T410" s="22" t="s">
        <v>2308</v>
      </c>
      <c r="U410" s="22" t="s">
        <v>2308</v>
      </c>
      <c r="V410" s="22" t="s">
        <v>2308</v>
      </c>
      <c r="W410" s="22" t="s">
        <v>2437</v>
      </c>
      <c r="X410" s="4" t="s">
        <v>2308</v>
      </c>
      <c r="Y410" s="4" t="s">
        <v>2308</v>
      </c>
      <c r="Z410" s="4" t="s">
        <v>2308</v>
      </c>
      <c r="AA410" s="5" t="s">
        <v>1993</v>
      </c>
      <c r="AB410" s="5"/>
    </row>
    <row r="411" spans="1:28" ht="56" customHeight="1">
      <c r="A411" s="7" t="str">
        <f>'Reported burning'!A411</f>
        <v>29p</v>
      </c>
      <c r="B411" s="7" t="str">
        <f>'Reported burning'!B411</f>
        <v>29p.1</v>
      </c>
      <c r="C411" s="7" t="str">
        <f>'Reported burning'!C411</f>
        <v>Human, deliberate</v>
      </c>
      <c r="D411" s="7" t="str">
        <f>'Reported burning'!D411</f>
        <v>Crop field preparation</v>
      </c>
      <c r="E411" s="7" t="str">
        <f>'Reported burning'!E411</f>
        <v>Cropping, Swidden</v>
      </c>
      <c r="F411" s="7" t="str">
        <f>'Reported burning'!F411</f>
        <v>Secondary Vegetation</v>
      </c>
      <c r="G411" s="7" t="str">
        <f>'Reported burning'!G411</f>
        <v>ND</v>
      </c>
      <c r="H411" s="7" t="str">
        <f>'Reported burning'!H411</f>
        <v>Presence</v>
      </c>
      <c r="I411" s="4"/>
      <c r="J411" s="22" t="s">
        <v>2308</v>
      </c>
      <c r="K411" s="110" t="s">
        <v>2308</v>
      </c>
      <c r="L411" s="22" t="s">
        <v>2308</v>
      </c>
      <c r="M411" s="22" t="s">
        <v>2308</v>
      </c>
      <c r="N411" s="22" t="s">
        <v>2308</v>
      </c>
      <c r="O411" s="22" t="s">
        <v>2308</v>
      </c>
      <c r="P411" s="22" t="s">
        <v>2308</v>
      </c>
      <c r="Q411" s="109" t="s">
        <v>2308</v>
      </c>
      <c r="R411" s="109" t="s">
        <v>2308</v>
      </c>
      <c r="S411" s="22" t="s">
        <v>2308</v>
      </c>
      <c r="T411" s="22" t="s">
        <v>2308</v>
      </c>
      <c r="U411" s="22" t="s">
        <v>2308</v>
      </c>
      <c r="V411" s="22" t="s">
        <v>2308</v>
      </c>
      <c r="W411" s="22" t="s">
        <v>2435</v>
      </c>
      <c r="X411" s="4" t="s">
        <v>2308</v>
      </c>
      <c r="Y411" s="4" t="s">
        <v>2308</v>
      </c>
      <c r="Z411" s="4" t="s">
        <v>2308</v>
      </c>
      <c r="AA411" s="5" t="s">
        <v>1994</v>
      </c>
      <c r="AB411" s="5"/>
    </row>
    <row r="412" spans="1:28" ht="71" customHeight="1">
      <c r="A412" s="7" t="str">
        <f>'Reported burning'!A412</f>
        <v>29q</v>
      </c>
      <c r="B412" s="7" t="str">
        <f>'Reported burning'!B412</f>
        <v>29q.1</v>
      </c>
      <c r="C412" s="7" t="str">
        <f>'Reported burning'!C412</f>
        <v>Human, deliberate</v>
      </c>
      <c r="D412" s="7" t="str">
        <f>'Reported burning'!D412</f>
        <v>Crop field preparation</v>
      </c>
      <c r="E412" s="7" t="str">
        <f>'Reported burning'!E412</f>
        <v>Cropping, Monoculture, Subsistence-oriented</v>
      </c>
      <c r="F412" s="7" t="str">
        <f>'Reported burning'!F412</f>
        <v>Cropland</v>
      </c>
      <c r="G412" s="7" t="str">
        <f>'Reported burning'!G412</f>
        <v>ND</v>
      </c>
      <c r="H412" s="7" t="str">
        <f>'Reported burning'!H412</f>
        <v>Absence</v>
      </c>
      <c r="I412" s="4"/>
      <c r="J412" s="22" t="s">
        <v>2396</v>
      </c>
      <c r="K412" s="110" t="s">
        <v>2396</v>
      </c>
      <c r="L412" s="22" t="s">
        <v>2396</v>
      </c>
      <c r="M412" s="22" t="s">
        <v>2396</v>
      </c>
      <c r="N412" s="22" t="s">
        <v>2396</v>
      </c>
      <c r="O412" s="22" t="s">
        <v>2396</v>
      </c>
      <c r="P412" s="22" t="s">
        <v>2396</v>
      </c>
      <c r="Q412" s="109" t="s">
        <v>2308</v>
      </c>
      <c r="R412" s="109" t="s">
        <v>2308</v>
      </c>
      <c r="S412" s="22" t="s">
        <v>2396</v>
      </c>
      <c r="T412" s="22" t="s">
        <v>2396</v>
      </c>
      <c r="U412" s="22" t="s">
        <v>2396</v>
      </c>
      <c r="V412" s="22" t="s">
        <v>2396</v>
      </c>
      <c r="W412" s="22" t="s">
        <v>2308</v>
      </c>
      <c r="X412" s="4" t="s">
        <v>2308</v>
      </c>
      <c r="Y412" s="4" t="s">
        <v>2308</v>
      </c>
      <c r="Z412" s="4" t="s">
        <v>2308</v>
      </c>
      <c r="AA412" s="19" t="s">
        <v>2001</v>
      </c>
      <c r="AB412" s="5"/>
    </row>
    <row r="413" spans="1:28" ht="56" customHeight="1">
      <c r="A413" s="7" t="str">
        <f>'Reported burning'!A413</f>
        <v>29r</v>
      </c>
      <c r="B413" s="7" t="str">
        <f>'Reported burning'!B413</f>
        <v>29r.1</v>
      </c>
      <c r="C413" s="7" t="str">
        <f>'Reported burning'!C413</f>
        <v>Human, deliberate</v>
      </c>
      <c r="D413" s="7" t="str">
        <f>'Reported burning'!D413</f>
        <v>Crop field preparation</v>
      </c>
      <c r="E413" s="7" t="str">
        <f>'Reported burning'!E413</f>
        <v>Cropping, Monoculture, Subsistence-oriented</v>
      </c>
      <c r="F413" s="7" t="str">
        <f>'Reported burning'!F413</f>
        <v>Cropland</v>
      </c>
      <c r="G413" s="7" t="str">
        <f>'Reported burning'!G413</f>
        <v>ND</v>
      </c>
      <c r="H413" s="7" t="str">
        <f>'Reported burning'!H413</f>
        <v>Absence</v>
      </c>
      <c r="I413" s="4"/>
      <c r="J413" s="22" t="s">
        <v>2396</v>
      </c>
      <c r="K413" s="110" t="s">
        <v>2396</v>
      </c>
      <c r="L413" s="22" t="s">
        <v>2396</v>
      </c>
      <c r="M413" s="22" t="s">
        <v>2396</v>
      </c>
      <c r="N413" s="22" t="s">
        <v>2396</v>
      </c>
      <c r="O413" s="22" t="s">
        <v>2396</v>
      </c>
      <c r="P413" s="22" t="s">
        <v>2396</v>
      </c>
      <c r="Q413" s="109" t="s">
        <v>2308</v>
      </c>
      <c r="R413" s="109" t="s">
        <v>2308</v>
      </c>
      <c r="S413" s="22" t="s">
        <v>2396</v>
      </c>
      <c r="T413" s="22" t="s">
        <v>2396</v>
      </c>
      <c r="U413" s="22" t="s">
        <v>2396</v>
      </c>
      <c r="V413" s="22" t="s">
        <v>2396</v>
      </c>
      <c r="W413" s="22" t="s">
        <v>2308</v>
      </c>
      <c r="X413" s="4" t="s">
        <v>2308</v>
      </c>
      <c r="Y413" s="4" t="s">
        <v>2308</v>
      </c>
      <c r="Z413" s="4" t="s">
        <v>2308</v>
      </c>
      <c r="AA413" s="4" t="s">
        <v>1989</v>
      </c>
      <c r="AB413" s="5"/>
    </row>
    <row r="414" spans="1:28" ht="56" customHeight="1">
      <c r="A414" s="7" t="str">
        <f>'Reported burning'!A414</f>
        <v>29s</v>
      </c>
      <c r="B414" s="7" t="str">
        <f>'Reported burning'!B414</f>
        <v>29s.1</v>
      </c>
      <c r="C414" s="7" t="str">
        <f>'Reported burning'!C414</f>
        <v>Human, deliberate</v>
      </c>
      <c r="D414" s="7" t="str">
        <f>'Reported burning'!D414</f>
        <v>Crop field preparation</v>
      </c>
      <c r="E414" s="7" t="str">
        <f>'Reported burning'!E414</f>
        <v>Cropping, Monoculture, Subsistence-oriented</v>
      </c>
      <c r="F414" s="7" t="str">
        <f>'Reported burning'!F414</f>
        <v>Cropland</v>
      </c>
      <c r="G414" s="7" t="str">
        <f>'Reported burning'!G414</f>
        <v>ND</v>
      </c>
      <c r="H414" s="7" t="str">
        <f>'Reported burning'!H414</f>
        <v>Absence</v>
      </c>
      <c r="I414" s="4"/>
      <c r="J414" s="22" t="s">
        <v>2396</v>
      </c>
      <c r="K414" s="110" t="s">
        <v>2396</v>
      </c>
      <c r="L414" s="22" t="s">
        <v>2396</v>
      </c>
      <c r="M414" s="22" t="s">
        <v>2396</v>
      </c>
      <c r="N414" s="22" t="s">
        <v>2396</v>
      </c>
      <c r="O414" s="22" t="s">
        <v>2396</v>
      </c>
      <c r="P414" s="22" t="s">
        <v>2396</v>
      </c>
      <c r="Q414" s="109" t="s">
        <v>2308</v>
      </c>
      <c r="R414" s="109" t="s">
        <v>2308</v>
      </c>
      <c r="S414" s="22" t="s">
        <v>2396</v>
      </c>
      <c r="T414" s="22" t="s">
        <v>2396</v>
      </c>
      <c r="U414" s="22" t="s">
        <v>2396</v>
      </c>
      <c r="V414" s="22" t="s">
        <v>2396</v>
      </c>
      <c r="W414" s="22" t="s">
        <v>2308</v>
      </c>
      <c r="X414" s="4" t="s">
        <v>2308</v>
      </c>
      <c r="Y414" s="4" t="s">
        <v>2308</v>
      </c>
      <c r="Z414" s="4" t="s">
        <v>2308</v>
      </c>
      <c r="AA414" s="4" t="s">
        <v>1989</v>
      </c>
      <c r="AB414" s="5"/>
    </row>
    <row r="415" spans="1:28" ht="56" customHeight="1">
      <c r="A415" s="7" t="str">
        <f>'Reported burning'!A415</f>
        <v>29t</v>
      </c>
      <c r="B415" s="7" t="str">
        <f>'Reported burning'!B415</f>
        <v>29t.1</v>
      </c>
      <c r="C415" s="7" t="str">
        <f>'Reported burning'!C415</f>
        <v>Human, deliberate</v>
      </c>
      <c r="D415" s="7" t="str">
        <f>'Reported burning'!D415</f>
        <v>Crop field preparation</v>
      </c>
      <c r="E415" s="7" t="str">
        <f>'Reported burning'!E415</f>
        <v>Cropping, Monoculture, Subsistence-oriented</v>
      </c>
      <c r="F415" s="7" t="str">
        <f>'Reported burning'!F415</f>
        <v>Cropland</v>
      </c>
      <c r="G415" s="7" t="str">
        <f>'Reported burning'!G415</f>
        <v>ND</v>
      </c>
      <c r="H415" s="7" t="str">
        <f>'Reported burning'!H415</f>
        <v>Absence</v>
      </c>
      <c r="I415" s="4"/>
      <c r="J415" s="22" t="s">
        <v>2396</v>
      </c>
      <c r="K415" s="110" t="s">
        <v>2396</v>
      </c>
      <c r="L415" s="22" t="s">
        <v>2396</v>
      </c>
      <c r="M415" s="22" t="s">
        <v>2396</v>
      </c>
      <c r="N415" s="22" t="s">
        <v>2396</v>
      </c>
      <c r="O415" s="22" t="s">
        <v>2396</v>
      </c>
      <c r="P415" s="22" t="s">
        <v>2396</v>
      </c>
      <c r="Q415" s="109" t="s">
        <v>2308</v>
      </c>
      <c r="R415" s="109" t="s">
        <v>2308</v>
      </c>
      <c r="S415" s="22" t="s">
        <v>2396</v>
      </c>
      <c r="T415" s="22" t="s">
        <v>2396</v>
      </c>
      <c r="U415" s="22" t="s">
        <v>2396</v>
      </c>
      <c r="V415" s="22" t="s">
        <v>2396</v>
      </c>
      <c r="W415" s="22" t="s">
        <v>2308</v>
      </c>
      <c r="X415" s="4" t="s">
        <v>2308</v>
      </c>
      <c r="Y415" s="4" t="s">
        <v>2308</v>
      </c>
      <c r="Z415" s="4" t="s">
        <v>2308</v>
      </c>
      <c r="AA415" s="4" t="s">
        <v>1989</v>
      </c>
      <c r="AB415" s="5"/>
    </row>
    <row r="416" spans="1:28" ht="73.5" customHeight="1">
      <c r="A416" s="7" t="str">
        <f>'Reported burning'!A416</f>
        <v>29u</v>
      </c>
      <c r="B416" s="7" t="str">
        <f>'Reported burning'!B416</f>
        <v>29u.1</v>
      </c>
      <c r="C416" s="7" t="str">
        <f>'Reported burning'!C416</f>
        <v>Human, deliberate</v>
      </c>
      <c r="D416" s="7" t="str">
        <f>'Reported burning'!D416</f>
        <v>Crop field preparation</v>
      </c>
      <c r="E416" s="7" t="str">
        <f>'Reported burning'!E416</f>
        <v>Cropping, Monoculture, Subsistence-oriented</v>
      </c>
      <c r="F416" s="7" t="str">
        <f>'Reported burning'!F416</f>
        <v>Cropland</v>
      </c>
      <c r="G416" s="7" t="str">
        <f>'Reported burning'!G416</f>
        <v>ND</v>
      </c>
      <c r="H416" s="7" t="str">
        <f>'Reported burning'!H416</f>
        <v>Absence</v>
      </c>
      <c r="I416" s="4"/>
      <c r="J416" s="22" t="s">
        <v>2396</v>
      </c>
      <c r="K416" s="110" t="s">
        <v>2396</v>
      </c>
      <c r="L416" s="22" t="s">
        <v>2396</v>
      </c>
      <c r="M416" s="22" t="s">
        <v>2396</v>
      </c>
      <c r="N416" s="22" t="s">
        <v>2396</v>
      </c>
      <c r="O416" s="22" t="s">
        <v>2396</v>
      </c>
      <c r="P416" s="22" t="s">
        <v>2396</v>
      </c>
      <c r="Q416" s="109" t="s">
        <v>2308</v>
      </c>
      <c r="R416" s="109" t="s">
        <v>2308</v>
      </c>
      <c r="S416" s="22" t="s">
        <v>2396</v>
      </c>
      <c r="T416" s="22" t="s">
        <v>2396</v>
      </c>
      <c r="U416" s="22" t="s">
        <v>2396</v>
      </c>
      <c r="V416" s="22" t="s">
        <v>2396</v>
      </c>
      <c r="W416" s="22" t="s">
        <v>2308</v>
      </c>
      <c r="X416" s="4" t="s">
        <v>2308</v>
      </c>
      <c r="Y416" s="4" t="s">
        <v>2308</v>
      </c>
      <c r="Z416" s="4" t="s">
        <v>2308</v>
      </c>
      <c r="AA416" s="19" t="s">
        <v>2001</v>
      </c>
      <c r="AB416" s="5"/>
    </row>
    <row r="417" spans="1:28" ht="56" customHeight="1">
      <c r="A417" s="7" t="str">
        <f>'Reported burning'!A417</f>
        <v>29v</v>
      </c>
      <c r="B417" s="7" t="str">
        <f>'Reported burning'!B417</f>
        <v>29v.1</v>
      </c>
      <c r="C417" s="7" t="str">
        <f>'Reported burning'!C417</f>
        <v>Human, deliberate</v>
      </c>
      <c r="D417" s="7" t="str">
        <f>'Reported burning'!D417</f>
        <v>Crop field preparation</v>
      </c>
      <c r="E417" s="7" t="str">
        <f>'Reported burning'!E417</f>
        <v>Cropping, Swidden</v>
      </c>
      <c r="F417" s="7" t="str">
        <f>'Reported burning'!F417</f>
        <v>Secondary Vegetation</v>
      </c>
      <c r="G417" s="7" t="str">
        <f>'Reported burning'!G417</f>
        <v>ND</v>
      </c>
      <c r="H417" s="7" t="str">
        <f>'Reported burning'!H417</f>
        <v>Presence</v>
      </c>
      <c r="I417" s="4"/>
      <c r="J417" s="22" t="s">
        <v>2308</v>
      </c>
      <c r="K417" s="110" t="s">
        <v>2308</v>
      </c>
      <c r="L417" s="22" t="s">
        <v>2308</v>
      </c>
      <c r="M417" s="22" t="s">
        <v>2308</v>
      </c>
      <c r="N417" s="22" t="s">
        <v>2308</v>
      </c>
      <c r="O417" s="22" t="s">
        <v>2308</v>
      </c>
      <c r="P417" s="22" t="s">
        <v>2308</v>
      </c>
      <c r="Q417" s="109" t="s">
        <v>2308</v>
      </c>
      <c r="R417" s="109" t="s">
        <v>2308</v>
      </c>
      <c r="S417" s="22" t="s">
        <v>2308</v>
      </c>
      <c r="T417" s="22" t="s">
        <v>2308</v>
      </c>
      <c r="U417" s="22" t="s">
        <v>2308</v>
      </c>
      <c r="V417" s="22" t="s">
        <v>2308</v>
      </c>
      <c r="W417" s="22" t="s">
        <v>2435</v>
      </c>
      <c r="X417" s="4" t="s">
        <v>2308</v>
      </c>
      <c r="Y417" s="4" t="s">
        <v>2308</v>
      </c>
      <c r="Z417" s="4" t="s">
        <v>2308</v>
      </c>
      <c r="AA417" s="5" t="s">
        <v>1994</v>
      </c>
      <c r="AB417" s="5"/>
    </row>
    <row r="418" spans="1:28" ht="56" customHeight="1">
      <c r="A418" s="7" t="str">
        <f>'Reported burning'!A418</f>
        <v>29w</v>
      </c>
      <c r="B418" s="7" t="str">
        <f>'Reported burning'!B418</f>
        <v>29w.1</v>
      </c>
      <c r="C418" s="7" t="str">
        <f>'Reported burning'!C418</f>
        <v>Human, deliberate</v>
      </c>
      <c r="D418" s="7" t="str">
        <f>'Reported burning'!D418</f>
        <v>Crop field preparation</v>
      </c>
      <c r="E418" s="7" t="str">
        <f>'Reported burning'!E418</f>
        <v>Cropping, Swidden</v>
      </c>
      <c r="F418" s="7" t="str">
        <f>'Reported burning'!F418</f>
        <v>Forest</v>
      </c>
      <c r="G418" s="7" t="str">
        <f>'Reported burning'!G418</f>
        <v>ND</v>
      </c>
      <c r="H418" s="7" t="str">
        <f>'Reported burning'!H418</f>
        <v>Presence</v>
      </c>
      <c r="I418" s="4"/>
      <c r="J418" s="22" t="s">
        <v>2308</v>
      </c>
      <c r="K418" s="110" t="s">
        <v>2308</v>
      </c>
      <c r="L418" s="22" t="s">
        <v>2308</v>
      </c>
      <c r="M418" s="22" t="s">
        <v>2308</v>
      </c>
      <c r="N418" s="22" t="s">
        <v>2308</v>
      </c>
      <c r="O418" s="22" t="s">
        <v>2308</v>
      </c>
      <c r="P418" s="22" t="s">
        <v>2308</v>
      </c>
      <c r="Q418" s="109" t="s">
        <v>2308</v>
      </c>
      <c r="R418" s="109" t="s">
        <v>2308</v>
      </c>
      <c r="S418" s="22" t="s">
        <v>2308</v>
      </c>
      <c r="T418" s="22" t="s">
        <v>2308</v>
      </c>
      <c r="U418" s="22" t="s">
        <v>2308</v>
      </c>
      <c r="V418" s="22" t="s">
        <v>2308</v>
      </c>
      <c r="W418" s="22" t="s">
        <v>2437</v>
      </c>
      <c r="X418" s="4" t="s">
        <v>2308</v>
      </c>
      <c r="Y418" s="4" t="s">
        <v>2308</v>
      </c>
      <c r="Z418" s="4" t="s">
        <v>2308</v>
      </c>
      <c r="AA418" s="5" t="s">
        <v>1993</v>
      </c>
      <c r="AB418" s="5"/>
    </row>
    <row r="419" spans="1:28" ht="56" customHeight="1">
      <c r="A419" s="7" t="str">
        <f>'Reported burning'!A419</f>
        <v>29w</v>
      </c>
      <c r="B419" s="7" t="str">
        <f>'Reported burning'!B419</f>
        <v>29w.2</v>
      </c>
      <c r="C419" s="7" t="str">
        <f>'Reported burning'!C419</f>
        <v>Human, deliberate</v>
      </c>
      <c r="D419" s="7" t="str">
        <f>'Reported burning'!D419</f>
        <v>Crop field preparation</v>
      </c>
      <c r="E419" s="7" t="str">
        <f>'Reported burning'!E419</f>
        <v>Cropping, Swidden</v>
      </c>
      <c r="F419" s="7" t="str">
        <f>'Reported burning'!F419</f>
        <v>Secondary Vegetation</v>
      </c>
      <c r="G419" s="7" t="str">
        <f>'Reported burning'!G419</f>
        <v>ND</v>
      </c>
      <c r="H419" s="7" t="str">
        <f>'Reported burning'!H419</f>
        <v>Presence</v>
      </c>
      <c r="I419" s="4"/>
      <c r="J419" s="22" t="s">
        <v>2308</v>
      </c>
      <c r="K419" s="110" t="s">
        <v>2308</v>
      </c>
      <c r="L419" s="22" t="s">
        <v>2308</v>
      </c>
      <c r="M419" s="22" t="s">
        <v>2308</v>
      </c>
      <c r="N419" s="22" t="s">
        <v>2308</v>
      </c>
      <c r="O419" s="22" t="s">
        <v>2308</v>
      </c>
      <c r="P419" s="22" t="s">
        <v>2308</v>
      </c>
      <c r="Q419" s="109" t="s">
        <v>2308</v>
      </c>
      <c r="R419" s="109" t="s">
        <v>2308</v>
      </c>
      <c r="S419" s="22" t="s">
        <v>2308</v>
      </c>
      <c r="T419" s="22" t="s">
        <v>2308</v>
      </c>
      <c r="U419" s="22" t="s">
        <v>2308</v>
      </c>
      <c r="V419" s="22" t="s">
        <v>2308</v>
      </c>
      <c r="W419" s="22" t="s">
        <v>2437</v>
      </c>
      <c r="X419" s="4" t="s">
        <v>2308</v>
      </c>
      <c r="Y419" s="4" t="s">
        <v>2308</v>
      </c>
      <c r="Z419" s="4" t="s">
        <v>2308</v>
      </c>
      <c r="AA419" s="5" t="s">
        <v>1993</v>
      </c>
      <c r="AB419" s="5"/>
    </row>
    <row r="420" spans="1:28" ht="56" customHeight="1">
      <c r="A420" s="7" t="str">
        <f>'Reported burning'!A420</f>
        <v>29x</v>
      </c>
      <c r="B420" s="7" t="str">
        <f>'Reported burning'!B420</f>
        <v>29x.1</v>
      </c>
      <c r="C420" s="7" t="str">
        <f>'Reported burning'!C420</f>
        <v>Human, deliberate</v>
      </c>
      <c r="D420" s="7" t="str">
        <f>'Reported burning'!D420</f>
        <v>Crop field preparation</v>
      </c>
      <c r="E420" s="7" t="str">
        <f>'Reported burning'!E420</f>
        <v>Cropping, Swidden</v>
      </c>
      <c r="F420" s="7" t="str">
        <f>'Reported burning'!F420</f>
        <v>Secondary Vegetation</v>
      </c>
      <c r="G420" s="7" t="str">
        <f>'Reported burning'!G420</f>
        <v>ND</v>
      </c>
      <c r="H420" s="7" t="str">
        <f>'Reported burning'!H420</f>
        <v>Presence</v>
      </c>
      <c r="I420" s="4"/>
      <c r="J420" s="22" t="s">
        <v>2308</v>
      </c>
      <c r="K420" s="110" t="s">
        <v>2308</v>
      </c>
      <c r="L420" s="22" t="s">
        <v>2308</v>
      </c>
      <c r="M420" s="22" t="s">
        <v>2308</v>
      </c>
      <c r="N420" s="22" t="s">
        <v>2308</v>
      </c>
      <c r="O420" s="22" t="s">
        <v>2308</v>
      </c>
      <c r="P420" s="22" t="s">
        <v>2308</v>
      </c>
      <c r="Q420" s="109" t="s">
        <v>2308</v>
      </c>
      <c r="R420" s="109" t="s">
        <v>2308</v>
      </c>
      <c r="S420" s="22" t="s">
        <v>2308</v>
      </c>
      <c r="T420" s="22" t="s">
        <v>2308</v>
      </c>
      <c r="U420" s="22" t="s">
        <v>2308</v>
      </c>
      <c r="V420" s="22" t="s">
        <v>2308</v>
      </c>
      <c r="W420" s="22" t="s">
        <v>2435</v>
      </c>
      <c r="X420" s="4" t="s">
        <v>2308</v>
      </c>
      <c r="Y420" s="4" t="s">
        <v>2308</v>
      </c>
      <c r="Z420" s="4" t="s">
        <v>2308</v>
      </c>
      <c r="AA420" s="5" t="s">
        <v>1994</v>
      </c>
      <c r="AB420" s="5"/>
    </row>
    <row r="421" spans="1:28" ht="56" customHeight="1">
      <c r="A421" s="7" t="str">
        <f>'Reported burning'!A421</f>
        <v>29y</v>
      </c>
      <c r="B421" s="7" t="str">
        <f>'Reported burning'!B421</f>
        <v>29y.1</v>
      </c>
      <c r="C421" s="7" t="str">
        <f>'Reported burning'!C421</f>
        <v>Human, deliberate</v>
      </c>
      <c r="D421" s="7" t="str">
        <f>'Reported burning'!D421</f>
        <v>Crop field preparation</v>
      </c>
      <c r="E421" s="7" t="str">
        <f>'Reported burning'!E421</f>
        <v>Cropping, Swidden</v>
      </c>
      <c r="F421" s="7" t="str">
        <f>'Reported burning'!F421</f>
        <v>Secondary Vegetation</v>
      </c>
      <c r="G421" s="7" t="str">
        <f>'Reported burning'!G421</f>
        <v>ND</v>
      </c>
      <c r="H421" s="7" t="str">
        <f>'Reported burning'!H421</f>
        <v>Presence</v>
      </c>
      <c r="I421" s="4"/>
      <c r="J421" s="22" t="s">
        <v>2308</v>
      </c>
      <c r="K421" s="110" t="s">
        <v>2308</v>
      </c>
      <c r="L421" s="22" t="s">
        <v>2308</v>
      </c>
      <c r="M421" s="22" t="s">
        <v>2308</v>
      </c>
      <c r="N421" s="22" t="s">
        <v>2308</v>
      </c>
      <c r="O421" s="22" t="s">
        <v>2308</v>
      </c>
      <c r="P421" s="22" t="s">
        <v>2308</v>
      </c>
      <c r="Q421" s="109" t="s">
        <v>2308</v>
      </c>
      <c r="R421" s="109" t="s">
        <v>2308</v>
      </c>
      <c r="S421" s="22" t="s">
        <v>2308</v>
      </c>
      <c r="T421" s="22" t="s">
        <v>2308</v>
      </c>
      <c r="U421" s="22" t="s">
        <v>2308</v>
      </c>
      <c r="V421" s="22" t="s">
        <v>2308</v>
      </c>
      <c r="W421" s="22" t="s">
        <v>2435</v>
      </c>
      <c r="X421" s="4" t="s">
        <v>2308</v>
      </c>
      <c r="Y421" s="4" t="s">
        <v>2308</v>
      </c>
      <c r="Z421" s="4" t="s">
        <v>2308</v>
      </c>
      <c r="AA421" s="5" t="s">
        <v>1994</v>
      </c>
      <c r="AB421" s="5"/>
    </row>
    <row r="422" spans="1:28" ht="56" customHeight="1">
      <c r="A422" s="7" t="str">
        <f>'Reported burning'!A422</f>
        <v>29z</v>
      </c>
      <c r="B422" s="7" t="str">
        <f>'Reported burning'!B422</f>
        <v>29z.1</v>
      </c>
      <c r="C422" s="7" t="str">
        <f>'Reported burning'!C422</f>
        <v>Human, deliberate</v>
      </c>
      <c r="D422" s="7" t="str">
        <f>'Reported burning'!D422</f>
        <v>Crop field preparation</v>
      </c>
      <c r="E422" s="7" t="str">
        <f>'Reported burning'!E422</f>
        <v>Cropping, Monoculture, Subsistence-oriented</v>
      </c>
      <c r="F422" s="7" t="str">
        <f>'Reported burning'!F422</f>
        <v>Cropland</v>
      </c>
      <c r="G422" s="7" t="str">
        <f>'Reported burning'!G422</f>
        <v>ND</v>
      </c>
      <c r="H422" s="7" t="str">
        <f>'Reported burning'!H422</f>
        <v>Absence</v>
      </c>
      <c r="I422" s="4"/>
      <c r="J422" s="22" t="s">
        <v>2396</v>
      </c>
      <c r="K422" s="110" t="s">
        <v>2396</v>
      </c>
      <c r="L422" s="22" t="s">
        <v>2396</v>
      </c>
      <c r="M422" s="22" t="s">
        <v>2396</v>
      </c>
      <c r="N422" s="22" t="s">
        <v>2396</v>
      </c>
      <c r="O422" s="22" t="s">
        <v>2396</v>
      </c>
      <c r="P422" s="22" t="s">
        <v>2396</v>
      </c>
      <c r="Q422" s="109" t="s">
        <v>2308</v>
      </c>
      <c r="R422" s="109" t="s">
        <v>2308</v>
      </c>
      <c r="S422" s="22" t="s">
        <v>2396</v>
      </c>
      <c r="T422" s="22" t="s">
        <v>2396</v>
      </c>
      <c r="U422" s="22" t="s">
        <v>2396</v>
      </c>
      <c r="V422" s="22" t="s">
        <v>2396</v>
      </c>
      <c r="W422" s="22" t="s">
        <v>2308</v>
      </c>
      <c r="X422" s="4" t="s">
        <v>2308</v>
      </c>
      <c r="Y422" s="4" t="s">
        <v>2308</v>
      </c>
      <c r="Z422" s="4" t="s">
        <v>2308</v>
      </c>
      <c r="AA422" s="4" t="s">
        <v>1989</v>
      </c>
      <c r="AB422" s="5"/>
    </row>
    <row r="423" spans="1:28" ht="73.5" customHeight="1">
      <c r="A423" s="7" t="str">
        <f>'Reported burning'!A423</f>
        <v>29aa</v>
      </c>
      <c r="B423" s="7" t="str">
        <f>'Reported burning'!B423</f>
        <v>29aa.1</v>
      </c>
      <c r="C423" s="7" t="str">
        <f>'Reported burning'!C423</f>
        <v>Human, deliberate</v>
      </c>
      <c r="D423" s="7" t="str">
        <f>'Reported burning'!D423</f>
        <v>Crop field preparation</v>
      </c>
      <c r="E423" s="7" t="str">
        <f>'Reported burning'!E423</f>
        <v>Cropping, Monoculture, Subsistence-oriented</v>
      </c>
      <c r="F423" s="7" t="str">
        <f>'Reported burning'!F423</f>
        <v>Cropland</v>
      </c>
      <c r="G423" s="7" t="str">
        <f>'Reported burning'!G423</f>
        <v>ND</v>
      </c>
      <c r="H423" s="7" t="str">
        <f>'Reported burning'!H423</f>
        <v>Absence</v>
      </c>
      <c r="I423" s="4"/>
      <c r="J423" s="22" t="s">
        <v>2396</v>
      </c>
      <c r="K423" s="110" t="s">
        <v>2396</v>
      </c>
      <c r="L423" s="22" t="s">
        <v>2396</v>
      </c>
      <c r="M423" s="22" t="s">
        <v>2396</v>
      </c>
      <c r="N423" s="22" t="s">
        <v>2396</v>
      </c>
      <c r="O423" s="22" t="s">
        <v>2396</v>
      </c>
      <c r="P423" s="22" t="s">
        <v>2396</v>
      </c>
      <c r="Q423" s="109" t="s">
        <v>2308</v>
      </c>
      <c r="R423" s="109" t="s">
        <v>2308</v>
      </c>
      <c r="S423" s="22" t="s">
        <v>2396</v>
      </c>
      <c r="T423" s="22" t="s">
        <v>2396</v>
      </c>
      <c r="U423" s="22" t="s">
        <v>2396</v>
      </c>
      <c r="V423" s="22" t="s">
        <v>2396</v>
      </c>
      <c r="W423" s="22" t="s">
        <v>2308</v>
      </c>
      <c r="X423" s="4" t="s">
        <v>2308</v>
      </c>
      <c r="Y423" s="4" t="s">
        <v>2308</v>
      </c>
      <c r="Z423" s="4" t="s">
        <v>2308</v>
      </c>
      <c r="AA423" s="19" t="s">
        <v>2001</v>
      </c>
      <c r="AB423" s="5"/>
    </row>
    <row r="424" spans="1:28" ht="56" customHeight="1">
      <c r="A424" s="7" t="str">
        <f>'Reported burning'!A424</f>
        <v>29ab</v>
      </c>
      <c r="B424" s="7" t="str">
        <f>'Reported burning'!B424</f>
        <v>29ab.1</v>
      </c>
      <c r="C424" s="7" t="str">
        <f>'Reported burning'!C424</f>
        <v>Human, deliberate</v>
      </c>
      <c r="D424" s="7" t="str">
        <f>'Reported burning'!D424</f>
        <v>Crop field preparation</v>
      </c>
      <c r="E424" s="7" t="str">
        <f>'Reported burning'!E424</f>
        <v>Cropping, Monoculture, Subsistence-oriented</v>
      </c>
      <c r="F424" s="7" t="str">
        <f>'Reported burning'!F424</f>
        <v>Cropland</v>
      </c>
      <c r="G424" s="7" t="str">
        <f>'Reported burning'!G424</f>
        <v>ND</v>
      </c>
      <c r="H424" s="7" t="str">
        <f>'Reported burning'!H424</f>
        <v>Absence</v>
      </c>
      <c r="I424" s="4"/>
      <c r="J424" s="22" t="s">
        <v>2396</v>
      </c>
      <c r="K424" s="110" t="s">
        <v>2396</v>
      </c>
      <c r="L424" s="22" t="s">
        <v>2396</v>
      </c>
      <c r="M424" s="22" t="s">
        <v>2396</v>
      </c>
      <c r="N424" s="22" t="s">
        <v>2396</v>
      </c>
      <c r="O424" s="22" t="s">
        <v>2396</v>
      </c>
      <c r="P424" s="22" t="s">
        <v>2396</v>
      </c>
      <c r="Q424" s="109" t="s">
        <v>2308</v>
      </c>
      <c r="R424" s="109" t="s">
        <v>2308</v>
      </c>
      <c r="S424" s="22" t="s">
        <v>2396</v>
      </c>
      <c r="T424" s="22" t="s">
        <v>2396</v>
      </c>
      <c r="U424" s="22" t="s">
        <v>2396</v>
      </c>
      <c r="V424" s="22" t="s">
        <v>2396</v>
      </c>
      <c r="W424" s="22" t="s">
        <v>2308</v>
      </c>
      <c r="X424" s="4" t="s">
        <v>2308</v>
      </c>
      <c r="Y424" s="4" t="s">
        <v>2308</v>
      </c>
      <c r="Z424" s="4" t="s">
        <v>2308</v>
      </c>
      <c r="AA424" s="4" t="s">
        <v>1989</v>
      </c>
      <c r="AB424" s="5"/>
    </row>
    <row r="425" spans="1:28" ht="56" customHeight="1">
      <c r="A425" s="7" t="str">
        <f>'Reported burning'!A425</f>
        <v>29ac</v>
      </c>
      <c r="B425" s="7" t="str">
        <f>'Reported burning'!B425</f>
        <v>29ac.1</v>
      </c>
      <c r="C425" s="7" t="str">
        <f>'Reported burning'!C425</f>
        <v>Human, deliberate</v>
      </c>
      <c r="D425" s="7" t="str">
        <f>'Reported burning'!D425</f>
        <v>Crop field preparation</v>
      </c>
      <c r="E425" s="7" t="str">
        <f>'Reported burning'!E425</f>
        <v>Cropping, Monoculture, Subsistence-oriented</v>
      </c>
      <c r="F425" s="7" t="str">
        <f>'Reported burning'!F425</f>
        <v>Cropland</v>
      </c>
      <c r="G425" s="7" t="str">
        <f>'Reported burning'!G425</f>
        <v>ND</v>
      </c>
      <c r="H425" s="7" t="str">
        <f>'Reported burning'!H425</f>
        <v>Absence</v>
      </c>
      <c r="I425" s="4"/>
      <c r="J425" s="22" t="s">
        <v>2396</v>
      </c>
      <c r="K425" s="110" t="s">
        <v>2396</v>
      </c>
      <c r="L425" s="22" t="s">
        <v>2396</v>
      </c>
      <c r="M425" s="22" t="s">
        <v>2396</v>
      </c>
      <c r="N425" s="22" t="s">
        <v>2396</v>
      </c>
      <c r="O425" s="22" t="s">
        <v>2396</v>
      </c>
      <c r="P425" s="22" t="s">
        <v>2396</v>
      </c>
      <c r="Q425" s="109" t="s">
        <v>2308</v>
      </c>
      <c r="R425" s="109" t="s">
        <v>2308</v>
      </c>
      <c r="S425" s="22" t="s">
        <v>2396</v>
      </c>
      <c r="T425" s="22" t="s">
        <v>2396</v>
      </c>
      <c r="U425" s="22" t="s">
        <v>2396</v>
      </c>
      <c r="V425" s="22" t="s">
        <v>2396</v>
      </c>
      <c r="W425" s="22" t="s">
        <v>2308</v>
      </c>
      <c r="X425" s="4" t="s">
        <v>2308</v>
      </c>
      <c r="Y425" s="4" t="s">
        <v>2308</v>
      </c>
      <c r="Z425" s="4" t="s">
        <v>2308</v>
      </c>
      <c r="AA425" s="4" t="s">
        <v>1989</v>
      </c>
      <c r="AB425" s="5"/>
    </row>
    <row r="426" spans="1:28" ht="56" customHeight="1">
      <c r="A426" s="7" t="str">
        <f>'Reported burning'!A426</f>
        <v>29ad</v>
      </c>
      <c r="B426" s="7" t="str">
        <f>'Reported burning'!B426</f>
        <v>29ad.1</v>
      </c>
      <c r="C426" s="7" t="str">
        <f>'Reported burning'!C426</f>
        <v>Human, deliberate</v>
      </c>
      <c r="D426" s="7" t="str">
        <f>'Reported burning'!D426</f>
        <v>Crop field preparation</v>
      </c>
      <c r="E426" s="7" t="str">
        <f>'Reported burning'!E426</f>
        <v>Cropping, Monoculture, Subsistence-oriented</v>
      </c>
      <c r="F426" s="7" t="str">
        <f>'Reported burning'!F426</f>
        <v>Cropland</v>
      </c>
      <c r="G426" s="7" t="str">
        <f>'Reported burning'!G426</f>
        <v>ND</v>
      </c>
      <c r="H426" s="7" t="str">
        <f>'Reported burning'!H426</f>
        <v>Absence</v>
      </c>
      <c r="I426" s="4"/>
      <c r="J426" s="22" t="s">
        <v>2396</v>
      </c>
      <c r="K426" s="110" t="s">
        <v>2396</v>
      </c>
      <c r="L426" s="22" t="s">
        <v>2396</v>
      </c>
      <c r="M426" s="22" t="s">
        <v>2396</v>
      </c>
      <c r="N426" s="22" t="s">
        <v>2396</v>
      </c>
      <c r="O426" s="22" t="s">
        <v>2396</v>
      </c>
      <c r="P426" s="22" t="s">
        <v>2396</v>
      </c>
      <c r="Q426" s="109" t="s">
        <v>2308</v>
      </c>
      <c r="R426" s="109" t="s">
        <v>2308</v>
      </c>
      <c r="S426" s="22" t="s">
        <v>2396</v>
      </c>
      <c r="T426" s="22" t="s">
        <v>2396</v>
      </c>
      <c r="U426" s="22" t="s">
        <v>2396</v>
      </c>
      <c r="V426" s="22" t="s">
        <v>2396</v>
      </c>
      <c r="W426" s="22" t="s">
        <v>2308</v>
      </c>
      <c r="X426" s="4" t="s">
        <v>2308</v>
      </c>
      <c r="Y426" s="4" t="s">
        <v>2308</v>
      </c>
      <c r="Z426" s="4" t="s">
        <v>2308</v>
      </c>
      <c r="AA426" s="4" t="s">
        <v>1989</v>
      </c>
      <c r="AB426" s="5"/>
    </row>
    <row r="427" spans="1:28" ht="56" customHeight="1">
      <c r="A427" s="7" t="str">
        <f>'Reported burning'!A427</f>
        <v>29ae</v>
      </c>
      <c r="B427" s="7" t="str">
        <f>'Reported burning'!B427</f>
        <v>29ae.1</v>
      </c>
      <c r="C427" s="7" t="str">
        <f>'Reported burning'!C427</f>
        <v>Human, deliberate</v>
      </c>
      <c r="D427" s="7" t="str">
        <f>'Reported burning'!D427</f>
        <v>Crop field preparation</v>
      </c>
      <c r="E427" s="7" t="str">
        <f>'Reported burning'!E427</f>
        <v>Cropping, Swidden</v>
      </c>
      <c r="F427" s="7" t="str">
        <f>'Reported burning'!F427</f>
        <v>Secondary Vegetation</v>
      </c>
      <c r="G427" s="7" t="str">
        <f>'Reported burning'!G427</f>
        <v>ND</v>
      </c>
      <c r="H427" s="7" t="str">
        <f>'Reported burning'!H427</f>
        <v>Absence</v>
      </c>
      <c r="I427" s="4"/>
      <c r="J427" s="22" t="s">
        <v>2396</v>
      </c>
      <c r="K427" s="110" t="s">
        <v>2396</v>
      </c>
      <c r="L427" s="22" t="s">
        <v>2396</v>
      </c>
      <c r="M427" s="22" t="s">
        <v>2396</v>
      </c>
      <c r="N427" s="22" t="s">
        <v>2396</v>
      </c>
      <c r="O427" s="22" t="s">
        <v>2396</v>
      </c>
      <c r="P427" s="22" t="s">
        <v>2396</v>
      </c>
      <c r="Q427" s="109" t="s">
        <v>2308</v>
      </c>
      <c r="R427" s="109" t="s">
        <v>2308</v>
      </c>
      <c r="S427" s="22" t="s">
        <v>2396</v>
      </c>
      <c r="T427" s="22" t="s">
        <v>2396</v>
      </c>
      <c r="U427" s="22" t="s">
        <v>2396</v>
      </c>
      <c r="V427" s="22" t="s">
        <v>2396</v>
      </c>
      <c r="W427" s="22" t="s">
        <v>2308</v>
      </c>
      <c r="X427" s="4" t="s">
        <v>2308</v>
      </c>
      <c r="Y427" s="4" t="s">
        <v>2308</v>
      </c>
      <c r="Z427" s="4" t="s">
        <v>2308</v>
      </c>
      <c r="AA427" s="5" t="s">
        <v>1983</v>
      </c>
      <c r="AB427" s="5"/>
    </row>
    <row r="428" spans="1:28" ht="70" customHeight="1">
      <c r="A428" s="7" t="str">
        <f>'Reported burning'!A428</f>
        <v>29af</v>
      </c>
      <c r="B428" s="7" t="str">
        <f>'Reported burning'!B428</f>
        <v>29af.1</v>
      </c>
      <c r="C428" s="7" t="str">
        <f>'Reported burning'!C428</f>
        <v>Human, deliberate</v>
      </c>
      <c r="D428" s="7" t="str">
        <f>'Reported burning'!D428</f>
        <v>Crop field preparation</v>
      </c>
      <c r="E428" s="7" t="str">
        <f>'Reported burning'!E428</f>
        <v>Cropping, Monoculture, Subsistence-oriented</v>
      </c>
      <c r="F428" s="7" t="str">
        <f>'Reported burning'!F428</f>
        <v>Cropland</v>
      </c>
      <c r="G428" s="7" t="str">
        <f>'Reported burning'!G428</f>
        <v>ND</v>
      </c>
      <c r="H428" s="7" t="str">
        <f>'Reported burning'!H428</f>
        <v>Absence</v>
      </c>
      <c r="I428" s="4"/>
      <c r="J428" s="22" t="s">
        <v>2396</v>
      </c>
      <c r="K428" s="110" t="s">
        <v>2396</v>
      </c>
      <c r="L428" s="22" t="s">
        <v>2396</v>
      </c>
      <c r="M428" s="22" t="s">
        <v>2396</v>
      </c>
      <c r="N428" s="22" t="s">
        <v>2396</v>
      </c>
      <c r="O428" s="22" t="s">
        <v>2396</v>
      </c>
      <c r="P428" s="22" t="s">
        <v>2396</v>
      </c>
      <c r="Q428" s="109" t="s">
        <v>2308</v>
      </c>
      <c r="R428" s="109" t="s">
        <v>2308</v>
      </c>
      <c r="S428" s="22" t="s">
        <v>2396</v>
      </c>
      <c r="T428" s="22" t="s">
        <v>2396</v>
      </c>
      <c r="U428" s="22" t="s">
        <v>2396</v>
      </c>
      <c r="V428" s="22" t="s">
        <v>2396</v>
      </c>
      <c r="W428" s="22" t="s">
        <v>2308</v>
      </c>
      <c r="X428" s="4" t="s">
        <v>2308</v>
      </c>
      <c r="Y428" s="4" t="s">
        <v>2308</v>
      </c>
      <c r="Z428" s="4" t="s">
        <v>2308</v>
      </c>
      <c r="AA428" s="19" t="s">
        <v>2001</v>
      </c>
      <c r="AB428" s="5"/>
    </row>
    <row r="429" spans="1:28" ht="63.5" customHeight="1">
      <c r="A429" s="7" t="str">
        <f>'Reported burning'!A429</f>
        <v>29ag</v>
      </c>
      <c r="B429" s="7" t="str">
        <f>'Reported burning'!B429</f>
        <v>29ag.1</v>
      </c>
      <c r="C429" s="7" t="str">
        <f>'Reported burning'!C429</f>
        <v>Human, deliberate</v>
      </c>
      <c r="D429" s="7" t="str">
        <f>'Reported burning'!D429</f>
        <v>Crop field preparation</v>
      </c>
      <c r="E429" s="7" t="str">
        <f>'Reported burning'!E429</f>
        <v>Cropping, Monoculture, Subsistence-oriented</v>
      </c>
      <c r="F429" s="7" t="str">
        <f>'Reported burning'!F429</f>
        <v>Cropland</v>
      </c>
      <c r="G429" s="7" t="str">
        <f>'Reported burning'!G429</f>
        <v>ND</v>
      </c>
      <c r="H429" s="7" t="str">
        <f>'Reported burning'!H429</f>
        <v>Absence</v>
      </c>
      <c r="I429" s="4"/>
      <c r="J429" s="22" t="s">
        <v>2396</v>
      </c>
      <c r="K429" s="110" t="s">
        <v>2396</v>
      </c>
      <c r="L429" s="22" t="s">
        <v>2396</v>
      </c>
      <c r="M429" s="22" t="s">
        <v>2396</v>
      </c>
      <c r="N429" s="22" t="s">
        <v>2396</v>
      </c>
      <c r="O429" s="22" t="s">
        <v>2396</v>
      </c>
      <c r="P429" s="22" t="s">
        <v>2396</v>
      </c>
      <c r="Q429" s="109" t="s">
        <v>2308</v>
      </c>
      <c r="R429" s="109" t="s">
        <v>2308</v>
      </c>
      <c r="S429" s="22" t="s">
        <v>2396</v>
      </c>
      <c r="T429" s="22" t="s">
        <v>2396</v>
      </c>
      <c r="U429" s="22" t="s">
        <v>2396</v>
      </c>
      <c r="V429" s="22" t="s">
        <v>2396</v>
      </c>
      <c r="W429" s="22" t="s">
        <v>2308</v>
      </c>
      <c r="X429" s="4" t="s">
        <v>2308</v>
      </c>
      <c r="Y429" s="4" t="s">
        <v>2308</v>
      </c>
      <c r="Z429" s="4" t="s">
        <v>2308</v>
      </c>
      <c r="AA429" s="19" t="s">
        <v>2001</v>
      </c>
      <c r="AB429" s="5"/>
    </row>
    <row r="430" spans="1:28" ht="56" customHeight="1">
      <c r="A430" s="7" t="str">
        <f>'Reported burning'!A430</f>
        <v>29ah</v>
      </c>
      <c r="B430" s="7" t="str">
        <f>'Reported burning'!B430</f>
        <v>29ah.1</v>
      </c>
      <c r="C430" s="7" t="str">
        <f>'Reported burning'!C430</f>
        <v>Human, deliberate</v>
      </c>
      <c r="D430" s="7" t="str">
        <f>'Reported burning'!D430</f>
        <v>Crop field preparation</v>
      </c>
      <c r="E430" s="7" t="str">
        <f>'Reported burning'!E430</f>
        <v>Cropping, Monoculture, Subsistence-oriented</v>
      </c>
      <c r="F430" s="7" t="str">
        <f>'Reported burning'!F430</f>
        <v>Cropland</v>
      </c>
      <c r="G430" s="7" t="str">
        <f>'Reported burning'!G430</f>
        <v>ND</v>
      </c>
      <c r="H430" s="7" t="str">
        <f>'Reported burning'!H430</f>
        <v>Absence</v>
      </c>
      <c r="I430" s="4"/>
      <c r="J430" s="22" t="s">
        <v>2396</v>
      </c>
      <c r="K430" s="110" t="s">
        <v>2396</v>
      </c>
      <c r="L430" s="22" t="s">
        <v>2396</v>
      </c>
      <c r="M430" s="22" t="s">
        <v>2396</v>
      </c>
      <c r="N430" s="22" t="s">
        <v>2396</v>
      </c>
      <c r="O430" s="22" t="s">
        <v>2396</v>
      </c>
      <c r="P430" s="22" t="s">
        <v>2396</v>
      </c>
      <c r="Q430" s="109" t="s">
        <v>2308</v>
      </c>
      <c r="R430" s="109" t="s">
        <v>2308</v>
      </c>
      <c r="S430" s="22" t="s">
        <v>2396</v>
      </c>
      <c r="T430" s="22" t="s">
        <v>2396</v>
      </c>
      <c r="U430" s="22" t="s">
        <v>2396</v>
      </c>
      <c r="V430" s="22" t="s">
        <v>2396</v>
      </c>
      <c r="W430" s="22" t="s">
        <v>2308</v>
      </c>
      <c r="X430" s="4" t="s">
        <v>2308</v>
      </c>
      <c r="Y430" s="4" t="s">
        <v>2308</v>
      </c>
      <c r="Z430" s="4" t="s">
        <v>2308</v>
      </c>
      <c r="AA430" s="4" t="s">
        <v>1989</v>
      </c>
      <c r="AB430" s="5"/>
    </row>
    <row r="431" spans="1:28" ht="56" customHeight="1">
      <c r="A431" s="7" t="str">
        <f>'Reported burning'!A431</f>
        <v>29ai</v>
      </c>
      <c r="B431" s="7" t="str">
        <f>'Reported burning'!B431</f>
        <v>29ah.1</v>
      </c>
      <c r="C431" s="7" t="str">
        <f>'Reported burning'!C431</f>
        <v>Human, deliberate</v>
      </c>
      <c r="D431" s="7" t="str">
        <f>'Reported burning'!D431</f>
        <v>Crop field preparation</v>
      </c>
      <c r="E431" s="7" t="str">
        <f>'Reported burning'!E431</f>
        <v>Cropping, Monoculture, Subsistence-oriented</v>
      </c>
      <c r="F431" s="7" t="str">
        <f>'Reported burning'!F431</f>
        <v>Cropland</v>
      </c>
      <c r="G431" s="7" t="str">
        <f>'Reported burning'!G431</f>
        <v>ND</v>
      </c>
      <c r="H431" s="7" t="str">
        <f>'Reported burning'!H431</f>
        <v>Absence</v>
      </c>
      <c r="I431" s="4"/>
      <c r="J431" s="22" t="s">
        <v>2396</v>
      </c>
      <c r="K431" s="110" t="s">
        <v>2396</v>
      </c>
      <c r="L431" s="22" t="s">
        <v>2396</v>
      </c>
      <c r="M431" s="22" t="s">
        <v>2396</v>
      </c>
      <c r="N431" s="22" t="s">
        <v>2396</v>
      </c>
      <c r="O431" s="22" t="s">
        <v>2396</v>
      </c>
      <c r="P431" s="22" t="s">
        <v>2396</v>
      </c>
      <c r="Q431" s="109" t="s">
        <v>2308</v>
      </c>
      <c r="R431" s="109" t="s">
        <v>2308</v>
      </c>
      <c r="S431" s="22" t="s">
        <v>2396</v>
      </c>
      <c r="T431" s="22" t="s">
        <v>2396</v>
      </c>
      <c r="U431" s="22" t="s">
        <v>2396</v>
      </c>
      <c r="V431" s="22" t="s">
        <v>2396</v>
      </c>
      <c r="W431" s="22" t="s">
        <v>2308</v>
      </c>
      <c r="X431" s="4" t="s">
        <v>2308</v>
      </c>
      <c r="Y431" s="4" t="s">
        <v>2308</v>
      </c>
      <c r="Z431" s="4" t="s">
        <v>2308</v>
      </c>
      <c r="AA431" s="4" t="s">
        <v>1989</v>
      </c>
      <c r="AB431" s="5"/>
    </row>
    <row r="432" spans="1:28" ht="56" customHeight="1">
      <c r="A432" s="7" t="str">
        <f>'Reported burning'!A432</f>
        <v>29aj</v>
      </c>
      <c r="B432" s="7" t="str">
        <f>'Reported burning'!B432</f>
        <v>29aj.1</v>
      </c>
      <c r="C432" s="7" t="str">
        <f>'Reported burning'!C432</f>
        <v>Human, deliberate</v>
      </c>
      <c r="D432" s="7" t="str">
        <f>'Reported burning'!D432</f>
        <v>Crop field preparation</v>
      </c>
      <c r="E432" s="7" t="str">
        <f>'Reported burning'!E432</f>
        <v>Cropping, Swidden</v>
      </c>
      <c r="F432" s="7" t="str">
        <f>'Reported burning'!F432</f>
        <v>Secondary Vegetation</v>
      </c>
      <c r="G432" s="7" t="str">
        <f>'Reported burning'!G432</f>
        <v>ND</v>
      </c>
      <c r="H432" s="7" t="str">
        <f>'Reported burning'!H432</f>
        <v>Absence</v>
      </c>
      <c r="I432" s="4"/>
      <c r="J432" s="22" t="s">
        <v>2396</v>
      </c>
      <c r="K432" s="110" t="s">
        <v>2396</v>
      </c>
      <c r="L432" s="22" t="s">
        <v>2396</v>
      </c>
      <c r="M432" s="22" t="s">
        <v>2396</v>
      </c>
      <c r="N432" s="22" t="s">
        <v>2396</v>
      </c>
      <c r="O432" s="22" t="s">
        <v>2396</v>
      </c>
      <c r="P432" s="22" t="s">
        <v>2396</v>
      </c>
      <c r="Q432" s="109" t="s">
        <v>2308</v>
      </c>
      <c r="R432" s="109" t="s">
        <v>2308</v>
      </c>
      <c r="S432" s="22" t="s">
        <v>2396</v>
      </c>
      <c r="T432" s="22" t="s">
        <v>2396</v>
      </c>
      <c r="U432" s="22" t="s">
        <v>2396</v>
      </c>
      <c r="V432" s="22" t="s">
        <v>2396</v>
      </c>
      <c r="W432" s="22" t="s">
        <v>2308</v>
      </c>
      <c r="X432" s="4" t="s">
        <v>2308</v>
      </c>
      <c r="Y432" s="4" t="s">
        <v>2308</v>
      </c>
      <c r="Z432" s="4" t="s">
        <v>2308</v>
      </c>
      <c r="AA432" s="5" t="s">
        <v>1983</v>
      </c>
      <c r="AB432" s="5"/>
    </row>
    <row r="433" spans="1:28" ht="56" customHeight="1">
      <c r="A433" s="7" t="str">
        <f>'Reported burning'!A433</f>
        <v>29ak</v>
      </c>
      <c r="B433" s="7" t="str">
        <f>'Reported burning'!B433</f>
        <v>29ak.1</v>
      </c>
      <c r="C433" s="7" t="str">
        <f>'Reported burning'!C433</f>
        <v>Human, deliberate</v>
      </c>
      <c r="D433" s="7" t="str">
        <f>'Reported burning'!D433</f>
        <v>Crop field preparation</v>
      </c>
      <c r="E433" s="7" t="str">
        <f>'Reported burning'!E433</f>
        <v>Cropping, Monoculture, Subsistence-oriented</v>
      </c>
      <c r="F433" s="7" t="str">
        <f>'Reported burning'!F433</f>
        <v>Cropland</v>
      </c>
      <c r="G433" s="7" t="str">
        <f>'Reported burning'!G433</f>
        <v>ND</v>
      </c>
      <c r="H433" s="7" t="str">
        <f>'Reported burning'!H433</f>
        <v>Absence</v>
      </c>
      <c r="I433" s="4"/>
      <c r="J433" s="22" t="s">
        <v>2396</v>
      </c>
      <c r="K433" s="110" t="s">
        <v>2396</v>
      </c>
      <c r="L433" s="22" t="s">
        <v>2396</v>
      </c>
      <c r="M433" s="22" t="s">
        <v>2396</v>
      </c>
      <c r="N433" s="22" t="s">
        <v>2396</v>
      </c>
      <c r="O433" s="22" t="s">
        <v>2396</v>
      </c>
      <c r="P433" s="22" t="s">
        <v>2396</v>
      </c>
      <c r="Q433" s="109" t="s">
        <v>2308</v>
      </c>
      <c r="R433" s="109" t="s">
        <v>2308</v>
      </c>
      <c r="S433" s="22" t="s">
        <v>2396</v>
      </c>
      <c r="T433" s="22" t="s">
        <v>2396</v>
      </c>
      <c r="U433" s="22" t="s">
        <v>2396</v>
      </c>
      <c r="V433" s="22" t="s">
        <v>2396</v>
      </c>
      <c r="W433" s="22" t="s">
        <v>2308</v>
      </c>
      <c r="X433" s="4" t="s">
        <v>2308</v>
      </c>
      <c r="Y433" s="4" t="s">
        <v>2308</v>
      </c>
      <c r="Z433" s="4" t="s">
        <v>2308</v>
      </c>
      <c r="AA433" s="4" t="s">
        <v>1989</v>
      </c>
      <c r="AB433" s="5"/>
    </row>
    <row r="434" spans="1:28" ht="56" customHeight="1">
      <c r="A434" s="7" t="str">
        <f>'Reported burning'!A434</f>
        <v>29al</v>
      </c>
      <c r="B434" s="7" t="str">
        <f>'Reported burning'!B434</f>
        <v>29al.1</v>
      </c>
      <c r="C434" s="7" t="str">
        <f>'Reported burning'!C434</f>
        <v>Human, deliberate</v>
      </c>
      <c r="D434" s="7" t="str">
        <f>'Reported burning'!D434</f>
        <v>Crop field preparation</v>
      </c>
      <c r="E434" s="7" t="str">
        <f>'Reported burning'!E434</f>
        <v>Cropping, Monoculture, Subsistence-oriented</v>
      </c>
      <c r="F434" s="7" t="str">
        <f>'Reported burning'!F434</f>
        <v>Cropland</v>
      </c>
      <c r="G434" s="7" t="str">
        <f>'Reported burning'!G434</f>
        <v>ND</v>
      </c>
      <c r="H434" s="7" t="str">
        <f>'Reported burning'!H434</f>
        <v>Absence</v>
      </c>
      <c r="I434" s="4"/>
      <c r="J434" s="22" t="s">
        <v>2396</v>
      </c>
      <c r="K434" s="110" t="s">
        <v>2396</v>
      </c>
      <c r="L434" s="22" t="s">
        <v>2396</v>
      </c>
      <c r="M434" s="22" t="s">
        <v>2396</v>
      </c>
      <c r="N434" s="22" t="s">
        <v>2396</v>
      </c>
      <c r="O434" s="22" t="s">
        <v>2396</v>
      </c>
      <c r="P434" s="22" t="s">
        <v>2396</v>
      </c>
      <c r="Q434" s="109" t="s">
        <v>2308</v>
      </c>
      <c r="R434" s="109" t="s">
        <v>2308</v>
      </c>
      <c r="S434" s="22" t="s">
        <v>2396</v>
      </c>
      <c r="T434" s="22" t="s">
        <v>2396</v>
      </c>
      <c r="U434" s="22" t="s">
        <v>2396</v>
      </c>
      <c r="V434" s="22" t="s">
        <v>2396</v>
      </c>
      <c r="W434" s="22" t="s">
        <v>2308</v>
      </c>
      <c r="X434" s="4" t="s">
        <v>2308</v>
      </c>
      <c r="Y434" s="4" t="s">
        <v>2308</v>
      </c>
      <c r="Z434" s="4" t="s">
        <v>2308</v>
      </c>
      <c r="AA434" s="4" t="s">
        <v>1989</v>
      </c>
      <c r="AB434" s="5"/>
    </row>
    <row r="435" spans="1:28" ht="56" customHeight="1">
      <c r="A435" s="7" t="str">
        <f>'Reported burning'!A435</f>
        <v>29am</v>
      </c>
      <c r="B435" s="7" t="str">
        <f>'Reported burning'!B435</f>
        <v>29am.1</v>
      </c>
      <c r="C435" s="7" t="str">
        <f>'Reported burning'!C435</f>
        <v>Human, deliberate</v>
      </c>
      <c r="D435" s="7" t="str">
        <f>'Reported burning'!D435</f>
        <v>Crop field preparation</v>
      </c>
      <c r="E435" s="7" t="str">
        <f>'Reported burning'!E435</f>
        <v>Cropping, Monoculture, Subsistence-oriented</v>
      </c>
      <c r="F435" s="7" t="str">
        <f>'Reported burning'!F435</f>
        <v>Cropland</v>
      </c>
      <c r="G435" s="7" t="str">
        <f>'Reported burning'!G435</f>
        <v>ND</v>
      </c>
      <c r="H435" s="7" t="str">
        <f>'Reported burning'!H435</f>
        <v>Absence</v>
      </c>
      <c r="I435" s="4"/>
      <c r="J435" s="22" t="s">
        <v>2396</v>
      </c>
      <c r="K435" s="110" t="s">
        <v>2396</v>
      </c>
      <c r="L435" s="22" t="s">
        <v>2396</v>
      </c>
      <c r="M435" s="22" t="s">
        <v>2396</v>
      </c>
      <c r="N435" s="22" t="s">
        <v>2396</v>
      </c>
      <c r="O435" s="22" t="s">
        <v>2396</v>
      </c>
      <c r="P435" s="22" t="s">
        <v>2396</v>
      </c>
      <c r="Q435" s="109" t="s">
        <v>2308</v>
      </c>
      <c r="R435" s="109" t="s">
        <v>2308</v>
      </c>
      <c r="S435" s="22" t="s">
        <v>2396</v>
      </c>
      <c r="T435" s="22" t="s">
        <v>2396</v>
      </c>
      <c r="U435" s="22" t="s">
        <v>2396</v>
      </c>
      <c r="V435" s="22" t="s">
        <v>2396</v>
      </c>
      <c r="W435" s="22" t="s">
        <v>2308</v>
      </c>
      <c r="X435" s="4" t="s">
        <v>2308</v>
      </c>
      <c r="Y435" s="4" t="s">
        <v>2308</v>
      </c>
      <c r="Z435" s="4" t="s">
        <v>2308</v>
      </c>
      <c r="AA435" s="4" t="s">
        <v>1989</v>
      </c>
      <c r="AB435" s="5"/>
    </row>
    <row r="436" spans="1:28" ht="56" customHeight="1">
      <c r="A436" s="7" t="str">
        <f>'Reported burning'!A436</f>
        <v>29an</v>
      </c>
      <c r="B436" s="7" t="str">
        <f>'Reported burning'!B436</f>
        <v>29an.1</v>
      </c>
      <c r="C436" s="7" t="str">
        <f>'Reported burning'!C436</f>
        <v>Human, deliberate</v>
      </c>
      <c r="D436" s="7" t="str">
        <f>'Reported burning'!D436</f>
        <v>Crop field preparation</v>
      </c>
      <c r="E436" s="7" t="str">
        <f>'Reported burning'!E436</f>
        <v>Cropping, Swidden</v>
      </c>
      <c r="F436" s="7" t="str">
        <f>'Reported burning'!F436</f>
        <v>Secondary Vegetation</v>
      </c>
      <c r="G436" s="7" t="str">
        <f>'Reported burning'!G436</f>
        <v>ND</v>
      </c>
      <c r="H436" s="7" t="str">
        <f>'Reported burning'!H436</f>
        <v>Presence</v>
      </c>
      <c r="I436" s="4"/>
      <c r="J436" s="22" t="s">
        <v>2308</v>
      </c>
      <c r="K436" s="110" t="s">
        <v>2308</v>
      </c>
      <c r="L436" s="22" t="s">
        <v>2308</v>
      </c>
      <c r="M436" s="22" t="s">
        <v>2308</v>
      </c>
      <c r="N436" s="22" t="s">
        <v>2308</v>
      </c>
      <c r="O436" s="22" t="s">
        <v>2308</v>
      </c>
      <c r="P436" s="22" t="s">
        <v>2308</v>
      </c>
      <c r="Q436" s="109" t="s">
        <v>2308</v>
      </c>
      <c r="R436" s="109" t="s">
        <v>2308</v>
      </c>
      <c r="S436" s="22" t="s">
        <v>2308</v>
      </c>
      <c r="T436" s="22" t="s">
        <v>2308</v>
      </c>
      <c r="U436" s="22" t="s">
        <v>2308</v>
      </c>
      <c r="V436" s="22" t="s">
        <v>2308</v>
      </c>
      <c r="W436" s="22" t="s">
        <v>2435</v>
      </c>
      <c r="X436" s="4" t="s">
        <v>2308</v>
      </c>
      <c r="Y436" s="4" t="s">
        <v>2308</v>
      </c>
      <c r="Z436" s="4" t="s">
        <v>2308</v>
      </c>
      <c r="AA436" s="5" t="s">
        <v>1994</v>
      </c>
      <c r="AB436" s="5"/>
    </row>
    <row r="437" spans="1:28" ht="56" customHeight="1">
      <c r="A437" s="7" t="str">
        <f>'Reported burning'!A437</f>
        <v>29ao</v>
      </c>
      <c r="B437" s="7" t="str">
        <f>'Reported burning'!B437</f>
        <v>29ao.1</v>
      </c>
      <c r="C437" s="7" t="str">
        <f>'Reported burning'!C437</f>
        <v>Human, deliberate</v>
      </c>
      <c r="D437" s="7" t="str">
        <f>'Reported burning'!D437</f>
        <v>Crop field preparation</v>
      </c>
      <c r="E437" s="7" t="str">
        <f>'Reported burning'!E437</f>
        <v>Cropping, Swidden</v>
      </c>
      <c r="F437" s="7" t="str">
        <f>'Reported burning'!F437</f>
        <v>Secondary Vegetation</v>
      </c>
      <c r="G437" s="7" t="str">
        <f>'Reported burning'!G437</f>
        <v>ND</v>
      </c>
      <c r="H437" s="7" t="str">
        <f>'Reported burning'!H437</f>
        <v>Presence</v>
      </c>
      <c r="I437" s="4"/>
      <c r="J437" s="22" t="s">
        <v>2308</v>
      </c>
      <c r="K437" s="110" t="s">
        <v>2308</v>
      </c>
      <c r="L437" s="22" t="s">
        <v>2308</v>
      </c>
      <c r="M437" s="22" t="s">
        <v>2308</v>
      </c>
      <c r="N437" s="22" t="s">
        <v>2308</v>
      </c>
      <c r="O437" s="22" t="s">
        <v>2308</v>
      </c>
      <c r="P437" s="22" t="s">
        <v>2308</v>
      </c>
      <c r="Q437" s="109" t="s">
        <v>2308</v>
      </c>
      <c r="R437" s="109" t="s">
        <v>2308</v>
      </c>
      <c r="S437" s="22" t="s">
        <v>2308</v>
      </c>
      <c r="T437" s="22" t="s">
        <v>2308</v>
      </c>
      <c r="U437" s="22" t="s">
        <v>2308</v>
      </c>
      <c r="V437" s="22" t="s">
        <v>2308</v>
      </c>
      <c r="W437" s="22" t="s">
        <v>2435</v>
      </c>
      <c r="X437" s="4" t="s">
        <v>2308</v>
      </c>
      <c r="Y437" s="4" t="s">
        <v>2308</v>
      </c>
      <c r="Z437" s="4" t="s">
        <v>2308</v>
      </c>
      <c r="AA437" s="5" t="s">
        <v>1994</v>
      </c>
      <c r="AB437" s="5"/>
    </row>
    <row r="438" spans="1:28" ht="56" customHeight="1">
      <c r="A438" s="7" t="str">
        <f>'Reported burning'!A438</f>
        <v>29ap</v>
      </c>
      <c r="B438" s="7" t="str">
        <f>'Reported burning'!B438</f>
        <v>29ap.1</v>
      </c>
      <c r="C438" s="7" t="str">
        <f>'Reported burning'!C438</f>
        <v>Human, deliberate</v>
      </c>
      <c r="D438" s="7" t="str">
        <f>'Reported burning'!D438</f>
        <v>Crop field preparation</v>
      </c>
      <c r="E438" s="7" t="str">
        <f>'Reported burning'!E438</f>
        <v>Cropping, Swidden</v>
      </c>
      <c r="F438" s="7" t="str">
        <f>'Reported burning'!F438</f>
        <v>Forest</v>
      </c>
      <c r="G438" s="7" t="str">
        <f>'Reported burning'!G438</f>
        <v>ND</v>
      </c>
      <c r="H438" s="7" t="str">
        <f>'Reported burning'!H438</f>
        <v>Presence</v>
      </c>
      <c r="I438" s="4"/>
      <c r="J438" s="22" t="s">
        <v>2308</v>
      </c>
      <c r="K438" s="110" t="s">
        <v>2308</v>
      </c>
      <c r="L438" s="22" t="s">
        <v>2308</v>
      </c>
      <c r="M438" s="22" t="s">
        <v>2308</v>
      </c>
      <c r="N438" s="22" t="s">
        <v>2308</v>
      </c>
      <c r="O438" s="22" t="s">
        <v>2308</v>
      </c>
      <c r="P438" s="22" t="s">
        <v>2308</v>
      </c>
      <c r="Q438" s="109" t="s">
        <v>2308</v>
      </c>
      <c r="R438" s="109" t="s">
        <v>2308</v>
      </c>
      <c r="S438" s="22" t="s">
        <v>2308</v>
      </c>
      <c r="T438" s="22" t="s">
        <v>2308</v>
      </c>
      <c r="U438" s="22" t="s">
        <v>2308</v>
      </c>
      <c r="V438" s="22" t="s">
        <v>2308</v>
      </c>
      <c r="W438" s="22" t="s">
        <v>2437</v>
      </c>
      <c r="X438" s="4" t="s">
        <v>2308</v>
      </c>
      <c r="Y438" s="4" t="s">
        <v>2308</v>
      </c>
      <c r="Z438" s="4" t="s">
        <v>2308</v>
      </c>
      <c r="AA438" s="5" t="s">
        <v>1993</v>
      </c>
      <c r="AB438" s="5"/>
    </row>
    <row r="439" spans="1:28" ht="56" customHeight="1">
      <c r="A439" s="7" t="str">
        <f>'Reported burning'!A439</f>
        <v>29ap</v>
      </c>
      <c r="B439" s="7" t="str">
        <f>'Reported burning'!B439</f>
        <v>29ap.2</v>
      </c>
      <c r="C439" s="7" t="str">
        <f>'Reported burning'!C439</f>
        <v>Human, deliberate</v>
      </c>
      <c r="D439" s="7" t="str">
        <f>'Reported burning'!D439</f>
        <v>Crop field preparation</v>
      </c>
      <c r="E439" s="7" t="str">
        <f>'Reported burning'!E439</f>
        <v>Cropping, Swidden</v>
      </c>
      <c r="F439" s="7" t="str">
        <f>'Reported burning'!F439</f>
        <v>Secondary Vegetation</v>
      </c>
      <c r="G439" s="7" t="str">
        <f>'Reported burning'!G439</f>
        <v>ND</v>
      </c>
      <c r="H439" s="7" t="str">
        <f>'Reported burning'!H439</f>
        <v>Presence</v>
      </c>
      <c r="I439" s="4"/>
      <c r="J439" s="22" t="s">
        <v>2308</v>
      </c>
      <c r="K439" s="110" t="s">
        <v>2308</v>
      </c>
      <c r="L439" s="22" t="s">
        <v>2308</v>
      </c>
      <c r="M439" s="22" t="s">
        <v>2308</v>
      </c>
      <c r="N439" s="22" t="s">
        <v>2308</v>
      </c>
      <c r="O439" s="22" t="s">
        <v>2308</v>
      </c>
      <c r="P439" s="22" t="s">
        <v>2308</v>
      </c>
      <c r="Q439" s="109" t="s">
        <v>2308</v>
      </c>
      <c r="R439" s="109" t="s">
        <v>2308</v>
      </c>
      <c r="S439" s="22" t="s">
        <v>2308</v>
      </c>
      <c r="T439" s="22" t="s">
        <v>2308</v>
      </c>
      <c r="U439" s="22" t="s">
        <v>2308</v>
      </c>
      <c r="V439" s="22" t="s">
        <v>2308</v>
      </c>
      <c r="W439" s="22" t="s">
        <v>2437</v>
      </c>
      <c r="X439" s="4" t="s">
        <v>2308</v>
      </c>
      <c r="Y439" s="4" t="s">
        <v>2308</v>
      </c>
      <c r="Z439" s="4" t="s">
        <v>2308</v>
      </c>
      <c r="AA439" s="5" t="s">
        <v>1993</v>
      </c>
      <c r="AB439" s="5"/>
    </row>
    <row r="440" spans="1:28" ht="56" customHeight="1">
      <c r="A440" s="7" t="str">
        <f>'Reported burning'!A440</f>
        <v>29aq</v>
      </c>
      <c r="B440" s="7" t="str">
        <f>'Reported burning'!B440</f>
        <v>29aq.1</v>
      </c>
      <c r="C440" s="7" t="str">
        <f>'Reported burning'!C440</f>
        <v>Human, deliberate</v>
      </c>
      <c r="D440" s="7" t="str">
        <f>'Reported burning'!D440</f>
        <v>Crop field preparation</v>
      </c>
      <c r="E440" s="7" t="str">
        <f>'Reported burning'!E440</f>
        <v>Cropping, Swidden</v>
      </c>
      <c r="F440" s="7" t="str">
        <f>'Reported burning'!F440</f>
        <v>Secondary Vegetation</v>
      </c>
      <c r="G440" s="7" t="str">
        <f>'Reported burning'!G440</f>
        <v>ND</v>
      </c>
      <c r="H440" s="7" t="str">
        <f>'Reported burning'!H440</f>
        <v>Presence</v>
      </c>
      <c r="I440" s="4"/>
      <c r="J440" s="22" t="s">
        <v>2308</v>
      </c>
      <c r="K440" s="110" t="s">
        <v>2308</v>
      </c>
      <c r="L440" s="22" t="s">
        <v>2308</v>
      </c>
      <c r="M440" s="22" t="s">
        <v>2308</v>
      </c>
      <c r="N440" s="22" t="s">
        <v>2308</v>
      </c>
      <c r="O440" s="22" t="s">
        <v>2308</v>
      </c>
      <c r="P440" s="22" t="s">
        <v>2308</v>
      </c>
      <c r="Q440" s="109" t="s">
        <v>2308</v>
      </c>
      <c r="R440" s="109" t="s">
        <v>2308</v>
      </c>
      <c r="S440" s="22" t="s">
        <v>2308</v>
      </c>
      <c r="T440" s="22" t="s">
        <v>2308</v>
      </c>
      <c r="U440" s="22" t="s">
        <v>2308</v>
      </c>
      <c r="V440" s="22" t="s">
        <v>2308</v>
      </c>
      <c r="W440" s="22" t="s">
        <v>2435</v>
      </c>
      <c r="X440" s="4" t="s">
        <v>2308</v>
      </c>
      <c r="Y440" s="4" t="s">
        <v>2308</v>
      </c>
      <c r="Z440" s="4" t="s">
        <v>2308</v>
      </c>
      <c r="AA440" s="5" t="s">
        <v>1994</v>
      </c>
      <c r="AB440" s="5"/>
    </row>
    <row r="441" spans="1:28" ht="56" customHeight="1">
      <c r="A441" s="7" t="str">
        <f>'Reported burning'!A441</f>
        <v>29ar</v>
      </c>
      <c r="B441" s="7" t="str">
        <f>'Reported burning'!B441</f>
        <v>29ar.1</v>
      </c>
      <c r="C441" s="7" t="str">
        <f>'Reported burning'!C441</f>
        <v>Human, deliberate</v>
      </c>
      <c r="D441" s="7" t="str">
        <f>'Reported burning'!D441</f>
        <v>Crop field preparation</v>
      </c>
      <c r="E441" s="7" t="str">
        <f>'Reported burning'!E441</f>
        <v>Cropping, Swidden</v>
      </c>
      <c r="F441" s="7" t="str">
        <f>'Reported burning'!F441</f>
        <v>Secondary Vegetation</v>
      </c>
      <c r="G441" s="7" t="str">
        <f>'Reported burning'!G441</f>
        <v>ND</v>
      </c>
      <c r="H441" s="7" t="str">
        <f>'Reported burning'!H441</f>
        <v>Presence</v>
      </c>
      <c r="I441" s="4"/>
      <c r="J441" s="22" t="s">
        <v>2308</v>
      </c>
      <c r="K441" s="110" t="s">
        <v>2308</v>
      </c>
      <c r="L441" s="22" t="s">
        <v>2308</v>
      </c>
      <c r="M441" s="22" t="s">
        <v>2308</v>
      </c>
      <c r="N441" s="22" t="s">
        <v>2308</v>
      </c>
      <c r="O441" s="22" t="s">
        <v>2308</v>
      </c>
      <c r="P441" s="22" t="s">
        <v>2308</v>
      </c>
      <c r="Q441" s="109" t="s">
        <v>2308</v>
      </c>
      <c r="R441" s="109" t="s">
        <v>2308</v>
      </c>
      <c r="S441" s="22" t="s">
        <v>2308</v>
      </c>
      <c r="T441" s="22" t="s">
        <v>2308</v>
      </c>
      <c r="U441" s="22" t="s">
        <v>2308</v>
      </c>
      <c r="V441" s="22" t="s">
        <v>2308</v>
      </c>
      <c r="W441" s="22" t="s">
        <v>2435</v>
      </c>
      <c r="X441" s="4" t="s">
        <v>2308</v>
      </c>
      <c r="Y441" s="4" t="s">
        <v>2308</v>
      </c>
      <c r="Z441" s="4" t="s">
        <v>2308</v>
      </c>
      <c r="AA441" s="5" t="s">
        <v>1994</v>
      </c>
      <c r="AB441" s="5"/>
    </row>
    <row r="442" spans="1:28" ht="56" customHeight="1">
      <c r="A442" s="7" t="str">
        <f>'Reported burning'!A442</f>
        <v>29as</v>
      </c>
      <c r="B442" s="7" t="str">
        <f>'Reported burning'!B442</f>
        <v>29as.1</v>
      </c>
      <c r="C442" s="7" t="str">
        <f>'Reported burning'!C442</f>
        <v>Human, deliberate</v>
      </c>
      <c r="D442" s="7" t="str">
        <f>'Reported burning'!D442</f>
        <v>Crop field preparation</v>
      </c>
      <c r="E442" s="7" t="str">
        <f>'Reported burning'!E442</f>
        <v>Cropping, Monoculture, Subsistence-oriented</v>
      </c>
      <c r="F442" s="7" t="str">
        <f>'Reported burning'!F442</f>
        <v>Cropland</v>
      </c>
      <c r="G442" s="7" t="str">
        <f>'Reported burning'!G442</f>
        <v>ND</v>
      </c>
      <c r="H442" s="7" t="str">
        <f>'Reported burning'!H442</f>
        <v>Absence</v>
      </c>
      <c r="I442" s="4"/>
      <c r="J442" s="22" t="s">
        <v>2396</v>
      </c>
      <c r="K442" s="110" t="s">
        <v>2396</v>
      </c>
      <c r="L442" s="22" t="s">
        <v>2396</v>
      </c>
      <c r="M442" s="22" t="s">
        <v>2396</v>
      </c>
      <c r="N442" s="22" t="s">
        <v>2396</v>
      </c>
      <c r="O442" s="22" t="s">
        <v>2396</v>
      </c>
      <c r="P442" s="22" t="s">
        <v>2396</v>
      </c>
      <c r="Q442" s="109" t="s">
        <v>2308</v>
      </c>
      <c r="R442" s="109" t="s">
        <v>2308</v>
      </c>
      <c r="S442" s="22" t="s">
        <v>2396</v>
      </c>
      <c r="T442" s="22" t="s">
        <v>2396</v>
      </c>
      <c r="U442" s="22" t="s">
        <v>2396</v>
      </c>
      <c r="V442" s="22" t="s">
        <v>2396</v>
      </c>
      <c r="W442" s="22" t="s">
        <v>2308</v>
      </c>
      <c r="X442" s="4" t="s">
        <v>2308</v>
      </c>
      <c r="Y442" s="4" t="s">
        <v>2308</v>
      </c>
      <c r="Z442" s="4" t="s">
        <v>2308</v>
      </c>
      <c r="AA442" s="4" t="s">
        <v>1989</v>
      </c>
      <c r="AB442" s="5"/>
    </row>
    <row r="443" spans="1:28" ht="55" customHeight="1">
      <c r="A443" s="7" t="str">
        <f>'Reported burning'!A443</f>
        <v>30a</v>
      </c>
      <c r="B443" s="7" t="str">
        <f>'Reported burning'!B443</f>
        <v>30a.1</v>
      </c>
      <c r="C443" s="7" t="str">
        <f>'Reported burning'!C443</f>
        <v>Human, deliberate</v>
      </c>
      <c r="D443" s="7" t="str">
        <f>'Reported burning'!D443</f>
        <v>Crop field preparation</v>
      </c>
      <c r="E443" s="7" t="str">
        <f>'Reported burning'!E443</f>
        <v>Cropping, Swidden</v>
      </c>
      <c r="F443" s="7" t="str">
        <f>'Reported burning'!F443</f>
        <v>Secondary Vegetation</v>
      </c>
      <c r="G443" s="7" t="str">
        <f>'Reported burning'!G443</f>
        <v>ND</v>
      </c>
      <c r="H443" s="7" t="str">
        <f>'Reported burning'!H443</f>
        <v>Presence</v>
      </c>
      <c r="I443" s="4"/>
      <c r="J443" s="22" t="s">
        <v>2308</v>
      </c>
      <c r="K443" s="110" t="s">
        <v>2308</v>
      </c>
      <c r="L443" s="22" t="s">
        <v>2308</v>
      </c>
      <c r="M443" s="22" t="s">
        <v>2308</v>
      </c>
      <c r="N443" s="22" t="s">
        <v>2308</v>
      </c>
      <c r="O443" s="22" t="s">
        <v>2308</v>
      </c>
      <c r="P443" s="22" t="s">
        <v>2308</v>
      </c>
      <c r="Q443" s="109" t="s">
        <v>2308</v>
      </c>
      <c r="R443" s="109" t="s">
        <v>2308</v>
      </c>
      <c r="S443" s="22" t="s">
        <v>2308</v>
      </c>
      <c r="T443" s="22" t="s">
        <v>2308</v>
      </c>
      <c r="U443" s="22" t="s">
        <v>2308</v>
      </c>
      <c r="V443" s="22" t="s">
        <v>2308</v>
      </c>
      <c r="W443" s="22" t="s">
        <v>2433</v>
      </c>
      <c r="X443" s="4" t="s">
        <v>2308</v>
      </c>
      <c r="Y443" s="4" t="s">
        <v>2308</v>
      </c>
      <c r="Z443" s="4" t="s">
        <v>2308</v>
      </c>
      <c r="AA443" s="5" t="s">
        <v>2032</v>
      </c>
      <c r="AB443" s="5" t="s">
        <v>719</v>
      </c>
    </row>
    <row r="444" spans="1:28" ht="103" customHeight="1">
      <c r="A444" s="7" t="str">
        <f>'Reported burning'!A444</f>
        <v>30a</v>
      </c>
      <c r="B444" s="7" t="str">
        <f>'Reported burning'!B444</f>
        <v>30a.2</v>
      </c>
      <c r="C444" s="7" t="str">
        <f>'Reported burning'!C444</f>
        <v>Human, deliberate</v>
      </c>
      <c r="D444" s="7" t="str">
        <f>'Reported burning'!D444</f>
        <v>Forest clearance</v>
      </c>
      <c r="E444" s="7" t="str">
        <f>'Reported burning'!E444</f>
        <v>Cropping, Swidden</v>
      </c>
      <c r="F444" s="7" t="str">
        <f>'Reported burning'!F444</f>
        <v>Forest</v>
      </c>
      <c r="G444" s="7" t="str">
        <f>'Reported burning'!G444</f>
        <v>Forest</v>
      </c>
      <c r="H444" s="7" t="str">
        <f>'Reported burning'!H444</f>
        <v>Presence</v>
      </c>
      <c r="I444" s="4"/>
      <c r="J444" s="22" t="s">
        <v>2308</v>
      </c>
      <c r="K444" s="110" t="s">
        <v>2308</v>
      </c>
      <c r="L444" s="22" t="s">
        <v>2308</v>
      </c>
      <c r="M444" s="22" t="s">
        <v>2308</v>
      </c>
      <c r="N444" s="22" t="s">
        <v>2308</v>
      </c>
      <c r="O444" s="22" t="s">
        <v>2407</v>
      </c>
      <c r="P444" s="22" t="s">
        <v>2308</v>
      </c>
      <c r="Q444" s="109" t="s">
        <v>2308</v>
      </c>
      <c r="R444" s="109" t="s">
        <v>2308</v>
      </c>
      <c r="S444" s="22" t="s">
        <v>2308</v>
      </c>
      <c r="T444" s="22" t="s">
        <v>2308</v>
      </c>
      <c r="U444" s="22" t="s">
        <v>2308</v>
      </c>
      <c r="V444" s="22" t="s">
        <v>2308</v>
      </c>
      <c r="W444" s="22" t="s">
        <v>2308</v>
      </c>
      <c r="X444" s="4" t="s">
        <v>2308</v>
      </c>
      <c r="Y444" s="4" t="s">
        <v>2308</v>
      </c>
      <c r="Z444" s="4" t="s">
        <v>2308</v>
      </c>
      <c r="AA444" s="4"/>
      <c r="AB444" s="5" t="s">
        <v>2031</v>
      </c>
    </row>
    <row r="445" spans="1:28" ht="57" customHeight="1">
      <c r="A445" s="7" t="str">
        <f>'Reported burning'!A445</f>
        <v>30b</v>
      </c>
      <c r="B445" s="7" t="str">
        <f>'Reported burning'!B445</f>
        <v>30b.1</v>
      </c>
      <c r="C445" s="7" t="str">
        <f>'Reported burning'!C445</f>
        <v>Human, deliberate</v>
      </c>
      <c r="D445" s="7" t="str">
        <f>'Reported burning'!D445</f>
        <v>Crop field preparation</v>
      </c>
      <c r="E445" s="7" t="str">
        <f>'Reported burning'!E445</f>
        <v>Cropping, Swidden</v>
      </c>
      <c r="F445" s="7" t="str">
        <f>'Reported burning'!F445</f>
        <v>Secondary Vegetation</v>
      </c>
      <c r="G445" s="7" t="str">
        <f>'Reported burning'!G445</f>
        <v>ND</v>
      </c>
      <c r="H445" s="7" t="str">
        <f>'Reported burning'!H445</f>
        <v>Presence</v>
      </c>
      <c r="I445" s="4"/>
      <c r="J445" s="22" t="s">
        <v>2308</v>
      </c>
      <c r="K445" s="110" t="s">
        <v>2308</v>
      </c>
      <c r="L445" s="22" t="s">
        <v>2308</v>
      </c>
      <c r="M445" s="22" t="s">
        <v>2308</v>
      </c>
      <c r="N445" s="22" t="s">
        <v>2308</v>
      </c>
      <c r="O445" s="22" t="s">
        <v>2308</v>
      </c>
      <c r="P445" s="22" t="s">
        <v>2308</v>
      </c>
      <c r="Q445" s="109" t="s">
        <v>2308</v>
      </c>
      <c r="R445" s="109" t="s">
        <v>2308</v>
      </c>
      <c r="S445" s="22" t="s">
        <v>2308</v>
      </c>
      <c r="T445" s="22" t="s">
        <v>2308</v>
      </c>
      <c r="U445" s="22" t="s">
        <v>2308</v>
      </c>
      <c r="V445" s="22" t="s">
        <v>2308</v>
      </c>
      <c r="W445" s="22" t="s">
        <v>2434</v>
      </c>
      <c r="X445" s="4" t="s">
        <v>2308</v>
      </c>
      <c r="Y445" s="4" t="s">
        <v>2308</v>
      </c>
      <c r="Z445" s="4" t="s">
        <v>2308</v>
      </c>
      <c r="AA445" s="5" t="s">
        <v>2032</v>
      </c>
      <c r="AB445" s="5" t="s">
        <v>719</v>
      </c>
    </row>
    <row r="446" spans="1:28" ht="104.5" customHeight="1">
      <c r="A446" s="7" t="str">
        <f>'Reported burning'!A446</f>
        <v>30b</v>
      </c>
      <c r="B446" s="7" t="str">
        <f>'Reported burning'!B446</f>
        <v>30b.2</v>
      </c>
      <c r="C446" s="7" t="str">
        <f>'Reported burning'!C446</f>
        <v>Human, deliberate</v>
      </c>
      <c r="D446" s="7" t="str">
        <f>'Reported burning'!D446</f>
        <v>Forest clearance</v>
      </c>
      <c r="E446" s="7" t="str">
        <f>'Reported burning'!E446</f>
        <v>Cropping, Swidden</v>
      </c>
      <c r="F446" s="7" t="str">
        <f>'Reported burning'!F446</f>
        <v>Forest</v>
      </c>
      <c r="G446" s="7" t="str">
        <f>'Reported burning'!G446</f>
        <v>Forest</v>
      </c>
      <c r="H446" s="7" t="str">
        <f>'Reported burning'!H446</f>
        <v>Presence</v>
      </c>
      <c r="I446" s="4"/>
      <c r="J446" s="22" t="s">
        <v>2308</v>
      </c>
      <c r="K446" s="110" t="s">
        <v>2308</v>
      </c>
      <c r="L446" s="22" t="s">
        <v>2308</v>
      </c>
      <c r="M446" s="22" t="s">
        <v>2308</v>
      </c>
      <c r="N446" s="22" t="s">
        <v>2308</v>
      </c>
      <c r="O446" s="22" t="s">
        <v>2407</v>
      </c>
      <c r="P446" s="22" t="s">
        <v>2308</v>
      </c>
      <c r="Q446" s="109" t="s">
        <v>2308</v>
      </c>
      <c r="R446" s="109" t="s">
        <v>2308</v>
      </c>
      <c r="S446" s="22" t="s">
        <v>2308</v>
      </c>
      <c r="T446" s="22" t="s">
        <v>2308</v>
      </c>
      <c r="U446" s="22" t="s">
        <v>2308</v>
      </c>
      <c r="V446" s="22" t="s">
        <v>2308</v>
      </c>
      <c r="W446" s="22" t="s">
        <v>2308</v>
      </c>
      <c r="X446" s="4" t="s">
        <v>2308</v>
      </c>
      <c r="Y446" s="4" t="s">
        <v>2308</v>
      </c>
      <c r="Z446" s="4" t="s">
        <v>2308</v>
      </c>
      <c r="AA446" s="4"/>
      <c r="AB446" s="5" t="s">
        <v>2031</v>
      </c>
    </row>
    <row r="447" spans="1:28" ht="61" customHeight="1">
      <c r="A447" s="7" t="str">
        <f>'Reported burning'!A447</f>
        <v>30c</v>
      </c>
      <c r="B447" s="7" t="str">
        <f>'Reported burning'!B447</f>
        <v>30c.1</v>
      </c>
      <c r="C447" s="7" t="str">
        <f>'Reported burning'!C447</f>
        <v>Human, deliberate</v>
      </c>
      <c r="D447" s="7" t="str">
        <f>'Reported burning'!D447</f>
        <v>Crop field preparation</v>
      </c>
      <c r="E447" s="7" t="str">
        <f>'Reported burning'!E447</f>
        <v>Cropping, Swidden</v>
      </c>
      <c r="F447" s="7" t="str">
        <f>'Reported burning'!F447</f>
        <v>Secondary Vegetation</v>
      </c>
      <c r="G447" s="7" t="str">
        <f>'Reported burning'!G447</f>
        <v>ND</v>
      </c>
      <c r="H447" s="7" t="str">
        <f>'Reported burning'!H447</f>
        <v>Presence</v>
      </c>
      <c r="I447" s="4"/>
      <c r="J447" s="22" t="s">
        <v>2308</v>
      </c>
      <c r="K447" s="110" t="s">
        <v>2308</v>
      </c>
      <c r="L447" s="22" t="s">
        <v>2308</v>
      </c>
      <c r="M447" s="22" t="s">
        <v>2308</v>
      </c>
      <c r="N447" s="22" t="s">
        <v>2308</v>
      </c>
      <c r="O447" s="22" t="s">
        <v>2308</v>
      </c>
      <c r="P447" s="22" t="s">
        <v>2308</v>
      </c>
      <c r="Q447" s="109" t="s">
        <v>2308</v>
      </c>
      <c r="R447" s="109" t="s">
        <v>2308</v>
      </c>
      <c r="S447" s="22" t="s">
        <v>2308</v>
      </c>
      <c r="T447" s="22" t="s">
        <v>2308</v>
      </c>
      <c r="U447" s="22" t="s">
        <v>2308</v>
      </c>
      <c r="V447" s="22" t="s">
        <v>2308</v>
      </c>
      <c r="W447" s="22" t="s">
        <v>2434</v>
      </c>
      <c r="X447" s="4" t="s">
        <v>2308</v>
      </c>
      <c r="Y447" s="4" t="s">
        <v>2308</v>
      </c>
      <c r="Z447" s="4" t="s">
        <v>2308</v>
      </c>
      <c r="AA447" s="5" t="s">
        <v>2032</v>
      </c>
      <c r="AB447" s="5" t="s">
        <v>719</v>
      </c>
    </row>
    <row r="448" spans="1:28" ht="101.5" customHeight="1">
      <c r="A448" s="7" t="str">
        <f>'Reported burning'!A448</f>
        <v>30c</v>
      </c>
      <c r="B448" s="7" t="str">
        <f>'Reported burning'!B448</f>
        <v>30c.2</v>
      </c>
      <c r="C448" s="7" t="str">
        <f>'Reported burning'!C448</f>
        <v>Human, deliberate</v>
      </c>
      <c r="D448" s="7" t="str">
        <f>'Reported burning'!D448</f>
        <v>Forest clearance</v>
      </c>
      <c r="E448" s="7" t="str">
        <f>'Reported burning'!E448</f>
        <v>Cropping, Swidden</v>
      </c>
      <c r="F448" s="7" t="str">
        <f>'Reported burning'!F448</f>
        <v>Forest</v>
      </c>
      <c r="G448" s="7" t="str">
        <f>'Reported burning'!G448</f>
        <v>Forest</v>
      </c>
      <c r="H448" s="7" t="str">
        <f>'Reported burning'!H448</f>
        <v>Presence</v>
      </c>
      <c r="I448" s="4"/>
      <c r="J448" s="22" t="s">
        <v>2308</v>
      </c>
      <c r="K448" s="110" t="s">
        <v>2308</v>
      </c>
      <c r="L448" s="22" t="s">
        <v>2308</v>
      </c>
      <c r="M448" s="22" t="s">
        <v>2308</v>
      </c>
      <c r="N448" s="22" t="s">
        <v>2308</v>
      </c>
      <c r="O448" s="22" t="s">
        <v>2407</v>
      </c>
      <c r="P448" s="22" t="s">
        <v>2308</v>
      </c>
      <c r="Q448" s="109" t="s">
        <v>2308</v>
      </c>
      <c r="R448" s="109" t="s">
        <v>2308</v>
      </c>
      <c r="S448" s="22" t="s">
        <v>2308</v>
      </c>
      <c r="T448" s="22" t="s">
        <v>2308</v>
      </c>
      <c r="U448" s="22" t="s">
        <v>2308</v>
      </c>
      <c r="V448" s="22" t="s">
        <v>2308</v>
      </c>
      <c r="W448" s="22" t="s">
        <v>2308</v>
      </c>
      <c r="X448" s="4" t="s">
        <v>2308</v>
      </c>
      <c r="Y448" s="4" t="s">
        <v>2308</v>
      </c>
      <c r="Z448" s="4" t="s">
        <v>2308</v>
      </c>
      <c r="AA448" s="4"/>
      <c r="AB448" s="5" t="s">
        <v>2031</v>
      </c>
    </row>
    <row r="449" spans="1:28" ht="63.5" customHeight="1">
      <c r="A449" s="7" t="str">
        <f>'Reported burning'!A449</f>
        <v>30d</v>
      </c>
      <c r="B449" s="7" t="str">
        <f>'Reported burning'!B449</f>
        <v>30d.1</v>
      </c>
      <c r="C449" s="7" t="str">
        <f>'Reported burning'!C449</f>
        <v>Human, deliberate</v>
      </c>
      <c r="D449" s="7" t="str">
        <f>'Reported burning'!D449</f>
        <v>Crop field preparation</v>
      </c>
      <c r="E449" s="7" t="str">
        <f>'Reported burning'!E449</f>
        <v>Cropping, Swidden</v>
      </c>
      <c r="F449" s="7" t="str">
        <f>'Reported burning'!F449</f>
        <v>Secondary Vegetation</v>
      </c>
      <c r="G449" s="7" t="str">
        <f>'Reported burning'!G449</f>
        <v>ND</v>
      </c>
      <c r="H449" s="7" t="str">
        <f>'Reported burning'!H449</f>
        <v>Presence</v>
      </c>
      <c r="I449" s="4"/>
      <c r="J449" s="84" t="s">
        <v>2308</v>
      </c>
      <c r="K449" s="116" t="s">
        <v>2308</v>
      </c>
      <c r="L449" s="84" t="s">
        <v>2308</v>
      </c>
      <c r="M449" s="84" t="s">
        <v>2308</v>
      </c>
      <c r="N449" s="84" t="s">
        <v>2308</v>
      </c>
      <c r="O449" s="84" t="s">
        <v>2308</v>
      </c>
      <c r="P449" s="84" t="s">
        <v>2308</v>
      </c>
      <c r="Q449" s="109" t="s">
        <v>2308</v>
      </c>
      <c r="R449" s="109" t="s">
        <v>2308</v>
      </c>
      <c r="S449" s="84" t="s">
        <v>2308</v>
      </c>
      <c r="T449" s="84" t="s">
        <v>2308</v>
      </c>
      <c r="U449" s="84" t="s">
        <v>2308</v>
      </c>
      <c r="V449" s="84" t="s">
        <v>2308</v>
      </c>
      <c r="W449" s="84" t="s">
        <v>2434</v>
      </c>
      <c r="X449" s="23" t="s">
        <v>2308</v>
      </c>
      <c r="Y449" s="23" t="s">
        <v>2308</v>
      </c>
      <c r="Z449" s="23" t="s">
        <v>2308</v>
      </c>
      <c r="AA449" s="5" t="s">
        <v>2032</v>
      </c>
      <c r="AB449" s="5" t="s">
        <v>719</v>
      </c>
    </row>
    <row r="450" spans="1:28" ht="110" customHeight="1">
      <c r="A450" s="7" t="str">
        <f>'Reported burning'!A450</f>
        <v>30d</v>
      </c>
      <c r="B450" s="7" t="str">
        <f>'Reported burning'!B450</f>
        <v>30d.2</v>
      </c>
      <c r="C450" s="7" t="str">
        <f>'Reported burning'!C450</f>
        <v>Human, deliberate</v>
      </c>
      <c r="D450" s="7" t="str">
        <f>'Reported burning'!D450</f>
        <v>Forest clearance</v>
      </c>
      <c r="E450" s="7" t="str">
        <f>'Reported burning'!E450</f>
        <v>Cropping, Swidden</v>
      </c>
      <c r="F450" s="7" t="str">
        <f>'Reported burning'!F450</f>
        <v>Forest</v>
      </c>
      <c r="G450" s="7" t="str">
        <f>'Reported burning'!G450</f>
        <v>Forest</v>
      </c>
      <c r="H450" s="7" t="str">
        <f>'Reported burning'!H450</f>
        <v>Presence</v>
      </c>
      <c r="I450" s="4"/>
      <c r="J450" s="84" t="s">
        <v>2308</v>
      </c>
      <c r="K450" s="116" t="s">
        <v>2308</v>
      </c>
      <c r="L450" s="84" t="s">
        <v>2308</v>
      </c>
      <c r="M450" s="84" t="s">
        <v>2308</v>
      </c>
      <c r="N450" s="84" t="s">
        <v>2308</v>
      </c>
      <c r="O450" s="84" t="s">
        <v>2407</v>
      </c>
      <c r="P450" s="84" t="s">
        <v>2308</v>
      </c>
      <c r="Q450" s="109" t="s">
        <v>2308</v>
      </c>
      <c r="R450" s="109" t="s">
        <v>2308</v>
      </c>
      <c r="S450" s="84" t="s">
        <v>2308</v>
      </c>
      <c r="T450" s="84" t="s">
        <v>2308</v>
      </c>
      <c r="U450" s="84" t="s">
        <v>2308</v>
      </c>
      <c r="V450" s="84" t="s">
        <v>2308</v>
      </c>
      <c r="W450" s="84" t="s">
        <v>2308</v>
      </c>
      <c r="X450" s="23" t="s">
        <v>2308</v>
      </c>
      <c r="Y450" s="23" t="s">
        <v>2308</v>
      </c>
      <c r="Z450" s="23" t="s">
        <v>2308</v>
      </c>
      <c r="AA450" s="4"/>
      <c r="AB450" s="5" t="s">
        <v>2031</v>
      </c>
    </row>
    <row r="451" spans="1:28" ht="62" customHeight="1">
      <c r="A451" s="7" t="str">
        <f>'Reported burning'!A451</f>
        <v>30e</v>
      </c>
      <c r="B451" s="7" t="str">
        <f>'Reported burning'!B451</f>
        <v>30e.1</v>
      </c>
      <c r="C451" s="7" t="str">
        <f>'Reported burning'!C451</f>
        <v>Human, deliberate</v>
      </c>
      <c r="D451" s="7" t="str">
        <f>'Reported burning'!D451</f>
        <v>Crop field preparation</v>
      </c>
      <c r="E451" s="7" t="str">
        <f>'Reported burning'!E451</f>
        <v>Cropping, Swidden</v>
      </c>
      <c r="F451" s="7" t="str">
        <f>'Reported burning'!F451</f>
        <v>Secondary Vegetation</v>
      </c>
      <c r="G451" s="7" t="str">
        <f>'Reported burning'!G451</f>
        <v>ND</v>
      </c>
      <c r="H451" s="7" t="str">
        <f>'Reported burning'!H451</f>
        <v>Presence</v>
      </c>
      <c r="I451" s="4"/>
      <c r="J451" s="84" t="s">
        <v>2308</v>
      </c>
      <c r="K451" s="116" t="s">
        <v>2308</v>
      </c>
      <c r="L451" s="84" t="s">
        <v>2308</v>
      </c>
      <c r="M451" s="84" t="s">
        <v>2308</v>
      </c>
      <c r="N451" s="84" t="s">
        <v>2308</v>
      </c>
      <c r="O451" s="84" t="s">
        <v>2308</v>
      </c>
      <c r="P451" s="84" t="s">
        <v>2308</v>
      </c>
      <c r="Q451" s="109" t="s">
        <v>2308</v>
      </c>
      <c r="R451" s="109" t="s">
        <v>2308</v>
      </c>
      <c r="S451" s="84" t="s">
        <v>2308</v>
      </c>
      <c r="T451" s="84" t="s">
        <v>2308</v>
      </c>
      <c r="U451" s="84" t="s">
        <v>2308</v>
      </c>
      <c r="V451" s="84" t="s">
        <v>2308</v>
      </c>
      <c r="W451" s="84" t="s">
        <v>2434</v>
      </c>
      <c r="X451" s="23" t="s">
        <v>2308</v>
      </c>
      <c r="Y451" s="23" t="s">
        <v>2308</v>
      </c>
      <c r="Z451" s="23" t="s">
        <v>2308</v>
      </c>
      <c r="AA451" s="5" t="s">
        <v>2032</v>
      </c>
      <c r="AB451" s="5" t="s">
        <v>719</v>
      </c>
    </row>
    <row r="452" spans="1:28" ht="114" customHeight="1">
      <c r="A452" s="7" t="str">
        <f>'Reported burning'!A452</f>
        <v>30e</v>
      </c>
      <c r="B452" s="7" t="str">
        <f>'Reported burning'!B452</f>
        <v>30e.2</v>
      </c>
      <c r="C452" s="7" t="str">
        <f>'Reported burning'!C452</f>
        <v>Human, deliberate</v>
      </c>
      <c r="D452" s="7" t="str">
        <f>'Reported burning'!D452</f>
        <v>Forest clearance</v>
      </c>
      <c r="E452" s="7" t="str">
        <f>'Reported burning'!E452</f>
        <v>Cropping, Swidden</v>
      </c>
      <c r="F452" s="7" t="str">
        <f>'Reported burning'!F452</f>
        <v>Forest</v>
      </c>
      <c r="G452" s="7" t="str">
        <f>'Reported burning'!G452</f>
        <v>Forest</v>
      </c>
      <c r="H452" s="7" t="str">
        <f>'Reported burning'!H452</f>
        <v>Presence</v>
      </c>
      <c r="I452" s="4"/>
      <c r="J452" s="84" t="s">
        <v>2308</v>
      </c>
      <c r="K452" s="116" t="s">
        <v>2308</v>
      </c>
      <c r="L452" s="84" t="s">
        <v>2308</v>
      </c>
      <c r="M452" s="84" t="s">
        <v>2308</v>
      </c>
      <c r="N452" s="84" t="s">
        <v>2308</v>
      </c>
      <c r="O452" s="84" t="s">
        <v>2407</v>
      </c>
      <c r="P452" s="84" t="s">
        <v>2308</v>
      </c>
      <c r="Q452" s="109" t="s">
        <v>2308</v>
      </c>
      <c r="R452" s="109" t="s">
        <v>2308</v>
      </c>
      <c r="S452" s="84" t="s">
        <v>2308</v>
      </c>
      <c r="T452" s="84" t="s">
        <v>2308</v>
      </c>
      <c r="U452" s="84" t="s">
        <v>2308</v>
      </c>
      <c r="V452" s="84" t="s">
        <v>2308</v>
      </c>
      <c r="W452" s="84" t="s">
        <v>2308</v>
      </c>
      <c r="X452" s="23" t="s">
        <v>2308</v>
      </c>
      <c r="Y452" s="23" t="s">
        <v>2308</v>
      </c>
      <c r="Z452" s="23" t="s">
        <v>2308</v>
      </c>
      <c r="AA452" s="4"/>
      <c r="AB452" s="5" t="s">
        <v>2031</v>
      </c>
    </row>
    <row r="453" spans="1:28" ht="43" customHeight="1">
      <c r="A453" s="7" t="str">
        <f>'Reported burning'!A453</f>
        <v>31a</v>
      </c>
      <c r="B453" s="7" t="str">
        <f>'Reported burning'!B453</f>
        <v>31a.1</v>
      </c>
      <c r="C453" s="7" t="str">
        <f>'Reported burning'!C453</f>
        <v>Human, deliberate</v>
      </c>
      <c r="D453" s="7" t="str">
        <f>'Reported burning'!D453</f>
        <v>Forest clearance</v>
      </c>
      <c r="E453" s="7" t="str">
        <f>'Reported burning'!E453</f>
        <v>Cropping, Swidden</v>
      </c>
      <c r="F453" s="7" t="str">
        <f>'Reported burning'!F453</f>
        <v>Forest</v>
      </c>
      <c r="G453" s="7" t="str">
        <f>'Reported burning'!G453</f>
        <v>Forest</v>
      </c>
      <c r="H453" s="7" t="str">
        <f>'Reported burning'!H453</f>
        <v>Presence</v>
      </c>
      <c r="I453" s="23"/>
      <c r="J453" s="84" t="s">
        <v>2308</v>
      </c>
      <c r="K453" s="116" t="s">
        <v>2308</v>
      </c>
      <c r="L453" s="84" t="s">
        <v>2308</v>
      </c>
      <c r="M453" s="84" t="s">
        <v>2308</v>
      </c>
      <c r="N453" s="84" t="s">
        <v>2308</v>
      </c>
      <c r="O453" s="84" t="s">
        <v>2308</v>
      </c>
      <c r="P453" s="84" t="s">
        <v>2308</v>
      </c>
      <c r="Q453" s="109" t="s">
        <v>2308</v>
      </c>
      <c r="R453" s="109" t="s">
        <v>2308</v>
      </c>
      <c r="S453" s="84" t="s">
        <v>2308</v>
      </c>
      <c r="T453" s="84" t="s">
        <v>2308</v>
      </c>
      <c r="U453" s="84" t="s">
        <v>2308</v>
      </c>
      <c r="V453" s="84" t="s">
        <v>2308</v>
      </c>
      <c r="W453" s="84" t="s">
        <v>2308</v>
      </c>
      <c r="X453" s="23" t="s">
        <v>2308</v>
      </c>
      <c r="Y453" s="23" t="s">
        <v>2308</v>
      </c>
      <c r="Z453" s="23" t="s">
        <v>2308</v>
      </c>
      <c r="AA453" s="23"/>
      <c r="AB453" s="23"/>
    </row>
    <row r="454" spans="1:28" ht="116.5" customHeight="1">
      <c r="A454" s="7" t="str">
        <f>'Reported burning'!A454</f>
        <v>31a</v>
      </c>
      <c r="B454" s="7" t="str">
        <f>'Reported burning'!B454</f>
        <v>31a.2</v>
      </c>
      <c r="C454" s="7" t="str">
        <f>'Reported burning'!C454</f>
        <v>Human, deliberate</v>
      </c>
      <c r="D454" s="7" t="str">
        <f>'Reported burning'!D454</f>
        <v>Crop field preparation</v>
      </c>
      <c r="E454" s="7" t="str">
        <f>'Reported burning'!E454</f>
        <v>Cropping, Swidden</v>
      </c>
      <c r="F454" s="7" t="str">
        <f>'Reported burning'!F454</f>
        <v>Secondary Vegetation</v>
      </c>
      <c r="G454" s="7" t="str">
        <f>'Reported burning'!G454</f>
        <v>ND</v>
      </c>
      <c r="H454" s="7" t="str">
        <f>'Reported burning'!H454</f>
        <v>Presence</v>
      </c>
      <c r="I454" s="23"/>
      <c r="J454" s="84" t="s">
        <v>2308</v>
      </c>
      <c r="K454" s="116" t="s">
        <v>2308</v>
      </c>
      <c r="L454" s="84" t="s">
        <v>2308</v>
      </c>
      <c r="M454" s="84" t="s">
        <v>2308</v>
      </c>
      <c r="N454" s="84" t="s">
        <v>2308</v>
      </c>
      <c r="O454" s="84" t="s">
        <v>2308</v>
      </c>
      <c r="P454" s="84" t="s">
        <v>2308</v>
      </c>
      <c r="Q454" s="109" t="s">
        <v>2308</v>
      </c>
      <c r="R454" s="109" t="s">
        <v>2308</v>
      </c>
      <c r="S454" s="84" t="s">
        <v>2308</v>
      </c>
      <c r="T454" s="84" t="s">
        <v>2308</v>
      </c>
      <c r="U454" s="84" t="s">
        <v>2308</v>
      </c>
      <c r="V454" s="84" t="s">
        <v>2308</v>
      </c>
      <c r="W454" s="84" t="s">
        <v>2434</v>
      </c>
      <c r="X454" s="23" t="s">
        <v>2308</v>
      </c>
      <c r="Y454" s="23" t="s">
        <v>2308</v>
      </c>
      <c r="Z454" s="23" t="s">
        <v>2308</v>
      </c>
      <c r="AA454" s="23"/>
      <c r="AB454" s="23" t="s">
        <v>3252</v>
      </c>
    </row>
    <row r="455" spans="1:28" ht="77" customHeight="1">
      <c r="A455" s="7" t="str">
        <f>'Reported burning'!A455</f>
        <v>32a</v>
      </c>
      <c r="B455" s="7" t="str">
        <f>'Reported burning'!B455</f>
        <v>32a.1</v>
      </c>
      <c r="C455" s="7" t="str">
        <f>'Reported burning'!C455</f>
        <v>Human, deliberate</v>
      </c>
      <c r="D455" s="7" t="str">
        <f>'Reported burning'!D455</f>
        <v>Forest clearance</v>
      </c>
      <c r="E455" s="7" t="str">
        <f>'Reported burning'!E455</f>
        <v>Cattle, Extensive</v>
      </c>
      <c r="F455" s="7" t="str">
        <f>'Reported burning'!F455</f>
        <v>Forest</v>
      </c>
      <c r="G455" s="7" t="str">
        <f>'Reported burning'!G455</f>
        <v>Forest</v>
      </c>
      <c r="H455" s="7" t="str">
        <f>'Reported burning'!H455</f>
        <v>Presence</v>
      </c>
      <c r="I455" s="23"/>
      <c r="J455" s="84" t="s">
        <v>2308</v>
      </c>
      <c r="K455" s="116" t="s">
        <v>2308</v>
      </c>
      <c r="L455" s="84" t="s">
        <v>2308</v>
      </c>
      <c r="M455" s="84" t="s">
        <v>2308</v>
      </c>
      <c r="N455" s="84" t="s">
        <v>2308</v>
      </c>
      <c r="O455" s="84" t="s">
        <v>2308</v>
      </c>
      <c r="P455" s="84" t="s">
        <v>2308</v>
      </c>
      <c r="Q455" s="109" t="s">
        <v>2308</v>
      </c>
      <c r="R455" s="109" t="s">
        <v>2308</v>
      </c>
      <c r="S455" s="84" t="s">
        <v>2308</v>
      </c>
      <c r="T455" s="84" t="s">
        <v>2308</v>
      </c>
      <c r="U455" s="84" t="s">
        <v>2308</v>
      </c>
      <c r="V455" s="84" t="s">
        <v>2308</v>
      </c>
      <c r="W455" s="84" t="s">
        <v>2308</v>
      </c>
      <c r="X455" s="23" t="s">
        <v>2308</v>
      </c>
      <c r="Y455" s="23" t="s">
        <v>2308</v>
      </c>
      <c r="Z455" s="23" t="s">
        <v>2308</v>
      </c>
      <c r="AA455" s="25" t="s">
        <v>596</v>
      </c>
      <c r="AB455" s="23"/>
    </row>
    <row r="456" spans="1:28" ht="115.5" customHeight="1">
      <c r="A456" s="7" t="str">
        <f>'Reported burning'!A456</f>
        <v>32a</v>
      </c>
      <c r="B456" s="7" t="str">
        <f>'Reported burning'!B456</f>
        <v>32a.2</v>
      </c>
      <c r="C456" s="7" t="str">
        <f>'Reported burning'!C456</f>
        <v>Human, deliberate</v>
      </c>
      <c r="D456" s="7" t="str">
        <f>'Reported burning'!D456</f>
        <v>Crop field preparation</v>
      </c>
      <c r="E456" s="7" t="str">
        <f>'Reported burning'!E456</f>
        <v>Cropping, Swidden</v>
      </c>
      <c r="F456" s="7" t="str">
        <f>'Reported burning'!F456</f>
        <v>Secondary Vegetation</v>
      </c>
      <c r="G456" s="7" t="str">
        <f>'Reported burning'!G456</f>
        <v>ND</v>
      </c>
      <c r="H456" s="7" t="str">
        <f>'Reported burning'!H456</f>
        <v>Presence</v>
      </c>
      <c r="I456" s="9"/>
      <c r="J456" s="22" t="s">
        <v>2308</v>
      </c>
      <c r="K456" s="110" t="s">
        <v>2308</v>
      </c>
      <c r="L456" s="22" t="s">
        <v>2308</v>
      </c>
      <c r="M456" s="22" t="s">
        <v>2308</v>
      </c>
      <c r="N456" s="22" t="s">
        <v>2308</v>
      </c>
      <c r="O456" s="22" t="s">
        <v>2308</v>
      </c>
      <c r="P456" s="22" t="s">
        <v>2308</v>
      </c>
      <c r="Q456" s="109" t="s">
        <v>2308</v>
      </c>
      <c r="R456" s="109" t="s">
        <v>2308</v>
      </c>
      <c r="S456" s="22" t="s">
        <v>2308</v>
      </c>
      <c r="T456" s="22" t="s">
        <v>2308</v>
      </c>
      <c r="U456" s="22" t="s">
        <v>2308</v>
      </c>
      <c r="V456" s="22" t="s">
        <v>2308</v>
      </c>
      <c r="W456" s="110" t="s">
        <v>2308</v>
      </c>
      <c r="X456" s="9" t="s">
        <v>2308</v>
      </c>
      <c r="Y456" s="9" t="s">
        <v>2308</v>
      </c>
      <c r="Z456" s="9" t="s">
        <v>2308</v>
      </c>
      <c r="AA456" s="10"/>
      <c r="AB456" s="9"/>
    </row>
    <row r="457" spans="1:28" ht="62" customHeight="1">
      <c r="A457" s="7" t="str">
        <f>'Reported burning'!A457</f>
        <v>33a</v>
      </c>
      <c r="B457" s="7" t="str">
        <f>'Reported burning'!B457</f>
        <v>33a.1</v>
      </c>
      <c r="C457" s="7" t="str">
        <f>'Reported burning'!C457</f>
        <v>Human, deliberate</v>
      </c>
      <c r="D457" s="7" t="str">
        <f>'Reported burning'!D457</f>
        <v>Crop field preparation</v>
      </c>
      <c r="E457" s="7" t="str">
        <f>'Reported burning'!E457</f>
        <v>Cropping, Swidden</v>
      </c>
      <c r="F457" s="7" t="str">
        <f>'Reported burning'!F457</f>
        <v>Secondary Vegetation</v>
      </c>
      <c r="G457" s="7" t="str">
        <f>'Reported burning'!G457</f>
        <v>ND</v>
      </c>
      <c r="H457" s="7" t="str">
        <f>'Reported burning'!H457</f>
        <v>Presence</v>
      </c>
      <c r="I457" s="4"/>
      <c r="J457" s="22" t="s">
        <v>2308</v>
      </c>
      <c r="K457" s="110" t="s">
        <v>2308</v>
      </c>
      <c r="L457" s="22" t="s">
        <v>2308</v>
      </c>
      <c r="M457" s="22" t="s">
        <v>2308</v>
      </c>
      <c r="N457" s="22" t="s">
        <v>2308</v>
      </c>
      <c r="O457" s="22" t="s">
        <v>2308</v>
      </c>
      <c r="P457" s="22" t="s">
        <v>2308</v>
      </c>
      <c r="Q457" s="109" t="s">
        <v>2308</v>
      </c>
      <c r="R457" s="109" t="s">
        <v>2308</v>
      </c>
      <c r="S457" s="22" t="s">
        <v>2308</v>
      </c>
      <c r="T457" s="22" t="s">
        <v>2308</v>
      </c>
      <c r="U457" s="22" t="s">
        <v>2308</v>
      </c>
      <c r="V457" s="22" t="s">
        <v>2308</v>
      </c>
      <c r="W457" s="110" t="s">
        <v>2437</v>
      </c>
      <c r="X457" s="4" t="s">
        <v>649</v>
      </c>
      <c r="Y457" s="4" t="s">
        <v>195</v>
      </c>
      <c r="Z457" s="4" t="s">
        <v>650</v>
      </c>
      <c r="AA457" s="5" t="s">
        <v>2034</v>
      </c>
      <c r="AB457" s="4"/>
    </row>
    <row r="458" spans="1:28" ht="39.5" customHeight="1">
      <c r="A458" s="7" t="str">
        <f>'Reported burning'!A458</f>
        <v>33a</v>
      </c>
      <c r="B458" s="7" t="str">
        <f>'Reported burning'!B458</f>
        <v>33a.2</v>
      </c>
      <c r="C458" s="7" t="str">
        <f>'Reported burning'!C458</f>
        <v>Human, deliberate</v>
      </c>
      <c r="D458" s="7" t="str">
        <f>'Reported burning'!D458</f>
        <v>Crop field preparation</v>
      </c>
      <c r="E458" s="7" t="str">
        <f>'Reported burning'!E458</f>
        <v>Cropping, Monoculture, Subsistence-oriented</v>
      </c>
      <c r="F458" s="7" t="str">
        <f>'Reported burning'!F458</f>
        <v>Cropland</v>
      </c>
      <c r="G458" s="7" t="str">
        <f>'Reported burning'!G458</f>
        <v>ND</v>
      </c>
      <c r="H458" s="7" t="str">
        <f>'Reported burning'!H458</f>
        <v>Absence</v>
      </c>
      <c r="I458" s="4"/>
      <c r="J458" s="22" t="s">
        <v>2396</v>
      </c>
      <c r="K458" s="110" t="s">
        <v>2396</v>
      </c>
      <c r="L458" s="22" t="s">
        <v>2396</v>
      </c>
      <c r="M458" s="22" t="s">
        <v>2396</v>
      </c>
      <c r="N458" s="22" t="s">
        <v>2396</v>
      </c>
      <c r="O458" s="22" t="s">
        <v>2396</v>
      </c>
      <c r="P458" s="22" t="s">
        <v>2396</v>
      </c>
      <c r="Q458" s="109" t="s">
        <v>2308</v>
      </c>
      <c r="R458" s="109" t="s">
        <v>2308</v>
      </c>
      <c r="S458" s="22" t="s">
        <v>2396</v>
      </c>
      <c r="T458" s="22" t="s">
        <v>2396</v>
      </c>
      <c r="U458" s="22" t="s">
        <v>2396</v>
      </c>
      <c r="V458" s="22" t="s">
        <v>2396</v>
      </c>
      <c r="W458" s="22" t="s">
        <v>2308</v>
      </c>
      <c r="X458" s="4" t="s">
        <v>2308</v>
      </c>
      <c r="Y458" s="4" t="s">
        <v>2308</v>
      </c>
      <c r="Z458" s="4" t="s">
        <v>2308</v>
      </c>
      <c r="AA458" s="5" t="s">
        <v>646</v>
      </c>
      <c r="AB458" s="4"/>
    </row>
    <row r="459" spans="1:28" ht="72.5" customHeight="1">
      <c r="A459" s="7" t="str">
        <f>'Reported burning'!A459</f>
        <v>33a</v>
      </c>
      <c r="B459" s="7" t="str">
        <f>'Reported burning'!B459</f>
        <v>33a.3</v>
      </c>
      <c r="C459" s="7" t="str">
        <f>'Reported burning'!C459</f>
        <v>Human, deliberate</v>
      </c>
      <c r="D459" s="7" t="str">
        <f>'Reported burning'!D459</f>
        <v>Pest management</v>
      </c>
      <c r="E459" s="7" t="str">
        <f>'Reported burning'!E459</f>
        <v>Cropping, Monoculture, Subsistence-oriented</v>
      </c>
      <c r="F459" s="7" t="str">
        <f>'Reported burning'!F459</f>
        <v>Cropland</v>
      </c>
      <c r="G459" s="7" t="str">
        <f>'Reported burning'!G459</f>
        <v>ND</v>
      </c>
      <c r="H459" s="7" t="str">
        <f>'Reported burning'!H459</f>
        <v>Presence</v>
      </c>
      <c r="I459" s="4"/>
      <c r="J459" s="22" t="s">
        <v>2308</v>
      </c>
      <c r="K459" s="110" t="s">
        <v>2308</v>
      </c>
      <c r="L459" s="22" t="s">
        <v>2308</v>
      </c>
      <c r="M459" s="22" t="s">
        <v>2308</v>
      </c>
      <c r="N459" s="22" t="s">
        <v>2308</v>
      </c>
      <c r="O459" s="22" t="s">
        <v>2308</v>
      </c>
      <c r="P459" s="22" t="s">
        <v>2308</v>
      </c>
      <c r="Q459" s="109" t="s">
        <v>2308</v>
      </c>
      <c r="R459" s="109" t="s">
        <v>2308</v>
      </c>
      <c r="S459" s="22" t="s">
        <v>2308</v>
      </c>
      <c r="T459" s="22" t="s">
        <v>2308</v>
      </c>
      <c r="U459" s="22" t="s">
        <v>2308</v>
      </c>
      <c r="V459" s="22" t="s">
        <v>2308</v>
      </c>
      <c r="W459" s="22" t="s">
        <v>2308</v>
      </c>
      <c r="X459" s="4" t="s">
        <v>649</v>
      </c>
      <c r="Y459" s="4" t="s">
        <v>195</v>
      </c>
      <c r="Z459" s="4" t="s">
        <v>76</v>
      </c>
      <c r="AA459" s="5" t="s">
        <v>2035</v>
      </c>
      <c r="AB459" s="4"/>
    </row>
    <row r="460" spans="1:28" ht="89.5" customHeight="1">
      <c r="A460" s="7" t="str">
        <f>'Reported burning'!A460</f>
        <v>34a</v>
      </c>
      <c r="B460" s="7" t="str">
        <f>'Reported burning'!B460</f>
        <v>34a.1</v>
      </c>
      <c r="C460" s="7" t="str">
        <f>'Reported burning'!C460</f>
        <v>Human, deliberate</v>
      </c>
      <c r="D460" s="7" t="str">
        <f>'Reported burning'!D460</f>
        <v>Crop field preparation</v>
      </c>
      <c r="E460" s="7" t="str">
        <f>'Reported burning'!E460</f>
        <v>Cropping, Swidden</v>
      </c>
      <c r="F460" s="7" t="str">
        <f>'Reported burning'!F460</f>
        <v>Secondary Vegetation</v>
      </c>
      <c r="G460" s="7" t="str">
        <f>'Reported burning'!G460</f>
        <v>ND</v>
      </c>
      <c r="H460" s="7" t="str">
        <f>'Reported burning'!H460</f>
        <v>Presence</v>
      </c>
      <c r="I460" s="4"/>
      <c r="J460" s="22" t="s">
        <v>2308</v>
      </c>
      <c r="K460" s="110" t="s">
        <v>2308</v>
      </c>
      <c r="L460" s="22" t="s">
        <v>2308</v>
      </c>
      <c r="M460" s="22" t="s">
        <v>2308</v>
      </c>
      <c r="N460" s="22" t="s">
        <v>2308</v>
      </c>
      <c r="O460" s="22" t="s">
        <v>2308</v>
      </c>
      <c r="P460" s="22" t="s">
        <v>2308</v>
      </c>
      <c r="Q460" s="109" t="s">
        <v>2308</v>
      </c>
      <c r="R460" s="109" t="s">
        <v>2308</v>
      </c>
      <c r="S460" s="22" t="s">
        <v>2308</v>
      </c>
      <c r="T460" s="22" t="s">
        <v>2308</v>
      </c>
      <c r="U460" s="22" t="s">
        <v>2308</v>
      </c>
      <c r="V460" s="22" t="s">
        <v>2308</v>
      </c>
      <c r="W460" s="22" t="s">
        <v>2308</v>
      </c>
      <c r="X460" s="4" t="s">
        <v>412</v>
      </c>
      <c r="Y460" s="4" t="s">
        <v>412</v>
      </c>
      <c r="Z460" s="4" t="s">
        <v>76</v>
      </c>
      <c r="AA460" s="5" t="s">
        <v>656</v>
      </c>
      <c r="AB460" s="4"/>
    </row>
    <row r="461" spans="1:28" ht="92.5" customHeight="1">
      <c r="A461" s="7" t="str">
        <f>'Reported burning'!A461</f>
        <v>34a</v>
      </c>
      <c r="B461" s="7" t="str">
        <f>'Reported burning'!B461</f>
        <v>34a.2</v>
      </c>
      <c r="C461" s="7" t="str">
        <f>'Reported burning'!C461</f>
        <v>Human, deliberate</v>
      </c>
      <c r="D461" s="7" t="str">
        <f>'Reported burning'!D461</f>
        <v>Crop field preparation</v>
      </c>
      <c r="E461" s="7" t="str">
        <f>'Reported burning'!E461</f>
        <v>Cropping, Swidden</v>
      </c>
      <c r="F461" s="7" t="str">
        <f>'Reported burning'!F461</f>
        <v>Forest</v>
      </c>
      <c r="G461" s="7" t="str">
        <f>'Reported burning'!G461</f>
        <v>ND</v>
      </c>
      <c r="H461" s="7" t="str">
        <f>'Reported burning'!H461</f>
        <v>Presence</v>
      </c>
      <c r="I461" s="4"/>
      <c r="J461" s="89" t="s">
        <v>2308</v>
      </c>
      <c r="K461" s="119" t="s">
        <v>2308</v>
      </c>
      <c r="L461" s="89" t="s">
        <v>2308</v>
      </c>
      <c r="M461" s="89" t="s">
        <v>2308</v>
      </c>
      <c r="N461" s="89" t="s">
        <v>2308</v>
      </c>
      <c r="O461" s="89" t="s">
        <v>2308</v>
      </c>
      <c r="P461" s="89" t="s">
        <v>2308</v>
      </c>
      <c r="Q461" s="109" t="s">
        <v>2308</v>
      </c>
      <c r="R461" s="109" t="s">
        <v>2308</v>
      </c>
      <c r="S461" s="89" t="s">
        <v>2308</v>
      </c>
      <c r="T461" s="89" t="s">
        <v>2308</v>
      </c>
      <c r="U461" s="89" t="s">
        <v>2308</v>
      </c>
      <c r="V461" s="89" t="s">
        <v>2308</v>
      </c>
      <c r="W461" s="89" t="s">
        <v>2308</v>
      </c>
      <c r="X461" s="4" t="s">
        <v>412</v>
      </c>
      <c r="Y461" s="4" t="s">
        <v>412</v>
      </c>
      <c r="Z461" s="4" t="s">
        <v>76</v>
      </c>
      <c r="AA461" s="5" t="s">
        <v>656</v>
      </c>
      <c r="AB461" s="4"/>
    </row>
    <row r="462" spans="1:28" ht="55" customHeight="1">
      <c r="A462" s="7" t="str">
        <f>'Reported burning'!A462</f>
        <v>35a</v>
      </c>
      <c r="B462" s="7" t="str">
        <f>'Reported burning'!B462</f>
        <v>35a.1</v>
      </c>
      <c r="C462" s="7" t="str">
        <f>'Reported burning'!C462</f>
        <v>Human, deliberate</v>
      </c>
      <c r="D462" s="7" t="str">
        <f>'Reported burning'!D462</f>
        <v>Crop field preparation</v>
      </c>
      <c r="E462" s="7" t="str">
        <f>'Reported burning'!E462</f>
        <v>Cropping, Swidden</v>
      </c>
      <c r="F462" s="7" t="str">
        <f>'Reported burning'!F462</f>
        <v>Secondary Vegetation</v>
      </c>
      <c r="G462" s="7" t="str">
        <f>'Reported burning'!G462</f>
        <v>ND</v>
      </c>
      <c r="H462" s="7" t="str">
        <f>'Reported burning'!H462</f>
        <v>Presence</v>
      </c>
      <c r="I462" s="4"/>
      <c r="J462" s="22" t="s">
        <v>2308</v>
      </c>
      <c r="K462" s="110" t="s">
        <v>2308</v>
      </c>
      <c r="L462" s="22" t="s">
        <v>2308</v>
      </c>
      <c r="M462" s="22" t="s">
        <v>2308</v>
      </c>
      <c r="N462" s="22" t="s">
        <v>2308</v>
      </c>
      <c r="O462" s="22" t="s">
        <v>2308</v>
      </c>
      <c r="P462" s="22" t="s">
        <v>2308</v>
      </c>
      <c r="Q462" s="109" t="s">
        <v>2308</v>
      </c>
      <c r="R462" s="109" t="s">
        <v>2308</v>
      </c>
      <c r="S462" s="22" t="s">
        <v>2308</v>
      </c>
      <c r="T462" s="22" t="s">
        <v>2308</v>
      </c>
      <c r="U462" s="22" t="s">
        <v>2308</v>
      </c>
      <c r="V462" s="22" t="s">
        <v>2308</v>
      </c>
      <c r="W462" s="22" t="s">
        <v>2437</v>
      </c>
      <c r="X462" s="4" t="s">
        <v>412</v>
      </c>
      <c r="Y462" s="4" t="s">
        <v>412</v>
      </c>
      <c r="Z462" s="4" t="s">
        <v>76</v>
      </c>
      <c r="AA462" s="5" t="s">
        <v>2038</v>
      </c>
      <c r="AB462" s="5" t="s">
        <v>2037</v>
      </c>
    </row>
    <row r="463" spans="1:28" ht="52" customHeight="1">
      <c r="A463" s="7" t="str">
        <f>'Reported burning'!A463</f>
        <v>35a</v>
      </c>
      <c r="B463" s="7" t="str">
        <f>'Reported burning'!B463</f>
        <v>35a.2</v>
      </c>
      <c r="C463" s="7" t="str">
        <f>'Reported burning'!C463</f>
        <v>Human, deliberate</v>
      </c>
      <c r="D463" s="7" t="str">
        <f>'Reported burning'!D463</f>
        <v>Crop field preparation</v>
      </c>
      <c r="E463" s="7" t="str">
        <f>'Reported burning'!E463</f>
        <v>Cropping, Swidden</v>
      </c>
      <c r="F463" s="7" t="str">
        <f>'Reported burning'!F463</f>
        <v>Forest</v>
      </c>
      <c r="G463" s="7" t="str">
        <f>'Reported burning'!G463</f>
        <v>ND</v>
      </c>
      <c r="H463" s="7" t="str">
        <f>'Reported burning'!H463</f>
        <v>Presence</v>
      </c>
      <c r="I463" s="4"/>
      <c r="J463" s="22" t="s">
        <v>2308</v>
      </c>
      <c r="K463" s="110" t="s">
        <v>2308</v>
      </c>
      <c r="L463" s="22" t="s">
        <v>2308</v>
      </c>
      <c r="M463" s="22" t="s">
        <v>2308</v>
      </c>
      <c r="N463" s="22" t="s">
        <v>2308</v>
      </c>
      <c r="O463" s="22" t="s">
        <v>2308</v>
      </c>
      <c r="P463" s="22" t="s">
        <v>2308</v>
      </c>
      <c r="Q463" s="109" t="s">
        <v>2308</v>
      </c>
      <c r="R463" s="109" t="s">
        <v>2308</v>
      </c>
      <c r="S463" s="22" t="s">
        <v>2308</v>
      </c>
      <c r="T463" s="22" t="s">
        <v>2308</v>
      </c>
      <c r="U463" s="22" t="s">
        <v>2308</v>
      </c>
      <c r="V463" s="22" t="s">
        <v>2308</v>
      </c>
      <c r="W463" s="22" t="s">
        <v>2308</v>
      </c>
      <c r="X463" s="4" t="s">
        <v>412</v>
      </c>
      <c r="Y463" s="4" t="s">
        <v>412</v>
      </c>
      <c r="Z463" s="4" t="s">
        <v>76</v>
      </c>
      <c r="AA463" s="5" t="s">
        <v>2039</v>
      </c>
      <c r="AB463" s="4"/>
    </row>
    <row r="464" spans="1:28" ht="48" customHeight="1">
      <c r="A464" s="7" t="str">
        <f>'Reported burning'!A464</f>
        <v>36a</v>
      </c>
      <c r="B464" s="7" t="str">
        <f>'Reported burning'!B464</f>
        <v>36a.1</v>
      </c>
      <c r="C464" s="7" t="str">
        <f>'Reported burning'!C464</f>
        <v>Human, deliberate</v>
      </c>
      <c r="D464" s="7" t="str">
        <f>'Reported burning'!D464</f>
        <v>Crop field preparation</v>
      </c>
      <c r="E464" s="7" t="str">
        <f>'Reported burning'!E464</f>
        <v>Cropping, Swidden</v>
      </c>
      <c r="F464" s="7" t="str">
        <f>'Reported burning'!F464</f>
        <v>Secondary Vegetation</v>
      </c>
      <c r="G464" s="7" t="str">
        <f>'Reported burning'!G464</f>
        <v>ND</v>
      </c>
      <c r="H464" s="7" t="str">
        <f>'Reported burning'!H464</f>
        <v>Presence</v>
      </c>
      <c r="I464" s="4"/>
      <c r="J464" s="22" t="s">
        <v>2308</v>
      </c>
      <c r="K464" s="110" t="s">
        <v>2308</v>
      </c>
      <c r="L464" s="22" t="s">
        <v>2308</v>
      </c>
      <c r="M464" s="22" t="s">
        <v>2405</v>
      </c>
      <c r="N464" s="22" t="s">
        <v>2308</v>
      </c>
      <c r="O464" s="22" t="s">
        <v>2394</v>
      </c>
      <c r="P464" s="22" t="s">
        <v>2308</v>
      </c>
      <c r="Q464" s="109" t="s">
        <v>2308</v>
      </c>
      <c r="R464" s="109" t="s">
        <v>2308</v>
      </c>
      <c r="S464" s="22" t="s">
        <v>2308</v>
      </c>
      <c r="T464" s="22" t="s">
        <v>2308</v>
      </c>
      <c r="U464" s="22" t="s">
        <v>2308</v>
      </c>
      <c r="V464" s="22" t="s">
        <v>2308</v>
      </c>
      <c r="W464" s="22" t="s">
        <v>2434</v>
      </c>
      <c r="X464" s="4" t="s">
        <v>2308</v>
      </c>
      <c r="Y464" s="4" t="s">
        <v>2308</v>
      </c>
      <c r="Z464" s="4" t="s">
        <v>2308</v>
      </c>
      <c r="AA464" s="4"/>
      <c r="AB464" s="5" t="s">
        <v>2041</v>
      </c>
    </row>
    <row r="465" spans="1:28" ht="48.5" customHeight="1">
      <c r="A465" s="7" t="str">
        <f>'Reported burning'!A465</f>
        <v>37a</v>
      </c>
      <c r="B465" s="7" t="str">
        <f>'Reported burning'!B465</f>
        <v>37a.1</v>
      </c>
      <c r="C465" s="7" t="str">
        <f>'Reported burning'!C465</f>
        <v>Human, deliberate</v>
      </c>
      <c r="D465" s="7" t="str">
        <f>'Reported burning'!D465</f>
        <v>Crop field preparation</v>
      </c>
      <c r="E465" s="7" t="str">
        <f>'Reported burning'!E465</f>
        <v>Cropping, Swidden</v>
      </c>
      <c r="F465" s="7" t="str">
        <f>'Reported burning'!F465</f>
        <v>Secondary Vegetation</v>
      </c>
      <c r="G465" s="7" t="str">
        <f>'Reported burning'!G465</f>
        <v>ND</v>
      </c>
      <c r="H465" s="7" t="str">
        <f>'Reported burning'!H465</f>
        <v>Presence</v>
      </c>
      <c r="I465" s="20"/>
      <c r="J465" s="22" t="s">
        <v>2308</v>
      </c>
      <c r="K465" s="110" t="s">
        <v>2308</v>
      </c>
      <c r="L465" s="22" t="s">
        <v>2308</v>
      </c>
      <c r="M465" s="22" t="s">
        <v>2308</v>
      </c>
      <c r="N465" s="22" t="s">
        <v>2308</v>
      </c>
      <c r="O465" s="22" t="s">
        <v>2394</v>
      </c>
      <c r="P465" s="22" t="s">
        <v>2308</v>
      </c>
      <c r="Q465" s="109" t="s">
        <v>2308</v>
      </c>
      <c r="R465" s="109" t="s">
        <v>2308</v>
      </c>
      <c r="S465" s="22" t="s">
        <v>2308</v>
      </c>
      <c r="T465" s="22" t="s">
        <v>2308</v>
      </c>
      <c r="U465" s="22" t="s">
        <v>2308</v>
      </c>
      <c r="V465" s="22" t="s">
        <v>2308</v>
      </c>
      <c r="W465" s="22" t="s">
        <v>2308</v>
      </c>
      <c r="X465" s="20" t="s">
        <v>194</v>
      </c>
      <c r="Y465" s="20" t="s">
        <v>195</v>
      </c>
      <c r="Z465" s="4" t="s">
        <v>64</v>
      </c>
      <c r="AA465" s="20" t="s">
        <v>676</v>
      </c>
      <c r="AB465" s="20" t="s">
        <v>2078</v>
      </c>
    </row>
    <row r="466" spans="1:28" ht="80.5" customHeight="1">
      <c r="A466" s="7" t="str">
        <f>'Reported burning'!A466</f>
        <v>37a</v>
      </c>
      <c r="B466" s="7" t="str">
        <f>'Reported burning'!B466</f>
        <v>37a.2</v>
      </c>
      <c r="C466" s="7" t="str">
        <f>'Reported burning'!C466</f>
        <v>Human, deliberate</v>
      </c>
      <c r="D466" s="7" t="str">
        <f>'Reported burning'!D466</f>
        <v>Forest clearance</v>
      </c>
      <c r="E466" s="7" t="str">
        <f>'Reported burning'!E466</f>
        <v>Cropping, Swidden</v>
      </c>
      <c r="F466" s="7" t="str">
        <f>'Reported burning'!F466</f>
        <v>Forest</v>
      </c>
      <c r="G466" s="7" t="str">
        <f>'Reported burning'!G466</f>
        <v>ND</v>
      </c>
      <c r="H466" s="7" t="str">
        <f>'Reported burning'!H466</f>
        <v>Absence</v>
      </c>
      <c r="I466" s="4"/>
      <c r="J466" s="22" t="s">
        <v>2396</v>
      </c>
      <c r="K466" s="110" t="s">
        <v>2396</v>
      </c>
      <c r="L466" s="22" t="s">
        <v>2396</v>
      </c>
      <c r="M466" s="22" t="s">
        <v>2396</v>
      </c>
      <c r="N466" s="22" t="s">
        <v>2396</v>
      </c>
      <c r="O466" s="22" t="s">
        <v>2396</v>
      </c>
      <c r="P466" s="22" t="s">
        <v>2396</v>
      </c>
      <c r="Q466" s="109" t="s">
        <v>2308</v>
      </c>
      <c r="R466" s="109" t="s">
        <v>2308</v>
      </c>
      <c r="S466" s="22" t="s">
        <v>2396</v>
      </c>
      <c r="T466" s="22" t="s">
        <v>2396</v>
      </c>
      <c r="U466" s="22" t="s">
        <v>2396</v>
      </c>
      <c r="V466" s="22" t="s">
        <v>2396</v>
      </c>
      <c r="W466" s="22" t="s">
        <v>2308</v>
      </c>
      <c r="X466" s="4" t="s">
        <v>2308</v>
      </c>
      <c r="Y466" s="4" t="s">
        <v>2308</v>
      </c>
      <c r="Z466" s="4" t="s">
        <v>2308</v>
      </c>
      <c r="AA466" s="5" t="s">
        <v>2044</v>
      </c>
      <c r="AB466" s="4"/>
    </row>
    <row r="467" spans="1:28" ht="80.5" customHeight="1">
      <c r="A467" s="7" t="str">
        <f>'Reported burning'!A467</f>
        <v>37a</v>
      </c>
      <c r="B467" s="7" t="str">
        <f>'Reported burning'!B467</f>
        <v>37a.3</v>
      </c>
      <c r="C467" s="7" t="str">
        <f>'Reported burning'!C467</f>
        <v>Human, deliberate</v>
      </c>
      <c r="D467" s="7" t="str">
        <f>'Reported burning'!D467</f>
        <v>Forest clearance</v>
      </c>
      <c r="E467" s="7" t="str">
        <f>'Reported burning'!E467</f>
        <v>Cropping, Monoculture, Market-oriented</v>
      </c>
      <c r="F467" s="7" t="str">
        <f>'Reported burning'!F467</f>
        <v>Forest</v>
      </c>
      <c r="G467" s="7" t="str">
        <f>'Reported burning'!G467</f>
        <v>ND</v>
      </c>
      <c r="H467" s="7" t="str">
        <f>'Reported burning'!H467</f>
        <v>Presence</v>
      </c>
      <c r="I467" s="4"/>
      <c r="J467" s="22" t="s">
        <v>2308</v>
      </c>
      <c r="K467" s="110" t="s">
        <v>2308</v>
      </c>
      <c r="L467" s="22" t="s">
        <v>2308</v>
      </c>
      <c r="M467" s="22" t="s">
        <v>2308</v>
      </c>
      <c r="N467" s="22" t="s">
        <v>2308</v>
      </c>
      <c r="O467" s="22" t="s">
        <v>2394</v>
      </c>
      <c r="P467" s="22" t="s">
        <v>2308</v>
      </c>
      <c r="Q467" s="109" t="s">
        <v>2308</v>
      </c>
      <c r="R467" s="109" t="s">
        <v>2308</v>
      </c>
      <c r="S467" s="22" t="s">
        <v>2308</v>
      </c>
      <c r="T467" s="22" t="s">
        <v>2308</v>
      </c>
      <c r="U467" s="22" t="s">
        <v>2308</v>
      </c>
      <c r="V467" s="22" t="s">
        <v>2308</v>
      </c>
      <c r="W467" s="22" t="s">
        <v>2308</v>
      </c>
      <c r="X467" s="20" t="s">
        <v>194</v>
      </c>
      <c r="Y467" s="20" t="s">
        <v>38</v>
      </c>
      <c r="Z467" s="4" t="s">
        <v>2308</v>
      </c>
      <c r="AA467" s="5" t="s">
        <v>2046</v>
      </c>
      <c r="AB467" s="20" t="s">
        <v>2078</v>
      </c>
    </row>
    <row r="468" spans="1:28" ht="51" customHeight="1">
      <c r="A468" s="7" t="str">
        <f>'Reported burning'!A468</f>
        <v>38a</v>
      </c>
      <c r="B468" s="7" t="str">
        <f>'Reported burning'!B468</f>
        <v>38a.1</v>
      </c>
      <c r="C468" s="7" t="str">
        <f>'Reported burning'!C468</f>
        <v>Human, deliberate</v>
      </c>
      <c r="D468" s="7" t="str">
        <f>'Reported burning'!D468</f>
        <v>Crop field preparation</v>
      </c>
      <c r="E468" s="7" t="str">
        <f>'Reported burning'!E468</f>
        <v>Cropping, Swidden</v>
      </c>
      <c r="F468" s="7" t="str">
        <f>'Reported burning'!F468</f>
        <v>Secondary Vegetation</v>
      </c>
      <c r="G468" s="7" t="str">
        <f>'Reported burning'!G468</f>
        <v>Secondary Vegetation</v>
      </c>
      <c r="H468" s="7" t="str">
        <f>'Reported burning'!H468</f>
        <v>Presence</v>
      </c>
      <c r="I468" s="4"/>
      <c r="J468" s="22" t="s">
        <v>2308</v>
      </c>
      <c r="K468" s="110" t="s">
        <v>2308</v>
      </c>
      <c r="L468" s="22" t="s">
        <v>2308</v>
      </c>
      <c r="M468" s="22" t="s">
        <v>2308</v>
      </c>
      <c r="N468" s="22" t="s">
        <v>2308</v>
      </c>
      <c r="O468" s="22" t="s">
        <v>2308</v>
      </c>
      <c r="P468" s="22" t="s">
        <v>2308</v>
      </c>
      <c r="Q468" s="109" t="s">
        <v>2308</v>
      </c>
      <c r="R468" s="109" t="s">
        <v>2308</v>
      </c>
      <c r="S468" s="22" t="s">
        <v>2308</v>
      </c>
      <c r="T468" s="22" t="s">
        <v>2308</v>
      </c>
      <c r="U468" s="22" t="s">
        <v>2308</v>
      </c>
      <c r="V468" s="22" t="s">
        <v>2308</v>
      </c>
      <c r="W468" s="22" t="s">
        <v>2434</v>
      </c>
      <c r="X468" s="4" t="s">
        <v>681</v>
      </c>
      <c r="Y468" s="4" t="s">
        <v>38</v>
      </c>
      <c r="Z468" s="4" t="s">
        <v>64</v>
      </c>
      <c r="AA468" s="5" t="s">
        <v>682</v>
      </c>
      <c r="AB468" s="5" t="s">
        <v>683</v>
      </c>
    </row>
    <row r="469" spans="1:28" ht="48.5" customHeight="1">
      <c r="A469" s="7" t="str">
        <f>'Reported burning'!A469</f>
        <v>39a</v>
      </c>
      <c r="B469" s="7" t="str">
        <f>'Reported burning'!B469</f>
        <v>39a.1</v>
      </c>
      <c r="C469" s="7" t="str">
        <f>'Reported burning'!C469</f>
        <v>Human, deliberate</v>
      </c>
      <c r="D469" s="7" t="str">
        <f>'Reported burning'!D469</f>
        <v>Crop field preparation</v>
      </c>
      <c r="E469" s="7" t="str">
        <f>'Reported burning'!E469</f>
        <v>Cropping, Swidden</v>
      </c>
      <c r="F469" s="7" t="str">
        <f>'Reported burning'!F469</f>
        <v>Forest</v>
      </c>
      <c r="G469" s="7" t="str">
        <f>'Reported burning'!G469</f>
        <v>Forest</v>
      </c>
      <c r="H469" s="7" t="str">
        <f>'Reported burning'!H469</f>
        <v>Presence</v>
      </c>
      <c r="I469" s="4">
        <v>1955</v>
      </c>
      <c r="J469" s="22" t="s">
        <v>2308</v>
      </c>
      <c r="K469" s="110" t="s">
        <v>2308</v>
      </c>
      <c r="L469" s="22" t="s">
        <v>2308</v>
      </c>
      <c r="M469" s="22" t="s">
        <v>2308</v>
      </c>
      <c r="N469" s="22" t="s">
        <v>2308</v>
      </c>
      <c r="O469" s="22" t="s">
        <v>2308</v>
      </c>
      <c r="P469" s="22" t="s">
        <v>2308</v>
      </c>
      <c r="Q469" s="109" t="s">
        <v>2308</v>
      </c>
      <c r="R469" s="109" t="s">
        <v>2308</v>
      </c>
      <c r="S469" s="22" t="s">
        <v>2308</v>
      </c>
      <c r="T469" s="22" t="s">
        <v>2308</v>
      </c>
      <c r="U469" s="22" t="s">
        <v>2308</v>
      </c>
      <c r="V469" s="22" t="s">
        <v>2308</v>
      </c>
      <c r="W469" s="22" t="s">
        <v>2436</v>
      </c>
      <c r="X469" s="4" t="s">
        <v>2308</v>
      </c>
      <c r="Y469" s="4" t="s">
        <v>2308</v>
      </c>
      <c r="Z469" s="4" t="s">
        <v>2308</v>
      </c>
      <c r="AA469" s="5" t="s">
        <v>2048</v>
      </c>
      <c r="AB469" s="4" t="s">
        <v>591</v>
      </c>
    </row>
    <row r="470" spans="1:28" ht="56" customHeight="1">
      <c r="A470" s="7" t="str">
        <f>'Reported burning'!A470</f>
        <v>39a</v>
      </c>
      <c r="B470" s="7" t="str">
        <f>'Reported burning'!B470</f>
        <v>39a.2</v>
      </c>
      <c r="C470" s="7" t="str">
        <f>'Reported burning'!C470</f>
        <v>Human, deliberate</v>
      </c>
      <c r="D470" s="7" t="str">
        <f>'Reported burning'!D470</f>
        <v>Crop field preparation</v>
      </c>
      <c r="E470" s="7" t="str">
        <f>'Reported burning'!E470</f>
        <v>Cropping, Swidden</v>
      </c>
      <c r="F470" s="7" t="str">
        <f>'Reported burning'!F470</f>
        <v>Forest</v>
      </c>
      <c r="G470" s="7" t="str">
        <f>'Reported burning'!G470</f>
        <v>Forest</v>
      </c>
      <c r="H470" s="7" t="str">
        <f>'Reported burning'!H470</f>
        <v>Presence</v>
      </c>
      <c r="I470" s="4">
        <v>1975</v>
      </c>
      <c r="J470" s="22" t="s">
        <v>2308</v>
      </c>
      <c r="K470" s="110" t="s">
        <v>2308</v>
      </c>
      <c r="L470" s="22" t="s">
        <v>2308</v>
      </c>
      <c r="M470" s="22" t="s">
        <v>2308</v>
      </c>
      <c r="N470" s="22" t="s">
        <v>2308</v>
      </c>
      <c r="O470" s="22" t="s">
        <v>2308</v>
      </c>
      <c r="P470" s="22" t="s">
        <v>2308</v>
      </c>
      <c r="Q470" s="109" t="s">
        <v>2308</v>
      </c>
      <c r="R470" s="109" t="s">
        <v>2308</v>
      </c>
      <c r="S470" s="22" t="s">
        <v>2308</v>
      </c>
      <c r="T470" s="22" t="s">
        <v>2308</v>
      </c>
      <c r="U470" s="22" t="s">
        <v>2308</v>
      </c>
      <c r="V470" s="22" t="s">
        <v>2308</v>
      </c>
      <c r="W470" s="22" t="s">
        <v>2437</v>
      </c>
      <c r="X470" s="4" t="s">
        <v>2308</v>
      </c>
      <c r="Y470" s="4" t="s">
        <v>2308</v>
      </c>
      <c r="Z470" s="4" t="s">
        <v>2308</v>
      </c>
      <c r="AA470" s="5" t="s">
        <v>2048</v>
      </c>
      <c r="AB470" s="4" t="s">
        <v>591</v>
      </c>
    </row>
    <row r="471" spans="1:28" ht="55.5" customHeight="1">
      <c r="A471" s="7" t="str">
        <f>'Reported burning'!A471</f>
        <v>39a</v>
      </c>
      <c r="B471" s="7" t="str">
        <f>'Reported burning'!B471</f>
        <v>39a.3</v>
      </c>
      <c r="C471" s="7" t="str">
        <f>'Reported burning'!C471</f>
        <v>Human, deliberate</v>
      </c>
      <c r="D471" s="7" t="str">
        <f>'Reported burning'!D471</f>
        <v>Crop field preparation</v>
      </c>
      <c r="E471" s="7" t="str">
        <f>'Reported burning'!E471</f>
        <v>Cropping, Swidden</v>
      </c>
      <c r="F471" s="7" t="str">
        <f>'Reported burning'!F471</f>
        <v>Secondary Vegetation</v>
      </c>
      <c r="G471" s="7" t="str">
        <f>'Reported burning'!G471</f>
        <v>Secondary Vegetation</v>
      </c>
      <c r="H471" s="7" t="str">
        <f>'Reported burning'!H471</f>
        <v>Presence</v>
      </c>
      <c r="I471" s="4">
        <v>1992</v>
      </c>
      <c r="J471" s="22" t="s">
        <v>2308</v>
      </c>
      <c r="K471" s="110" t="s">
        <v>2308</v>
      </c>
      <c r="L471" s="22" t="s">
        <v>2308</v>
      </c>
      <c r="M471" s="22" t="s">
        <v>2308</v>
      </c>
      <c r="N471" s="22" t="s">
        <v>2308</v>
      </c>
      <c r="O471" s="22" t="s">
        <v>2308</v>
      </c>
      <c r="P471" s="22" t="s">
        <v>2308</v>
      </c>
      <c r="Q471" s="109" t="s">
        <v>2308</v>
      </c>
      <c r="R471" s="109" t="s">
        <v>2308</v>
      </c>
      <c r="S471" s="22" t="s">
        <v>2308</v>
      </c>
      <c r="T471" s="22" t="s">
        <v>2308</v>
      </c>
      <c r="U471" s="22" t="s">
        <v>2308</v>
      </c>
      <c r="V471" s="22" t="s">
        <v>2308</v>
      </c>
      <c r="W471" s="22" t="s">
        <v>2434</v>
      </c>
      <c r="X471" s="4" t="s">
        <v>2308</v>
      </c>
      <c r="Y471" s="4" t="s">
        <v>2308</v>
      </c>
      <c r="Z471" s="4" t="s">
        <v>2308</v>
      </c>
      <c r="AA471" s="5" t="s">
        <v>2048</v>
      </c>
      <c r="AB471" s="4" t="s">
        <v>591</v>
      </c>
    </row>
    <row r="472" spans="1:28" ht="48.5" customHeight="1">
      <c r="A472" s="7" t="str">
        <f>'Reported burning'!A472</f>
        <v>40a</v>
      </c>
      <c r="B472" s="7" t="str">
        <f>'Reported burning'!B472</f>
        <v>40a.1</v>
      </c>
      <c r="C472" s="7" t="str">
        <f>'Reported burning'!C472</f>
        <v>Human, deliberate</v>
      </c>
      <c r="D472" s="7" t="str">
        <f>'Reported burning'!D472</f>
        <v>Crop field preparation</v>
      </c>
      <c r="E472" s="7" t="str">
        <f>'Reported burning'!E472</f>
        <v>Cropping, Swidden</v>
      </c>
      <c r="F472" s="7" t="str">
        <f>'Reported burning'!F472</f>
        <v>Secondary Vegetation</v>
      </c>
      <c r="G472" s="7" t="str">
        <f>'Reported burning'!G472</f>
        <v>ND</v>
      </c>
      <c r="H472" s="7" t="str">
        <f>'Reported burning'!H472</f>
        <v>Presence</v>
      </c>
      <c r="I472" s="4">
        <v>2002</v>
      </c>
      <c r="J472" s="22" t="s">
        <v>2308</v>
      </c>
      <c r="K472" s="110" t="s">
        <v>2308</v>
      </c>
      <c r="L472" s="22" t="s">
        <v>2308</v>
      </c>
      <c r="M472" s="22" t="s">
        <v>2308</v>
      </c>
      <c r="N472" s="22" t="s">
        <v>2308</v>
      </c>
      <c r="O472" s="22" t="s">
        <v>2405</v>
      </c>
      <c r="P472" s="22" t="s">
        <v>2308</v>
      </c>
      <c r="Q472" s="109" t="s">
        <v>2308</v>
      </c>
      <c r="R472" s="109" t="s">
        <v>2308</v>
      </c>
      <c r="S472" s="22" t="s">
        <v>2308</v>
      </c>
      <c r="T472" s="22" t="s">
        <v>2308</v>
      </c>
      <c r="U472" s="22" t="s">
        <v>2308</v>
      </c>
      <c r="V472" s="22" t="s">
        <v>2308</v>
      </c>
      <c r="W472" s="22" t="s">
        <v>2434</v>
      </c>
      <c r="X472" s="4" t="s">
        <v>2308</v>
      </c>
      <c r="Y472" s="4" t="s">
        <v>2308</v>
      </c>
      <c r="Z472" s="4" t="s">
        <v>2308</v>
      </c>
      <c r="AA472" s="5"/>
      <c r="AB472" s="5" t="s">
        <v>2450</v>
      </c>
    </row>
    <row r="473" spans="1:28" ht="48.5" customHeight="1">
      <c r="A473" s="7" t="str">
        <f>'Reported burning'!A473</f>
        <v>40a</v>
      </c>
      <c r="B473" s="7" t="str">
        <f>'Reported burning'!B473</f>
        <v>40a.2</v>
      </c>
      <c r="C473" s="7" t="str">
        <f>'Reported burning'!C473</f>
        <v>Human, deliberate</v>
      </c>
      <c r="D473" s="7" t="str">
        <f>'Reported burning'!D473</f>
        <v>Crop field preparation</v>
      </c>
      <c r="E473" s="7" t="str">
        <f>'Reported burning'!E473</f>
        <v>Cropping, Swidden</v>
      </c>
      <c r="F473" s="7" t="str">
        <f>'Reported burning'!F473</f>
        <v>Forest</v>
      </c>
      <c r="G473" s="7" t="str">
        <f>'Reported burning'!G473</f>
        <v>ND</v>
      </c>
      <c r="H473" s="7" t="str">
        <f>'Reported burning'!H473</f>
        <v>Absence</v>
      </c>
      <c r="I473" s="4">
        <v>2002</v>
      </c>
      <c r="J473" s="22" t="s">
        <v>2396</v>
      </c>
      <c r="K473" s="110" t="s">
        <v>2396</v>
      </c>
      <c r="L473" s="22" t="s">
        <v>2396</v>
      </c>
      <c r="M473" s="22" t="s">
        <v>2396</v>
      </c>
      <c r="N473" s="22" t="s">
        <v>2396</v>
      </c>
      <c r="O473" s="22" t="s">
        <v>2396</v>
      </c>
      <c r="P473" s="22" t="s">
        <v>2396</v>
      </c>
      <c r="Q473" s="109" t="s">
        <v>2308</v>
      </c>
      <c r="R473" s="109" t="s">
        <v>2308</v>
      </c>
      <c r="S473" s="22" t="s">
        <v>2396</v>
      </c>
      <c r="T473" s="22" t="s">
        <v>2396</v>
      </c>
      <c r="U473" s="22" t="s">
        <v>2396</v>
      </c>
      <c r="V473" s="22" t="s">
        <v>2396</v>
      </c>
      <c r="W473" s="22" t="s">
        <v>2308</v>
      </c>
      <c r="X473" s="4" t="s">
        <v>2308</v>
      </c>
      <c r="Y473" s="4" t="s">
        <v>2308</v>
      </c>
      <c r="Z473" s="4" t="s">
        <v>2308</v>
      </c>
      <c r="AA473" s="5" t="s">
        <v>2049</v>
      </c>
      <c r="AB473" s="5"/>
    </row>
    <row r="474" spans="1:28" ht="57" customHeight="1">
      <c r="A474" s="7" t="str">
        <f>'Reported burning'!A474</f>
        <v>40b</v>
      </c>
      <c r="B474" s="7" t="str">
        <f>'Reported burning'!B474</f>
        <v>40b.1</v>
      </c>
      <c r="C474" s="7" t="str">
        <f>'Reported burning'!C474</f>
        <v>Human, deliberate</v>
      </c>
      <c r="D474" s="7" t="str">
        <f>'Reported burning'!D474</f>
        <v>Crop field preparation</v>
      </c>
      <c r="E474" s="7" t="str">
        <f>'Reported burning'!E474</f>
        <v>Cropping, Swidden</v>
      </c>
      <c r="F474" s="7" t="str">
        <f>'Reported burning'!F474</f>
        <v>Secondary Vegetation</v>
      </c>
      <c r="G474" s="7" t="str">
        <f>'Reported burning'!G474</f>
        <v>ND</v>
      </c>
      <c r="H474" s="7" t="str">
        <f>'Reported burning'!H474</f>
        <v>Presence</v>
      </c>
      <c r="I474" s="4">
        <v>1997</v>
      </c>
      <c r="J474" s="22" t="s">
        <v>2308</v>
      </c>
      <c r="K474" s="110" t="s">
        <v>2308</v>
      </c>
      <c r="L474" s="22" t="s">
        <v>2308</v>
      </c>
      <c r="M474" s="22" t="s">
        <v>2308</v>
      </c>
      <c r="N474" s="22" t="s">
        <v>2308</v>
      </c>
      <c r="O474" s="22" t="s">
        <v>2405</v>
      </c>
      <c r="P474" s="22" t="s">
        <v>2308</v>
      </c>
      <c r="Q474" s="109" t="s">
        <v>2308</v>
      </c>
      <c r="R474" s="109" t="s">
        <v>2308</v>
      </c>
      <c r="S474" s="22" t="s">
        <v>2308</v>
      </c>
      <c r="T474" s="22" t="s">
        <v>2308</v>
      </c>
      <c r="U474" s="22" t="s">
        <v>2308</v>
      </c>
      <c r="V474" s="22" t="s">
        <v>2308</v>
      </c>
      <c r="W474" s="22" t="s">
        <v>2435</v>
      </c>
      <c r="X474" s="4" t="s">
        <v>2308</v>
      </c>
      <c r="Y474" s="4" t="s">
        <v>2308</v>
      </c>
      <c r="Z474" s="4" t="s">
        <v>2308</v>
      </c>
      <c r="AA474" s="5"/>
      <c r="AB474" s="5" t="s">
        <v>2450</v>
      </c>
    </row>
    <row r="475" spans="1:28" ht="58.5" customHeight="1">
      <c r="A475" s="7" t="str">
        <f>'Reported burning'!A475</f>
        <v>41a</v>
      </c>
      <c r="B475" s="7" t="str">
        <f>'Reported burning'!B475</f>
        <v>41a.1</v>
      </c>
      <c r="C475" s="7" t="str">
        <f>'Reported burning'!C475</f>
        <v>Human, deliberate</v>
      </c>
      <c r="D475" s="7" t="str">
        <f>'Reported burning'!D475</f>
        <v>Crop field preparation</v>
      </c>
      <c r="E475" s="7" t="str">
        <f>'Reported burning'!E475</f>
        <v>Cropping, Swidden</v>
      </c>
      <c r="F475" s="7" t="str">
        <f>'Reported burning'!F475</f>
        <v>Secondary Vegetation</v>
      </c>
      <c r="G475" s="7" t="str">
        <f>'Reported burning'!G475</f>
        <v>ND</v>
      </c>
      <c r="H475" s="7" t="str">
        <f>'Reported burning'!H475</f>
        <v>Presence</v>
      </c>
      <c r="I475" s="12"/>
      <c r="J475" s="22" t="s">
        <v>2308</v>
      </c>
      <c r="K475" s="110" t="s">
        <v>2308</v>
      </c>
      <c r="L475" s="22" t="s">
        <v>2308</v>
      </c>
      <c r="M475" s="22" t="s">
        <v>2308</v>
      </c>
      <c r="N475" s="22" t="s">
        <v>2308</v>
      </c>
      <c r="O475" s="22" t="s">
        <v>2308</v>
      </c>
      <c r="P475" s="22" t="s">
        <v>2308</v>
      </c>
      <c r="Q475" s="109" t="s">
        <v>2308</v>
      </c>
      <c r="R475" s="109" t="s">
        <v>2308</v>
      </c>
      <c r="S475" s="22" t="s">
        <v>2308</v>
      </c>
      <c r="T475" s="22" t="s">
        <v>2308</v>
      </c>
      <c r="U475" s="22" t="s">
        <v>2308</v>
      </c>
      <c r="V475" s="22" t="s">
        <v>2308</v>
      </c>
      <c r="W475" s="22" t="s">
        <v>2308</v>
      </c>
      <c r="X475" s="4" t="s">
        <v>681</v>
      </c>
      <c r="Y475" s="4" t="s">
        <v>38</v>
      </c>
      <c r="Z475" s="4" t="s">
        <v>64</v>
      </c>
      <c r="AA475" s="20" t="s">
        <v>2052</v>
      </c>
      <c r="AB475" s="4"/>
    </row>
    <row r="476" spans="1:28" ht="52.5" customHeight="1">
      <c r="A476" s="7" t="str">
        <f>'Reported burning'!A476</f>
        <v>41a</v>
      </c>
      <c r="B476" s="7" t="str">
        <f>'Reported burning'!B476</f>
        <v>41a.2</v>
      </c>
      <c r="C476" s="7" t="str">
        <f>'Reported burning'!C476</f>
        <v>Human, deliberate</v>
      </c>
      <c r="D476" s="7" t="str">
        <f>'Reported burning'!D476</f>
        <v>Crop field preparation</v>
      </c>
      <c r="E476" s="7" t="str">
        <f>'Reported burning'!E476</f>
        <v>Cropping, Swidden</v>
      </c>
      <c r="F476" s="7" t="str">
        <f>'Reported burning'!F476</f>
        <v>Secondary Vegetation</v>
      </c>
      <c r="G476" s="7" t="str">
        <f>'Reported burning'!G476</f>
        <v>ND</v>
      </c>
      <c r="H476" s="7" t="str">
        <f>'Reported burning'!H476</f>
        <v>Presence</v>
      </c>
      <c r="I476" s="12"/>
      <c r="J476" s="22" t="s">
        <v>2308</v>
      </c>
      <c r="K476" s="110" t="s">
        <v>2308</v>
      </c>
      <c r="L476" s="22" t="s">
        <v>2308</v>
      </c>
      <c r="M476" s="22" t="s">
        <v>2308</v>
      </c>
      <c r="N476" s="22" t="s">
        <v>2308</v>
      </c>
      <c r="O476" s="22" t="s">
        <v>2308</v>
      </c>
      <c r="P476" s="22" t="s">
        <v>2308</v>
      </c>
      <c r="Q476" s="109" t="s">
        <v>2308</v>
      </c>
      <c r="R476" s="109" t="s">
        <v>2308</v>
      </c>
      <c r="S476" s="22" t="s">
        <v>2308</v>
      </c>
      <c r="T476" s="22" t="s">
        <v>2308</v>
      </c>
      <c r="U476" s="22" t="s">
        <v>2308</v>
      </c>
      <c r="V476" s="22" t="s">
        <v>2308</v>
      </c>
      <c r="W476" s="22" t="s">
        <v>2308</v>
      </c>
      <c r="X476" s="4" t="s">
        <v>681</v>
      </c>
      <c r="Y476" s="4" t="s">
        <v>38</v>
      </c>
      <c r="Z476" s="4" t="s">
        <v>64</v>
      </c>
      <c r="AA476" s="20" t="s">
        <v>2052</v>
      </c>
      <c r="AB476" s="4"/>
    </row>
    <row r="477" spans="1:28" ht="55" customHeight="1">
      <c r="A477" s="7" t="str">
        <f>'Reported burning'!A477</f>
        <v>41a</v>
      </c>
      <c r="B477" s="7" t="str">
        <f>'Reported burning'!B477</f>
        <v>41a.3</v>
      </c>
      <c r="C477" s="7" t="str">
        <f>'Reported burning'!C477</f>
        <v>Human, deliberate</v>
      </c>
      <c r="D477" s="7" t="str">
        <f>'Reported burning'!D477</f>
        <v>Crop field preparation</v>
      </c>
      <c r="E477" s="7" t="str">
        <f>'Reported burning'!E477</f>
        <v>Cropping, Swidden</v>
      </c>
      <c r="F477" s="7" t="str">
        <f>'Reported burning'!F477</f>
        <v>Secondary Vegetation</v>
      </c>
      <c r="G477" s="7" t="str">
        <f>'Reported burning'!G477</f>
        <v>ND</v>
      </c>
      <c r="H477" s="7" t="str">
        <f>'Reported burning'!H477</f>
        <v>Presence</v>
      </c>
      <c r="I477" s="12"/>
      <c r="J477" s="22" t="s">
        <v>2308</v>
      </c>
      <c r="K477" s="110" t="s">
        <v>2308</v>
      </c>
      <c r="L477" s="22" t="s">
        <v>2308</v>
      </c>
      <c r="M477" s="22" t="s">
        <v>2308</v>
      </c>
      <c r="N477" s="22" t="s">
        <v>2308</v>
      </c>
      <c r="O477" s="22" t="s">
        <v>2308</v>
      </c>
      <c r="P477" s="22" t="s">
        <v>2308</v>
      </c>
      <c r="Q477" s="109" t="s">
        <v>2308</v>
      </c>
      <c r="R477" s="109" t="s">
        <v>2308</v>
      </c>
      <c r="S477" s="22" t="s">
        <v>2308</v>
      </c>
      <c r="T477" s="22" t="s">
        <v>2308</v>
      </c>
      <c r="U477" s="22" t="s">
        <v>2308</v>
      </c>
      <c r="V477" s="22" t="s">
        <v>2308</v>
      </c>
      <c r="W477" s="22" t="s">
        <v>2308</v>
      </c>
      <c r="X477" s="4" t="s">
        <v>681</v>
      </c>
      <c r="Y477" s="4" t="s">
        <v>38</v>
      </c>
      <c r="Z477" s="4" t="s">
        <v>64</v>
      </c>
      <c r="AA477" s="20" t="s">
        <v>2052</v>
      </c>
      <c r="AB477" s="4"/>
    </row>
    <row r="478" spans="1:28" ht="59" customHeight="1">
      <c r="A478" s="7" t="str">
        <f>'Reported burning'!A478</f>
        <v>41b</v>
      </c>
      <c r="B478" s="7" t="str">
        <f>'Reported burning'!B478</f>
        <v>41b.1</v>
      </c>
      <c r="C478" s="7" t="str">
        <f>'Reported burning'!C478</f>
        <v>Human, deliberate</v>
      </c>
      <c r="D478" s="7" t="str">
        <f>'Reported burning'!D478</f>
        <v>Crop field preparation</v>
      </c>
      <c r="E478" s="7" t="str">
        <f>'Reported burning'!E478</f>
        <v>Cropping, Swidden</v>
      </c>
      <c r="F478" s="7" t="str">
        <f>'Reported burning'!F478</f>
        <v>Secondary Vegetation</v>
      </c>
      <c r="G478" s="7" t="str">
        <f>'Reported burning'!G478</f>
        <v>ND</v>
      </c>
      <c r="H478" s="7" t="str">
        <f>'Reported burning'!H478</f>
        <v>Presence</v>
      </c>
      <c r="I478" s="12"/>
      <c r="J478" s="22" t="s">
        <v>2308</v>
      </c>
      <c r="K478" s="110" t="s">
        <v>2308</v>
      </c>
      <c r="L478" s="22" t="s">
        <v>2308</v>
      </c>
      <c r="M478" s="22" t="s">
        <v>2308</v>
      </c>
      <c r="N478" s="22" t="s">
        <v>2308</v>
      </c>
      <c r="O478" s="22" t="s">
        <v>2308</v>
      </c>
      <c r="P478" s="22" t="s">
        <v>2308</v>
      </c>
      <c r="Q478" s="109" t="s">
        <v>2308</v>
      </c>
      <c r="R478" s="109" t="s">
        <v>2308</v>
      </c>
      <c r="S478" s="22" t="s">
        <v>2308</v>
      </c>
      <c r="T478" s="22" t="s">
        <v>2308</v>
      </c>
      <c r="U478" s="22" t="s">
        <v>2308</v>
      </c>
      <c r="V478" s="22" t="s">
        <v>2308</v>
      </c>
      <c r="W478" s="22" t="s">
        <v>2308</v>
      </c>
      <c r="X478" s="4" t="s">
        <v>681</v>
      </c>
      <c r="Y478" s="4" t="s">
        <v>38</v>
      </c>
      <c r="Z478" s="4" t="s">
        <v>64</v>
      </c>
      <c r="AA478" s="20" t="s">
        <v>2052</v>
      </c>
      <c r="AB478" s="4"/>
    </row>
    <row r="479" spans="1:28" ht="69" customHeight="1">
      <c r="A479" s="7" t="str">
        <f>'Reported burning'!A479</f>
        <v>41b</v>
      </c>
      <c r="B479" s="7" t="str">
        <f>'Reported burning'!B479</f>
        <v>41b.2</v>
      </c>
      <c r="C479" s="7" t="str">
        <f>'Reported burning'!C479</f>
        <v>Human, deliberate</v>
      </c>
      <c r="D479" s="7" t="str">
        <f>'Reported burning'!D479</f>
        <v>Crop field preparation</v>
      </c>
      <c r="E479" s="7" t="str">
        <f>'Reported burning'!E479</f>
        <v>Cropping, Swidden</v>
      </c>
      <c r="F479" s="7" t="str">
        <f>'Reported burning'!F479</f>
        <v>Secondary Vegetation</v>
      </c>
      <c r="G479" s="7" t="str">
        <f>'Reported burning'!G479</f>
        <v>ND</v>
      </c>
      <c r="H479" s="7" t="str">
        <f>'Reported burning'!H479</f>
        <v>Presence</v>
      </c>
      <c r="I479" s="12"/>
      <c r="J479" s="22" t="s">
        <v>2308</v>
      </c>
      <c r="K479" s="110" t="s">
        <v>2308</v>
      </c>
      <c r="L479" s="22" t="s">
        <v>2308</v>
      </c>
      <c r="M479" s="22" t="s">
        <v>2308</v>
      </c>
      <c r="N479" s="22" t="s">
        <v>2308</v>
      </c>
      <c r="O479" s="22" t="s">
        <v>2308</v>
      </c>
      <c r="P479" s="22" t="s">
        <v>2308</v>
      </c>
      <c r="Q479" s="109" t="s">
        <v>2308</v>
      </c>
      <c r="R479" s="109" t="s">
        <v>2308</v>
      </c>
      <c r="S479" s="22" t="s">
        <v>2308</v>
      </c>
      <c r="T479" s="22" t="s">
        <v>2308</v>
      </c>
      <c r="U479" s="22" t="s">
        <v>2308</v>
      </c>
      <c r="V479" s="22" t="s">
        <v>2308</v>
      </c>
      <c r="W479" s="22" t="s">
        <v>2308</v>
      </c>
      <c r="X479" s="4" t="s">
        <v>681</v>
      </c>
      <c r="Y479" s="4" t="s">
        <v>38</v>
      </c>
      <c r="Z479" s="4" t="s">
        <v>64</v>
      </c>
      <c r="AA479" s="20" t="s">
        <v>2052</v>
      </c>
      <c r="AB479" s="4"/>
    </row>
    <row r="480" spans="1:28" ht="72" customHeight="1">
      <c r="A480" s="7" t="str">
        <f>'Reported burning'!A480</f>
        <v>41b</v>
      </c>
      <c r="B480" s="7" t="str">
        <f>'Reported burning'!B480</f>
        <v>41b.3</v>
      </c>
      <c r="C480" s="7" t="str">
        <f>'Reported burning'!C480</f>
        <v>Human, deliberate</v>
      </c>
      <c r="D480" s="7" t="str">
        <f>'Reported burning'!D480</f>
        <v>Crop field preparation</v>
      </c>
      <c r="E480" s="7" t="str">
        <f>'Reported burning'!E480</f>
        <v>Cropping, Swidden</v>
      </c>
      <c r="F480" s="7" t="str">
        <f>'Reported burning'!F480</f>
        <v>Secondary Vegetation</v>
      </c>
      <c r="G480" s="7" t="str">
        <f>'Reported burning'!G480</f>
        <v>ND</v>
      </c>
      <c r="H480" s="7" t="str">
        <f>'Reported burning'!H480</f>
        <v>Presence</v>
      </c>
      <c r="I480" s="12"/>
      <c r="J480" s="22" t="s">
        <v>2308</v>
      </c>
      <c r="K480" s="110" t="s">
        <v>2308</v>
      </c>
      <c r="L480" s="22" t="s">
        <v>2308</v>
      </c>
      <c r="M480" s="22" t="s">
        <v>2308</v>
      </c>
      <c r="N480" s="22" t="s">
        <v>2308</v>
      </c>
      <c r="O480" s="22" t="s">
        <v>2308</v>
      </c>
      <c r="P480" s="22" t="s">
        <v>2308</v>
      </c>
      <c r="Q480" s="109" t="s">
        <v>2308</v>
      </c>
      <c r="R480" s="109" t="s">
        <v>2308</v>
      </c>
      <c r="S480" s="22" t="s">
        <v>2308</v>
      </c>
      <c r="T480" s="22" t="s">
        <v>2308</v>
      </c>
      <c r="U480" s="22" t="s">
        <v>2308</v>
      </c>
      <c r="V480" s="22" t="s">
        <v>2308</v>
      </c>
      <c r="W480" s="22" t="s">
        <v>2308</v>
      </c>
      <c r="X480" s="4" t="s">
        <v>681</v>
      </c>
      <c r="Y480" s="4" t="s">
        <v>38</v>
      </c>
      <c r="Z480" s="4" t="s">
        <v>64</v>
      </c>
      <c r="AA480" s="20" t="s">
        <v>2052</v>
      </c>
      <c r="AB480" s="4"/>
    </row>
    <row r="481" spans="1:28" ht="73.5" customHeight="1">
      <c r="A481" s="7" t="str">
        <f>'Reported burning'!A481</f>
        <v>42a</v>
      </c>
      <c r="B481" s="7" t="str">
        <f>'Reported burning'!B481</f>
        <v>42a.1</v>
      </c>
      <c r="C481" s="7" t="str">
        <f>'Reported burning'!C481</f>
        <v>Human, deliberate</v>
      </c>
      <c r="D481" s="7" t="str">
        <f>'Reported burning'!D481</f>
        <v>Crop field preparation</v>
      </c>
      <c r="E481" s="7" t="str">
        <f>'Reported burning'!E481</f>
        <v>Cropping, Swidden</v>
      </c>
      <c r="F481" s="7" t="str">
        <f>'Reported burning'!F481</f>
        <v>Cropland</v>
      </c>
      <c r="G481" s="7" t="str">
        <f>'Reported burning'!G481</f>
        <v>ND</v>
      </c>
      <c r="H481" s="7" t="str">
        <f>'Reported burning'!H481</f>
        <v>Presence</v>
      </c>
      <c r="I481" s="4"/>
      <c r="J481" s="22" t="s">
        <v>2308</v>
      </c>
      <c r="K481" s="110" t="s">
        <v>2308</v>
      </c>
      <c r="L481" s="22" t="s">
        <v>2308</v>
      </c>
      <c r="M481" s="22" t="s">
        <v>2308</v>
      </c>
      <c r="N481" s="22" t="s">
        <v>2308</v>
      </c>
      <c r="O481" s="22" t="s">
        <v>2308</v>
      </c>
      <c r="P481" s="22" t="s">
        <v>2308</v>
      </c>
      <c r="Q481" s="109" t="s">
        <v>2308</v>
      </c>
      <c r="R481" s="109" t="s">
        <v>2308</v>
      </c>
      <c r="S481" s="22" t="s">
        <v>2408</v>
      </c>
      <c r="T481" s="22" t="s">
        <v>2308</v>
      </c>
      <c r="U481" s="22" t="s">
        <v>2308</v>
      </c>
      <c r="V481" s="22" t="s">
        <v>2308</v>
      </c>
      <c r="W481" s="22" t="s">
        <v>2308</v>
      </c>
      <c r="X481" s="4" t="s">
        <v>2308</v>
      </c>
      <c r="Y481" s="4" t="s">
        <v>2308</v>
      </c>
      <c r="Z481" s="4" t="s">
        <v>2308</v>
      </c>
      <c r="AA481" s="5" t="s">
        <v>764</v>
      </c>
      <c r="AB481" s="5" t="s">
        <v>2053</v>
      </c>
    </row>
    <row r="482" spans="1:28" ht="58.5" customHeight="1">
      <c r="A482" s="7" t="str">
        <f>'Reported burning'!A482</f>
        <v>42a</v>
      </c>
      <c r="B482" s="7" t="str">
        <f>'Reported burning'!B482</f>
        <v>42a.2</v>
      </c>
      <c r="C482" s="7" t="str">
        <f>'Reported burning'!C482</f>
        <v>Human, deliberate</v>
      </c>
      <c r="D482" s="7" t="str">
        <f>'Reported burning'!D482</f>
        <v>Crop field preparation</v>
      </c>
      <c r="E482" s="7" t="str">
        <f>'Reported burning'!E482</f>
        <v>Cropping, Monoculture, Subsistence-oriented</v>
      </c>
      <c r="F482" s="7" t="str">
        <f>'Reported burning'!F482</f>
        <v>Cropland</v>
      </c>
      <c r="G482" s="7" t="str">
        <f>'Reported burning'!G482</f>
        <v>ND</v>
      </c>
      <c r="H482" s="7" t="str">
        <f>'Reported burning'!H482</f>
        <v>Absence</v>
      </c>
      <c r="I482" s="4"/>
      <c r="J482" s="22" t="s">
        <v>2396</v>
      </c>
      <c r="K482" s="110" t="s">
        <v>2396</v>
      </c>
      <c r="L482" s="22" t="s">
        <v>2396</v>
      </c>
      <c r="M482" s="22" t="s">
        <v>2396</v>
      </c>
      <c r="N482" s="22" t="s">
        <v>2396</v>
      </c>
      <c r="O482" s="22" t="s">
        <v>2396</v>
      </c>
      <c r="P482" s="22" t="s">
        <v>2396</v>
      </c>
      <c r="Q482" s="109" t="s">
        <v>2308</v>
      </c>
      <c r="R482" s="109" t="s">
        <v>2308</v>
      </c>
      <c r="S482" s="22" t="s">
        <v>2396</v>
      </c>
      <c r="T482" s="22" t="s">
        <v>2396</v>
      </c>
      <c r="U482" s="22" t="s">
        <v>2396</v>
      </c>
      <c r="V482" s="22" t="s">
        <v>2396</v>
      </c>
      <c r="W482" s="22" t="s">
        <v>2308</v>
      </c>
      <c r="X482" s="4" t="s">
        <v>2308</v>
      </c>
      <c r="Y482" s="4" t="s">
        <v>2308</v>
      </c>
      <c r="Z482" s="4" t="s">
        <v>2308</v>
      </c>
      <c r="AA482" s="5" t="s">
        <v>720</v>
      </c>
      <c r="AB482" s="4"/>
    </row>
    <row r="483" spans="1:28" ht="77.5" customHeight="1">
      <c r="A483" s="7" t="str">
        <f>'Reported burning'!A483</f>
        <v>42b</v>
      </c>
      <c r="B483" s="7" t="str">
        <f>'Reported burning'!B483</f>
        <v>42b.1</v>
      </c>
      <c r="C483" s="7" t="str">
        <f>'Reported burning'!C483</f>
        <v>Human, deliberate</v>
      </c>
      <c r="D483" s="7" t="str">
        <f>'Reported burning'!D483</f>
        <v>Crop field preparation</v>
      </c>
      <c r="E483" s="7" t="str">
        <f>'Reported burning'!E483</f>
        <v>Cropping, Swidden</v>
      </c>
      <c r="F483" s="7" t="str">
        <f>'Reported burning'!F483</f>
        <v>Cropland</v>
      </c>
      <c r="G483" s="7" t="str">
        <f>'Reported burning'!G483</f>
        <v>ND</v>
      </c>
      <c r="H483" s="7" t="str">
        <f>'Reported burning'!H483</f>
        <v>Presence</v>
      </c>
      <c r="I483" s="4"/>
      <c r="J483" s="22" t="s">
        <v>2308</v>
      </c>
      <c r="K483" s="110" t="s">
        <v>2308</v>
      </c>
      <c r="L483" s="22" t="s">
        <v>2308</v>
      </c>
      <c r="M483" s="22" t="s">
        <v>2308</v>
      </c>
      <c r="N483" s="22" t="s">
        <v>2308</v>
      </c>
      <c r="O483" s="22" t="s">
        <v>2308</v>
      </c>
      <c r="P483" s="22" t="s">
        <v>2308</v>
      </c>
      <c r="Q483" s="109" t="s">
        <v>2308</v>
      </c>
      <c r="R483" s="109" t="s">
        <v>2308</v>
      </c>
      <c r="S483" s="22" t="s">
        <v>2408</v>
      </c>
      <c r="T483" s="22" t="s">
        <v>2308</v>
      </c>
      <c r="U483" s="22" t="s">
        <v>2308</v>
      </c>
      <c r="V483" s="22" t="s">
        <v>2308</v>
      </c>
      <c r="W483" s="22" t="s">
        <v>2308</v>
      </c>
      <c r="X483" s="4" t="s">
        <v>2308</v>
      </c>
      <c r="Y483" s="4" t="s">
        <v>2308</v>
      </c>
      <c r="Z483" s="4" t="s">
        <v>2308</v>
      </c>
      <c r="AA483" s="5" t="s">
        <v>764</v>
      </c>
      <c r="AB483" s="5" t="s">
        <v>2053</v>
      </c>
    </row>
    <row r="484" spans="1:28" ht="68" customHeight="1">
      <c r="A484" s="7" t="str">
        <f>'Reported burning'!A484</f>
        <v>42b</v>
      </c>
      <c r="B484" s="7" t="str">
        <f>'Reported burning'!B484</f>
        <v>42b.2</v>
      </c>
      <c r="C484" s="7" t="str">
        <f>'Reported burning'!C484</f>
        <v>Human, deliberate</v>
      </c>
      <c r="D484" s="7" t="str">
        <f>'Reported burning'!D484</f>
        <v>Crop field preparation</v>
      </c>
      <c r="E484" s="7" t="str">
        <f>'Reported burning'!E484</f>
        <v>Cropping, Monoculture, Subsistence-oriented</v>
      </c>
      <c r="F484" s="7" t="str">
        <f>'Reported burning'!F484</f>
        <v>Cropland</v>
      </c>
      <c r="G484" s="7" t="str">
        <f>'Reported burning'!G484</f>
        <v>ND</v>
      </c>
      <c r="H484" s="7" t="str">
        <f>'Reported burning'!H484</f>
        <v>Absence</v>
      </c>
      <c r="I484" s="4"/>
      <c r="J484" s="22" t="s">
        <v>2396</v>
      </c>
      <c r="K484" s="110" t="s">
        <v>2396</v>
      </c>
      <c r="L484" s="22" t="s">
        <v>2396</v>
      </c>
      <c r="M484" s="22" t="s">
        <v>2396</v>
      </c>
      <c r="N484" s="22" t="s">
        <v>2396</v>
      </c>
      <c r="O484" s="22" t="s">
        <v>2396</v>
      </c>
      <c r="P484" s="22" t="s">
        <v>2396</v>
      </c>
      <c r="Q484" s="109" t="s">
        <v>2308</v>
      </c>
      <c r="R484" s="109" t="s">
        <v>2308</v>
      </c>
      <c r="S484" s="22" t="s">
        <v>2396</v>
      </c>
      <c r="T484" s="22" t="s">
        <v>2396</v>
      </c>
      <c r="U484" s="22" t="s">
        <v>2396</v>
      </c>
      <c r="V484" s="22" t="s">
        <v>2396</v>
      </c>
      <c r="W484" s="80" t="s">
        <v>2308</v>
      </c>
      <c r="X484" s="4" t="s">
        <v>2308</v>
      </c>
      <c r="Y484" s="4" t="s">
        <v>2308</v>
      </c>
      <c r="Z484" s="4" t="s">
        <v>2308</v>
      </c>
      <c r="AA484" s="5" t="s">
        <v>720</v>
      </c>
      <c r="AB484" s="4"/>
    </row>
    <row r="485" spans="1:28" ht="73" customHeight="1">
      <c r="A485" s="7" t="str">
        <f>'Reported burning'!A485</f>
        <v>42c</v>
      </c>
      <c r="B485" s="7" t="str">
        <f>'Reported burning'!B485</f>
        <v>42c.1</v>
      </c>
      <c r="C485" s="7" t="str">
        <f>'Reported burning'!C485</f>
        <v>Human, deliberate</v>
      </c>
      <c r="D485" s="7" t="str">
        <f>'Reported burning'!D485</f>
        <v>Crop field preparation</v>
      </c>
      <c r="E485" s="7" t="str">
        <f>'Reported burning'!E485</f>
        <v>Cropping, Swidden</v>
      </c>
      <c r="F485" s="7" t="str">
        <f>'Reported burning'!F485</f>
        <v>Cropland</v>
      </c>
      <c r="G485" s="7" t="str">
        <f>'Reported burning'!G485</f>
        <v>ND</v>
      </c>
      <c r="H485" s="7" t="str">
        <f>'Reported burning'!H485</f>
        <v>Presence</v>
      </c>
      <c r="I485" s="4"/>
      <c r="J485" s="22" t="s">
        <v>2308</v>
      </c>
      <c r="K485" s="110" t="s">
        <v>2308</v>
      </c>
      <c r="L485" s="22" t="s">
        <v>2308</v>
      </c>
      <c r="M485" s="22" t="s">
        <v>2308</v>
      </c>
      <c r="N485" s="22" t="s">
        <v>2308</v>
      </c>
      <c r="O485" s="22" t="s">
        <v>2308</v>
      </c>
      <c r="P485" s="22" t="s">
        <v>2308</v>
      </c>
      <c r="Q485" s="109" t="s">
        <v>2308</v>
      </c>
      <c r="R485" s="109" t="s">
        <v>2308</v>
      </c>
      <c r="S485" s="22" t="s">
        <v>2408</v>
      </c>
      <c r="T485" s="22" t="s">
        <v>2308</v>
      </c>
      <c r="U485" s="22" t="s">
        <v>2308</v>
      </c>
      <c r="V485" s="22" t="s">
        <v>2308</v>
      </c>
      <c r="W485" s="22" t="s">
        <v>2308</v>
      </c>
      <c r="X485" s="4" t="s">
        <v>2308</v>
      </c>
      <c r="Y485" s="4" t="s">
        <v>2308</v>
      </c>
      <c r="Z485" s="4" t="s">
        <v>2308</v>
      </c>
      <c r="AA485" s="5" t="s">
        <v>764</v>
      </c>
      <c r="AB485" s="5" t="s">
        <v>2053</v>
      </c>
    </row>
    <row r="486" spans="1:28" ht="70" customHeight="1">
      <c r="A486" s="7" t="str">
        <f>'Reported burning'!A486</f>
        <v>42c</v>
      </c>
      <c r="B486" s="7" t="str">
        <f>'Reported burning'!B486</f>
        <v>42c.2</v>
      </c>
      <c r="C486" s="7" t="str">
        <f>'Reported burning'!C486</f>
        <v>Human, deliberate</v>
      </c>
      <c r="D486" s="7" t="str">
        <f>'Reported burning'!D486</f>
        <v>Crop field preparation</v>
      </c>
      <c r="E486" s="7" t="str">
        <f>'Reported burning'!E486</f>
        <v>Cropping, Monoculture, Subsistence-oriented</v>
      </c>
      <c r="F486" s="7" t="str">
        <f>'Reported burning'!F486</f>
        <v>Cropland</v>
      </c>
      <c r="G486" s="7" t="str">
        <f>'Reported burning'!G486</f>
        <v>ND</v>
      </c>
      <c r="H486" s="7" t="str">
        <f>'Reported burning'!H486</f>
        <v>Absence</v>
      </c>
      <c r="I486" s="4"/>
      <c r="J486" s="22" t="s">
        <v>2396</v>
      </c>
      <c r="K486" s="110" t="s">
        <v>2396</v>
      </c>
      <c r="L486" s="22" t="s">
        <v>2396</v>
      </c>
      <c r="M486" s="22" t="s">
        <v>2396</v>
      </c>
      <c r="N486" s="22" t="s">
        <v>2396</v>
      </c>
      <c r="O486" s="22" t="s">
        <v>2396</v>
      </c>
      <c r="P486" s="22" t="s">
        <v>2396</v>
      </c>
      <c r="Q486" s="109" t="s">
        <v>2308</v>
      </c>
      <c r="R486" s="109" t="s">
        <v>2308</v>
      </c>
      <c r="S486" s="22" t="s">
        <v>2396</v>
      </c>
      <c r="T486" s="22" t="s">
        <v>2396</v>
      </c>
      <c r="U486" s="22" t="s">
        <v>2396</v>
      </c>
      <c r="V486" s="22" t="s">
        <v>2396</v>
      </c>
      <c r="W486" s="80" t="s">
        <v>2308</v>
      </c>
      <c r="X486" s="4" t="s">
        <v>2308</v>
      </c>
      <c r="Y486" s="4" t="s">
        <v>2308</v>
      </c>
      <c r="Z486" s="4" t="s">
        <v>2308</v>
      </c>
      <c r="AA486" s="5" t="s">
        <v>720</v>
      </c>
      <c r="AB486" s="4"/>
    </row>
    <row r="487" spans="1:28" ht="75" customHeight="1">
      <c r="A487" s="7" t="str">
        <f>'Reported burning'!A487</f>
        <v>42d</v>
      </c>
      <c r="B487" s="7" t="str">
        <f>'Reported burning'!B487</f>
        <v>42d.1</v>
      </c>
      <c r="C487" s="7" t="str">
        <f>'Reported burning'!C487</f>
        <v>Human, deliberate</v>
      </c>
      <c r="D487" s="7" t="str">
        <f>'Reported burning'!D487</f>
        <v>Crop field preparation</v>
      </c>
      <c r="E487" s="7" t="str">
        <f>'Reported burning'!E487</f>
        <v>Cropping, Swidden</v>
      </c>
      <c r="F487" s="7" t="str">
        <f>'Reported burning'!F487</f>
        <v>Secondary Vegetation</v>
      </c>
      <c r="G487" s="7" t="str">
        <f>'Reported burning'!G487</f>
        <v>ND</v>
      </c>
      <c r="H487" s="7" t="str">
        <f>'Reported burning'!H487</f>
        <v>Presence</v>
      </c>
      <c r="I487" s="4"/>
      <c r="J487" s="22" t="s">
        <v>2308</v>
      </c>
      <c r="K487" s="110" t="s">
        <v>2308</v>
      </c>
      <c r="L487" s="22" t="s">
        <v>2308</v>
      </c>
      <c r="M487" s="22" t="s">
        <v>2308</v>
      </c>
      <c r="N487" s="22" t="s">
        <v>2308</v>
      </c>
      <c r="O487" s="22" t="s">
        <v>2308</v>
      </c>
      <c r="P487" s="22" t="s">
        <v>2308</v>
      </c>
      <c r="Q487" s="109" t="s">
        <v>2308</v>
      </c>
      <c r="R487" s="109" t="s">
        <v>2308</v>
      </c>
      <c r="S487" s="22" t="s">
        <v>2406</v>
      </c>
      <c r="T487" s="22" t="s">
        <v>2308</v>
      </c>
      <c r="U487" s="22" t="s">
        <v>2308</v>
      </c>
      <c r="V487" s="22" t="s">
        <v>2308</v>
      </c>
      <c r="W487" s="80" t="s">
        <v>2435</v>
      </c>
      <c r="X487" s="4" t="s">
        <v>2308</v>
      </c>
      <c r="Y487" s="4" t="s">
        <v>2308</v>
      </c>
      <c r="Z487" s="4" t="s">
        <v>2308</v>
      </c>
      <c r="AA487" s="4" t="s">
        <v>728</v>
      </c>
      <c r="AB487" s="5" t="s">
        <v>2054</v>
      </c>
    </row>
    <row r="488" spans="1:28" ht="65" customHeight="1">
      <c r="A488" s="7" t="str">
        <f>'Reported burning'!A488</f>
        <v>42d</v>
      </c>
      <c r="B488" s="7" t="str">
        <f>'Reported burning'!B488</f>
        <v>42d.2</v>
      </c>
      <c r="C488" s="7" t="str">
        <f>'Reported burning'!C488</f>
        <v>Human, deliberate</v>
      </c>
      <c r="D488" s="7" t="str">
        <f>'Reported burning'!D488</f>
        <v>Crop field preparation</v>
      </c>
      <c r="E488" s="7" t="str">
        <f>'Reported burning'!E488</f>
        <v>Cropping, Monoculture, Subsistence-oriented</v>
      </c>
      <c r="F488" s="7" t="str">
        <f>'Reported burning'!F488</f>
        <v>Cropland</v>
      </c>
      <c r="G488" s="7" t="str">
        <f>'Reported burning'!G488</f>
        <v>ND</v>
      </c>
      <c r="H488" s="7" t="str">
        <f>'Reported burning'!H488</f>
        <v>Absence</v>
      </c>
      <c r="I488" s="4"/>
      <c r="J488" s="22" t="s">
        <v>2396</v>
      </c>
      <c r="K488" s="110" t="s">
        <v>2396</v>
      </c>
      <c r="L488" s="22" t="s">
        <v>2396</v>
      </c>
      <c r="M488" s="22" t="s">
        <v>2396</v>
      </c>
      <c r="N488" s="22" t="s">
        <v>2396</v>
      </c>
      <c r="O488" s="22" t="s">
        <v>2396</v>
      </c>
      <c r="P488" s="22" t="s">
        <v>2396</v>
      </c>
      <c r="Q488" s="109" t="s">
        <v>2308</v>
      </c>
      <c r="R488" s="109" t="s">
        <v>2308</v>
      </c>
      <c r="S488" s="22" t="s">
        <v>2396</v>
      </c>
      <c r="T488" s="22" t="s">
        <v>2396</v>
      </c>
      <c r="U488" s="22" t="s">
        <v>2396</v>
      </c>
      <c r="V488" s="22" t="s">
        <v>2396</v>
      </c>
      <c r="W488" s="80" t="s">
        <v>2308</v>
      </c>
      <c r="X488" s="4" t="s">
        <v>2308</v>
      </c>
      <c r="Y488" s="4" t="s">
        <v>2308</v>
      </c>
      <c r="Z488" s="4" t="s">
        <v>2308</v>
      </c>
      <c r="AA488" s="4" t="s">
        <v>756</v>
      </c>
      <c r="AB488" s="4"/>
    </row>
    <row r="489" spans="1:28" ht="64" customHeight="1">
      <c r="A489" s="7" t="str">
        <f>'Reported burning'!A489</f>
        <v>42e</v>
      </c>
      <c r="B489" s="7" t="str">
        <f>'Reported burning'!B489</f>
        <v>42e.1</v>
      </c>
      <c r="C489" s="7" t="str">
        <f>'Reported burning'!C489</f>
        <v>Human, deliberate</v>
      </c>
      <c r="D489" s="7" t="str">
        <f>'Reported burning'!D489</f>
        <v>Crop field preparation</v>
      </c>
      <c r="E489" s="7" t="str">
        <f>'Reported burning'!E489</f>
        <v>Cropping, Swidden</v>
      </c>
      <c r="F489" s="7" t="str">
        <f>'Reported burning'!F489</f>
        <v>Secondary Vegetation</v>
      </c>
      <c r="G489" s="7" t="str">
        <f>'Reported burning'!G489</f>
        <v>ND</v>
      </c>
      <c r="H489" s="7" t="str">
        <f>'Reported burning'!H489</f>
        <v>Presence</v>
      </c>
      <c r="I489" s="4"/>
      <c r="J489" s="22" t="s">
        <v>2308</v>
      </c>
      <c r="K489" s="110" t="s">
        <v>2308</v>
      </c>
      <c r="L489" s="22" t="s">
        <v>2308</v>
      </c>
      <c r="M489" s="22" t="s">
        <v>2308</v>
      </c>
      <c r="N489" s="22" t="s">
        <v>2308</v>
      </c>
      <c r="O489" s="22" t="s">
        <v>2308</v>
      </c>
      <c r="P489" s="22" t="s">
        <v>2308</v>
      </c>
      <c r="Q489" s="109" t="s">
        <v>2308</v>
      </c>
      <c r="R489" s="109" t="s">
        <v>2308</v>
      </c>
      <c r="S489" s="22" t="s">
        <v>2406</v>
      </c>
      <c r="T489" s="22" t="s">
        <v>2308</v>
      </c>
      <c r="U489" s="22" t="s">
        <v>2308</v>
      </c>
      <c r="V489" s="22" t="s">
        <v>2308</v>
      </c>
      <c r="W489" s="22" t="s">
        <v>2435</v>
      </c>
      <c r="X489" s="4" t="s">
        <v>2308</v>
      </c>
      <c r="Y489" s="4" t="s">
        <v>2308</v>
      </c>
      <c r="Z489" s="4" t="s">
        <v>2308</v>
      </c>
      <c r="AA489" s="4" t="s">
        <v>728</v>
      </c>
      <c r="AB489" s="5" t="s">
        <v>2054</v>
      </c>
    </row>
    <row r="490" spans="1:28" ht="60" customHeight="1">
      <c r="A490" s="7" t="str">
        <f>'Reported burning'!A490</f>
        <v>42e</v>
      </c>
      <c r="B490" s="7" t="str">
        <f>'Reported burning'!B490</f>
        <v>42e.2</v>
      </c>
      <c r="C490" s="7" t="str">
        <f>'Reported burning'!C490</f>
        <v>Human, deliberate</v>
      </c>
      <c r="D490" s="7" t="str">
        <f>'Reported burning'!D490</f>
        <v>Crop field preparation</v>
      </c>
      <c r="E490" s="7" t="str">
        <f>'Reported burning'!E490</f>
        <v>Cropping, Monoculture, Subsistence-oriented</v>
      </c>
      <c r="F490" s="7" t="str">
        <f>'Reported burning'!F490</f>
        <v>Cropland</v>
      </c>
      <c r="G490" s="7" t="str">
        <f>'Reported burning'!G490</f>
        <v>ND</v>
      </c>
      <c r="H490" s="7" t="str">
        <f>'Reported burning'!H490</f>
        <v>Absence</v>
      </c>
      <c r="I490" s="4"/>
      <c r="J490" s="22" t="s">
        <v>2396</v>
      </c>
      <c r="K490" s="110" t="s">
        <v>2396</v>
      </c>
      <c r="L490" s="22" t="s">
        <v>2396</v>
      </c>
      <c r="M490" s="22" t="s">
        <v>2396</v>
      </c>
      <c r="N490" s="22" t="s">
        <v>2396</v>
      </c>
      <c r="O490" s="22" t="s">
        <v>2396</v>
      </c>
      <c r="P490" s="22" t="s">
        <v>2396</v>
      </c>
      <c r="Q490" s="109" t="s">
        <v>2308</v>
      </c>
      <c r="R490" s="109" t="s">
        <v>2308</v>
      </c>
      <c r="S490" s="22" t="s">
        <v>2396</v>
      </c>
      <c r="T490" s="22" t="s">
        <v>2396</v>
      </c>
      <c r="U490" s="22" t="s">
        <v>2396</v>
      </c>
      <c r="V490" s="22" t="s">
        <v>2396</v>
      </c>
      <c r="W490" s="22" t="s">
        <v>2308</v>
      </c>
      <c r="X490" s="4" t="s">
        <v>2308</v>
      </c>
      <c r="Y490" s="4" t="s">
        <v>2308</v>
      </c>
      <c r="Z490" s="4" t="s">
        <v>2308</v>
      </c>
      <c r="AA490" s="4" t="s">
        <v>756</v>
      </c>
      <c r="AB490" s="4"/>
    </row>
    <row r="491" spans="1:28" ht="78.5" customHeight="1">
      <c r="A491" s="7" t="str">
        <f>'Reported burning'!A491</f>
        <v>42f</v>
      </c>
      <c r="B491" s="7" t="str">
        <f>'Reported burning'!B491</f>
        <v>42f.1</v>
      </c>
      <c r="C491" s="7" t="str">
        <f>'Reported burning'!C491</f>
        <v>Human, deliberate</v>
      </c>
      <c r="D491" s="7" t="str">
        <f>'Reported burning'!D491</f>
        <v>Crop field preparation</v>
      </c>
      <c r="E491" s="7" t="str">
        <f>'Reported burning'!E491</f>
        <v>Cropping, Swidden</v>
      </c>
      <c r="F491" s="7" t="str">
        <f>'Reported burning'!F491</f>
        <v>Secondary Vegetation</v>
      </c>
      <c r="G491" s="7" t="str">
        <f>'Reported burning'!G491</f>
        <v>ND</v>
      </c>
      <c r="H491" s="7" t="str">
        <f>'Reported burning'!H491</f>
        <v>Presence</v>
      </c>
      <c r="I491" s="4"/>
      <c r="J491" s="22" t="s">
        <v>2308</v>
      </c>
      <c r="K491" s="110" t="s">
        <v>2308</v>
      </c>
      <c r="L491" s="22" t="s">
        <v>2308</v>
      </c>
      <c r="M491" s="22" t="s">
        <v>2308</v>
      </c>
      <c r="N491" s="22" t="s">
        <v>2308</v>
      </c>
      <c r="O491" s="22" t="s">
        <v>2308</v>
      </c>
      <c r="P491" s="22" t="s">
        <v>2308</v>
      </c>
      <c r="Q491" s="109" t="s">
        <v>2308</v>
      </c>
      <c r="R491" s="109" t="s">
        <v>2308</v>
      </c>
      <c r="S491" s="22" t="s">
        <v>2406</v>
      </c>
      <c r="T491" s="22" t="s">
        <v>2308</v>
      </c>
      <c r="U491" s="22" t="s">
        <v>2308</v>
      </c>
      <c r="V491" s="22" t="s">
        <v>2308</v>
      </c>
      <c r="W491" s="22" t="s">
        <v>2435</v>
      </c>
      <c r="X491" s="4" t="s">
        <v>2308</v>
      </c>
      <c r="Y491" s="4" t="s">
        <v>2308</v>
      </c>
      <c r="Z491" s="4" t="s">
        <v>2308</v>
      </c>
      <c r="AA491" s="4" t="s">
        <v>728</v>
      </c>
      <c r="AB491" s="5" t="s">
        <v>2054</v>
      </c>
    </row>
    <row r="492" spans="1:28" ht="57" customHeight="1">
      <c r="A492" s="7" t="str">
        <f>'Reported burning'!A492</f>
        <v>42f</v>
      </c>
      <c r="B492" s="7" t="str">
        <f>'Reported burning'!B492</f>
        <v>42f.2</v>
      </c>
      <c r="C492" s="7" t="str">
        <f>'Reported burning'!C492</f>
        <v>Human, deliberate</v>
      </c>
      <c r="D492" s="7" t="str">
        <f>'Reported burning'!D492</f>
        <v>Crop field preparation</v>
      </c>
      <c r="E492" s="7" t="str">
        <f>'Reported burning'!E492</f>
        <v>Cropping, Monoculture, Subsistence-oriented</v>
      </c>
      <c r="F492" s="7" t="str">
        <f>'Reported burning'!F492</f>
        <v>Cropland</v>
      </c>
      <c r="G492" s="7" t="str">
        <f>'Reported burning'!G492</f>
        <v>ND</v>
      </c>
      <c r="H492" s="7" t="str">
        <f>'Reported burning'!H492</f>
        <v>Absence</v>
      </c>
      <c r="I492" s="4"/>
      <c r="J492" s="22" t="s">
        <v>2396</v>
      </c>
      <c r="K492" s="110" t="s">
        <v>2396</v>
      </c>
      <c r="L492" s="22" t="s">
        <v>2396</v>
      </c>
      <c r="M492" s="22" t="s">
        <v>2396</v>
      </c>
      <c r="N492" s="22" t="s">
        <v>2396</v>
      </c>
      <c r="O492" s="22" t="s">
        <v>2396</v>
      </c>
      <c r="P492" s="22" t="s">
        <v>2396</v>
      </c>
      <c r="Q492" s="109" t="s">
        <v>2308</v>
      </c>
      <c r="R492" s="109" t="s">
        <v>2308</v>
      </c>
      <c r="S492" s="22" t="s">
        <v>2396</v>
      </c>
      <c r="T492" s="22" t="s">
        <v>2396</v>
      </c>
      <c r="U492" s="22" t="s">
        <v>2396</v>
      </c>
      <c r="V492" s="22" t="s">
        <v>2396</v>
      </c>
      <c r="W492" s="22" t="s">
        <v>2308</v>
      </c>
      <c r="X492" s="4" t="s">
        <v>2308</v>
      </c>
      <c r="Y492" s="4" t="s">
        <v>2308</v>
      </c>
      <c r="Z492" s="4" t="s">
        <v>2308</v>
      </c>
      <c r="AA492" s="4" t="s">
        <v>756</v>
      </c>
      <c r="AB492" s="4"/>
    </row>
    <row r="493" spans="1:28" ht="57" customHeight="1">
      <c r="A493" s="7" t="str">
        <f>'Reported burning'!A493</f>
        <v>42g</v>
      </c>
      <c r="B493" s="7" t="str">
        <f>'Reported burning'!B493</f>
        <v>42g.1</v>
      </c>
      <c r="C493" s="7" t="str">
        <f>'Reported burning'!C493</f>
        <v>Human, deliberate</v>
      </c>
      <c r="D493" s="7" t="str">
        <f>'Reported burning'!D493</f>
        <v>Crop field preparation</v>
      </c>
      <c r="E493" s="7" t="str">
        <f>'Reported burning'!E493</f>
        <v>Cropping, Swidden</v>
      </c>
      <c r="F493" s="7" t="str">
        <f>'Reported burning'!F493</f>
        <v>Cropland</v>
      </c>
      <c r="G493" s="7" t="str">
        <f>'Reported burning'!G493</f>
        <v>ND</v>
      </c>
      <c r="H493" s="7" t="str">
        <f>'Reported burning'!H493</f>
        <v>Presence</v>
      </c>
      <c r="I493" s="4"/>
      <c r="J493" s="22" t="s">
        <v>2308</v>
      </c>
      <c r="K493" s="110" t="s">
        <v>2308</v>
      </c>
      <c r="L493" s="22" t="s">
        <v>2308</v>
      </c>
      <c r="M493" s="22" t="s">
        <v>2308</v>
      </c>
      <c r="N493" s="22" t="s">
        <v>2308</v>
      </c>
      <c r="O493" s="22" t="s">
        <v>2308</v>
      </c>
      <c r="P493" s="22" t="s">
        <v>2308</v>
      </c>
      <c r="Q493" s="109" t="s">
        <v>2308</v>
      </c>
      <c r="R493" s="109" t="s">
        <v>2308</v>
      </c>
      <c r="S493" s="22" t="s">
        <v>2408</v>
      </c>
      <c r="T493" s="22" t="s">
        <v>2308</v>
      </c>
      <c r="U493" s="22" t="s">
        <v>2308</v>
      </c>
      <c r="V493" s="22" t="s">
        <v>2308</v>
      </c>
      <c r="W493" s="22" t="s">
        <v>2308</v>
      </c>
      <c r="X493" s="4" t="s">
        <v>2308</v>
      </c>
      <c r="Y493" s="4" t="s">
        <v>2308</v>
      </c>
      <c r="Z493" s="4" t="s">
        <v>2308</v>
      </c>
      <c r="AA493" s="5" t="s">
        <v>764</v>
      </c>
      <c r="AB493" s="5" t="s">
        <v>2053</v>
      </c>
    </row>
    <row r="494" spans="1:28" ht="57" customHeight="1">
      <c r="A494" s="7" t="str">
        <f>'Reported burning'!A494</f>
        <v>42g</v>
      </c>
      <c r="B494" s="7" t="str">
        <f>'Reported burning'!B494</f>
        <v>42g.2</v>
      </c>
      <c r="C494" s="7" t="str">
        <f>'Reported burning'!C494</f>
        <v>Human, deliberate</v>
      </c>
      <c r="D494" s="7" t="str">
        <f>'Reported burning'!D494</f>
        <v>Crop field preparation</v>
      </c>
      <c r="E494" s="7" t="str">
        <f>'Reported burning'!E494</f>
        <v>Cropping, Monoculture, Subsistence-oriented</v>
      </c>
      <c r="F494" s="7" t="str">
        <f>'Reported burning'!F494</f>
        <v>Cropland</v>
      </c>
      <c r="G494" s="7" t="str">
        <f>'Reported burning'!G494</f>
        <v>ND</v>
      </c>
      <c r="H494" s="7" t="str">
        <f>'Reported burning'!H494</f>
        <v>Absence</v>
      </c>
      <c r="I494" s="4"/>
      <c r="J494" s="22" t="s">
        <v>2396</v>
      </c>
      <c r="K494" s="110" t="s">
        <v>2396</v>
      </c>
      <c r="L494" s="22" t="s">
        <v>2396</v>
      </c>
      <c r="M494" s="22" t="s">
        <v>2396</v>
      </c>
      <c r="N494" s="22" t="s">
        <v>2396</v>
      </c>
      <c r="O494" s="22" t="s">
        <v>2396</v>
      </c>
      <c r="P494" s="22" t="s">
        <v>2396</v>
      </c>
      <c r="Q494" s="109" t="s">
        <v>2308</v>
      </c>
      <c r="R494" s="109" t="s">
        <v>2308</v>
      </c>
      <c r="S494" s="22" t="s">
        <v>2396</v>
      </c>
      <c r="T494" s="22" t="s">
        <v>2396</v>
      </c>
      <c r="U494" s="22" t="s">
        <v>2396</v>
      </c>
      <c r="V494" s="22" t="s">
        <v>2396</v>
      </c>
      <c r="W494" s="22" t="s">
        <v>2308</v>
      </c>
      <c r="X494" s="4" t="s">
        <v>2308</v>
      </c>
      <c r="Y494" s="4" t="s">
        <v>2308</v>
      </c>
      <c r="Z494" s="4" t="s">
        <v>2308</v>
      </c>
      <c r="AA494" s="5" t="s">
        <v>720</v>
      </c>
      <c r="AB494" s="4"/>
    </row>
    <row r="495" spans="1:28" ht="57" customHeight="1">
      <c r="A495" s="7" t="str">
        <f>'Reported burning'!A495</f>
        <v>42h</v>
      </c>
      <c r="B495" s="7" t="str">
        <f>'Reported burning'!B495</f>
        <v>42h.1</v>
      </c>
      <c r="C495" s="7" t="str">
        <f>'Reported burning'!C495</f>
        <v>Human, deliberate</v>
      </c>
      <c r="D495" s="7" t="str">
        <f>'Reported burning'!D495</f>
        <v>Crop field preparation</v>
      </c>
      <c r="E495" s="7" t="str">
        <f>'Reported burning'!E495</f>
        <v>Cropping, Swidden</v>
      </c>
      <c r="F495" s="7" t="str">
        <f>'Reported burning'!F495</f>
        <v>Cropland</v>
      </c>
      <c r="G495" s="7" t="str">
        <f>'Reported burning'!G495</f>
        <v>ND</v>
      </c>
      <c r="H495" s="7" t="str">
        <f>'Reported burning'!H495</f>
        <v>Presence</v>
      </c>
      <c r="I495" s="4"/>
      <c r="J495" s="22" t="s">
        <v>2308</v>
      </c>
      <c r="K495" s="110" t="s">
        <v>2308</v>
      </c>
      <c r="L495" s="22" t="s">
        <v>2308</v>
      </c>
      <c r="M495" s="22" t="s">
        <v>2308</v>
      </c>
      <c r="N495" s="22" t="s">
        <v>2308</v>
      </c>
      <c r="O495" s="22" t="s">
        <v>2308</v>
      </c>
      <c r="P495" s="22" t="s">
        <v>2308</v>
      </c>
      <c r="Q495" s="109" t="s">
        <v>2308</v>
      </c>
      <c r="R495" s="109" t="s">
        <v>2308</v>
      </c>
      <c r="S495" s="22" t="s">
        <v>2408</v>
      </c>
      <c r="T495" s="22" t="s">
        <v>2308</v>
      </c>
      <c r="U495" s="22" t="s">
        <v>2308</v>
      </c>
      <c r="V495" s="22" t="s">
        <v>2308</v>
      </c>
      <c r="W495" s="22" t="s">
        <v>2308</v>
      </c>
      <c r="X495" s="4" t="s">
        <v>2308</v>
      </c>
      <c r="Y495" s="4" t="s">
        <v>2308</v>
      </c>
      <c r="Z495" s="4" t="s">
        <v>2308</v>
      </c>
      <c r="AA495" s="5" t="s">
        <v>764</v>
      </c>
      <c r="AB495" s="5" t="s">
        <v>2053</v>
      </c>
    </row>
    <row r="496" spans="1:28" ht="57" customHeight="1">
      <c r="A496" s="7" t="str">
        <f>'Reported burning'!A496</f>
        <v>42h</v>
      </c>
      <c r="B496" s="7" t="str">
        <f>'Reported burning'!B496</f>
        <v>42h.2</v>
      </c>
      <c r="C496" s="7" t="str">
        <f>'Reported burning'!C496</f>
        <v>Human, deliberate</v>
      </c>
      <c r="D496" s="7" t="str">
        <f>'Reported burning'!D496</f>
        <v>Crop field preparation</v>
      </c>
      <c r="E496" s="7" t="str">
        <f>'Reported burning'!E496</f>
        <v>Cropping, Monoculture, Subsistence-oriented</v>
      </c>
      <c r="F496" s="7" t="str">
        <f>'Reported burning'!F496</f>
        <v>Cropland</v>
      </c>
      <c r="G496" s="7" t="str">
        <f>'Reported burning'!G496</f>
        <v>ND</v>
      </c>
      <c r="H496" s="7" t="str">
        <f>'Reported burning'!H496</f>
        <v>Absence</v>
      </c>
      <c r="I496" s="4"/>
      <c r="J496" s="22" t="s">
        <v>2396</v>
      </c>
      <c r="K496" s="110" t="s">
        <v>2396</v>
      </c>
      <c r="L496" s="22" t="s">
        <v>2396</v>
      </c>
      <c r="M496" s="22" t="s">
        <v>2396</v>
      </c>
      <c r="N496" s="22" t="s">
        <v>2396</v>
      </c>
      <c r="O496" s="22" t="s">
        <v>2396</v>
      </c>
      <c r="P496" s="22" t="s">
        <v>2396</v>
      </c>
      <c r="Q496" s="109" t="s">
        <v>2308</v>
      </c>
      <c r="R496" s="109" t="s">
        <v>2308</v>
      </c>
      <c r="S496" s="22" t="s">
        <v>2396</v>
      </c>
      <c r="T496" s="22" t="s">
        <v>2396</v>
      </c>
      <c r="U496" s="22" t="s">
        <v>2396</v>
      </c>
      <c r="V496" s="22" t="s">
        <v>2396</v>
      </c>
      <c r="W496" s="22" t="s">
        <v>2308</v>
      </c>
      <c r="X496" s="4" t="s">
        <v>2308</v>
      </c>
      <c r="Y496" s="4" t="s">
        <v>2308</v>
      </c>
      <c r="Z496" s="4" t="s">
        <v>2308</v>
      </c>
      <c r="AA496" s="5" t="s">
        <v>720</v>
      </c>
      <c r="AB496" s="4"/>
    </row>
    <row r="497" spans="1:28" ht="57" customHeight="1">
      <c r="A497" s="7" t="str">
        <f>'Reported burning'!A497</f>
        <v>42i</v>
      </c>
      <c r="B497" s="7" t="str">
        <f>'Reported burning'!B497</f>
        <v>42i.1</v>
      </c>
      <c r="C497" s="7" t="str">
        <f>'Reported burning'!C497</f>
        <v>Human, deliberate</v>
      </c>
      <c r="D497" s="7" t="str">
        <f>'Reported burning'!D497</f>
        <v>Crop field preparation</v>
      </c>
      <c r="E497" s="7" t="str">
        <f>'Reported burning'!E497</f>
        <v>Cropping, Swidden</v>
      </c>
      <c r="F497" s="7" t="str">
        <f>'Reported burning'!F497</f>
        <v>Cropland</v>
      </c>
      <c r="G497" s="7" t="str">
        <f>'Reported burning'!G497</f>
        <v>ND</v>
      </c>
      <c r="H497" s="7" t="str">
        <f>'Reported burning'!H497</f>
        <v>Presence</v>
      </c>
      <c r="I497" s="4"/>
      <c r="J497" s="22" t="s">
        <v>2308</v>
      </c>
      <c r="K497" s="110" t="s">
        <v>2308</v>
      </c>
      <c r="L497" s="22" t="s">
        <v>2308</v>
      </c>
      <c r="M497" s="22" t="s">
        <v>2308</v>
      </c>
      <c r="N497" s="22" t="s">
        <v>2308</v>
      </c>
      <c r="O497" s="22" t="s">
        <v>2308</v>
      </c>
      <c r="P497" s="22" t="s">
        <v>2308</v>
      </c>
      <c r="Q497" s="109" t="s">
        <v>2308</v>
      </c>
      <c r="R497" s="109" t="s">
        <v>2308</v>
      </c>
      <c r="S497" s="22" t="s">
        <v>2408</v>
      </c>
      <c r="T497" s="22" t="s">
        <v>2308</v>
      </c>
      <c r="U497" s="22" t="s">
        <v>2308</v>
      </c>
      <c r="V497" s="22" t="s">
        <v>2308</v>
      </c>
      <c r="W497" s="22" t="s">
        <v>2308</v>
      </c>
      <c r="X497" s="4" t="s">
        <v>2308</v>
      </c>
      <c r="Y497" s="4" t="s">
        <v>2308</v>
      </c>
      <c r="Z497" s="4" t="s">
        <v>2308</v>
      </c>
      <c r="AA497" s="5" t="s">
        <v>764</v>
      </c>
      <c r="AB497" s="5" t="s">
        <v>2053</v>
      </c>
    </row>
    <row r="498" spans="1:28" ht="57" customHeight="1">
      <c r="A498" s="7" t="str">
        <f>'Reported burning'!A498</f>
        <v>42i</v>
      </c>
      <c r="B498" s="7" t="str">
        <f>'Reported burning'!B498</f>
        <v>42i.2</v>
      </c>
      <c r="C498" s="7" t="str">
        <f>'Reported burning'!C498</f>
        <v>Human, deliberate</v>
      </c>
      <c r="D498" s="7" t="str">
        <f>'Reported burning'!D498</f>
        <v>Crop field preparation</v>
      </c>
      <c r="E498" s="7" t="str">
        <f>'Reported burning'!E498</f>
        <v>Cropping, Monoculture, Subsistence-oriented</v>
      </c>
      <c r="F498" s="7" t="str">
        <f>'Reported burning'!F498</f>
        <v>Cropland</v>
      </c>
      <c r="G498" s="7" t="str">
        <f>'Reported burning'!G498</f>
        <v>ND</v>
      </c>
      <c r="H498" s="7" t="str">
        <f>'Reported burning'!H498</f>
        <v>Absence</v>
      </c>
      <c r="I498" s="4"/>
      <c r="J498" s="22" t="s">
        <v>2396</v>
      </c>
      <c r="K498" s="110" t="s">
        <v>2396</v>
      </c>
      <c r="L498" s="22" t="s">
        <v>2396</v>
      </c>
      <c r="M498" s="22" t="s">
        <v>2396</v>
      </c>
      <c r="N498" s="22" t="s">
        <v>2396</v>
      </c>
      <c r="O498" s="22" t="s">
        <v>2396</v>
      </c>
      <c r="P498" s="22" t="s">
        <v>2396</v>
      </c>
      <c r="Q498" s="109" t="s">
        <v>2308</v>
      </c>
      <c r="R498" s="109" t="s">
        <v>2308</v>
      </c>
      <c r="S498" s="22" t="s">
        <v>2396</v>
      </c>
      <c r="T498" s="22" t="s">
        <v>2396</v>
      </c>
      <c r="U498" s="22" t="s">
        <v>2396</v>
      </c>
      <c r="V498" s="22" t="s">
        <v>2396</v>
      </c>
      <c r="W498" s="22" t="s">
        <v>2308</v>
      </c>
      <c r="X498" s="4" t="s">
        <v>2308</v>
      </c>
      <c r="Y498" s="4" t="s">
        <v>2308</v>
      </c>
      <c r="Z498" s="4" t="s">
        <v>2308</v>
      </c>
      <c r="AA498" s="5" t="s">
        <v>720</v>
      </c>
      <c r="AB498" s="4"/>
    </row>
    <row r="499" spans="1:28" ht="39.5" customHeight="1">
      <c r="A499" s="7" t="str">
        <f>'Reported burning'!A499</f>
        <v>43a</v>
      </c>
      <c r="B499" s="7" t="str">
        <f>'Reported burning'!B499</f>
        <v>43a.1</v>
      </c>
      <c r="C499" s="7" t="str">
        <f>'Reported burning'!C499</f>
        <v>Human, deliberate</v>
      </c>
      <c r="D499" s="7" t="str">
        <f>'Reported burning'!D499</f>
        <v>Crop field preparation</v>
      </c>
      <c r="E499" s="7" t="str">
        <f>'Reported burning'!E499</f>
        <v>Cropping, Swidden</v>
      </c>
      <c r="F499" s="7" t="str">
        <f>'Reported burning'!F499</f>
        <v>Secondary Vegetation</v>
      </c>
      <c r="G499" s="7" t="str">
        <f>'Reported burning'!G499</f>
        <v>ND</v>
      </c>
      <c r="H499" s="7" t="str">
        <f>'Reported burning'!H499</f>
        <v>Presence</v>
      </c>
      <c r="I499" s="4"/>
      <c r="J499" s="22" t="s">
        <v>2308</v>
      </c>
      <c r="K499" s="110" t="s">
        <v>2308</v>
      </c>
      <c r="L499" s="22" t="s">
        <v>2308</v>
      </c>
      <c r="M499" s="22" t="s">
        <v>2308</v>
      </c>
      <c r="N499" s="22" t="s">
        <v>2308</v>
      </c>
      <c r="O499" s="22" t="s">
        <v>2308</v>
      </c>
      <c r="P499" s="22" t="s">
        <v>2308</v>
      </c>
      <c r="Q499" s="109" t="s">
        <v>2308</v>
      </c>
      <c r="R499" s="109" t="s">
        <v>2308</v>
      </c>
      <c r="S499" s="22" t="s">
        <v>2308</v>
      </c>
      <c r="T499" s="22" t="s">
        <v>2308</v>
      </c>
      <c r="U499" s="22" t="s">
        <v>2308</v>
      </c>
      <c r="V499" s="22" t="s">
        <v>2308</v>
      </c>
      <c r="W499" s="22" t="s">
        <v>2434</v>
      </c>
      <c r="X499" s="4" t="s">
        <v>2308</v>
      </c>
      <c r="Y499" s="4" t="s">
        <v>2308</v>
      </c>
      <c r="Z499" s="4" t="s">
        <v>2308</v>
      </c>
      <c r="AA499" s="4" t="s">
        <v>728</v>
      </c>
      <c r="AB499" s="4" t="s">
        <v>2076</v>
      </c>
    </row>
    <row r="500" spans="1:28" ht="39.5" customHeight="1">
      <c r="A500" s="7" t="str">
        <f>'Reported burning'!A500</f>
        <v>43a</v>
      </c>
      <c r="B500" s="7" t="str">
        <f>'Reported burning'!B500</f>
        <v>43a.2</v>
      </c>
      <c r="C500" s="7" t="str">
        <f>'Reported burning'!C500</f>
        <v>Human, deliberate</v>
      </c>
      <c r="D500" s="7" t="str">
        <f>'Reported burning'!D500</f>
        <v>Crop field preparation</v>
      </c>
      <c r="E500" s="7" t="str">
        <f>'Reported burning'!E500</f>
        <v>Cropping, Monoculture, Subsistence-oriented</v>
      </c>
      <c r="F500" s="7" t="str">
        <f>'Reported burning'!F500</f>
        <v>Cropland</v>
      </c>
      <c r="G500" s="7" t="str">
        <f>'Reported burning'!G500</f>
        <v>ND</v>
      </c>
      <c r="H500" s="7" t="str">
        <f>'Reported burning'!H500</f>
        <v>Absence</v>
      </c>
      <c r="I500" s="4"/>
      <c r="J500" s="22" t="s">
        <v>2396</v>
      </c>
      <c r="K500" s="110" t="s">
        <v>2396</v>
      </c>
      <c r="L500" s="22" t="s">
        <v>2396</v>
      </c>
      <c r="M500" s="22" t="s">
        <v>2396</v>
      </c>
      <c r="N500" s="22" t="s">
        <v>2396</v>
      </c>
      <c r="O500" s="22" t="s">
        <v>2396</v>
      </c>
      <c r="P500" s="22" t="s">
        <v>2396</v>
      </c>
      <c r="Q500" s="109" t="s">
        <v>2308</v>
      </c>
      <c r="R500" s="109" t="s">
        <v>2308</v>
      </c>
      <c r="S500" s="22" t="s">
        <v>2396</v>
      </c>
      <c r="T500" s="22" t="s">
        <v>2396</v>
      </c>
      <c r="U500" s="22" t="s">
        <v>2396</v>
      </c>
      <c r="V500" s="22" t="s">
        <v>2396</v>
      </c>
      <c r="W500" s="22" t="s">
        <v>2308</v>
      </c>
      <c r="X500" s="4" t="s">
        <v>2308</v>
      </c>
      <c r="Y500" s="4" t="s">
        <v>2308</v>
      </c>
      <c r="Z500" s="4" t="s">
        <v>2308</v>
      </c>
      <c r="AA500" s="4" t="s">
        <v>756</v>
      </c>
      <c r="AB500" s="4"/>
    </row>
    <row r="501" spans="1:28" ht="38" customHeight="1">
      <c r="A501" s="7" t="str">
        <f>'Reported burning'!A501</f>
        <v>43b</v>
      </c>
      <c r="B501" s="7" t="str">
        <f>'Reported burning'!B501</f>
        <v>43b.1</v>
      </c>
      <c r="C501" s="7" t="str">
        <f>'Reported burning'!C501</f>
        <v>Human, deliberate</v>
      </c>
      <c r="D501" s="7" t="str">
        <f>'Reported burning'!D501</f>
        <v>Crop field preparation</v>
      </c>
      <c r="E501" s="7" t="str">
        <f>'Reported burning'!E501</f>
        <v>Cropping, Swidden</v>
      </c>
      <c r="F501" s="7" t="str">
        <f>'Reported burning'!F501</f>
        <v>Secondary Vegetation</v>
      </c>
      <c r="G501" s="7" t="str">
        <f>'Reported burning'!G501</f>
        <v>ND</v>
      </c>
      <c r="H501" s="7" t="str">
        <f>'Reported burning'!H501</f>
        <v>Presence</v>
      </c>
      <c r="I501" s="4"/>
      <c r="J501" s="22" t="s">
        <v>2308</v>
      </c>
      <c r="K501" s="110" t="s">
        <v>2308</v>
      </c>
      <c r="L501" s="22" t="s">
        <v>2308</v>
      </c>
      <c r="M501" s="22" t="s">
        <v>2308</v>
      </c>
      <c r="N501" s="22" t="s">
        <v>2308</v>
      </c>
      <c r="O501" s="22" t="s">
        <v>2308</v>
      </c>
      <c r="P501" s="22" t="s">
        <v>2308</v>
      </c>
      <c r="Q501" s="109" t="s">
        <v>2308</v>
      </c>
      <c r="R501" s="109" t="s">
        <v>2308</v>
      </c>
      <c r="S501" s="22" t="s">
        <v>2308</v>
      </c>
      <c r="T501" s="22" t="s">
        <v>2308</v>
      </c>
      <c r="U501" s="22" t="s">
        <v>2308</v>
      </c>
      <c r="V501" s="22" t="s">
        <v>2308</v>
      </c>
      <c r="W501" s="22" t="s">
        <v>2434</v>
      </c>
      <c r="X501" s="4" t="s">
        <v>2308</v>
      </c>
      <c r="Y501" s="4" t="s">
        <v>2308</v>
      </c>
      <c r="Z501" s="4" t="s">
        <v>2308</v>
      </c>
      <c r="AA501" s="4" t="s">
        <v>728</v>
      </c>
      <c r="AB501" s="4" t="s">
        <v>2076</v>
      </c>
    </row>
    <row r="502" spans="1:28" ht="38" customHeight="1">
      <c r="A502" s="7" t="str">
        <f>'Reported burning'!A502</f>
        <v>43b</v>
      </c>
      <c r="B502" s="7" t="str">
        <f>'Reported burning'!B502</f>
        <v>43b.2</v>
      </c>
      <c r="C502" s="7" t="str">
        <f>'Reported burning'!C502</f>
        <v>Human, deliberate</v>
      </c>
      <c r="D502" s="7" t="str">
        <f>'Reported burning'!D502</f>
        <v>Crop field preparation</v>
      </c>
      <c r="E502" s="7" t="str">
        <f>'Reported burning'!E502</f>
        <v>Cropping, Monoculture, Subsistence-oriented</v>
      </c>
      <c r="F502" s="7" t="str">
        <f>'Reported burning'!F502</f>
        <v>Cropland</v>
      </c>
      <c r="G502" s="7" t="str">
        <f>'Reported burning'!G502</f>
        <v>ND</v>
      </c>
      <c r="H502" s="7" t="str">
        <f>'Reported burning'!H502</f>
        <v>Absence</v>
      </c>
      <c r="I502" s="4"/>
      <c r="J502" s="22" t="s">
        <v>2396</v>
      </c>
      <c r="K502" s="110" t="s">
        <v>2396</v>
      </c>
      <c r="L502" s="22" t="s">
        <v>2396</v>
      </c>
      <c r="M502" s="22" t="s">
        <v>2396</v>
      </c>
      <c r="N502" s="22" t="s">
        <v>2396</v>
      </c>
      <c r="O502" s="22" t="s">
        <v>2396</v>
      </c>
      <c r="P502" s="22" t="s">
        <v>2396</v>
      </c>
      <c r="Q502" s="109" t="s">
        <v>2308</v>
      </c>
      <c r="R502" s="109" t="s">
        <v>2308</v>
      </c>
      <c r="S502" s="22" t="s">
        <v>2396</v>
      </c>
      <c r="T502" s="22" t="s">
        <v>2396</v>
      </c>
      <c r="U502" s="22" t="s">
        <v>2396</v>
      </c>
      <c r="V502" s="22" t="s">
        <v>2396</v>
      </c>
      <c r="W502" s="22" t="s">
        <v>2308</v>
      </c>
      <c r="X502" s="4" t="s">
        <v>2308</v>
      </c>
      <c r="Y502" s="4" t="s">
        <v>2308</v>
      </c>
      <c r="Z502" s="4" t="s">
        <v>2308</v>
      </c>
      <c r="AA502" s="4" t="s">
        <v>756</v>
      </c>
      <c r="AB502" s="4"/>
    </row>
    <row r="503" spans="1:28" ht="37" customHeight="1">
      <c r="A503" s="7" t="str">
        <f>'Reported burning'!A503</f>
        <v>43c</v>
      </c>
      <c r="B503" s="7" t="str">
        <f>'Reported burning'!B503</f>
        <v>43c.1</v>
      </c>
      <c r="C503" s="7" t="str">
        <f>'Reported burning'!C503</f>
        <v>Human, deliberate</v>
      </c>
      <c r="D503" s="7" t="str">
        <f>'Reported burning'!D503</f>
        <v>Crop field preparation</v>
      </c>
      <c r="E503" s="7" t="str">
        <f>'Reported burning'!E503</f>
        <v>Cropping, Swidden</v>
      </c>
      <c r="F503" s="7" t="str">
        <f>'Reported burning'!F503</f>
        <v>Secondary Vegetation</v>
      </c>
      <c r="G503" s="7" t="str">
        <f>'Reported burning'!G503</f>
        <v>ND</v>
      </c>
      <c r="H503" s="7" t="str">
        <f>'Reported burning'!H503</f>
        <v>Presence</v>
      </c>
      <c r="I503" s="4"/>
      <c r="J503" s="22" t="s">
        <v>2308</v>
      </c>
      <c r="K503" s="110" t="s">
        <v>2308</v>
      </c>
      <c r="L503" s="22" t="s">
        <v>2308</v>
      </c>
      <c r="M503" s="22" t="s">
        <v>2308</v>
      </c>
      <c r="N503" s="22" t="s">
        <v>2308</v>
      </c>
      <c r="O503" s="22" t="s">
        <v>2308</v>
      </c>
      <c r="P503" s="22" t="s">
        <v>2308</v>
      </c>
      <c r="Q503" s="109" t="s">
        <v>2308</v>
      </c>
      <c r="R503" s="109" t="s">
        <v>2308</v>
      </c>
      <c r="S503" s="22" t="s">
        <v>2308</v>
      </c>
      <c r="T503" s="22" t="s">
        <v>2308</v>
      </c>
      <c r="U503" s="22" t="s">
        <v>2308</v>
      </c>
      <c r="V503" s="22" t="s">
        <v>2308</v>
      </c>
      <c r="W503" s="22" t="s">
        <v>2434</v>
      </c>
      <c r="X503" s="4" t="s">
        <v>2308</v>
      </c>
      <c r="Y503" s="4" t="s">
        <v>2308</v>
      </c>
      <c r="Z503" s="4" t="s">
        <v>2308</v>
      </c>
      <c r="AA503" s="4" t="s">
        <v>728</v>
      </c>
      <c r="AB503" s="4" t="s">
        <v>2076</v>
      </c>
    </row>
    <row r="504" spans="1:28" ht="38.5" customHeight="1">
      <c r="A504" s="7" t="str">
        <f>'Reported burning'!A504</f>
        <v>43c</v>
      </c>
      <c r="B504" s="7" t="str">
        <f>'Reported burning'!B504</f>
        <v>43c.2</v>
      </c>
      <c r="C504" s="7" t="str">
        <f>'Reported burning'!C504</f>
        <v>Human, deliberate</v>
      </c>
      <c r="D504" s="7" t="str">
        <f>'Reported burning'!D504</f>
        <v>Crop field preparation</v>
      </c>
      <c r="E504" s="7" t="str">
        <f>'Reported burning'!E504</f>
        <v>Cropping, Monoculture, Subsistence-oriented</v>
      </c>
      <c r="F504" s="7" t="str">
        <f>'Reported burning'!F504</f>
        <v>Cropland</v>
      </c>
      <c r="G504" s="7" t="str">
        <f>'Reported burning'!G504</f>
        <v>ND</v>
      </c>
      <c r="H504" s="7" t="str">
        <f>'Reported burning'!H504</f>
        <v>Absence</v>
      </c>
      <c r="I504" s="4"/>
      <c r="J504" s="22" t="s">
        <v>2396</v>
      </c>
      <c r="K504" s="110" t="s">
        <v>2396</v>
      </c>
      <c r="L504" s="22" t="s">
        <v>2396</v>
      </c>
      <c r="M504" s="22" t="s">
        <v>2396</v>
      </c>
      <c r="N504" s="22" t="s">
        <v>2396</v>
      </c>
      <c r="O504" s="22" t="s">
        <v>2396</v>
      </c>
      <c r="P504" s="22" t="s">
        <v>2396</v>
      </c>
      <c r="Q504" s="109" t="s">
        <v>2308</v>
      </c>
      <c r="R504" s="109" t="s">
        <v>2308</v>
      </c>
      <c r="S504" s="22" t="s">
        <v>2396</v>
      </c>
      <c r="T504" s="22" t="s">
        <v>2396</v>
      </c>
      <c r="U504" s="22" t="s">
        <v>2396</v>
      </c>
      <c r="V504" s="22" t="s">
        <v>2396</v>
      </c>
      <c r="W504" s="22" t="s">
        <v>2308</v>
      </c>
      <c r="X504" s="4" t="s">
        <v>2308</v>
      </c>
      <c r="Y504" s="4" t="s">
        <v>2308</v>
      </c>
      <c r="Z504" s="4" t="s">
        <v>2308</v>
      </c>
      <c r="AA504" s="4" t="s">
        <v>756</v>
      </c>
      <c r="AB504" s="4"/>
    </row>
    <row r="505" spans="1:28" ht="36" customHeight="1">
      <c r="A505" s="7" t="str">
        <f>'Reported burning'!A505</f>
        <v>44a</v>
      </c>
      <c r="B505" s="7" t="str">
        <f>'Reported burning'!B505</f>
        <v>44a.1</v>
      </c>
      <c r="C505" s="7" t="str">
        <f>'Reported burning'!C505</f>
        <v>Human, deliberate</v>
      </c>
      <c r="D505" s="7" t="str">
        <f>'Reported burning'!D505</f>
        <v>Crop field preparation</v>
      </c>
      <c r="E505" s="7" t="str">
        <f>'Reported burning'!E505</f>
        <v>Cropping, Swidden</v>
      </c>
      <c r="F505" s="7" t="str">
        <f>'Reported burning'!F505</f>
        <v>Secondary Vegetation</v>
      </c>
      <c r="G505" s="7" t="str">
        <f>'Reported burning'!G505</f>
        <v>ND</v>
      </c>
      <c r="H505" s="7" t="str">
        <f>'Reported burning'!H505</f>
        <v>Presence</v>
      </c>
      <c r="I505" s="4"/>
      <c r="J505" s="22" t="s">
        <v>2308</v>
      </c>
      <c r="K505" s="110" t="s">
        <v>2308</v>
      </c>
      <c r="L505" s="22" t="s">
        <v>2308</v>
      </c>
      <c r="M505" s="22" t="s">
        <v>2308</v>
      </c>
      <c r="N505" s="22" t="s">
        <v>2308</v>
      </c>
      <c r="O505" s="22" t="s">
        <v>2308</v>
      </c>
      <c r="P505" s="22" t="s">
        <v>2308</v>
      </c>
      <c r="Q505" s="109" t="s">
        <v>2308</v>
      </c>
      <c r="R505" s="109" t="s">
        <v>2308</v>
      </c>
      <c r="S505" s="22" t="s">
        <v>2308</v>
      </c>
      <c r="T505" s="22" t="s">
        <v>2308</v>
      </c>
      <c r="U505" s="22" t="s">
        <v>2308</v>
      </c>
      <c r="V505" s="22" t="s">
        <v>2308</v>
      </c>
      <c r="W505" s="4" t="s">
        <v>2308</v>
      </c>
      <c r="X505" s="4" t="s">
        <v>2308</v>
      </c>
      <c r="Y505" s="4" t="s">
        <v>2308</v>
      </c>
      <c r="Z505" s="4" t="s">
        <v>2308</v>
      </c>
      <c r="AA505" s="20" t="s">
        <v>761</v>
      </c>
      <c r="AB505" s="4"/>
    </row>
    <row r="506" spans="1:28" ht="48.5" customHeight="1">
      <c r="A506" s="7" t="str">
        <f>'Reported burning'!A506</f>
        <v>45a</v>
      </c>
      <c r="B506" s="7" t="str">
        <f>'Reported burning'!B506</f>
        <v>45a.1</v>
      </c>
      <c r="C506" s="7" t="str">
        <f>'Reported burning'!C506</f>
        <v>Human, deliberate</v>
      </c>
      <c r="D506" s="7" t="str">
        <f>'Reported burning'!D506</f>
        <v>Crop field preparation</v>
      </c>
      <c r="E506" s="7" t="str">
        <f>'Reported burning'!E506</f>
        <v>Cropping, Swidden</v>
      </c>
      <c r="F506" s="7" t="str">
        <f>'Reported burning'!F506</f>
        <v>Secondary Vegetation</v>
      </c>
      <c r="G506" s="7" t="str">
        <f>'Reported burning'!G506</f>
        <v>ND</v>
      </c>
      <c r="H506" s="7" t="str">
        <f>'Reported burning'!H506</f>
        <v>Presence</v>
      </c>
      <c r="I506" s="4"/>
      <c r="J506" s="22" t="s">
        <v>2308</v>
      </c>
      <c r="K506" s="110" t="s">
        <v>2308</v>
      </c>
      <c r="L506" s="22" t="s">
        <v>2308</v>
      </c>
      <c r="M506" s="22" t="s">
        <v>2308</v>
      </c>
      <c r="N506" s="22" t="s">
        <v>2308</v>
      </c>
      <c r="O506" s="22" t="s">
        <v>2394</v>
      </c>
      <c r="P506" s="22" t="s">
        <v>2308</v>
      </c>
      <c r="Q506" s="109" t="s">
        <v>2308</v>
      </c>
      <c r="R506" s="109" t="s">
        <v>2308</v>
      </c>
      <c r="S506" s="22" t="s">
        <v>2406</v>
      </c>
      <c r="T506" s="22" t="s">
        <v>2308</v>
      </c>
      <c r="U506" s="22" t="s">
        <v>2406</v>
      </c>
      <c r="V506" s="22" t="s">
        <v>2308</v>
      </c>
      <c r="W506" s="22" t="s">
        <v>2435</v>
      </c>
      <c r="X506" s="4" t="s">
        <v>2308</v>
      </c>
      <c r="Y506" s="4" t="s">
        <v>2308</v>
      </c>
      <c r="Z506" s="4" t="s">
        <v>2308</v>
      </c>
      <c r="AA506" s="4"/>
      <c r="AB506" s="5" t="s">
        <v>2451</v>
      </c>
    </row>
    <row r="507" spans="1:28" ht="51" customHeight="1">
      <c r="A507" s="7" t="str">
        <f>'Reported burning'!A507</f>
        <v>45b</v>
      </c>
      <c r="B507" s="7" t="str">
        <f>'Reported burning'!B507</f>
        <v>45b.1</v>
      </c>
      <c r="C507" s="7" t="str">
        <f>'Reported burning'!C507</f>
        <v>Human, deliberate</v>
      </c>
      <c r="D507" s="7" t="str">
        <f>'Reported burning'!D507</f>
        <v>Crop field preparation</v>
      </c>
      <c r="E507" s="7" t="str">
        <f>'Reported burning'!E507</f>
        <v>Cropping, Swidden</v>
      </c>
      <c r="F507" s="7" t="str">
        <f>'Reported burning'!F507</f>
        <v>Secondary Vegetation</v>
      </c>
      <c r="G507" s="7" t="str">
        <f>'Reported burning'!G507</f>
        <v>ND</v>
      </c>
      <c r="H507" s="7" t="str">
        <f>'Reported burning'!H507</f>
        <v>Presence</v>
      </c>
      <c r="I507" s="4"/>
      <c r="J507" s="22" t="s">
        <v>2308</v>
      </c>
      <c r="K507" s="110" t="s">
        <v>2308</v>
      </c>
      <c r="L507" s="22" t="s">
        <v>2308</v>
      </c>
      <c r="M507" s="22" t="s">
        <v>2308</v>
      </c>
      <c r="N507" s="22" t="s">
        <v>2308</v>
      </c>
      <c r="O507" s="22" t="s">
        <v>2407</v>
      </c>
      <c r="P507" s="22" t="s">
        <v>2308</v>
      </c>
      <c r="Q507" s="109" t="s">
        <v>2308</v>
      </c>
      <c r="R507" s="109" t="s">
        <v>2308</v>
      </c>
      <c r="S507" s="22" t="s">
        <v>2408</v>
      </c>
      <c r="T507" s="22" t="s">
        <v>2308</v>
      </c>
      <c r="U507" s="22" t="s">
        <v>2406</v>
      </c>
      <c r="V507" s="22" t="s">
        <v>2308</v>
      </c>
      <c r="W507" s="22" t="s">
        <v>2435</v>
      </c>
      <c r="X507" s="4" t="s">
        <v>2308</v>
      </c>
      <c r="Y507" s="4" t="s">
        <v>2308</v>
      </c>
      <c r="Z507" s="4" t="s">
        <v>2308</v>
      </c>
      <c r="AA507" s="4"/>
      <c r="AB507" s="5" t="s">
        <v>2451</v>
      </c>
    </row>
    <row r="508" spans="1:28" ht="58.5" customHeight="1">
      <c r="A508" s="7" t="str">
        <f>'Reported burning'!A508</f>
        <v>45c</v>
      </c>
      <c r="B508" s="7" t="str">
        <f>'Reported burning'!B508</f>
        <v>45c.1</v>
      </c>
      <c r="C508" s="7" t="str">
        <f>'Reported burning'!C508</f>
        <v>Human, deliberate</v>
      </c>
      <c r="D508" s="7" t="str">
        <f>'Reported burning'!D508</f>
        <v>Crop field preparation</v>
      </c>
      <c r="E508" s="7" t="str">
        <f>'Reported burning'!E508</f>
        <v>Cropping, Swidden</v>
      </c>
      <c r="F508" s="7" t="str">
        <f>'Reported burning'!F508</f>
        <v>Secondary Vegetation</v>
      </c>
      <c r="G508" s="7" t="str">
        <f>'Reported burning'!G508</f>
        <v>ND</v>
      </c>
      <c r="H508" s="7" t="str">
        <f>'Reported burning'!H508</f>
        <v>Presence</v>
      </c>
      <c r="I508" s="4"/>
      <c r="J508" s="22" t="s">
        <v>2308</v>
      </c>
      <c r="K508" s="110" t="s">
        <v>2308</v>
      </c>
      <c r="L508" s="22" t="s">
        <v>2308</v>
      </c>
      <c r="M508" s="22" t="s">
        <v>2308</v>
      </c>
      <c r="N508" s="22" t="s">
        <v>2308</v>
      </c>
      <c r="O508" s="22" t="s">
        <v>2407</v>
      </c>
      <c r="P508" s="22" t="s">
        <v>2308</v>
      </c>
      <c r="Q508" s="109" t="s">
        <v>2308</v>
      </c>
      <c r="R508" s="109" t="s">
        <v>2308</v>
      </c>
      <c r="S508" s="22" t="s">
        <v>2408</v>
      </c>
      <c r="T508" s="22" t="s">
        <v>2308</v>
      </c>
      <c r="U508" s="22" t="s">
        <v>2406</v>
      </c>
      <c r="V508" s="22" t="s">
        <v>2308</v>
      </c>
      <c r="W508" s="22" t="s">
        <v>2434</v>
      </c>
      <c r="X508" s="4" t="s">
        <v>2308</v>
      </c>
      <c r="Y508" s="4" t="s">
        <v>2308</v>
      </c>
      <c r="Z508" s="4" t="s">
        <v>2308</v>
      </c>
      <c r="AA508" s="4"/>
      <c r="AB508" s="5" t="s">
        <v>2451</v>
      </c>
    </row>
    <row r="509" spans="1:28" ht="43.5" customHeight="1">
      <c r="A509" s="7" t="str">
        <f>'Reported burning'!A509</f>
        <v>46a</v>
      </c>
      <c r="B509" s="7" t="str">
        <f>'Reported burning'!B509</f>
        <v>46a.1</v>
      </c>
      <c r="C509" s="7" t="str">
        <f>'Reported burning'!C509</f>
        <v>Human, deliberate</v>
      </c>
      <c r="D509" s="7" t="str">
        <f>'Reported burning'!D509</f>
        <v>Crop field preparation</v>
      </c>
      <c r="E509" s="7" t="str">
        <f>'Reported burning'!E509</f>
        <v>Cropping, Swidden</v>
      </c>
      <c r="F509" s="7" t="str">
        <f>'Reported burning'!F509</f>
        <v>Secondary Vegetation</v>
      </c>
      <c r="G509" s="7" t="str">
        <f>'Reported burning'!G509</f>
        <v>ND</v>
      </c>
      <c r="H509" s="7" t="str">
        <f>'Reported burning'!H509</f>
        <v>Presence</v>
      </c>
      <c r="I509" s="4"/>
      <c r="J509" s="22" t="s">
        <v>2308</v>
      </c>
      <c r="K509" s="110" t="s">
        <v>2394</v>
      </c>
      <c r="L509" s="22" t="s">
        <v>2308</v>
      </c>
      <c r="M509" s="22" t="s">
        <v>2308</v>
      </c>
      <c r="N509" s="22" t="s">
        <v>2308</v>
      </c>
      <c r="O509" s="22" t="s">
        <v>2394</v>
      </c>
      <c r="P509" s="22" t="s">
        <v>2308</v>
      </c>
      <c r="Q509" s="109" t="s">
        <v>2308</v>
      </c>
      <c r="R509" s="109" t="s">
        <v>2308</v>
      </c>
      <c r="S509" s="22" t="s">
        <v>2308</v>
      </c>
      <c r="T509" s="22" t="s">
        <v>2308</v>
      </c>
      <c r="U509" s="22" t="s">
        <v>2308</v>
      </c>
      <c r="V509" s="22" t="s">
        <v>2308</v>
      </c>
      <c r="W509" s="22" t="s">
        <v>2308</v>
      </c>
      <c r="X509" s="4" t="s">
        <v>86</v>
      </c>
      <c r="Y509" s="4" t="s">
        <v>86</v>
      </c>
      <c r="Z509" s="4" t="s">
        <v>64</v>
      </c>
      <c r="AA509" s="4" t="s">
        <v>645</v>
      </c>
      <c r="AB509" s="20" t="s">
        <v>782</v>
      </c>
    </row>
    <row r="510" spans="1:28" ht="58.5" customHeight="1">
      <c r="A510" s="7" t="str">
        <f>'Reported burning'!A510</f>
        <v>47a</v>
      </c>
      <c r="B510" s="7" t="str">
        <f>'Reported burning'!B510</f>
        <v>47a.1</v>
      </c>
      <c r="C510" s="7" t="str">
        <f>'Reported burning'!C510</f>
        <v>Human, deliberate</v>
      </c>
      <c r="D510" s="7" t="str">
        <f>'Reported burning'!D510</f>
        <v>Crop field preparation</v>
      </c>
      <c r="E510" s="7" t="str">
        <f>'Reported burning'!E510</f>
        <v>Cropping, Swidden</v>
      </c>
      <c r="F510" s="7" t="str">
        <f>'Reported burning'!F510</f>
        <v>Secondary Vegetation</v>
      </c>
      <c r="G510" s="7" t="str">
        <f>'Reported burning'!G510</f>
        <v>ND</v>
      </c>
      <c r="H510" s="7" t="str">
        <f>'Reported burning'!H510</f>
        <v>Presence</v>
      </c>
      <c r="I510" s="4"/>
      <c r="J510" s="22" t="s">
        <v>2308</v>
      </c>
      <c r="K510" s="110" t="s">
        <v>2394</v>
      </c>
      <c r="L510" s="22" t="s">
        <v>2308</v>
      </c>
      <c r="M510" s="22" t="s">
        <v>2394</v>
      </c>
      <c r="N510" s="22" t="s">
        <v>2308</v>
      </c>
      <c r="O510" s="80" t="s">
        <v>2394</v>
      </c>
      <c r="P510" s="80" t="s">
        <v>2308</v>
      </c>
      <c r="Q510" s="109" t="s">
        <v>2308</v>
      </c>
      <c r="R510" s="109" t="s">
        <v>2308</v>
      </c>
      <c r="S510" s="22" t="s">
        <v>2560</v>
      </c>
      <c r="T510" s="22" t="s">
        <v>2308</v>
      </c>
      <c r="U510" s="22" t="s">
        <v>2308</v>
      </c>
      <c r="V510" s="22" t="s">
        <v>2308</v>
      </c>
      <c r="W510" s="22" t="s">
        <v>2437</v>
      </c>
      <c r="X510" s="4" t="s">
        <v>2308</v>
      </c>
      <c r="Y510" s="4" t="s">
        <v>2308</v>
      </c>
      <c r="Z510" s="4" t="s">
        <v>2308</v>
      </c>
      <c r="AA510" s="4"/>
      <c r="AB510" s="5" t="s">
        <v>2081</v>
      </c>
    </row>
    <row r="511" spans="1:28" ht="33.5" customHeight="1">
      <c r="A511" s="7" t="str">
        <f>'Reported burning'!A511</f>
        <v>47a</v>
      </c>
      <c r="B511" s="7" t="str">
        <f>'Reported burning'!B511</f>
        <v>47a.2</v>
      </c>
      <c r="C511" s="7" t="str">
        <f>'Reported burning'!C511</f>
        <v>Human, deliberate</v>
      </c>
      <c r="D511" s="7" t="str">
        <f>'Reported burning'!D511</f>
        <v>Crop field preparation</v>
      </c>
      <c r="E511" s="7" t="str">
        <f>'Reported burning'!E511</f>
        <v>Cropping, Monoculture, Subsistence-oriented</v>
      </c>
      <c r="F511" s="7" t="str">
        <f>'Reported burning'!F511</f>
        <v>Cropland</v>
      </c>
      <c r="G511" s="7" t="str">
        <f>'Reported burning'!G511</f>
        <v>ND</v>
      </c>
      <c r="H511" s="7" t="str">
        <f>'Reported burning'!H511</f>
        <v>Absence</v>
      </c>
      <c r="I511" s="4"/>
      <c r="J511" s="22" t="s">
        <v>2396</v>
      </c>
      <c r="K511" s="110" t="s">
        <v>2396</v>
      </c>
      <c r="L511" s="22" t="s">
        <v>2396</v>
      </c>
      <c r="M511" s="22" t="s">
        <v>2396</v>
      </c>
      <c r="N511" s="22" t="s">
        <v>2396</v>
      </c>
      <c r="O511" s="80" t="s">
        <v>2396</v>
      </c>
      <c r="P511" s="80" t="s">
        <v>2396</v>
      </c>
      <c r="Q511" s="109" t="s">
        <v>2308</v>
      </c>
      <c r="R511" s="109" t="s">
        <v>2308</v>
      </c>
      <c r="S511" s="22" t="s">
        <v>2396</v>
      </c>
      <c r="T511" s="22" t="s">
        <v>2396</v>
      </c>
      <c r="U511" s="22" t="s">
        <v>2396</v>
      </c>
      <c r="V511" s="22" t="s">
        <v>2396</v>
      </c>
      <c r="W511" s="22" t="s">
        <v>2308</v>
      </c>
      <c r="X511" s="4" t="s">
        <v>2308</v>
      </c>
      <c r="Y511" s="4" t="s">
        <v>2308</v>
      </c>
      <c r="Z511" s="4" t="s">
        <v>2308</v>
      </c>
      <c r="AA511" s="4" t="s">
        <v>756</v>
      </c>
      <c r="AB511" s="5"/>
    </row>
    <row r="512" spans="1:28" ht="57.5" customHeight="1">
      <c r="A512" s="7" t="str">
        <f>'Reported burning'!A512</f>
        <v>47b</v>
      </c>
      <c r="B512" s="7" t="str">
        <f>'Reported burning'!B512</f>
        <v>47b.1</v>
      </c>
      <c r="C512" s="7" t="str">
        <f>'Reported burning'!C512</f>
        <v>Human, deliberate</v>
      </c>
      <c r="D512" s="7" t="str">
        <f>'Reported burning'!D512</f>
        <v>Crop field preparation</v>
      </c>
      <c r="E512" s="7" t="str">
        <f>'Reported burning'!E512</f>
        <v>Cropping, Swidden</v>
      </c>
      <c r="F512" s="7" t="str">
        <f>'Reported burning'!F512</f>
        <v>Secondary Vegetation</v>
      </c>
      <c r="G512" s="7" t="str">
        <f>'Reported burning'!G512</f>
        <v>ND</v>
      </c>
      <c r="H512" s="7" t="str">
        <f>'Reported burning'!H512</f>
        <v>Presence</v>
      </c>
      <c r="I512" s="4"/>
      <c r="J512" s="22" t="s">
        <v>2308</v>
      </c>
      <c r="K512" s="110" t="s">
        <v>2394</v>
      </c>
      <c r="L512" s="22" t="s">
        <v>2308</v>
      </c>
      <c r="M512" s="22" t="s">
        <v>2394</v>
      </c>
      <c r="N512" s="22" t="s">
        <v>2308</v>
      </c>
      <c r="O512" s="80" t="s">
        <v>2394</v>
      </c>
      <c r="P512" s="80" t="s">
        <v>2308</v>
      </c>
      <c r="Q512" s="109" t="s">
        <v>2308</v>
      </c>
      <c r="R512" s="109" t="s">
        <v>2308</v>
      </c>
      <c r="S512" s="22" t="s">
        <v>2560</v>
      </c>
      <c r="T512" s="22" t="s">
        <v>2308</v>
      </c>
      <c r="U512" s="22" t="s">
        <v>2308</v>
      </c>
      <c r="V512" s="22" t="s">
        <v>2308</v>
      </c>
      <c r="W512" s="22" t="s">
        <v>2435</v>
      </c>
      <c r="X512" s="4" t="s">
        <v>2308</v>
      </c>
      <c r="Y512" s="4" t="s">
        <v>2308</v>
      </c>
      <c r="Z512" s="4" t="s">
        <v>2308</v>
      </c>
      <c r="AA512" s="4"/>
      <c r="AB512" s="5" t="s">
        <v>2081</v>
      </c>
    </row>
    <row r="513" spans="1:28" ht="38.5" customHeight="1">
      <c r="A513" s="7" t="str">
        <f>'Reported burning'!A513</f>
        <v>47b</v>
      </c>
      <c r="B513" s="7" t="str">
        <f>'Reported burning'!B513</f>
        <v>47b.2</v>
      </c>
      <c r="C513" s="7" t="str">
        <f>'Reported burning'!C513</f>
        <v>Human, deliberate</v>
      </c>
      <c r="D513" s="7" t="str">
        <f>'Reported burning'!D513</f>
        <v>Crop field preparation</v>
      </c>
      <c r="E513" s="7" t="str">
        <f>'Reported burning'!E513</f>
        <v>Cropping, Monoculture, Subsistence-oriented</v>
      </c>
      <c r="F513" s="7" t="str">
        <f>'Reported burning'!F513</f>
        <v>Cropland</v>
      </c>
      <c r="G513" s="7" t="str">
        <f>'Reported burning'!G513</f>
        <v>ND</v>
      </c>
      <c r="H513" s="7" t="str">
        <f>'Reported burning'!H513</f>
        <v>Absence</v>
      </c>
      <c r="I513" s="4"/>
      <c r="J513" s="22" t="s">
        <v>2396</v>
      </c>
      <c r="K513" s="110" t="s">
        <v>2396</v>
      </c>
      <c r="L513" s="22" t="s">
        <v>2396</v>
      </c>
      <c r="M513" s="22" t="s">
        <v>2396</v>
      </c>
      <c r="N513" s="22" t="s">
        <v>2396</v>
      </c>
      <c r="O513" s="80" t="s">
        <v>2396</v>
      </c>
      <c r="P513" s="80" t="s">
        <v>2396</v>
      </c>
      <c r="Q513" s="109" t="s">
        <v>2308</v>
      </c>
      <c r="R513" s="109" t="s">
        <v>2308</v>
      </c>
      <c r="S513" s="22" t="s">
        <v>2396</v>
      </c>
      <c r="T513" s="22" t="s">
        <v>2396</v>
      </c>
      <c r="U513" s="22" t="s">
        <v>2396</v>
      </c>
      <c r="V513" s="22" t="s">
        <v>2396</v>
      </c>
      <c r="W513" s="22" t="s">
        <v>2308</v>
      </c>
      <c r="X513" s="4" t="s">
        <v>2308</v>
      </c>
      <c r="Y513" s="4" t="s">
        <v>2308</v>
      </c>
      <c r="Z513" s="4" t="s">
        <v>2308</v>
      </c>
      <c r="AA513" s="4" t="s">
        <v>756</v>
      </c>
      <c r="AB513" s="5"/>
    </row>
    <row r="514" spans="1:28" ht="59.5" customHeight="1">
      <c r="A514" s="7" t="str">
        <f>'Reported burning'!A514</f>
        <v>48a</v>
      </c>
      <c r="B514" s="7" t="str">
        <f>'Reported burning'!B514</f>
        <v>48a.1</v>
      </c>
      <c r="C514" s="7" t="str">
        <f>'Reported burning'!C514</f>
        <v>Human, deliberate</v>
      </c>
      <c r="D514" s="7" t="str">
        <f>'Reported burning'!D514</f>
        <v>Crop field preparation</v>
      </c>
      <c r="E514" s="7" t="str">
        <f>'Reported burning'!E514</f>
        <v>Cropping, Swidden</v>
      </c>
      <c r="F514" s="7" t="str">
        <f>'Reported burning'!F514</f>
        <v>Secondary Vegetation</v>
      </c>
      <c r="G514" s="7" t="str">
        <f>'Reported burning'!G514</f>
        <v>ND</v>
      </c>
      <c r="H514" s="7" t="str">
        <f>'Reported burning'!H514</f>
        <v>Presence</v>
      </c>
      <c r="I514" s="4">
        <v>1993</v>
      </c>
      <c r="J514" s="22" t="s">
        <v>2308</v>
      </c>
      <c r="K514" s="110" t="s">
        <v>2308</v>
      </c>
      <c r="L514" s="22" t="s">
        <v>2308</v>
      </c>
      <c r="M514" s="22" t="s">
        <v>2308</v>
      </c>
      <c r="N514" s="22" t="s">
        <v>2308</v>
      </c>
      <c r="O514" s="22" t="s">
        <v>2394</v>
      </c>
      <c r="P514" s="22" t="s">
        <v>2308</v>
      </c>
      <c r="Q514" s="109" t="s">
        <v>2308</v>
      </c>
      <c r="R514" s="109" t="s">
        <v>2308</v>
      </c>
      <c r="S514" s="22" t="s">
        <v>2308</v>
      </c>
      <c r="T514" s="22" t="s">
        <v>2308</v>
      </c>
      <c r="U514" s="22" t="s">
        <v>2308</v>
      </c>
      <c r="V514" s="22" t="s">
        <v>2308</v>
      </c>
      <c r="W514" s="22" t="s">
        <v>2308</v>
      </c>
      <c r="X514" s="4" t="s">
        <v>2308</v>
      </c>
      <c r="Y514" s="4" t="s">
        <v>2308</v>
      </c>
      <c r="Z514" s="4" t="s">
        <v>2308</v>
      </c>
      <c r="AA514" s="4"/>
      <c r="AB514" s="5" t="s">
        <v>2083</v>
      </c>
    </row>
    <row r="515" spans="1:28" ht="46" customHeight="1">
      <c r="A515" s="7" t="str">
        <f>'Reported burning'!A515</f>
        <v>48a</v>
      </c>
      <c r="B515" s="7" t="str">
        <f>'Reported burning'!B515</f>
        <v>48a.2</v>
      </c>
      <c r="C515" s="7" t="str">
        <f>'Reported burning'!C515</f>
        <v>Human, deliberate</v>
      </c>
      <c r="D515" s="7" t="str">
        <f>'Reported burning'!D515</f>
        <v>Crop field preparation</v>
      </c>
      <c r="E515" s="7" t="str">
        <f>'Reported burning'!E515</f>
        <v>Cropping, Swidden</v>
      </c>
      <c r="F515" s="7" t="str">
        <f>'Reported burning'!F515</f>
        <v>Secondary Vegetation</v>
      </c>
      <c r="G515" s="7" t="str">
        <f>'Reported burning'!G515</f>
        <v>ND</v>
      </c>
      <c r="H515" s="7" t="str">
        <f>'Reported burning'!H515</f>
        <v>Presence</v>
      </c>
      <c r="I515" s="4">
        <v>1994</v>
      </c>
      <c r="J515" s="22" t="s">
        <v>2308</v>
      </c>
      <c r="K515" s="110" t="s">
        <v>2308</v>
      </c>
      <c r="L515" s="22" t="s">
        <v>2308</v>
      </c>
      <c r="M515" s="22" t="s">
        <v>2308</v>
      </c>
      <c r="N515" s="22" t="s">
        <v>2308</v>
      </c>
      <c r="O515" s="22" t="s">
        <v>2394</v>
      </c>
      <c r="P515" s="22" t="s">
        <v>2308</v>
      </c>
      <c r="Q515" s="109" t="s">
        <v>2308</v>
      </c>
      <c r="R515" s="109" t="s">
        <v>2308</v>
      </c>
      <c r="S515" s="22" t="s">
        <v>2308</v>
      </c>
      <c r="T515" s="80" t="s">
        <v>2308</v>
      </c>
      <c r="U515" s="80" t="s">
        <v>2308</v>
      </c>
      <c r="V515" s="22" t="s">
        <v>2308</v>
      </c>
      <c r="W515" s="22" t="s">
        <v>2308</v>
      </c>
      <c r="X515" s="4" t="s">
        <v>2308</v>
      </c>
      <c r="Y515" s="4" t="s">
        <v>2308</v>
      </c>
      <c r="Z515" s="4" t="s">
        <v>2308</v>
      </c>
      <c r="AA515" s="4"/>
      <c r="AB515" s="5" t="s">
        <v>2083</v>
      </c>
    </row>
    <row r="516" spans="1:28" ht="52" customHeight="1">
      <c r="A516" s="7" t="str">
        <f>'Reported burning'!A516</f>
        <v>48a</v>
      </c>
      <c r="B516" s="7" t="str">
        <f>'Reported burning'!B516</f>
        <v>48a.3</v>
      </c>
      <c r="C516" s="7" t="str">
        <f>'Reported burning'!C516</f>
        <v>Human, deliberate</v>
      </c>
      <c r="D516" s="7" t="str">
        <f>'Reported burning'!D516</f>
        <v>Crop field preparation</v>
      </c>
      <c r="E516" s="7" t="str">
        <f>'Reported burning'!E516</f>
        <v>Cropping, Swidden</v>
      </c>
      <c r="F516" s="7" t="str">
        <f>'Reported burning'!F516</f>
        <v>Secondary Vegetation</v>
      </c>
      <c r="G516" s="7" t="str">
        <f>'Reported burning'!G516</f>
        <v>ND</v>
      </c>
      <c r="H516" s="7" t="str">
        <f>'Reported burning'!H516</f>
        <v>Presence</v>
      </c>
      <c r="I516" s="4">
        <v>1995</v>
      </c>
      <c r="J516" s="22" t="s">
        <v>2308</v>
      </c>
      <c r="K516" s="110" t="s">
        <v>2308</v>
      </c>
      <c r="L516" s="22" t="s">
        <v>2308</v>
      </c>
      <c r="M516" s="22" t="s">
        <v>2308</v>
      </c>
      <c r="N516" s="22" t="s">
        <v>2308</v>
      </c>
      <c r="O516" s="22" t="s">
        <v>2394</v>
      </c>
      <c r="P516" s="22" t="s">
        <v>2308</v>
      </c>
      <c r="Q516" s="109" t="s">
        <v>2308</v>
      </c>
      <c r="R516" s="109" t="s">
        <v>2308</v>
      </c>
      <c r="S516" s="22" t="s">
        <v>2308</v>
      </c>
      <c r="T516" s="22" t="s">
        <v>2308</v>
      </c>
      <c r="U516" s="22" t="s">
        <v>2308</v>
      </c>
      <c r="V516" s="22" t="s">
        <v>2308</v>
      </c>
      <c r="W516" s="22" t="s">
        <v>2308</v>
      </c>
      <c r="X516" s="4" t="s">
        <v>2308</v>
      </c>
      <c r="Y516" s="4" t="s">
        <v>2308</v>
      </c>
      <c r="Z516" s="4" t="s">
        <v>2308</v>
      </c>
      <c r="AA516" s="4"/>
      <c r="AB516" s="5" t="s">
        <v>2083</v>
      </c>
    </row>
    <row r="517" spans="1:28" ht="53.5" customHeight="1">
      <c r="A517" s="7" t="str">
        <f>'Reported burning'!A517</f>
        <v>48a</v>
      </c>
      <c r="B517" s="7" t="str">
        <f>'Reported burning'!B517</f>
        <v>48a.4</v>
      </c>
      <c r="C517" s="7" t="str">
        <f>'Reported burning'!C517</f>
        <v>Human, deliberate</v>
      </c>
      <c r="D517" s="7" t="str">
        <f>'Reported burning'!D517</f>
        <v>Crop field preparation</v>
      </c>
      <c r="E517" s="7" t="str">
        <f>'Reported burning'!E517</f>
        <v>Cropping, Swidden</v>
      </c>
      <c r="F517" s="7" t="str">
        <f>'Reported burning'!F517</f>
        <v>Secondary Vegetation</v>
      </c>
      <c r="G517" s="7" t="str">
        <f>'Reported burning'!G517</f>
        <v>ND</v>
      </c>
      <c r="H517" s="7" t="str">
        <f>'Reported burning'!H517</f>
        <v>Presence</v>
      </c>
      <c r="I517" s="4">
        <v>1996</v>
      </c>
      <c r="J517" s="22" t="s">
        <v>2308</v>
      </c>
      <c r="K517" s="110" t="s">
        <v>2308</v>
      </c>
      <c r="L517" s="22" t="s">
        <v>2308</v>
      </c>
      <c r="M517" s="22" t="s">
        <v>2308</v>
      </c>
      <c r="N517" s="22" t="s">
        <v>2308</v>
      </c>
      <c r="O517" s="22" t="s">
        <v>2394</v>
      </c>
      <c r="P517" s="22" t="s">
        <v>2308</v>
      </c>
      <c r="Q517" s="109" t="s">
        <v>2308</v>
      </c>
      <c r="R517" s="109" t="s">
        <v>2308</v>
      </c>
      <c r="S517" s="22" t="s">
        <v>2308</v>
      </c>
      <c r="T517" s="22" t="s">
        <v>2308</v>
      </c>
      <c r="U517" s="22" t="s">
        <v>2308</v>
      </c>
      <c r="V517" s="22" t="s">
        <v>2308</v>
      </c>
      <c r="W517" s="22" t="s">
        <v>2308</v>
      </c>
      <c r="X517" s="4" t="s">
        <v>2308</v>
      </c>
      <c r="Y517" s="4" t="s">
        <v>2308</v>
      </c>
      <c r="Z517" s="4" t="s">
        <v>2308</v>
      </c>
      <c r="AA517" s="4"/>
      <c r="AB517" s="5" t="s">
        <v>2083</v>
      </c>
    </row>
    <row r="518" spans="1:28" ht="33.5" customHeight="1">
      <c r="A518" s="7" t="str">
        <f>'Reported burning'!A518</f>
        <v>48a</v>
      </c>
      <c r="B518" s="7" t="str">
        <f>'Reported burning'!B518</f>
        <v>48a.5</v>
      </c>
      <c r="C518" s="7" t="str">
        <f>'Reported burning'!C518</f>
        <v>Human, deliberate</v>
      </c>
      <c r="D518" s="7" t="str">
        <f>'Reported burning'!D518</f>
        <v>Crop field preparation</v>
      </c>
      <c r="E518" s="7" t="str">
        <f>'Reported burning'!E518</f>
        <v>Cropping, Monoculture, Subsistence-oriented</v>
      </c>
      <c r="F518" s="7" t="str">
        <f>'Reported burning'!F518</f>
        <v>Cropland</v>
      </c>
      <c r="G518" s="7" t="str">
        <f>'Reported burning'!G518</f>
        <v>ND</v>
      </c>
      <c r="H518" s="7" t="str">
        <f>'Reported burning'!H518</f>
        <v>Absence</v>
      </c>
      <c r="I518" s="4"/>
      <c r="J518" s="22" t="s">
        <v>2396</v>
      </c>
      <c r="K518" s="110" t="s">
        <v>2396</v>
      </c>
      <c r="L518" s="22" t="s">
        <v>2396</v>
      </c>
      <c r="M518" s="22" t="s">
        <v>2396</v>
      </c>
      <c r="N518" s="22" t="s">
        <v>2396</v>
      </c>
      <c r="O518" s="22" t="s">
        <v>2396</v>
      </c>
      <c r="P518" s="22" t="s">
        <v>2396</v>
      </c>
      <c r="Q518" s="109" t="s">
        <v>2308</v>
      </c>
      <c r="R518" s="109" t="s">
        <v>2308</v>
      </c>
      <c r="S518" s="22" t="s">
        <v>2396</v>
      </c>
      <c r="T518" s="22" t="s">
        <v>2396</v>
      </c>
      <c r="U518" s="22" t="s">
        <v>2396</v>
      </c>
      <c r="V518" s="22" t="s">
        <v>2396</v>
      </c>
      <c r="W518" s="22" t="s">
        <v>2308</v>
      </c>
      <c r="X518" s="4" t="s">
        <v>2308</v>
      </c>
      <c r="Y518" s="4" t="s">
        <v>2308</v>
      </c>
      <c r="Z518" s="4" t="s">
        <v>2308</v>
      </c>
      <c r="AA518" s="4" t="s">
        <v>756</v>
      </c>
      <c r="AB518" s="4"/>
    </row>
    <row r="519" spans="1:28" ht="53.5" customHeight="1">
      <c r="A519" s="7" t="str">
        <f>'Reported burning'!A519</f>
        <v>48b</v>
      </c>
      <c r="B519" s="7" t="str">
        <f>'Reported burning'!B519</f>
        <v>48b.1</v>
      </c>
      <c r="C519" s="7" t="str">
        <f>'Reported burning'!C519</f>
        <v>Human, deliberate</v>
      </c>
      <c r="D519" s="7" t="str">
        <f>'Reported burning'!D519</f>
        <v>Crop field preparation</v>
      </c>
      <c r="E519" s="7" t="str">
        <f>'Reported burning'!E519</f>
        <v>Cropping, Swidden</v>
      </c>
      <c r="F519" s="7" t="str">
        <f>'Reported burning'!F519</f>
        <v>Secondary Vegetation</v>
      </c>
      <c r="G519" s="7" t="str">
        <f>'Reported burning'!G519</f>
        <v>ND</v>
      </c>
      <c r="H519" s="7" t="str">
        <f>'Reported burning'!H519</f>
        <v>Presence</v>
      </c>
      <c r="I519" s="12">
        <v>1996</v>
      </c>
      <c r="J519" s="22" t="s">
        <v>2308</v>
      </c>
      <c r="K519" s="110" t="s">
        <v>2308</v>
      </c>
      <c r="L519" s="22" t="s">
        <v>2308</v>
      </c>
      <c r="M519" s="22" t="s">
        <v>2308</v>
      </c>
      <c r="N519" s="22" t="s">
        <v>2308</v>
      </c>
      <c r="O519" s="22" t="s">
        <v>2394</v>
      </c>
      <c r="P519" s="22" t="s">
        <v>2308</v>
      </c>
      <c r="Q519" s="109" t="s">
        <v>2308</v>
      </c>
      <c r="R519" s="109" t="s">
        <v>2308</v>
      </c>
      <c r="S519" s="22" t="s">
        <v>2308</v>
      </c>
      <c r="T519" s="22" t="s">
        <v>2308</v>
      </c>
      <c r="U519" s="22" t="s">
        <v>2308</v>
      </c>
      <c r="V519" s="22" t="s">
        <v>2308</v>
      </c>
      <c r="W519" s="22" t="s">
        <v>2308</v>
      </c>
      <c r="X519" s="4" t="s">
        <v>2308</v>
      </c>
      <c r="Y519" s="4" t="s">
        <v>2308</v>
      </c>
      <c r="Z519" s="4" t="s">
        <v>2308</v>
      </c>
      <c r="AA519" s="4"/>
      <c r="AB519" s="5" t="s">
        <v>2083</v>
      </c>
    </row>
    <row r="520" spans="1:28" ht="35" customHeight="1">
      <c r="A520" s="7" t="str">
        <f>'Reported burning'!A520</f>
        <v>48b</v>
      </c>
      <c r="B520" s="7" t="str">
        <f>'Reported burning'!B520</f>
        <v>48b.2</v>
      </c>
      <c r="C520" s="7" t="str">
        <f>'Reported burning'!C520</f>
        <v>Human, deliberate</v>
      </c>
      <c r="D520" s="7" t="str">
        <f>'Reported burning'!D520</f>
        <v>Crop field preparation</v>
      </c>
      <c r="E520" s="7" t="str">
        <f>'Reported burning'!E520</f>
        <v>Cropping, Monoculture, Subsistence-oriented</v>
      </c>
      <c r="F520" s="7" t="str">
        <f>'Reported burning'!F520</f>
        <v>Cropland</v>
      </c>
      <c r="G520" s="7" t="str">
        <f>'Reported burning'!G520</f>
        <v>ND</v>
      </c>
      <c r="H520" s="7" t="str">
        <f>'Reported burning'!H520</f>
        <v>Absence</v>
      </c>
      <c r="I520" s="4"/>
      <c r="J520" s="22" t="s">
        <v>2396</v>
      </c>
      <c r="K520" s="110" t="s">
        <v>2396</v>
      </c>
      <c r="L520" s="22" t="s">
        <v>2396</v>
      </c>
      <c r="M520" s="22" t="s">
        <v>2396</v>
      </c>
      <c r="N520" s="22" t="s">
        <v>2396</v>
      </c>
      <c r="O520" s="22" t="s">
        <v>2396</v>
      </c>
      <c r="P520" s="22" t="s">
        <v>2396</v>
      </c>
      <c r="Q520" s="109" t="s">
        <v>2308</v>
      </c>
      <c r="R520" s="109" t="s">
        <v>2308</v>
      </c>
      <c r="S520" s="22" t="s">
        <v>2396</v>
      </c>
      <c r="T520" s="22" t="s">
        <v>2396</v>
      </c>
      <c r="U520" s="22" t="s">
        <v>2396</v>
      </c>
      <c r="V520" s="22" t="s">
        <v>2396</v>
      </c>
      <c r="W520" s="22" t="s">
        <v>2308</v>
      </c>
      <c r="X520" s="4" t="s">
        <v>2308</v>
      </c>
      <c r="Y520" s="4" t="s">
        <v>2308</v>
      </c>
      <c r="Z520" s="4" t="s">
        <v>2308</v>
      </c>
      <c r="AA520" s="4" t="s">
        <v>756</v>
      </c>
      <c r="AB520" s="4"/>
    </row>
    <row r="521" spans="1:28" ht="34.5" customHeight="1">
      <c r="A521" s="7" t="str">
        <f>'Reported burning'!A521</f>
        <v>49a</v>
      </c>
      <c r="B521" s="7" t="str">
        <f>'Reported burning'!B521</f>
        <v>49a.1</v>
      </c>
      <c r="C521" s="7" t="str">
        <f>'Reported burning'!C521</f>
        <v>Human, deliberate</v>
      </c>
      <c r="D521" s="7" t="str">
        <f>'Reported burning'!D521</f>
        <v>Crop field preparation</v>
      </c>
      <c r="E521" s="7" t="str">
        <f>'Reported burning'!E521</f>
        <v>Cropping, Swidden</v>
      </c>
      <c r="F521" s="7" t="str">
        <f>'Reported burning'!F521</f>
        <v>Secondary Vegetation</v>
      </c>
      <c r="G521" s="7" t="str">
        <f>'Reported burning'!G521</f>
        <v>ND</v>
      </c>
      <c r="H521" s="7" t="str">
        <f>'Reported burning'!H521</f>
        <v>Presence</v>
      </c>
      <c r="I521" s="4"/>
      <c r="J521" s="22" t="s">
        <v>2308</v>
      </c>
      <c r="K521" s="110" t="s">
        <v>2308</v>
      </c>
      <c r="L521" s="22" t="s">
        <v>2308</v>
      </c>
      <c r="M521" s="22" t="s">
        <v>2308</v>
      </c>
      <c r="N521" s="22" t="s">
        <v>2308</v>
      </c>
      <c r="O521" s="22" t="s">
        <v>2308</v>
      </c>
      <c r="P521" s="22" t="s">
        <v>2308</v>
      </c>
      <c r="Q521" s="109" t="s">
        <v>2308</v>
      </c>
      <c r="R521" s="109" t="s">
        <v>2308</v>
      </c>
      <c r="S521" s="22" t="s">
        <v>2308</v>
      </c>
      <c r="T521" s="22" t="s">
        <v>2308</v>
      </c>
      <c r="U521" s="22" t="s">
        <v>2308</v>
      </c>
      <c r="V521" s="22" t="s">
        <v>2308</v>
      </c>
      <c r="W521" s="22" t="s">
        <v>2437</v>
      </c>
      <c r="X521" s="4" t="s">
        <v>2308</v>
      </c>
      <c r="Y521" s="4" t="s">
        <v>2308</v>
      </c>
      <c r="Z521" s="4" t="s">
        <v>2308</v>
      </c>
      <c r="AA521" s="4"/>
      <c r="AB521" s="4" t="s">
        <v>728</v>
      </c>
    </row>
    <row r="522" spans="1:28" ht="75" customHeight="1">
      <c r="A522" s="7" t="str">
        <f>'Reported burning'!A522</f>
        <v>49b</v>
      </c>
      <c r="B522" s="7" t="str">
        <f>'Reported burning'!B522</f>
        <v>49b.1</v>
      </c>
      <c r="C522" s="7" t="str">
        <f>'Reported burning'!C522</f>
        <v>Human, deliberate</v>
      </c>
      <c r="D522" s="7" t="str">
        <f>'Reported burning'!D522</f>
        <v>Crop field preparation</v>
      </c>
      <c r="E522" s="7" t="str">
        <f>'Reported burning'!E522</f>
        <v>Cropping, Monoculture, Market-oriented</v>
      </c>
      <c r="F522" s="7" t="str">
        <f>'Reported burning'!F522</f>
        <v>Cropland</v>
      </c>
      <c r="G522" s="7" t="str">
        <f>'Reported burning'!G522</f>
        <v>ND</v>
      </c>
      <c r="H522" s="7" t="str">
        <f>'Reported burning'!H522</f>
        <v>Absence</v>
      </c>
      <c r="I522" s="4"/>
      <c r="J522" s="22" t="s">
        <v>2396</v>
      </c>
      <c r="K522" s="110" t="s">
        <v>2396</v>
      </c>
      <c r="L522" s="22" t="s">
        <v>2396</v>
      </c>
      <c r="M522" s="22" t="s">
        <v>2396</v>
      </c>
      <c r="N522" s="22" t="s">
        <v>2396</v>
      </c>
      <c r="O522" s="22" t="s">
        <v>2396</v>
      </c>
      <c r="P522" s="22" t="s">
        <v>2396</v>
      </c>
      <c r="Q522" s="109" t="s">
        <v>2308</v>
      </c>
      <c r="R522" s="109" t="s">
        <v>2308</v>
      </c>
      <c r="S522" s="22" t="s">
        <v>2396</v>
      </c>
      <c r="T522" s="22" t="s">
        <v>2396</v>
      </c>
      <c r="U522" s="22" t="s">
        <v>2396</v>
      </c>
      <c r="V522" s="22" t="s">
        <v>2396</v>
      </c>
      <c r="W522" s="22" t="s">
        <v>2308</v>
      </c>
      <c r="X522" s="4" t="s">
        <v>2308</v>
      </c>
      <c r="Y522" s="4" t="s">
        <v>2308</v>
      </c>
      <c r="Z522" s="4" t="s">
        <v>2308</v>
      </c>
      <c r="AA522" s="5" t="s">
        <v>828</v>
      </c>
      <c r="AB522" s="4"/>
    </row>
    <row r="523" spans="1:28" ht="76" customHeight="1">
      <c r="A523" s="7" t="str">
        <f>'Reported burning'!A523</f>
        <v>49c</v>
      </c>
      <c r="B523" s="7" t="str">
        <f>'Reported burning'!B523</f>
        <v>49c.1</v>
      </c>
      <c r="C523" s="7" t="str">
        <f>'Reported burning'!C523</f>
        <v>Human, deliberate</v>
      </c>
      <c r="D523" s="7" t="str">
        <f>'Reported burning'!D523</f>
        <v>Crop field preparation</v>
      </c>
      <c r="E523" s="7" t="str">
        <f>'Reported burning'!E523</f>
        <v>Cropping, Monoculture, Market-oriented</v>
      </c>
      <c r="F523" s="7" t="str">
        <f>'Reported burning'!F523</f>
        <v>Cropland</v>
      </c>
      <c r="G523" s="7" t="str">
        <f>'Reported burning'!G523</f>
        <v>ND</v>
      </c>
      <c r="H523" s="7" t="str">
        <f>'Reported burning'!H523</f>
        <v>Absence</v>
      </c>
      <c r="I523" s="4"/>
      <c r="J523" s="22" t="s">
        <v>2396</v>
      </c>
      <c r="K523" s="110" t="s">
        <v>2396</v>
      </c>
      <c r="L523" s="22" t="s">
        <v>2396</v>
      </c>
      <c r="M523" s="22" t="s">
        <v>2396</v>
      </c>
      <c r="N523" s="22" t="s">
        <v>2396</v>
      </c>
      <c r="O523" s="22" t="s">
        <v>2396</v>
      </c>
      <c r="P523" s="22" t="s">
        <v>2396</v>
      </c>
      <c r="Q523" s="109" t="s">
        <v>2308</v>
      </c>
      <c r="R523" s="109" t="s">
        <v>2308</v>
      </c>
      <c r="S523" s="22" t="s">
        <v>2396</v>
      </c>
      <c r="T523" s="22" t="s">
        <v>2396</v>
      </c>
      <c r="U523" s="22" t="s">
        <v>2396</v>
      </c>
      <c r="V523" s="22" t="s">
        <v>2396</v>
      </c>
      <c r="W523" s="22" t="s">
        <v>2308</v>
      </c>
      <c r="X523" s="4" t="s">
        <v>2308</v>
      </c>
      <c r="Y523" s="4" t="s">
        <v>2308</v>
      </c>
      <c r="Z523" s="4" t="s">
        <v>2308</v>
      </c>
      <c r="AA523" s="5" t="s">
        <v>828</v>
      </c>
      <c r="AB523" s="4"/>
    </row>
    <row r="524" spans="1:28" ht="27" customHeight="1">
      <c r="A524" s="7" t="str">
        <f>'Reported burning'!A524</f>
        <v>49d</v>
      </c>
      <c r="B524" s="7" t="str">
        <f>'Reported burning'!B524</f>
        <v>49d.1</v>
      </c>
      <c r="C524" s="7" t="str">
        <f>'Reported burning'!C524</f>
        <v>Human, deliberate</v>
      </c>
      <c r="D524" s="7" t="str">
        <f>'Reported burning'!D524</f>
        <v>Crop field preparation</v>
      </c>
      <c r="E524" s="7" t="str">
        <f>'Reported burning'!E524</f>
        <v>Cropping, Swidden</v>
      </c>
      <c r="F524" s="7" t="str">
        <f>'Reported burning'!F524</f>
        <v>Secondary Vegetation</v>
      </c>
      <c r="G524" s="7" t="str">
        <f>'Reported burning'!G524</f>
        <v>ND</v>
      </c>
      <c r="H524" s="7" t="str">
        <f>'Reported burning'!H524</f>
        <v>Presence</v>
      </c>
      <c r="I524" s="4"/>
      <c r="J524" s="22" t="s">
        <v>2308</v>
      </c>
      <c r="K524" s="110" t="s">
        <v>2308</v>
      </c>
      <c r="L524" s="22" t="s">
        <v>2308</v>
      </c>
      <c r="M524" s="22" t="s">
        <v>2308</v>
      </c>
      <c r="N524" s="22" t="s">
        <v>2308</v>
      </c>
      <c r="O524" s="22" t="s">
        <v>2308</v>
      </c>
      <c r="P524" s="22" t="s">
        <v>2308</v>
      </c>
      <c r="Q524" s="109" t="s">
        <v>2308</v>
      </c>
      <c r="R524" s="109" t="s">
        <v>2308</v>
      </c>
      <c r="S524" s="22" t="s">
        <v>2308</v>
      </c>
      <c r="T524" s="22" t="s">
        <v>2308</v>
      </c>
      <c r="U524" s="22" t="s">
        <v>2308</v>
      </c>
      <c r="V524" s="22" t="s">
        <v>2308</v>
      </c>
      <c r="W524" s="22" t="s">
        <v>2308</v>
      </c>
      <c r="X524" s="4" t="s">
        <v>2308</v>
      </c>
      <c r="Y524" s="4" t="s">
        <v>2308</v>
      </c>
      <c r="Z524" s="4" t="s">
        <v>2308</v>
      </c>
      <c r="AA524" s="4"/>
      <c r="AB524" s="4" t="s">
        <v>2087</v>
      </c>
    </row>
    <row r="525" spans="1:28" ht="24.5" customHeight="1">
      <c r="A525" s="7" t="str">
        <f>'Reported burning'!A525</f>
        <v>49e</v>
      </c>
      <c r="B525" s="7" t="str">
        <f>'Reported burning'!B525</f>
        <v>49e.1</v>
      </c>
      <c r="C525" s="7" t="str">
        <f>'Reported burning'!C525</f>
        <v>Human, deliberate</v>
      </c>
      <c r="D525" s="7" t="str">
        <f>'Reported burning'!D525</f>
        <v>Crop field preparation</v>
      </c>
      <c r="E525" s="7" t="str">
        <f>'Reported burning'!E525</f>
        <v>Cropping, Swidden</v>
      </c>
      <c r="F525" s="7" t="str">
        <f>'Reported burning'!F525</f>
        <v>Secondary Vegetation</v>
      </c>
      <c r="G525" s="7" t="str">
        <f>'Reported burning'!G525</f>
        <v>ND</v>
      </c>
      <c r="H525" s="7" t="str">
        <f>'Reported burning'!H525</f>
        <v>Presence</v>
      </c>
      <c r="I525" s="4"/>
      <c r="J525" s="22" t="s">
        <v>2308</v>
      </c>
      <c r="K525" s="110" t="s">
        <v>2308</v>
      </c>
      <c r="L525" s="22" t="s">
        <v>2308</v>
      </c>
      <c r="M525" s="22" t="s">
        <v>2308</v>
      </c>
      <c r="N525" s="22" t="s">
        <v>2308</v>
      </c>
      <c r="O525" s="22" t="s">
        <v>2308</v>
      </c>
      <c r="P525" s="22" t="s">
        <v>2308</v>
      </c>
      <c r="Q525" s="109" t="s">
        <v>2308</v>
      </c>
      <c r="R525" s="109" t="s">
        <v>2308</v>
      </c>
      <c r="S525" s="22" t="s">
        <v>2308</v>
      </c>
      <c r="T525" s="22" t="s">
        <v>2308</v>
      </c>
      <c r="U525" s="22" t="s">
        <v>2308</v>
      </c>
      <c r="V525" s="22" t="s">
        <v>2308</v>
      </c>
      <c r="W525" s="22" t="s">
        <v>2434</v>
      </c>
      <c r="X525" s="4" t="s">
        <v>2308</v>
      </c>
      <c r="Y525" s="4" t="s">
        <v>2308</v>
      </c>
      <c r="Z525" s="4" t="s">
        <v>2308</v>
      </c>
      <c r="AA525" s="4"/>
      <c r="AB525" s="4" t="s">
        <v>2088</v>
      </c>
    </row>
    <row r="526" spans="1:28" ht="27" customHeight="1">
      <c r="A526" s="7" t="str">
        <f>'Reported burning'!A526</f>
        <v>49f</v>
      </c>
      <c r="B526" s="7" t="str">
        <f>'Reported burning'!B526</f>
        <v>49f.1</v>
      </c>
      <c r="C526" s="7" t="str">
        <f>'Reported burning'!C526</f>
        <v>Human, deliberate</v>
      </c>
      <c r="D526" s="7" t="str">
        <f>'Reported burning'!D526</f>
        <v>Crop field preparation</v>
      </c>
      <c r="E526" s="7" t="str">
        <f>'Reported burning'!E526</f>
        <v>Cropping, Swidden</v>
      </c>
      <c r="F526" s="7" t="str">
        <f>'Reported burning'!F526</f>
        <v>Secondary Vegetation</v>
      </c>
      <c r="G526" s="7" t="str">
        <f>'Reported burning'!G526</f>
        <v>ND</v>
      </c>
      <c r="H526" s="7" t="str">
        <f>'Reported burning'!H526</f>
        <v>Presence</v>
      </c>
      <c r="I526" s="4"/>
      <c r="J526" s="22" t="s">
        <v>2308</v>
      </c>
      <c r="K526" s="110" t="s">
        <v>2308</v>
      </c>
      <c r="L526" s="22" t="s">
        <v>2308</v>
      </c>
      <c r="M526" s="22" t="s">
        <v>2308</v>
      </c>
      <c r="N526" s="22" t="s">
        <v>2308</v>
      </c>
      <c r="O526" s="22" t="s">
        <v>2308</v>
      </c>
      <c r="P526" s="22" t="s">
        <v>2308</v>
      </c>
      <c r="Q526" s="109" t="s">
        <v>2308</v>
      </c>
      <c r="R526" s="109" t="s">
        <v>2308</v>
      </c>
      <c r="S526" s="22" t="s">
        <v>2308</v>
      </c>
      <c r="T526" s="22" t="s">
        <v>2308</v>
      </c>
      <c r="U526" s="22" t="s">
        <v>2308</v>
      </c>
      <c r="V526" s="22" t="s">
        <v>2308</v>
      </c>
      <c r="W526" s="22" t="s">
        <v>2435</v>
      </c>
      <c r="X526" s="4" t="s">
        <v>2308</v>
      </c>
      <c r="Y526" s="4" t="s">
        <v>2308</v>
      </c>
      <c r="Z526" s="4" t="s">
        <v>2308</v>
      </c>
      <c r="AA526" s="4"/>
      <c r="AB526" s="4" t="s">
        <v>728</v>
      </c>
    </row>
    <row r="527" spans="1:28" ht="32" customHeight="1">
      <c r="A527" s="7" t="str">
        <f>'Reported burning'!A527</f>
        <v>50a</v>
      </c>
      <c r="B527" s="7" t="str">
        <f>'Reported burning'!B527</f>
        <v>50a.1</v>
      </c>
      <c r="C527" s="7" t="str">
        <f>'Reported burning'!C527</f>
        <v>Human, deliberate</v>
      </c>
      <c r="D527" s="7" t="str">
        <f>'Reported burning'!D527</f>
        <v>Crop field preparation</v>
      </c>
      <c r="E527" s="7" t="str">
        <f>'Reported burning'!E527</f>
        <v>Cropping, Swidden</v>
      </c>
      <c r="F527" s="7" t="str">
        <f>'Reported burning'!F527</f>
        <v>Secondary Vegetation</v>
      </c>
      <c r="G527" s="7">
        <f>'Reported burning'!G527</f>
        <v>0</v>
      </c>
      <c r="H527" s="7" t="str">
        <f>'Reported burning'!H527</f>
        <v>Presence</v>
      </c>
      <c r="I527" s="4"/>
      <c r="J527" s="22" t="s">
        <v>2308</v>
      </c>
      <c r="K527" s="110" t="s">
        <v>2308</v>
      </c>
      <c r="L527" s="22" t="s">
        <v>2308</v>
      </c>
      <c r="M527" s="22" t="s">
        <v>2308</v>
      </c>
      <c r="N527" s="22" t="s">
        <v>2308</v>
      </c>
      <c r="O527" s="22" t="s">
        <v>2308</v>
      </c>
      <c r="P527" s="22" t="s">
        <v>2308</v>
      </c>
      <c r="Q527" s="109" t="s">
        <v>2308</v>
      </c>
      <c r="R527" s="109" t="s">
        <v>2308</v>
      </c>
      <c r="S527" s="22" t="s">
        <v>2308</v>
      </c>
      <c r="T527" s="22" t="s">
        <v>2308</v>
      </c>
      <c r="U527" s="22" t="s">
        <v>2308</v>
      </c>
      <c r="V527" s="22" t="s">
        <v>2308</v>
      </c>
      <c r="W527" s="22" t="s">
        <v>2308</v>
      </c>
      <c r="X527" s="4" t="s">
        <v>2308</v>
      </c>
      <c r="Y527" s="4" t="s">
        <v>2308</v>
      </c>
      <c r="Z527" s="4" t="s">
        <v>2308</v>
      </c>
      <c r="AA527" s="4"/>
      <c r="AB527" s="4" t="s">
        <v>728</v>
      </c>
    </row>
    <row r="528" spans="1:28" ht="54.5" customHeight="1">
      <c r="A528" s="7" t="str">
        <f>'Reported burning'!A528</f>
        <v>51a</v>
      </c>
      <c r="B528" s="7" t="str">
        <f>'Reported burning'!B528</f>
        <v>51a.1</v>
      </c>
      <c r="C528" s="7" t="str">
        <f>'Reported burning'!C528</f>
        <v>Human, deliberate</v>
      </c>
      <c r="D528" s="7" t="str">
        <f>'Reported burning'!D528</f>
        <v>Crop field preparation</v>
      </c>
      <c r="E528" s="7" t="str">
        <f>'Reported burning'!E528</f>
        <v>Cropping, Swidden</v>
      </c>
      <c r="F528" s="7" t="str">
        <f>'Reported burning'!F528</f>
        <v>Secondary Vegetation</v>
      </c>
      <c r="G528" s="7">
        <f>'Reported burning'!G528</f>
        <v>0</v>
      </c>
      <c r="H528" s="7" t="str">
        <f>'Reported burning'!H528</f>
        <v>Presence</v>
      </c>
      <c r="I528" s="4"/>
      <c r="J528" s="22" t="s">
        <v>2308</v>
      </c>
      <c r="K528" s="110" t="s">
        <v>2308</v>
      </c>
      <c r="L528" s="22" t="s">
        <v>2308</v>
      </c>
      <c r="M528" s="22" t="s">
        <v>2308</v>
      </c>
      <c r="N528" s="22" t="s">
        <v>2308</v>
      </c>
      <c r="O528" s="22" t="s">
        <v>2308</v>
      </c>
      <c r="P528" s="22" t="s">
        <v>2308</v>
      </c>
      <c r="Q528" s="109" t="s">
        <v>2308</v>
      </c>
      <c r="R528" s="109" t="s">
        <v>2308</v>
      </c>
      <c r="S528" s="22" t="s">
        <v>2408</v>
      </c>
      <c r="T528" s="22" t="s">
        <v>2308</v>
      </c>
      <c r="U528" s="22" t="s">
        <v>2406</v>
      </c>
      <c r="V528" s="22" t="s">
        <v>2308</v>
      </c>
      <c r="W528" s="110" t="s">
        <v>2434</v>
      </c>
      <c r="X528" s="4" t="s">
        <v>2308</v>
      </c>
      <c r="Y528" s="4" t="s">
        <v>2308</v>
      </c>
      <c r="Z528" s="4" t="s">
        <v>2308</v>
      </c>
      <c r="AA528" s="5"/>
      <c r="AB528" s="5" t="s">
        <v>2095</v>
      </c>
    </row>
    <row r="529" spans="1:28" ht="41" customHeight="1">
      <c r="A529" s="7" t="str">
        <f>'Reported burning'!A529</f>
        <v>51a</v>
      </c>
      <c r="B529" s="7" t="str">
        <f>'Reported burning'!B529</f>
        <v>51a.2</v>
      </c>
      <c r="C529" s="7" t="str">
        <f>'Reported burning'!C529</f>
        <v>Human, deliberate</v>
      </c>
      <c r="D529" s="7" t="str">
        <f>'Reported burning'!D529</f>
        <v>Crop field preparation</v>
      </c>
      <c r="E529" s="7" t="str">
        <f>'Reported burning'!E529</f>
        <v>Cropping, Swidden</v>
      </c>
      <c r="F529" s="7" t="str">
        <f>'Reported burning'!F529</f>
        <v>Forest</v>
      </c>
      <c r="G529" s="7">
        <f>'Reported burning'!G529</f>
        <v>0</v>
      </c>
      <c r="H529" s="7" t="str">
        <f>'Reported burning'!H529</f>
        <v>Absence</v>
      </c>
      <c r="I529" s="4"/>
      <c r="J529" s="22" t="s">
        <v>2396</v>
      </c>
      <c r="K529" s="110" t="s">
        <v>2396</v>
      </c>
      <c r="L529" s="22" t="s">
        <v>2396</v>
      </c>
      <c r="M529" s="22" t="s">
        <v>2396</v>
      </c>
      <c r="N529" s="22" t="s">
        <v>2396</v>
      </c>
      <c r="O529" s="22" t="s">
        <v>2396</v>
      </c>
      <c r="P529" s="22" t="s">
        <v>2396</v>
      </c>
      <c r="Q529" s="109" t="s">
        <v>2308</v>
      </c>
      <c r="R529" s="109" t="s">
        <v>2308</v>
      </c>
      <c r="S529" s="22" t="s">
        <v>2396</v>
      </c>
      <c r="T529" s="22" t="s">
        <v>2396</v>
      </c>
      <c r="U529" s="22" t="s">
        <v>2396</v>
      </c>
      <c r="V529" s="22" t="s">
        <v>2396</v>
      </c>
      <c r="W529" s="22" t="s">
        <v>2308</v>
      </c>
      <c r="X529" s="4" t="s">
        <v>2308</v>
      </c>
      <c r="Y529" s="4" t="s">
        <v>2308</v>
      </c>
      <c r="Z529" s="4" t="s">
        <v>2308</v>
      </c>
      <c r="AA529" s="4"/>
      <c r="AB529" s="4"/>
    </row>
    <row r="530" spans="1:28" ht="56" customHeight="1">
      <c r="A530" s="7" t="str">
        <f>'Reported burning'!A530</f>
        <v>51a</v>
      </c>
      <c r="B530" s="7" t="str">
        <f>'Reported burning'!B530</f>
        <v>51a.3</v>
      </c>
      <c r="C530" s="7" t="str">
        <f>'Reported burning'!C530</f>
        <v>Human, deliberate</v>
      </c>
      <c r="D530" s="7" t="str">
        <f>'Reported burning'!D530</f>
        <v>Forest clearance</v>
      </c>
      <c r="E530" s="7" t="str">
        <f>'Reported burning'!E530</f>
        <v>Cropping, Monoculture, Subsistence-oriented</v>
      </c>
      <c r="F530" s="7" t="str">
        <f>'Reported burning'!F530</f>
        <v>Forest</v>
      </c>
      <c r="G530" s="7">
        <f>'Reported burning'!G530</f>
        <v>0</v>
      </c>
      <c r="H530" s="7" t="str">
        <f>'Reported burning'!H530</f>
        <v>Absence</v>
      </c>
      <c r="I530" s="4"/>
      <c r="J530" s="22" t="s">
        <v>2396</v>
      </c>
      <c r="K530" s="110" t="s">
        <v>2396</v>
      </c>
      <c r="L530" s="22" t="s">
        <v>2396</v>
      </c>
      <c r="M530" s="22" t="s">
        <v>2396</v>
      </c>
      <c r="N530" s="22" t="s">
        <v>2396</v>
      </c>
      <c r="O530" s="22" t="s">
        <v>2396</v>
      </c>
      <c r="P530" s="22" t="s">
        <v>2396</v>
      </c>
      <c r="Q530" s="109" t="s">
        <v>2308</v>
      </c>
      <c r="R530" s="109" t="s">
        <v>2308</v>
      </c>
      <c r="S530" s="22" t="s">
        <v>2396</v>
      </c>
      <c r="T530" s="22" t="s">
        <v>2396</v>
      </c>
      <c r="U530" s="22" t="s">
        <v>2396</v>
      </c>
      <c r="V530" s="22" t="s">
        <v>2396</v>
      </c>
      <c r="W530" s="22" t="s">
        <v>2308</v>
      </c>
      <c r="X530" s="4" t="s">
        <v>2308</v>
      </c>
      <c r="Y530" s="4" t="s">
        <v>2308</v>
      </c>
      <c r="Z530" s="4" t="s">
        <v>2308</v>
      </c>
      <c r="AA530" s="4"/>
      <c r="AB530" s="4"/>
    </row>
    <row r="531" spans="1:28" ht="51" customHeight="1">
      <c r="A531" s="7" t="str">
        <f>'Reported burning'!A531</f>
        <v>52a</v>
      </c>
      <c r="B531" s="7" t="str">
        <f>'Reported burning'!B531</f>
        <v>52a.1</v>
      </c>
      <c r="C531" s="7" t="str">
        <f>'Reported burning'!C531</f>
        <v>Human, deliberate</v>
      </c>
      <c r="D531" s="7" t="str">
        <f>'Reported burning'!D531</f>
        <v>Crop field preparation</v>
      </c>
      <c r="E531" s="7" t="str">
        <f>'Reported burning'!E531</f>
        <v>Cropping, Swidden</v>
      </c>
      <c r="F531" s="7" t="str">
        <f>'Reported burning'!F531</f>
        <v>Secondary Vegetation</v>
      </c>
      <c r="G531" s="7">
        <f>'Reported burning'!G531</f>
        <v>0</v>
      </c>
      <c r="H531" s="7" t="str">
        <f>'Reported burning'!H531</f>
        <v>Presence</v>
      </c>
      <c r="I531" s="4"/>
      <c r="J531" s="22" t="s">
        <v>2308</v>
      </c>
      <c r="K531" s="110" t="s">
        <v>2394</v>
      </c>
      <c r="L531" s="22" t="s">
        <v>2308</v>
      </c>
      <c r="M531" s="22" t="s">
        <v>2406</v>
      </c>
      <c r="N531" s="22" t="s">
        <v>2308</v>
      </c>
      <c r="O531" s="22" t="s">
        <v>2405</v>
      </c>
      <c r="P531" s="22" t="s">
        <v>2308</v>
      </c>
      <c r="Q531" s="109" t="s">
        <v>2308</v>
      </c>
      <c r="R531" s="109" t="s">
        <v>2308</v>
      </c>
      <c r="S531" s="22" t="s">
        <v>2308</v>
      </c>
      <c r="T531" s="22" t="s">
        <v>2308</v>
      </c>
      <c r="U531" s="22" t="s">
        <v>2308</v>
      </c>
      <c r="V531" s="22" t="s">
        <v>2308</v>
      </c>
      <c r="W531" s="22" t="s">
        <v>2308</v>
      </c>
      <c r="X531" s="4" t="s">
        <v>2308</v>
      </c>
      <c r="Y531" s="4" t="s">
        <v>2308</v>
      </c>
      <c r="Z531" s="4" t="s">
        <v>2308</v>
      </c>
      <c r="AA531" s="5" t="s">
        <v>847</v>
      </c>
      <c r="AB531" s="5" t="s">
        <v>2098</v>
      </c>
    </row>
    <row r="532" spans="1:28" ht="42" customHeight="1">
      <c r="A532" s="7" t="str">
        <f>'Reported burning'!A532</f>
        <v>52a</v>
      </c>
      <c r="B532" s="7" t="str">
        <f>'Reported burning'!B532</f>
        <v>52a.1</v>
      </c>
      <c r="C532" s="7" t="str">
        <f>'Reported burning'!C532</f>
        <v>Human, deliberate</v>
      </c>
      <c r="D532" s="7" t="str">
        <f>'Reported burning'!D532</f>
        <v>Crop field preparation</v>
      </c>
      <c r="E532" s="7" t="str">
        <f>'Reported burning'!E532</f>
        <v>Cropping, Monoculture, Subsistence-oriented</v>
      </c>
      <c r="F532" s="7" t="str">
        <f>'Reported burning'!F532</f>
        <v>Cropland</v>
      </c>
      <c r="G532" s="7">
        <f>'Reported burning'!G532</f>
        <v>0</v>
      </c>
      <c r="H532" s="7" t="str">
        <f>'Reported burning'!H532</f>
        <v>Absence</v>
      </c>
      <c r="I532" s="4" t="s">
        <v>532</v>
      </c>
      <c r="J532" s="22" t="s">
        <v>2396</v>
      </c>
      <c r="K532" s="110" t="s">
        <v>2396</v>
      </c>
      <c r="L532" s="22" t="s">
        <v>2396</v>
      </c>
      <c r="M532" s="22" t="s">
        <v>2396</v>
      </c>
      <c r="N532" s="22" t="s">
        <v>2396</v>
      </c>
      <c r="O532" s="22" t="s">
        <v>2396</v>
      </c>
      <c r="P532" s="22" t="s">
        <v>2396</v>
      </c>
      <c r="Q532" s="109" t="s">
        <v>2308</v>
      </c>
      <c r="R532" s="109" t="s">
        <v>2308</v>
      </c>
      <c r="S532" s="22" t="s">
        <v>2396</v>
      </c>
      <c r="T532" s="22" t="s">
        <v>2396</v>
      </c>
      <c r="U532" s="22" t="s">
        <v>2396</v>
      </c>
      <c r="V532" s="22" t="s">
        <v>2396</v>
      </c>
      <c r="W532" s="110" t="s">
        <v>2308</v>
      </c>
      <c r="X532" s="4" t="s">
        <v>2308</v>
      </c>
      <c r="Y532" s="4" t="s">
        <v>2308</v>
      </c>
      <c r="Z532" s="4" t="s">
        <v>2308</v>
      </c>
      <c r="AA532" s="4" t="s">
        <v>846</v>
      </c>
      <c r="AB532" s="4"/>
    </row>
    <row r="533" spans="1:28" ht="38" customHeight="1">
      <c r="A533" s="7" t="str">
        <f>'Reported burning'!A533</f>
        <v>53a</v>
      </c>
      <c r="B533" s="7" t="str">
        <f>'Reported burning'!B533</f>
        <v>53a.1</v>
      </c>
      <c r="C533" s="7" t="str">
        <f>'Reported burning'!C533</f>
        <v>Human, deliberate</v>
      </c>
      <c r="D533" s="7" t="str">
        <f>'Reported burning'!D533</f>
        <v>Crop field preparation</v>
      </c>
      <c r="E533" s="7" t="str">
        <f>'Reported burning'!E533</f>
        <v>Cropping, Swidden</v>
      </c>
      <c r="F533" s="7" t="str">
        <f>'Reported burning'!F533</f>
        <v>Secondary Vegetation</v>
      </c>
      <c r="G533" s="7">
        <f>'Reported burning'!G533</f>
        <v>0</v>
      </c>
      <c r="H533" s="7" t="str">
        <f>'Reported burning'!H533</f>
        <v>Presence</v>
      </c>
      <c r="I533" s="4"/>
      <c r="J533" s="22" t="s">
        <v>2308</v>
      </c>
      <c r="K533" s="110" t="s">
        <v>2308</v>
      </c>
      <c r="L533" s="22" t="s">
        <v>2308</v>
      </c>
      <c r="M533" s="22" t="s">
        <v>2308</v>
      </c>
      <c r="N533" s="22" t="s">
        <v>2308</v>
      </c>
      <c r="O533" s="22" t="s">
        <v>2308</v>
      </c>
      <c r="P533" s="22" t="s">
        <v>2308</v>
      </c>
      <c r="Q533" s="109" t="s">
        <v>2308</v>
      </c>
      <c r="R533" s="109" t="s">
        <v>2308</v>
      </c>
      <c r="S533" s="22" t="s">
        <v>2308</v>
      </c>
      <c r="T533" s="22" t="s">
        <v>2308</v>
      </c>
      <c r="U533" s="22" t="s">
        <v>2308</v>
      </c>
      <c r="V533" s="22" t="s">
        <v>2308</v>
      </c>
      <c r="W533" s="110" t="s">
        <v>2435</v>
      </c>
      <c r="X533" s="4" t="s">
        <v>2308</v>
      </c>
      <c r="Y533" s="4" t="s">
        <v>2308</v>
      </c>
      <c r="Z533" s="4" t="s">
        <v>2308</v>
      </c>
      <c r="AA533" s="5"/>
      <c r="AB533" s="4" t="s">
        <v>728</v>
      </c>
    </row>
    <row r="534" spans="1:28" ht="38.5" customHeight="1">
      <c r="A534" s="7" t="str">
        <f>'Reported burning'!A534</f>
        <v>54a</v>
      </c>
      <c r="B534" s="7" t="str">
        <f>'Reported burning'!B534</f>
        <v>54a</v>
      </c>
      <c r="C534" s="7" t="str">
        <f>'Reported burning'!C534</f>
        <v>Human, deliberate</v>
      </c>
      <c r="D534" s="7" t="str">
        <f>'Reported burning'!D534</f>
        <v>Crop field preparation</v>
      </c>
      <c r="E534" s="7" t="str">
        <f>'Reported burning'!E534</f>
        <v>Cropping, Monoculture, Subsistence-oriented</v>
      </c>
      <c r="F534" s="7" t="str">
        <f>'Reported burning'!F534</f>
        <v>Secondary Vegetation</v>
      </c>
      <c r="G534" s="7">
        <f>'Reported burning'!G534</f>
        <v>0</v>
      </c>
      <c r="H534" s="7" t="str">
        <f>'Reported burning'!H534</f>
        <v>Absence</v>
      </c>
      <c r="I534" s="4"/>
      <c r="J534" s="22" t="s">
        <v>2308</v>
      </c>
      <c r="K534" s="110" t="s">
        <v>2308</v>
      </c>
      <c r="L534" s="22" t="s">
        <v>2308</v>
      </c>
      <c r="M534" s="22" t="s">
        <v>2308</v>
      </c>
      <c r="N534" s="22" t="s">
        <v>2308</v>
      </c>
      <c r="O534" s="22" t="s">
        <v>2308</v>
      </c>
      <c r="P534" s="22" t="s">
        <v>2308</v>
      </c>
      <c r="Q534" s="109" t="s">
        <v>2308</v>
      </c>
      <c r="R534" s="109" t="s">
        <v>2308</v>
      </c>
      <c r="S534" s="22" t="s">
        <v>2308</v>
      </c>
      <c r="T534" s="22" t="s">
        <v>2308</v>
      </c>
      <c r="U534" s="22" t="s">
        <v>2308</v>
      </c>
      <c r="V534" s="22" t="s">
        <v>2308</v>
      </c>
      <c r="W534" s="110" t="s">
        <v>2308</v>
      </c>
      <c r="X534" s="4" t="s">
        <v>2308</v>
      </c>
      <c r="Y534" s="4" t="s">
        <v>2308</v>
      </c>
      <c r="Z534" s="4" t="s">
        <v>2308</v>
      </c>
      <c r="AA534" s="5" t="s">
        <v>866</v>
      </c>
      <c r="AB534" s="5"/>
    </row>
    <row r="535" spans="1:28" ht="38.5" customHeight="1">
      <c r="A535" s="7" t="str">
        <f>'Reported burning'!A535</f>
        <v>54b</v>
      </c>
      <c r="B535" s="7" t="str">
        <f>'Reported burning'!B535</f>
        <v>54b.1</v>
      </c>
      <c r="C535" s="7" t="str">
        <f>'Reported burning'!C535</f>
        <v>Human, deliberate</v>
      </c>
      <c r="D535" s="7" t="str">
        <f>'Reported burning'!D535</f>
        <v>Crop field preparation</v>
      </c>
      <c r="E535" s="7" t="str">
        <f>'Reported burning'!E535</f>
        <v>Cropping, Swidden</v>
      </c>
      <c r="F535" s="7" t="str">
        <f>'Reported burning'!F535</f>
        <v>Secondary Vegetation</v>
      </c>
      <c r="G535" s="7">
        <f>'Reported burning'!G535</f>
        <v>0</v>
      </c>
      <c r="H535" s="7" t="str">
        <f>'Reported burning'!H535</f>
        <v>Presence</v>
      </c>
      <c r="I535" s="4"/>
      <c r="J535" s="22" t="s">
        <v>2308</v>
      </c>
      <c r="K535" s="110" t="s">
        <v>2394</v>
      </c>
      <c r="L535" s="22" t="s">
        <v>2308</v>
      </c>
      <c r="M535" s="22" t="s">
        <v>2405</v>
      </c>
      <c r="N535" s="22" t="s">
        <v>2308</v>
      </c>
      <c r="O535" s="22" t="s">
        <v>2308</v>
      </c>
      <c r="P535" s="22" t="s">
        <v>2308</v>
      </c>
      <c r="Q535" s="109" t="s">
        <v>2308</v>
      </c>
      <c r="R535" s="109" t="s">
        <v>2308</v>
      </c>
      <c r="S535" s="22" t="s">
        <v>2308</v>
      </c>
      <c r="T535" s="22" t="s">
        <v>2308</v>
      </c>
      <c r="U535" s="22" t="s">
        <v>2308</v>
      </c>
      <c r="V535" s="22" t="s">
        <v>2308</v>
      </c>
      <c r="W535" s="110" t="s">
        <v>2435</v>
      </c>
      <c r="X535" s="4" t="s">
        <v>2308</v>
      </c>
      <c r="Y535" s="4" t="s">
        <v>2308</v>
      </c>
      <c r="Z535" s="4" t="s">
        <v>2308</v>
      </c>
      <c r="AA535" s="5"/>
      <c r="AB535" s="5" t="s">
        <v>2101</v>
      </c>
    </row>
    <row r="536" spans="1:28" ht="43.5" customHeight="1">
      <c r="A536" s="7" t="str">
        <f>'Reported burning'!A536</f>
        <v>54c</v>
      </c>
      <c r="B536" s="7" t="str">
        <f>'Reported burning'!B536</f>
        <v>54c</v>
      </c>
      <c r="C536" s="7" t="str">
        <f>'Reported burning'!C536</f>
        <v>Human, deliberate</v>
      </c>
      <c r="D536" s="7" t="str">
        <f>'Reported burning'!D536</f>
        <v>Crop field preparation</v>
      </c>
      <c r="E536" s="7" t="str">
        <f>'Reported burning'!E536</f>
        <v>Cropping, Monoculture, Subsistence-oriented</v>
      </c>
      <c r="F536" s="7" t="str">
        <f>'Reported burning'!F536</f>
        <v>Secondary Vegetation</v>
      </c>
      <c r="G536" s="7">
        <f>'Reported burning'!G536</f>
        <v>0</v>
      </c>
      <c r="H536" s="7" t="str">
        <f>'Reported burning'!H536</f>
        <v>Absence</v>
      </c>
      <c r="I536" s="4"/>
      <c r="J536" s="22" t="s">
        <v>2396</v>
      </c>
      <c r="K536" s="110" t="s">
        <v>2396</v>
      </c>
      <c r="L536" s="22" t="s">
        <v>2396</v>
      </c>
      <c r="M536" s="22" t="s">
        <v>2396</v>
      </c>
      <c r="N536" s="22" t="s">
        <v>2396</v>
      </c>
      <c r="O536" s="22" t="s">
        <v>2396</v>
      </c>
      <c r="P536" s="22" t="s">
        <v>2396</v>
      </c>
      <c r="Q536" s="109" t="s">
        <v>2308</v>
      </c>
      <c r="R536" s="109" t="s">
        <v>2308</v>
      </c>
      <c r="S536" s="22" t="s">
        <v>2396</v>
      </c>
      <c r="T536" s="22" t="s">
        <v>2396</v>
      </c>
      <c r="U536" s="22" t="s">
        <v>2396</v>
      </c>
      <c r="V536" s="22" t="s">
        <v>2396</v>
      </c>
      <c r="W536" s="110" t="s">
        <v>2308</v>
      </c>
      <c r="X536" s="4" t="s">
        <v>2308</v>
      </c>
      <c r="Y536" s="4" t="s">
        <v>2308</v>
      </c>
      <c r="Z536" s="4" t="s">
        <v>2308</v>
      </c>
      <c r="AA536" s="5" t="s">
        <v>866</v>
      </c>
      <c r="AB536" s="5"/>
    </row>
    <row r="537" spans="1:28" ht="41" customHeight="1">
      <c r="A537" s="7" t="str">
        <f>'Reported burning'!A537</f>
        <v>54d</v>
      </c>
      <c r="B537" s="7" t="str">
        <f>'Reported burning'!B537</f>
        <v>54d.1</v>
      </c>
      <c r="C537" s="7" t="str">
        <f>'Reported burning'!C537</f>
        <v>Human, deliberate</v>
      </c>
      <c r="D537" s="7" t="str">
        <f>'Reported burning'!D537</f>
        <v>Crop field preparation</v>
      </c>
      <c r="E537" s="7" t="str">
        <f>'Reported burning'!E537</f>
        <v>Cropping, Swidden</v>
      </c>
      <c r="F537" s="7" t="str">
        <f>'Reported burning'!F537</f>
        <v>Secondary Vegetation</v>
      </c>
      <c r="G537" s="7">
        <f>'Reported burning'!G537</f>
        <v>0</v>
      </c>
      <c r="H537" s="7" t="str">
        <f>'Reported burning'!H537</f>
        <v>Presence</v>
      </c>
      <c r="I537" s="4"/>
      <c r="J537" s="22" t="s">
        <v>2308</v>
      </c>
      <c r="K537" s="110" t="s">
        <v>2394</v>
      </c>
      <c r="L537" s="22" t="s">
        <v>2308</v>
      </c>
      <c r="M537" s="22" t="s">
        <v>2405</v>
      </c>
      <c r="N537" s="22" t="s">
        <v>2308</v>
      </c>
      <c r="O537" s="22" t="s">
        <v>2308</v>
      </c>
      <c r="P537" s="22" t="s">
        <v>2308</v>
      </c>
      <c r="Q537" s="109" t="s">
        <v>2308</v>
      </c>
      <c r="R537" s="109" t="s">
        <v>2308</v>
      </c>
      <c r="S537" s="22" t="s">
        <v>2308</v>
      </c>
      <c r="T537" s="22" t="s">
        <v>2308</v>
      </c>
      <c r="U537" s="22" t="s">
        <v>2308</v>
      </c>
      <c r="V537" s="22" t="s">
        <v>2308</v>
      </c>
      <c r="W537" s="110" t="s">
        <v>2435</v>
      </c>
      <c r="X537" s="4" t="s">
        <v>2308</v>
      </c>
      <c r="Y537" s="4" t="s">
        <v>2308</v>
      </c>
      <c r="Z537" s="4" t="s">
        <v>2308</v>
      </c>
      <c r="AA537" s="5"/>
      <c r="AB537" s="5" t="s">
        <v>2101</v>
      </c>
    </row>
    <row r="538" spans="1:28" ht="37.5" customHeight="1">
      <c r="A538" s="7" t="str">
        <f>'Reported burning'!A538</f>
        <v>54e</v>
      </c>
      <c r="B538" s="7" t="str">
        <f>'Reported burning'!B538</f>
        <v>54e</v>
      </c>
      <c r="C538" s="7" t="str">
        <f>'Reported burning'!C538</f>
        <v>Human, deliberate</v>
      </c>
      <c r="D538" s="7" t="str">
        <f>'Reported burning'!D538</f>
        <v>Crop field preparation</v>
      </c>
      <c r="E538" s="7" t="str">
        <f>'Reported burning'!E538</f>
        <v>Cropping, Monoculture, Subsistence-oriented</v>
      </c>
      <c r="F538" s="7" t="str">
        <f>'Reported burning'!F538</f>
        <v>Secondary Vegetation</v>
      </c>
      <c r="G538" s="7">
        <f>'Reported burning'!G538</f>
        <v>0</v>
      </c>
      <c r="H538" s="7" t="str">
        <f>'Reported burning'!H538</f>
        <v>Absence</v>
      </c>
      <c r="I538" s="4"/>
      <c r="J538" s="22" t="s">
        <v>2396</v>
      </c>
      <c r="K538" s="110" t="s">
        <v>2396</v>
      </c>
      <c r="L538" s="22" t="s">
        <v>2396</v>
      </c>
      <c r="M538" s="22" t="s">
        <v>2396</v>
      </c>
      <c r="N538" s="22" t="s">
        <v>2396</v>
      </c>
      <c r="O538" s="22" t="s">
        <v>2396</v>
      </c>
      <c r="P538" s="22" t="s">
        <v>2396</v>
      </c>
      <c r="Q538" s="109" t="s">
        <v>2308</v>
      </c>
      <c r="R538" s="109" t="s">
        <v>2308</v>
      </c>
      <c r="S538" s="22" t="s">
        <v>2396</v>
      </c>
      <c r="T538" s="22" t="s">
        <v>2396</v>
      </c>
      <c r="U538" s="22" t="s">
        <v>2396</v>
      </c>
      <c r="V538" s="22" t="s">
        <v>2396</v>
      </c>
      <c r="W538" s="110" t="s">
        <v>2308</v>
      </c>
      <c r="X538" s="4" t="s">
        <v>2308</v>
      </c>
      <c r="Y538" s="4" t="s">
        <v>2308</v>
      </c>
      <c r="Z538" s="4" t="s">
        <v>2308</v>
      </c>
      <c r="AA538" s="5" t="s">
        <v>866</v>
      </c>
      <c r="AB538" s="5"/>
    </row>
    <row r="539" spans="1:28" ht="47" customHeight="1">
      <c r="A539" s="7" t="str">
        <f>'Reported burning'!A539</f>
        <v>54f</v>
      </c>
      <c r="B539" s="7" t="str">
        <f>'Reported burning'!B539</f>
        <v>54f.1</v>
      </c>
      <c r="C539" s="7" t="str">
        <f>'Reported burning'!C539</f>
        <v>Human, deliberate</v>
      </c>
      <c r="D539" s="7" t="str">
        <f>'Reported burning'!D539</f>
        <v>Crop field preparation</v>
      </c>
      <c r="E539" s="7" t="str">
        <f>'Reported burning'!E539</f>
        <v>Cropping, Swidden</v>
      </c>
      <c r="F539" s="7" t="str">
        <f>'Reported burning'!F539</f>
        <v>Secondary Vegetation</v>
      </c>
      <c r="G539" s="7">
        <f>'Reported burning'!G539</f>
        <v>0</v>
      </c>
      <c r="H539" s="7" t="str">
        <f>'Reported burning'!H539</f>
        <v>Presence</v>
      </c>
      <c r="I539" s="4"/>
      <c r="J539" s="22" t="s">
        <v>2308</v>
      </c>
      <c r="K539" s="110" t="s">
        <v>2308</v>
      </c>
      <c r="L539" s="22" t="s">
        <v>2308</v>
      </c>
      <c r="M539" s="22" t="s">
        <v>2308</v>
      </c>
      <c r="N539" s="22" t="s">
        <v>2308</v>
      </c>
      <c r="O539" s="22" t="s">
        <v>2308</v>
      </c>
      <c r="P539" s="22" t="s">
        <v>2308</v>
      </c>
      <c r="Q539" s="109" t="s">
        <v>2308</v>
      </c>
      <c r="R539" s="109" t="s">
        <v>2308</v>
      </c>
      <c r="S539" s="22" t="s">
        <v>2308</v>
      </c>
      <c r="T539" s="22" t="s">
        <v>2308</v>
      </c>
      <c r="U539" s="22" t="s">
        <v>2308</v>
      </c>
      <c r="V539" s="22" t="s">
        <v>2308</v>
      </c>
      <c r="W539" s="22" t="s">
        <v>2308</v>
      </c>
      <c r="X539" s="4" t="s">
        <v>2308</v>
      </c>
      <c r="Y539" s="4" t="s">
        <v>2308</v>
      </c>
      <c r="Z539" s="4" t="s">
        <v>2308</v>
      </c>
      <c r="AA539" s="5" t="s">
        <v>866</v>
      </c>
      <c r="AB539" s="5"/>
    </row>
    <row r="540" spans="1:28" ht="45.5" customHeight="1">
      <c r="A540" s="7" t="str">
        <f>'Reported burning'!A540</f>
        <v>55a</v>
      </c>
      <c r="B540" s="7" t="str">
        <f>'Reported burning'!B540</f>
        <v>55a.1</v>
      </c>
      <c r="C540" s="7" t="str">
        <f>'Reported burning'!C540</f>
        <v>Human, deliberate</v>
      </c>
      <c r="D540" s="7" t="str">
        <f>'Reported burning'!D540</f>
        <v>Crop field preparation</v>
      </c>
      <c r="E540" s="7" t="str">
        <f>'Reported burning'!E540</f>
        <v>Cropping, Swidden</v>
      </c>
      <c r="F540" s="7" t="str">
        <f>'Reported burning'!F540</f>
        <v>Secondary Vegetation</v>
      </c>
      <c r="G540" s="7">
        <f>'Reported burning'!G540</f>
        <v>0</v>
      </c>
      <c r="H540" s="7" t="str">
        <f>'Reported burning'!H540</f>
        <v>Presence</v>
      </c>
      <c r="I540" s="4"/>
      <c r="J540" s="22" t="s">
        <v>2308</v>
      </c>
      <c r="K540" s="110" t="s">
        <v>2308</v>
      </c>
      <c r="L540" s="22" t="s">
        <v>2308</v>
      </c>
      <c r="M540" s="22" t="s">
        <v>2308</v>
      </c>
      <c r="N540" s="22" t="s">
        <v>2308</v>
      </c>
      <c r="O540" s="22" t="s">
        <v>2407</v>
      </c>
      <c r="P540" s="22" t="s">
        <v>2308</v>
      </c>
      <c r="Q540" s="109" t="s">
        <v>2308</v>
      </c>
      <c r="R540" s="109" t="s">
        <v>2308</v>
      </c>
      <c r="S540" s="22" t="s">
        <v>2308</v>
      </c>
      <c r="T540" s="22" t="s">
        <v>2308</v>
      </c>
      <c r="U540" s="22" t="s">
        <v>2308</v>
      </c>
      <c r="V540" s="22" t="s">
        <v>2308</v>
      </c>
      <c r="W540" s="22" t="s">
        <v>2434</v>
      </c>
      <c r="X540" s="4" t="s">
        <v>2308</v>
      </c>
      <c r="Y540" s="4" t="s">
        <v>2308</v>
      </c>
      <c r="Z540" s="4" t="s">
        <v>2308</v>
      </c>
      <c r="AA540" s="4"/>
      <c r="AB540" s="4" t="s">
        <v>2103</v>
      </c>
    </row>
    <row r="541" spans="1:28" ht="83.5" customHeight="1">
      <c r="A541" s="7" t="str">
        <f>'Reported burning'!A541</f>
        <v>55a</v>
      </c>
      <c r="B541" s="7" t="str">
        <f>'Reported burning'!B541</f>
        <v>55a.2</v>
      </c>
      <c r="C541" s="7" t="str">
        <f>'Reported burning'!C541</f>
        <v>Human, deliberate</v>
      </c>
      <c r="D541" s="7" t="str">
        <f>'Reported burning'!D541</f>
        <v>Forest clearance</v>
      </c>
      <c r="E541" s="7" t="str">
        <f>'Reported burning'!E541</f>
        <v>Forestry, Small-scale</v>
      </c>
      <c r="F541" s="7" t="str">
        <f>'Reported burning'!F541</f>
        <v>Forest</v>
      </c>
      <c r="G541" s="7">
        <f>'Reported burning'!G541</f>
        <v>0</v>
      </c>
      <c r="H541" s="7" t="str">
        <f>'Reported burning'!H541</f>
        <v>Absence</v>
      </c>
      <c r="I541" s="4"/>
      <c r="J541" s="22" t="s">
        <v>2396</v>
      </c>
      <c r="K541" s="110" t="s">
        <v>2396</v>
      </c>
      <c r="L541" s="22" t="s">
        <v>2396</v>
      </c>
      <c r="M541" s="22" t="s">
        <v>2396</v>
      </c>
      <c r="N541" s="22" t="s">
        <v>2396</v>
      </c>
      <c r="O541" s="22" t="s">
        <v>2396</v>
      </c>
      <c r="P541" s="22" t="s">
        <v>2396</v>
      </c>
      <c r="Q541" s="109" t="s">
        <v>2308</v>
      </c>
      <c r="R541" s="109" t="s">
        <v>2308</v>
      </c>
      <c r="S541" s="22" t="s">
        <v>2396</v>
      </c>
      <c r="T541" s="22" t="s">
        <v>2396</v>
      </c>
      <c r="U541" s="22" t="s">
        <v>2396</v>
      </c>
      <c r="V541" s="22" t="s">
        <v>2396</v>
      </c>
      <c r="W541" s="22" t="s">
        <v>2308</v>
      </c>
      <c r="X541" s="4" t="s">
        <v>2308</v>
      </c>
      <c r="Y541" s="4" t="s">
        <v>2308</v>
      </c>
      <c r="Z541" s="4" t="s">
        <v>2308</v>
      </c>
      <c r="AA541" s="5" t="s">
        <v>882</v>
      </c>
      <c r="AB541" s="4"/>
    </row>
    <row r="542" spans="1:28" ht="63" customHeight="1">
      <c r="A542" s="7" t="str">
        <f>'Reported burning'!A542</f>
        <v>55a</v>
      </c>
      <c r="B542" s="7" t="str">
        <f>'Reported burning'!B542</f>
        <v>55a.3</v>
      </c>
      <c r="C542" s="7" t="str">
        <f>'Reported burning'!C542</f>
        <v>Human, deliberate</v>
      </c>
      <c r="D542" s="7" t="str">
        <f>'Reported burning'!D542</f>
        <v>Crop field preparation</v>
      </c>
      <c r="E542" s="7" t="str">
        <f>'Reported burning'!E542</f>
        <v>Cropping, Monoculture, Subsistence-oriented</v>
      </c>
      <c r="F542" s="7" t="str">
        <f>'Reported burning'!F542</f>
        <v>Cropland</v>
      </c>
      <c r="G542" s="7">
        <f>'Reported burning'!G542</f>
        <v>0</v>
      </c>
      <c r="H542" s="7" t="str">
        <f>'Reported burning'!H542</f>
        <v>Absence</v>
      </c>
      <c r="I542" s="4"/>
      <c r="J542" s="22" t="s">
        <v>2396</v>
      </c>
      <c r="K542" s="110" t="s">
        <v>2396</v>
      </c>
      <c r="L542" s="22" t="s">
        <v>2396</v>
      </c>
      <c r="M542" s="22" t="s">
        <v>2396</v>
      </c>
      <c r="N542" s="22" t="s">
        <v>2396</v>
      </c>
      <c r="O542" s="22" t="s">
        <v>2396</v>
      </c>
      <c r="P542" s="22" t="s">
        <v>2396</v>
      </c>
      <c r="Q542" s="109" t="s">
        <v>2308</v>
      </c>
      <c r="R542" s="109" t="s">
        <v>2308</v>
      </c>
      <c r="S542" s="22" t="s">
        <v>2396</v>
      </c>
      <c r="T542" s="22" t="s">
        <v>2396</v>
      </c>
      <c r="U542" s="22" t="s">
        <v>2396</v>
      </c>
      <c r="V542" s="22" t="s">
        <v>2396</v>
      </c>
      <c r="W542" s="22" t="s">
        <v>2308</v>
      </c>
      <c r="X542" s="4" t="s">
        <v>2308</v>
      </c>
      <c r="Y542" s="4" t="s">
        <v>2308</v>
      </c>
      <c r="Z542" s="4" t="s">
        <v>2308</v>
      </c>
      <c r="AA542" s="20" t="s">
        <v>881</v>
      </c>
      <c r="AB542" s="4"/>
    </row>
    <row r="543" spans="1:28" ht="66" customHeight="1">
      <c r="A543" s="7" t="str">
        <f>'Reported burning'!A543</f>
        <v>56a</v>
      </c>
      <c r="B543" s="7" t="str">
        <f>'Reported burning'!B543</f>
        <v>56a.1</v>
      </c>
      <c r="C543" s="7" t="str">
        <f>'Reported burning'!C543</f>
        <v>Human, deliberate</v>
      </c>
      <c r="D543" s="7" t="str">
        <f>'Reported burning'!D543</f>
        <v>Crop field preparation</v>
      </c>
      <c r="E543" s="7" t="str">
        <f>'Reported burning'!E543</f>
        <v>Cropping, Swidden</v>
      </c>
      <c r="F543" s="7" t="str">
        <f>'Reported burning'!F543</f>
        <v>Secondary Vegetation</v>
      </c>
      <c r="G543" s="7">
        <f>'Reported burning'!G543</f>
        <v>0</v>
      </c>
      <c r="H543" s="7" t="str">
        <f>'Reported burning'!H543</f>
        <v>Presence</v>
      </c>
      <c r="I543" s="96"/>
      <c r="J543" s="22" t="s">
        <v>2399</v>
      </c>
      <c r="K543" s="110" t="s">
        <v>2308</v>
      </c>
      <c r="L543" s="22" t="s">
        <v>2308</v>
      </c>
      <c r="M543" s="22" t="s">
        <v>2308</v>
      </c>
      <c r="N543" s="22" t="s">
        <v>2308</v>
      </c>
      <c r="O543" s="22" t="s">
        <v>2308</v>
      </c>
      <c r="P543" s="22" t="s">
        <v>2308</v>
      </c>
      <c r="Q543" s="109" t="s">
        <v>2308</v>
      </c>
      <c r="R543" s="109" t="s">
        <v>2308</v>
      </c>
      <c r="S543" s="22" t="s">
        <v>2308</v>
      </c>
      <c r="T543" s="22" t="s">
        <v>2308</v>
      </c>
      <c r="U543" s="22" t="s">
        <v>2560</v>
      </c>
      <c r="V543" s="22" t="s">
        <v>2308</v>
      </c>
      <c r="W543" s="22" t="s">
        <v>2308</v>
      </c>
      <c r="X543" s="4" t="s">
        <v>75</v>
      </c>
      <c r="Y543" s="4" t="s">
        <v>35</v>
      </c>
      <c r="Z543" s="4" t="s">
        <v>64</v>
      </c>
      <c r="AA543" s="5" t="s">
        <v>894</v>
      </c>
      <c r="AB543" s="5" t="s">
        <v>2157</v>
      </c>
    </row>
    <row r="544" spans="1:28" ht="66" customHeight="1">
      <c r="A544" s="7" t="str">
        <f>'Reported burning'!A544</f>
        <v>56b</v>
      </c>
      <c r="B544" s="7" t="str">
        <f>'Reported burning'!B544</f>
        <v>56b.1</v>
      </c>
      <c r="C544" s="7" t="str">
        <f>'Reported burning'!C544</f>
        <v>Human, deliberate</v>
      </c>
      <c r="D544" s="7" t="str">
        <f>'Reported burning'!D544</f>
        <v>Crop field preparation</v>
      </c>
      <c r="E544" s="7" t="str">
        <f>'Reported burning'!E544</f>
        <v>Cropping, Swidden</v>
      </c>
      <c r="F544" s="7" t="str">
        <f>'Reported burning'!F544</f>
        <v>Secondary Vegetation</v>
      </c>
      <c r="G544" s="7">
        <f>'Reported burning'!G544</f>
        <v>0</v>
      </c>
      <c r="H544" s="7" t="str">
        <f>'Reported burning'!H544</f>
        <v>Presence</v>
      </c>
      <c r="I544" s="96"/>
      <c r="J544" s="22" t="s">
        <v>2399</v>
      </c>
      <c r="K544" s="110" t="s">
        <v>2308</v>
      </c>
      <c r="L544" s="22" t="s">
        <v>2308</v>
      </c>
      <c r="M544" s="22" t="s">
        <v>2308</v>
      </c>
      <c r="N544" s="22" t="s">
        <v>2308</v>
      </c>
      <c r="O544" s="22" t="s">
        <v>2308</v>
      </c>
      <c r="P544" s="22" t="s">
        <v>2308</v>
      </c>
      <c r="Q544" s="109" t="s">
        <v>2308</v>
      </c>
      <c r="R544" s="109" t="s">
        <v>2308</v>
      </c>
      <c r="S544" s="22" t="s">
        <v>2308</v>
      </c>
      <c r="T544" s="22" t="s">
        <v>2308</v>
      </c>
      <c r="U544" s="22" t="s">
        <v>2560</v>
      </c>
      <c r="V544" s="22" t="s">
        <v>2308</v>
      </c>
      <c r="W544" s="22" t="s">
        <v>2308</v>
      </c>
      <c r="X544" s="4" t="s">
        <v>75</v>
      </c>
      <c r="Y544" s="4" t="s">
        <v>35</v>
      </c>
      <c r="Z544" s="4" t="s">
        <v>64</v>
      </c>
      <c r="AA544" s="5" t="s">
        <v>894</v>
      </c>
      <c r="AB544" s="5" t="s">
        <v>2157</v>
      </c>
    </row>
    <row r="545" spans="1:28" ht="66" customHeight="1">
      <c r="A545" s="7" t="str">
        <f>'Reported burning'!A545</f>
        <v>56c</v>
      </c>
      <c r="B545" s="7" t="str">
        <f>'Reported burning'!B545</f>
        <v>56c.1</v>
      </c>
      <c r="C545" s="7" t="str">
        <f>'Reported burning'!C545</f>
        <v>Human, deliberate</v>
      </c>
      <c r="D545" s="7" t="str">
        <f>'Reported burning'!D545</f>
        <v>Crop field preparation</v>
      </c>
      <c r="E545" s="7" t="str">
        <f>'Reported burning'!E545</f>
        <v>Cropping, Swidden</v>
      </c>
      <c r="F545" s="7" t="str">
        <f>'Reported burning'!F545</f>
        <v>Secondary Vegetation</v>
      </c>
      <c r="G545" s="7">
        <f>'Reported burning'!G545</f>
        <v>0</v>
      </c>
      <c r="H545" s="7" t="str">
        <f>'Reported burning'!H545</f>
        <v>Presence</v>
      </c>
      <c r="I545" s="96"/>
      <c r="J545" s="22" t="s">
        <v>2399</v>
      </c>
      <c r="K545" s="110" t="s">
        <v>2308</v>
      </c>
      <c r="L545" s="22" t="s">
        <v>2308</v>
      </c>
      <c r="M545" s="22" t="s">
        <v>2308</v>
      </c>
      <c r="N545" s="22" t="s">
        <v>2308</v>
      </c>
      <c r="O545" s="22" t="s">
        <v>2308</v>
      </c>
      <c r="P545" s="22" t="s">
        <v>2308</v>
      </c>
      <c r="Q545" s="109" t="s">
        <v>2308</v>
      </c>
      <c r="R545" s="109" t="s">
        <v>2308</v>
      </c>
      <c r="S545" s="22" t="s">
        <v>2308</v>
      </c>
      <c r="T545" s="22" t="s">
        <v>2308</v>
      </c>
      <c r="U545" s="22" t="s">
        <v>2560</v>
      </c>
      <c r="V545" s="22" t="s">
        <v>2308</v>
      </c>
      <c r="W545" s="22" t="s">
        <v>2308</v>
      </c>
      <c r="X545" s="4" t="s">
        <v>75</v>
      </c>
      <c r="Y545" s="4" t="s">
        <v>35</v>
      </c>
      <c r="Z545" s="4" t="s">
        <v>64</v>
      </c>
      <c r="AA545" s="5" t="s">
        <v>894</v>
      </c>
      <c r="AB545" s="5" t="s">
        <v>2157</v>
      </c>
    </row>
    <row r="546" spans="1:28" ht="66" customHeight="1">
      <c r="A546" s="7" t="str">
        <f>'Reported burning'!A546</f>
        <v>56d</v>
      </c>
      <c r="B546" s="7" t="str">
        <f>'Reported burning'!B546</f>
        <v>56d.1</v>
      </c>
      <c r="C546" s="7" t="str">
        <f>'Reported burning'!C546</f>
        <v>Human, deliberate</v>
      </c>
      <c r="D546" s="7" t="str">
        <f>'Reported burning'!D546</f>
        <v>Crop field preparation</v>
      </c>
      <c r="E546" s="7" t="str">
        <f>'Reported burning'!E546</f>
        <v>Cropping, Swidden</v>
      </c>
      <c r="F546" s="7" t="str">
        <f>'Reported burning'!F546</f>
        <v>Secondary Vegetation</v>
      </c>
      <c r="G546" s="7">
        <f>'Reported burning'!G546</f>
        <v>0</v>
      </c>
      <c r="H546" s="7" t="str">
        <f>'Reported burning'!H546</f>
        <v>Presence</v>
      </c>
      <c r="I546" s="96"/>
      <c r="J546" s="22" t="s">
        <v>2399</v>
      </c>
      <c r="K546" s="110" t="s">
        <v>2308</v>
      </c>
      <c r="L546" s="22" t="s">
        <v>2308</v>
      </c>
      <c r="M546" s="22" t="s">
        <v>2308</v>
      </c>
      <c r="N546" s="22" t="s">
        <v>2308</v>
      </c>
      <c r="O546" s="22" t="s">
        <v>2308</v>
      </c>
      <c r="P546" s="22" t="s">
        <v>2308</v>
      </c>
      <c r="Q546" s="109" t="s">
        <v>2308</v>
      </c>
      <c r="R546" s="109" t="s">
        <v>2308</v>
      </c>
      <c r="S546" s="22" t="s">
        <v>2308</v>
      </c>
      <c r="T546" s="22" t="s">
        <v>2308</v>
      </c>
      <c r="U546" s="22" t="s">
        <v>2560</v>
      </c>
      <c r="V546" s="22" t="s">
        <v>2308</v>
      </c>
      <c r="W546" s="22" t="s">
        <v>2308</v>
      </c>
      <c r="X546" s="4" t="s">
        <v>75</v>
      </c>
      <c r="Y546" s="4" t="s">
        <v>35</v>
      </c>
      <c r="Z546" s="4" t="s">
        <v>64</v>
      </c>
      <c r="AA546" s="5" t="s">
        <v>894</v>
      </c>
      <c r="AB546" s="5" t="s">
        <v>2157</v>
      </c>
    </row>
    <row r="547" spans="1:28" ht="66" customHeight="1">
      <c r="A547" s="7" t="str">
        <f>'Reported burning'!A547</f>
        <v>56e</v>
      </c>
      <c r="B547" s="7" t="str">
        <f>'Reported burning'!B547</f>
        <v>56e.1</v>
      </c>
      <c r="C547" s="7" t="str">
        <f>'Reported burning'!C547</f>
        <v>Human, deliberate</v>
      </c>
      <c r="D547" s="7" t="str">
        <f>'Reported burning'!D547</f>
        <v>Crop field preparation</v>
      </c>
      <c r="E547" s="7" t="str">
        <f>'Reported burning'!E547</f>
        <v>Cropping, Swidden</v>
      </c>
      <c r="F547" s="7" t="str">
        <f>'Reported burning'!F547</f>
        <v>Secondary Vegetation</v>
      </c>
      <c r="G547" s="7">
        <f>'Reported burning'!G547</f>
        <v>0</v>
      </c>
      <c r="H547" s="7" t="str">
        <f>'Reported burning'!H547</f>
        <v>Presence</v>
      </c>
      <c r="I547" s="96"/>
      <c r="J547" s="22" t="s">
        <v>2399</v>
      </c>
      <c r="K547" s="110" t="s">
        <v>2308</v>
      </c>
      <c r="L547" s="22" t="s">
        <v>2308</v>
      </c>
      <c r="M547" s="22" t="s">
        <v>2308</v>
      </c>
      <c r="N547" s="22" t="s">
        <v>2308</v>
      </c>
      <c r="O547" s="22" t="s">
        <v>2308</v>
      </c>
      <c r="P547" s="22" t="s">
        <v>2308</v>
      </c>
      <c r="Q547" s="109" t="s">
        <v>2308</v>
      </c>
      <c r="R547" s="109" t="s">
        <v>2308</v>
      </c>
      <c r="S547" s="22" t="s">
        <v>2308</v>
      </c>
      <c r="T547" s="22" t="s">
        <v>2308</v>
      </c>
      <c r="U547" s="22" t="s">
        <v>2560</v>
      </c>
      <c r="V547" s="22" t="s">
        <v>2308</v>
      </c>
      <c r="W547" s="22" t="s">
        <v>2308</v>
      </c>
      <c r="X547" s="4" t="s">
        <v>75</v>
      </c>
      <c r="Y547" s="4" t="s">
        <v>35</v>
      </c>
      <c r="Z547" s="4" t="s">
        <v>64</v>
      </c>
      <c r="AA547" s="5" t="s">
        <v>894</v>
      </c>
      <c r="AB547" s="5" t="s">
        <v>2157</v>
      </c>
    </row>
    <row r="548" spans="1:28" ht="66" customHeight="1">
      <c r="A548" s="7" t="str">
        <f>'Reported burning'!A548</f>
        <v>56f</v>
      </c>
      <c r="B548" s="7" t="str">
        <f>'Reported burning'!B548</f>
        <v>56f.1</v>
      </c>
      <c r="C548" s="7" t="str">
        <f>'Reported burning'!C548</f>
        <v>Human, deliberate</v>
      </c>
      <c r="D548" s="7" t="str">
        <f>'Reported burning'!D548</f>
        <v>Crop field preparation</v>
      </c>
      <c r="E548" s="7" t="str">
        <f>'Reported burning'!E548</f>
        <v>Cropping, Swidden</v>
      </c>
      <c r="F548" s="7" t="str">
        <f>'Reported burning'!F548</f>
        <v>Secondary Vegetation</v>
      </c>
      <c r="G548" s="7">
        <f>'Reported burning'!G548</f>
        <v>0</v>
      </c>
      <c r="H548" s="7" t="str">
        <f>'Reported burning'!H548</f>
        <v>Presence</v>
      </c>
      <c r="I548" s="96"/>
      <c r="J548" s="22" t="s">
        <v>2400</v>
      </c>
      <c r="K548" s="110" t="s">
        <v>2308</v>
      </c>
      <c r="L548" s="22" t="s">
        <v>2308</v>
      </c>
      <c r="M548" s="22" t="s">
        <v>2308</v>
      </c>
      <c r="N548" s="22" t="s">
        <v>2308</v>
      </c>
      <c r="O548" s="22" t="s">
        <v>2308</v>
      </c>
      <c r="P548" s="22" t="s">
        <v>2308</v>
      </c>
      <c r="Q548" s="109" t="s">
        <v>2308</v>
      </c>
      <c r="R548" s="109" t="s">
        <v>2308</v>
      </c>
      <c r="S548" s="22" t="s">
        <v>2308</v>
      </c>
      <c r="T548" s="22" t="s">
        <v>2308</v>
      </c>
      <c r="U548" s="22" t="s">
        <v>2560</v>
      </c>
      <c r="V548" s="22" t="s">
        <v>2308</v>
      </c>
      <c r="W548" s="22" t="s">
        <v>2308</v>
      </c>
      <c r="X548" s="4" t="s">
        <v>75</v>
      </c>
      <c r="Y548" s="4" t="s">
        <v>35</v>
      </c>
      <c r="Z548" s="4" t="s">
        <v>64</v>
      </c>
      <c r="AA548" s="5" t="s">
        <v>894</v>
      </c>
      <c r="AB548" s="5" t="s">
        <v>2157</v>
      </c>
    </row>
    <row r="549" spans="1:28" ht="66" customHeight="1">
      <c r="A549" s="7" t="str">
        <f>'Reported burning'!A549</f>
        <v>56g</v>
      </c>
      <c r="B549" s="7" t="str">
        <f>'Reported burning'!B549</f>
        <v>56g.1</v>
      </c>
      <c r="C549" s="7" t="str">
        <f>'Reported burning'!C549</f>
        <v>Human, deliberate</v>
      </c>
      <c r="D549" s="7" t="str">
        <f>'Reported burning'!D549</f>
        <v>Crop field preparation</v>
      </c>
      <c r="E549" s="7" t="str">
        <f>'Reported burning'!E549</f>
        <v>Cropping, Swidden</v>
      </c>
      <c r="F549" s="7" t="str">
        <f>'Reported burning'!F549</f>
        <v>Secondary Vegetation</v>
      </c>
      <c r="G549" s="7">
        <f>'Reported burning'!G549</f>
        <v>0</v>
      </c>
      <c r="H549" s="7" t="str">
        <f>'Reported burning'!H549</f>
        <v>Presence</v>
      </c>
      <c r="I549" s="96"/>
      <c r="J549" s="22" t="s">
        <v>2401</v>
      </c>
      <c r="K549" s="110" t="s">
        <v>2308</v>
      </c>
      <c r="L549" s="22" t="s">
        <v>2308</v>
      </c>
      <c r="M549" s="22" t="s">
        <v>2308</v>
      </c>
      <c r="N549" s="22" t="s">
        <v>2308</v>
      </c>
      <c r="O549" s="22" t="s">
        <v>2308</v>
      </c>
      <c r="P549" s="22" t="s">
        <v>2308</v>
      </c>
      <c r="Q549" s="109" t="s">
        <v>2308</v>
      </c>
      <c r="R549" s="109" t="s">
        <v>2308</v>
      </c>
      <c r="S549" s="22" t="s">
        <v>2308</v>
      </c>
      <c r="T549" s="22" t="s">
        <v>2308</v>
      </c>
      <c r="U549" s="22" t="s">
        <v>2560</v>
      </c>
      <c r="V549" s="22" t="s">
        <v>2308</v>
      </c>
      <c r="W549" s="22" t="s">
        <v>2308</v>
      </c>
      <c r="X549" s="4" t="s">
        <v>75</v>
      </c>
      <c r="Y549" s="4" t="s">
        <v>35</v>
      </c>
      <c r="Z549" s="4" t="s">
        <v>64</v>
      </c>
      <c r="AA549" s="5" t="s">
        <v>894</v>
      </c>
      <c r="AB549" s="5" t="s">
        <v>2157</v>
      </c>
    </row>
    <row r="550" spans="1:28" ht="66" customHeight="1">
      <c r="A550" s="7" t="str">
        <f>'Reported burning'!A550</f>
        <v>56h</v>
      </c>
      <c r="B550" s="7" t="str">
        <f>'Reported burning'!B550</f>
        <v>56h.1</v>
      </c>
      <c r="C550" s="7" t="str">
        <f>'Reported burning'!C550</f>
        <v>Human, deliberate</v>
      </c>
      <c r="D550" s="7" t="str">
        <f>'Reported burning'!D550</f>
        <v>Crop field preparation</v>
      </c>
      <c r="E550" s="7" t="str">
        <f>'Reported burning'!E550</f>
        <v>Cropping, Swidden</v>
      </c>
      <c r="F550" s="7" t="str">
        <f>'Reported burning'!F550</f>
        <v>Secondary Vegetation</v>
      </c>
      <c r="G550" s="7">
        <f>'Reported burning'!G550</f>
        <v>0</v>
      </c>
      <c r="H550" s="7" t="str">
        <f>'Reported burning'!H550</f>
        <v>Presence</v>
      </c>
      <c r="I550" s="96"/>
      <c r="J550" s="22" t="s">
        <v>2401</v>
      </c>
      <c r="K550" s="110" t="s">
        <v>2308</v>
      </c>
      <c r="L550" s="22" t="s">
        <v>2308</v>
      </c>
      <c r="M550" s="22" t="s">
        <v>2308</v>
      </c>
      <c r="N550" s="22" t="s">
        <v>2308</v>
      </c>
      <c r="O550" s="22" t="s">
        <v>2308</v>
      </c>
      <c r="P550" s="22" t="s">
        <v>2308</v>
      </c>
      <c r="Q550" s="109" t="s">
        <v>2308</v>
      </c>
      <c r="R550" s="109" t="s">
        <v>2308</v>
      </c>
      <c r="S550" s="22" t="s">
        <v>2308</v>
      </c>
      <c r="T550" s="22" t="s">
        <v>2308</v>
      </c>
      <c r="U550" s="22" t="s">
        <v>2560</v>
      </c>
      <c r="V550" s="22" t="s">
        <v>2308</v>
      </c>
      <c r="W550" s="22" t="s">
        <v>2308</v>
      </c>
      <c r="X550" s="4" t="s">
        <v>75</v>
      </c>
      <c r="Y550" s="4" t="s">
        <v>35</v>
      </c>
      <c r="Z550" s="4" t="s">
        <v>64</v>
      </c>
      <c r="AA550" s="5" t="s">
        <v>894</v>
      </c>
      <c r="AB550" s="5" t="s">
        <v>2157</v>
      </c>
    </row>
    <row r="551" spans="1:28" ht="66" customHeight="1">
      <c r="A551" s="7" t="str">
        <f>'Reported burning'!A551</f>
        <v>56i</v>
      </c>
      <c r="B551" s="7" t="str">
        <f>'Reported burning'!B551</f>
        <v>56i.1</v>
      </c>
      <c r="C551" s="7" t="str">
        <f>'Reported burning'!C551</f>
        <v>Human, deliberate</v>
      </c>
      <c r="D551" s="7" t="str">
        <f>'Reported burning'!D551</f>
        <v>Crop field preparation</v>
      </c>
      <c r="E551" s="7" t="str">
        <f>'Reported burning'!E551</f>
        <v>Cropping, Swidden</v>
      </c>
      <c r="F551" s="7" t="str">
        <f>'Reported burning'!F551</f>
        <v>Secondary Vegetation</v>
      </c>
      <c r="G551" s="7">
        <f>'Reported burning'!G551</f>
        <v>0</v>
      </c>
      <c r="H551" s="7" t="str">
        <f>'Reported burning'!H551</f>
        <v>Presence</v>
      </c>
      <c r="I551" s="96"/>
      <c r="J551" s="22" t="s">
        <v>2400</v>
      </c>
      <c r="K551" s="110" t="s">
        <v>2308</v>
      </c>
      <c r="L551" s="22" t="s">
        <v>2308</v>
      </c>
      <c r="M551" s="22" t="s">
        <v>2308</v>
      </c>
      <c r="N551" s="22" t="s">
        <v>2308</v>
      </c>
      <c r="O551" s="22" t="s">
        <v>2308</v>
      </c>
      <c r="P551" s="22" t="s">
        <v>2308</v>
      </c>
      <c r="Q551" s="109" t="s">
        <v>2308</v>
      </c>
      <c r="R551" s="109" t="s">
        <v>2308</v>
      </c>
      <c r="S551" s="22" t="s">
        <v>2308</v>
      </c>
      <c r="T551" s="22" t="s">
        <v>2308</v>
      </c>
      <c r="U551" s="22" t="s">
        <v>2560</v>
      </c>
      <c r="V551" s="22" t="s">
        <v>2308</v>
      </c>
      <c r="W551" s="22" t="s">
        <v>2308</v>
      </c>
      <c r="X551" s="4" t="s">
        <v>75</v>
      </c>
      <c r="Y551" s="4" t="s">
        <v>35</v>
      </c>
      <c r="Z551" s="4" t="s">
        <v>64</v>
      </c>
      <c r="AA551" s="5" t="s">
        <v>894</v>
      </c>
      <c r="AB551" s="5" t="s">
        <v>2157</v>
      </c>
    </row>
    <row r="552" spans="1:28" ht="66" customHeight="1">
      <c r="A552" s="7" t="str">
        <f>'Reported burning'!A552</f>
        <v>56j</v>
      </c>
      <c r="B552" s="7" t="str">
        <f>'Reported burning'!B552</f>
        <v>56j.1</v>
      </c>
      <c r="C552" s="7" t="str">
        <f>'Reported burning'!C552</f>
        <v>Human, deliberate</v>
      </c>
      <c r="D552" s="7" t="str">
        <f>'Reported burning'!D552</f>
        <v>Crop field preparation</v>
      </c>
      <c r="E552" s="7" t="str">
        <f>'Reported burning'!E552</f>
        <v>Cropping, Swidden</v>
      </c>
      <c r="F552" s="7" t="str">
        <f>'Reported burning'!F552</f>
        <v>Secondary Vegetation</v>
      </c>
      <c r="G552" s="7">
        <f>'Reported burning'!G552</f>
        <v>0</v>
      </c>
      <c r="H552" s="7" t="str">
        <f>'Reported burning'!H552</f>
        <v>Presence</v>
      </c>
      <c r="I552" s="96"/>
      <c r="J552" s="22" t="s">
        <v>2399</v>
      </c>
      <c r="K552" s="110" t="s">
        <v>2308</v>
      </c>
      <c r="L552" s="22" t="s">
        <v>2308</v>
      </c>
      <c r="M552" s="22" t="s">
        <v>2308</v>
      </c>
      <c r="N552" s="22" t="s">
        <v>2308</v>
      </c>
      <c r="O552" s="22" t="s">
        <v>2308</v>
      </c>
      <c r="P552" s="22" t="s">
        <v>2308</v>
      </c>
      <c r="Q552" s="109" t="s">
        <v>2308</v>
      </c>
      <c r="R552" s="109" t="s">
        <v>2308</v>
      </c>
      <c r="S552" s="22" t="s">
        <v>2308</v>
      </c>
      <c r="T552" s="22" t="s">
        <v>2308</v>
      </c>
      <c r="U552" s="22" t="s">
        <v>2560</v>
      </c>
      <c r="V552" s="22" t="s">
        <v>2308</v>
      </c>
      <c r="W552" s="22" t="s">
        <v>2308</v>
      </c>
      <c r="X552" s="4" t="s">
        <v>75</v>
      </c>
      <c r="Y552" s="4" t="s">
        <v>35</v>
      </c>
      <c r="Z552" s="4" t="s">
        <v>64</v>
      </c>
      <c r="AA552" s="5" t="s">
        <v>894</v>
      </c>
      <c r="AB552" s="5" t="s">
        <v>2157</v>
      </c>
    </row>
    <row r="553" spans="1:28" ht="66" customHeight="1">
      <c r="A553" s="7" t="str">
        <f>'Reported burning'!A553</f>
        <v>56k</v>
      </c>
      <c r="B553" s="7" t="str">
        <f>'Reported burning'!B553</f>
        <v>56k.1</v>
      </c>
      <c r="C553" s="7" t="str">
        <f>'Reported burning'!C553</f>
        <v>Human, deliberate</v>
      </c>
      <c r="D553" s="7" t="str">
        <f>'Reported burning'!D553</f>
        <v>Crop field preparation</v>
      </c>
      <c r="E553" s="7" t="str">
        <f>'Reported burning'!E553</f>
        <v>Cropping, Swidden</v>
      </c>
      <c r="F553" s="7" t="str">
        <f>'Reported burning'!F553</f>
        <v>Secondary Vegetation</v>
      </c>
      <c r="G553" s="7">
        <f>'Reported burning'!G553</f>
        <v>0</v>
      </c>
      <c r="H553" s="7" t="str">
        <f>'Reported burning'!H553</f>
        <v>Presence</v>
      </c>
      <c r="I553" s="96"/>
      <c r="J553" s="22" t="s">
        <v>2401</v>
      </c>
      <c r="K553" s="110" t="s">
        <v>2308</v>
      </c>
      <c r="L553" s="22" t="s">
        <v>2308</v>
      </c>
      <c r="M553" s="22" t="s">
        <v>2308</v>
      </c>
      <c r="N553" s="22" t="s">
        <v>2308</v>
      </c>
      <c r="O553" s="22" t="s">
        <v>2308</v>
      </c>
      <c r="P553" s="22" t="s">
        <v>2308</v>
      </c>
      <c r="Q553" s="109" t="s">
        <v>2308</v>
      </c>
      <c r="R553" s="109" t="s">
        <v>2308</v>
      </c>
      <c r="S553" s="22" t="s">
        <v>2308</v>
      </c>
      <c r="T553" s="22" t="s">
        <v>2308</v>
      </c>
      <c r="U553" s="22" t="s">
        <v>2560</v>
      </c>
      <c r="V553" s="22" t="s">
        <v>2308</v>
      </c>
      <c r="W553" s="22" t="s">
        <v>2308</v>
      </c>
      <c r="X553" s="4" t="s">
        <v>75</v>
      </c>
      <c r="Y553" s="4" t="s">
        <v>35</v>
      </c>
      <c r="Z553" s="4" t="s">
        <v>64</v>
      </c>
      <c r="AA553" s="5" t="s">
        <v>894</v>
      </c>
      <c r="AB553" s="5" t="s">
        <v>2157</v>
      </c>
    </row>
    <row r="554" spans="1:28" ht="66" customHeight="1">
      <c r="A554" s="7" t="str">
        <f>'Reported burning'!A554</f>
        <v>56l</v>
      </c>
      <c r="B554" s="7" t="str">
        <f>'Reported burning'!B554</f>
        <v>56l.1</v>
      </c>
      <c r="C554" s="7" t="str">
        <f>'Reported burning'!C554</f>
        <v>Human, deliberate</v>
      </c>
      <c r="D554" s="7" t="str">
        <f>'Reported burning'!D554</f>
        <v>Crop field preparation</v>
      </c>
      <c r="E554" s="7" t="str">
        <f>'Reported burning'!E554</f>
        <v>Cropping, Swidden</v>
      </c>
      <c r="F554" s="7" t="str">
        <f>'Reported burning'!F554</f>
        <v>Secondary Vegetation</v>
      </c>
      <c r="G554" s="7">
        <f>'Reported burning'!G554</f>
        <v>0</v>
      </c>
      <c r="H554" s="7" t="str">
        <f>'Reported burning'!H554</f>
        <v>Presence</v>
      </c>
      <c r="I554" s="96"/>
      <c r="J554" s="22" t="s">
        <v>2401</v>
      </c>
      <c r="K554" s="110" t="s">
        <v>2308</v>
      </c>
      <c r="L554" s="22" t="s">
        <v>2308</v>
      </c>
      <c r="M554" s="22" t="s">
        <v>2308</v>
      </c>
      <c r="N554" s="22" t="s">
        <v>2308</v>
      </c>
      <c r="O554" s="22" t="s">
        <v>2308</v>
      </c>
      <c r="P554" s="22" t="s">
        <v>2308</v>
      </c>
      <c r="Q554" s="109" t="s">
        <v>2308</v>
      </c>
      <c r="R554" s="109" t="s">
        <v>2308</v>
      </c>
      <c r="S554" s="22" t="s">
        <v>2308</v>
      </c>
      <c r="T554" s="22" t="s">
        <v>2308</v>
      </c>
      <c r="U554" s="22" t="s">
        <v>2560</v>
      </c>
      <c r="V554" s="22" t="s">
        <v>2308</v>
      </c>
      <c r="W554" s="22" t="s">
        <v>2308</v>
      </c>
      <c r="X554" s="4" t="s">
        <v>75</v>
      </c>
      <c r="Y554" s="4" t="s">
        <v>35</v>
      </c>
      <c r="Z554" s="4" t="s">
        <v>64</v>
      </c>
      <c r="AA554" s="5" t="s">
        <v>894</v>
      </c>
      <c r="AB554" s="5" t="s">
        <v>2157</v>
      </c>
    </row>
    <row r="555" spans="1:28" ht="66" customHeight="1">
      <c r="A555" s="7" t="str">
        <f>'Reported burning'!A555</f>
        <v>56m</v>
      </c>
      <c r="B555" s="7" t="str">
        <f>'Reported burning'!B555</f>
        <v>56m.1</v>
      </c>
      <c r="C555" s="7" t="str">
        <f>'Reported burning'!C555</f>
        <v>Human, deliberate</v>
      </c>
      <c r="D555" s="7" t="str">
        <f>'Reported burning'!D555</f>
        <v>Crop field preparation</v>
      </c>
      <c r="E555" s="7" t="str">
        <f>'Reported burning'!E555</f>
        <v>Cropping, Swidden</v>
      </c>
      <c r="F555" s="7" t="str">
        <f>'Reported burning'!F555</f>
        <v>Secondary Vegetation</v>
      </c>
      <c r="G555" s="7">
        <f>'Reported burning'!G555</f>
        <v>0</v>
      </c>
      <c r="H555" s="7" t="str">
        <f>'Reported burning'!H555</f>
        <v>Presence</v>
      </c>
      <c r="I555" s="96"/>
      <c r="J555" s="22" t="s">
        <v>2399</v>
      </c>
      <c r="K555" s="110" t="s">
        <v>2308</v>
      </c>
      <c r="L555" s="22" t="s">
        <v>2308</v>
      </c>
      <c r="M555" s="22" t="s">
        <v>2308</v>
      </c>
      <c r="N555" s="22" t="s">
        <v>2308</v>
      </c>
      <c r="O555" s="22" t="s">
        <v>2308</v>
      </c>
      <c r="P555" s="22" t="s">
        <v>2308</v>
      </c>
      <c r="Q555" s="109" t="s">
        <v>2308</v>
      </c>
      <c r="R555" s="109" t="s">
        <v>2308</v>
      </c>
      <c r="S555" s="22" t="s">
        <v>2308</v>
      </c>
      <c r="T555" s="22" t="s">
        <v>2308</v>
      </c>
      <c r="U555" s="22" t="s">
        <v>2560</v>
      </c>
      <c r="V555" s="22" t="s">
        <v>2308</v>
      </c>
      <c r="W555" s="22" t="s">
        <v>2308</v>
      </c>
      <c r="X555" s="4" t="s">
        <v>75</v>
      </c>
      <c r="Y555" s="4" t="s">
        <v>35</v>
      </c>
      <c r="Z555" s="4" t="s">
        <v>64</v>
      </c>
      <c r="AA555" s="5" t="s">
        <v>894</v>
      </c>
      <c r="AB555" s="5" t="s">
        <v>2157</v>
      </c>
    </row>
    <row r="556" spans="1:28" ht="66" customHeight="1">
      <c r="A556" s="7" t="str">
        <f>'Reported burning'!A556</f>
        <v>56n</v>
      </c>
      <c r="B556" s="7" t="str">
        <f>'Reported burning'!B556</f>
        <v>56n.1</v>
      </c>
      <c r="C556" s="7" t="str">
        <f>'Reported burning'!C556</f>
        <v>Human, deliberate</v>
      </c>
      <c r="D556" s="7" t="str">
        <f>'Reported burning'!D556</f>
        <v>Crop field preparation</v>
      </c>
      <c r="E556" s="7" t="str">
        <f>'Reported burning'!E556</f>
        <v>Cropping, Swidden</v>
      </c>
      <c r="F556" s="7" t="str">
        <f>'Reported burning'!F556</f>
        <v>Secondary Vegetation</v>
      </c>
      <c r="G556" s="7">
        <f>'Reported burning'!G556</f>
        <v>0</v>
      </c>
      <c r="H556" s="7" t="str">
        <f>'Reported burning'!H556</f>
        <v>Presence</v>
      </c>
      <c r="I556" s="96"/>
      <c r="J556" s="22" t="s">
        <v>2400</v>
      </c>
      <c r="K556" s="110" t="s">
        <v>2308</v>
      </c>
      <c r="L556" s="22" t="s">
        <v>2308</v>
      </c>
      <c r="M556" s="22" t="s">
        <v>2308</v>
      </c>
      <c r="N556" s="22" t="s">
        <v>2308</v>
      </c>
      <c r="O556" s="22" t="s">
        <v>2308</v>
      </c>
      <c r="P556" s="22" t="s">
        <v>2308</v>
      </c>
      <c r="Q556" s="109" t="s">
        <v>2308</v>
      </c>
      <c r="R556" s="109" t="s">
        <v>2308</v>
      </c>
      <c r="S556" s="22" t="s">
        <v>2308</v>
      </c>
      <c r="T556" s="22" t="s">
        <v>2308</v>
      </c>
      <c r="U556" s="22" t="s">
        <v>2560</v>
      </c>
      <c r="V556" s="22" t="s">
        <v>2308</v>
      </c>
      <c r="W556" s="22" t="s">
        <v>2308</v>
      </c>
      <c r="X556" s="4" t="s">
        <v>75</v>
      </c>
      <c r="Y556" s="4" t="s">
        <v>35</v>
      </c>
      <c r="Z556" s="4" t="s">
        <v>64</v>
      </c>
      <c r="AA556" s="5" t="s">
        <v>894</v>
      </c>
      <c r="AB556" s="5" t="s">
        <v>2157</v>
      </c>
    </row>
    <row r="557" spans="1:28" ht="66" customHeight="1">
      <c r="A557" s="7" t="str">
        <f>'Reported burning'!A557</f>
        <v>56o</v>
      </c>
      <c r="B557" s="7" t="str">
        <f>'Reported burning'!B557</f>
        <v>56o.1</v>
      </c>
      <c r="C557" s="7" t="str">
        <f>'Reported burning'!C557</f>
        <v>Human, deliberate</v>
      </c>
      <c r="D557" s="7" t="str">
        <f>'Reported burning'!D557</f>
        <v>Crop field preparation</v>
      </c>
      <c r="E557" s="7" t="str">
        <f>'Reported burning'!E557</f>
        <v>Cropping, Swidden</v>
      </c>
      <c r="F557" s="7" t="str">
        <f>'Reported burning'!F557</f>
        <v>Secondary Vegetation</v>
      </c>
      <c r="G557" s="7">
        <f>'Reported burning'!G557</f>
        <v>0</v>
      </c>
      <c r="H557" s="7" t="str">
        <f>'Reported burning'!H557</f>
        <v>Presence</v>
      </c>
      <c r="I557" s="96"/>
      <c r="J557" s="22" t="s">
        <v>2400</v>
      </c>
      <c r="K557" s="110" t="s">
        <v>2308</v>
      </c>
      <c r="L557" s="22" t="s">
        <v>2308</v>
      </c>
      <c r="M557" s="22" t="s">
        <v>2308</v>
      </c>
      <c r="N557" s="22" t="s">
        <v>2308</v>
      </c>
      <c r="O557" s="22" t="s">
        <v>2308</v>
      </c>
      <c r="P557" s="22" t="s">
        <v>2308</v>
      </c>
      <c r="Q557" s="109" t="s">
        <v>2308</v>
      </c>
      <c r="R557" s="109" t="s">
        <v>2308</v>
      </c>
      <c r="S557" s="22" t="s">
        <v>2308</v>
      </c>
      <c r="T557" s="22" t="s">
        <v>2308</v>
      </c>
      <c r="U557" s="22" t="s">
        <v>2560</v>
      </c>
      <c r="V557" s="22" t="s">
        <v>2308</v>
      </c>
      <c r="W557" s="22" t="s">
        <v>2308</v>
      </c>
      <c r="X557" s="4" t="s">
        <v>75</v>
      </c>
      <c r="Y557" s="4" t="s">
        <v>35</v>
      </c>
      <c r="Z557" s="4" t="s">
        <v>64</v>
      </c>
      <c r="AA557" s="5" t="s">
        <v>894</v>
      </c>
      <c r="AB557" s="5" t="s">
        <v>2157</v>
      </c>
    </row>
    <row r="558" spans="1:28" ht="66" customHeight="1">
      <c r="A558" s="7" t="str">
        <f>'Reported burning'!A558</f>
        <v>56p</v>
      </c>
      <c r="B558" s="7" t="str">
        <f>'Reported burning'!B558</f>
        <v>56p.1</v>
      </c>
      <c r="C558" s="7" t="str">
        <f>'Reported burning'!C558</f>
        <v>Human, deliberate</v>
      </c>
      <c r="D558" s="7" t="str">
        <f>'Reported burning'!D558</f>
        <v>Crop field preparation</v>
      </c>
      <c r="E558" s="7" t="str">
        <f>'Reported burning'!E558</f>
        <v>Cropping, Swidden</v>
      </c>
      <c r="F558" s="7" t="str">
        <f>'Reported burning'!F558</f>
        <v>Secondary Vegetation</v>
      </c>
      <c r="G558" s="7">
        <f>'Reported burning'!G558</f>
        <v>0</v>
      </c>
      <c r="H558" s="7" t="str">
        <f>'Reported burning'!H558</f>
        <v>Presence</v>
      </c>
      <c r="I558" s="96"/>
      <c r="J558" s="22" t="s">
        <v>2401</v>
      </c>
      <c r="K558" s="110" t="s">
        <v>2308</v>
      </c>
      <c r="L558" s="22" t="s">
        <v>2308</v>
      </c>
      <c r="M558" s="22" t="s">
        <v>2308</v>
      </c>
      <c r="N558" s="22" t="s">
        <v>2308</v>
      </c>
      <c r="O558" s="22" t="s">
        <v>2308</v>
      </c>
      <c r="P558" s="22" t="s">
        <v>2308</v>
      </c>
      <c r="Q558" s="109" t="s">
        <v>2308</v>
      </c>
      <c r="R558" s="109" t="s">
        <v>2308</v>
      </c>
      <c r="S558" s="22" t="s">
        <v>2308</v>
      </c>
      <c r="T558" s="22" t="s">
        <v>2308</v>
      </c>
      <c r="U558" s="22" t="s">
        <v>2560</v>
      </c>
      <c r="V558" s="22" t="s">
        <v>2308</v>
      </c>
      <c r="W558" s="22" t="s">
        <v>2308</v>
      </c>
      <c r="X558" s="4" t="s">
        <v>75</v>
      </c>
      <c r="Y558" s="4" t="s">
        <v>35</v>
      </c>
      <c r="Z558" s="4" t="s">
        <v>64</v>
      </c>
      <c r="AA558" s="5" t="s">
        <v>894</v>
      </c>
      <c r="AB558" s="5" t="s">
        <v>2157</v>
      </c>
    </row>
    <row r="559" spans="1:28" ht="66" customHeight="1">
      <c r="A559" s="7" t="str">
        <f>'Reported burning'!A559</f>
        <v>56q</v>
      </c>
      <c r="B559" s="7" t="str">
        <f>'Reported burning'!B559</f>
        <v>56q.1</v>
      </c>
      <c r="C559" s="7" t="str">
        <f>'Reported burning'!C559</f>
        <v>Human, deliberate</v>
      </c>
      <c r="D559" s="7" t="str">
        <f>'Reported burning'!D559</f>
        <v>Crop field preparation</v>
      </c>
      <c r="E559" s="7" t="str">
        <f>'Reported burning'!E559</f>
        <v>Cropping, Swidden</v>
      </c>
      <c r="F559" s="7" t="str">
        <f>'Reported burning'!F559</f>
        <v>Secondary Vegetation</v>
      </c>
      <c r="G559" s="7">
        <f>'Reported burning'!G559</f>
        <v>0</v>
      </c>
      <c r="H559" s="7" t="str">
        <f>'Reported burning'!H559</f>
        <v>Presence</v>
      </c>
      <c r="I559" s="96"/>
      <c r="J559" s="22" t="s">
        <v>2400</v>
      </c>
      <c r="K559" s="110" t="s">
        <v>2308</v>
      </c>
      <c r="L559" s="22" t="s">
        <v>2308</v>
      </c>
      <c r="M559" s="22" t="s">
        <v>2308</v>
      </c>
      <c r="N559" s="22" t="s">
        <v>2308</v>
      </c>
      <c r="O559" s="22" t="s">
        <v>2308</v>
      </c>
      <c r="P559" s="22" t="s">
        <v>2308</v>
      </c>
      <c r="Q559" s="109" t="s">
        <v>2308</v>
      </c>
      <c r="R559" s="109" t="s">
        <v>2308</v>
      </c>
      <c r="S559" s="22" t="s">
        <v>2308</v>
      </c>
      <c r="T559" s="22" t="s">
        <v>2308</v>
      </c>
      <c r="U559" s="22" t="s">
        <v>2560</v>
      </c>
      <c r="V559" s="22" t="s">
        <v>2308</v>
      </c>
      <c r="W559" s="22" t="s">
        <v>2308</v>
      </c>
      <c r="X559" s="4" t="s">
        <v>75</v>
      </c>
      <c r="Y559" s="4" t="s">
        <v>35</v>
      </c>
      <c r="Z559" s="4" t="s">
        <v>64</v>
      </c>
      <c r="AA559" s="5" t="s">
        <v>894</v>
      </c>
      <c r="AB559" s="5" t="s">
        <v>2157</v>
      </c>
    </row>
    <row r="560" spans="1:28" ht="66" customHeight="1">
      <c r="A560" s="7" t="str">
        <f>'Reported burning'!A560</f>
        <v>56r</v>
      </c>
      <c r="B560" s="7" t="str">
        <f>'Reported burning'!B560</f>
        <v>56r.1</v>
      </c>
      <c r="C560" s="7" t="str">
        <f>'Reported burning'!C560</f>
        <v>Human, deliberate</v>
      </c>
      <c r="D560" s="7" t="str">
        <f>'Reported burning'!D560</f>
        <v>Crop field preparation</v>
      </c>
      <c r="E560" s="7" t="str">
        <f>'Reported burning'!E560</f>
        <v>Cropping, Swidden</v>
      </c>
      <c r="F560" s="7" t="str">
        <f>'Reported burning'!F560</f>
        <v>Secondary Vegetation</v>
      </c>
      <c r="G560" s="7">
        <f>'Reported burning'!G560</f>
        <v>0</v>
      </c>
      <c r="H560" s="7" t="str">
        <f>'Reported burning'!H560</f>
        <v>Presence</v>
      </c>
      <c r="I560" s="96"/>
      <c r="J560" s="22" t="s">
        <v>2400</v>
      </c>
      <c r="K560" s="110" t="s">
        <v>2308</v>
      </c>
      <c r="L560" s="22" t="s">
        <v>2308</v>
      </c>
      <c r="M560" s="22" t="s">
        <v>2308</v>
      </c>
      <c r="N560" s="22" t="s">
        <v>2308</v>
      </c>
      <c r="O560" s="22" t="s">
        <v>2308</v>
      </c>
      <c r="P560" s="22" t="s">
        <v>2308</v>
      </c>
      <c r="Q560" s="109" t="s">
        <v>2308</v>
      </c>
      <c r="R560" s="109" t="s">
        <v>2308</v>
      </c>
      <c r="S560" s="22" t="s">
        <v>2308</v>
      </c>
      <c r="T560" s="22" t="s">
        <v>2308</v>
      </c>
      <c r="U560" s="22" t="s">
        <v>2560</v>
      </c>
      <c r="V560" s="22" t="s">
        <v>2308</v>
      </c>
      <c r="W560" s="22" t="s">
        <v>2308</v>
      </c>
      <c r="X560" s="4" t="s">
        <v>75</v>
      </c>
      <c r="Y560" s="4" t="s">
        <v>35</v>
      </c>
      <c r="Z560" s="4" t="s">
        <v>64</v>
      </c>
      <c r="AA560" s="5" t="s">
        <v>894</v>
      </c>
      <c r="AB560" s="5" t="s">
        <v>2157</v>
      </c>
    </row>
    <row r="561" spans="1:28" ht="66" customHeight="1">
      <c r="A561" s="7" t="str">
        <f>'Reported burning'!A561</f>
        <v>56s</v>
      </c>
      <c r="B561" s="7" t="str">
        <f>'Reported burning'!B561</f>
        <v>56s.1</v>
      </c>
      <c r="C561" s="7" t="str">
        <f>'Reported burning'!C561</f>
        <v>Human, deliberate</v>
      </c>
      <c r="D561" s="7" t="str">
        <f>'Reported burning'!D561</f>
        <v>Crop field preparation</v>
      </c>
      <c r="E561" s="7" t="str">
        <f>'Reported burning'!E561</f>
        <v>Cropping, Swidden</v>
      </c>
      <c r="F561" s="7" t="str">
        <f>'Reported burning'!F561</f>
        <v>Secondary Vegetation</v>
      </c>
      <c r="G561" s="7">
        <f>'Reported burning'!G561</f>
        <v>0</v>
      </c>
      <c r="H561" s="7" t="str">
        <f>'Reported burning'!H561</f>
        <v>Presence</v>
      </c>
      <c r="I561" s="96"/>
      <c r="J561" s="22" t="s">
        <v>2400</v>
      </c>
      <c r="K561" s="110" t="s">
        <v>2308</v>
      </c>
      <c r="L561" s="22" t="s">
        <v>2308</v>
      </c>
      <c r="M561" s="22" t="s">
        <v>2308</v>
      </c>
      <c r="N561" s="22" t="s">
        <v>2308</v>
      </c>
      <c r="O561" s="22" t="s">
        <v>2308</v>
      </c>
      <c r="P561" s="22" t="s">
        <v>2308</v>
      </c>
      <c r="Q561" s="109" t="s">
        <v>2308</v>
      </c>
      <c r="R561" s="109" t="s">
        <v>2308</v>
      </c>
      <c r="S561" s="22" t="s">
        <v>2308</v>
      </c>
      <c r="T561" s="22" t="s">
        <v>2308</v>
      </c>
      <c r="U561" s="22" t="s">
        <v>2560</v>
      </c>
      <c r="V561" s="22" t="s">
        <v>2308</v>
      </c>
      <c r="W561" s="22" t="s">
        <v>2308</v>
      </c>
      <c r="X561" s="4" t="s">
        <v>75</v>
      </c>
      <c r="Y561" s="4" t="s">
        <v>35</v>
      </c>
      <c r="Z561" s="4" t="s">
        <v>64</v>
      </c>
      <c r="AA561" s="5" t="s">
        <v>894</v>
      </c>
      <c r="AB561" s="5" t="s">
        <v>2157</v>
      </c>
    </row>
    <row r="562" spans="1:28" ht="66" customHeight="1">
      <c r="A562" s="7" t="str">
        <f>'Reported burning'!A562</f>
        <v>56t</v>
      </c>
      <c r="B562" s="7" t="str">
        <f>'Reported burning'!B562</f>
        <v>56t.1</v>
      </c>
      <c r="C562" s="7" t="str">
        <f>'Reported burning'!C562</f>
        <v>Human, deliberate</v>
      </c>
      <c r="D562" s="7" t="str">
        <f>'Reported burning'!D562</f>
        <v>Crop field preparation</v>
      </c>
      <c r="E562" s="7" t="str">
        <f>'Reported burning'!E562</f>
        <v>Cropping, Swidden</v>
      </c>
      <c r="F562" s="7" t="str">
        <f>'Reported burning'!F562</f>
        <v>Secondary Vegetation</v>
      </c>
      <c r="G562" s="7">
        <f>'Reported burning'!G562</f>
        <v>0</v>
      </c>
      <c r="H562" s="7" t="str">
        <f>'Reported burning'!H562</f>
        <v>Presence</v>
      </c>
      <c r="I562" s="96"/>
      <c r="J562" s="22" t="s">
        <v>2400</v>
      </c>
      <c r="K562" s="110" t="s">
        <v>2308</v>
      </c>
      <c r="L562" s="22" t="s">
        <v>2308</v>
      </c>
      <c r="M562" s="22" t="s">
        <v>2308</v>
      </c>
      <c r="N562" s="22" t="s">
        <v>2308</v>
      </c>
      <c r="O562" s="22" t="s">
        <v>2308</v>
      </c>
      <c r="P562" s="22" t="s">
        <v>2308</v>
      </c>
      <c r="Q562" s="109" t="s">
        <v>2308</v>
      </c>
      <c r="R562" s="109" t="s">
        <v>2308</v>
      </c>
      <c r="S562" s="22" t="s">
        <v>2308</v>
      </c>
      <c r="T562" s="22" t="s">
        <v>2308</v>
      </c>
      <c r="U562" s="22" t="s">
        <v>2560</v>
      </c>
      <c r="V562" s="22" t="s">
        <v>2308</v>
      </c>
      <c r="W562" s="22" t="s">
        <v>2308</v>
      </c>
      <c r="X562" s="4" t="s">
        <v>75</v>
      </c>
      <c r="Y562" s="4" t="s">
        <v>35</v>
      </c>
      <c r="Z562" s="4" t="s">
        <v>64</v>
      </c>
      <c r="AA562" s="5" t="s">
        <v>894</v>
      </c>
      <c r="AB562" s="5" t="s">
        <v>2157</v>
      </c>
    </row>
    <row r="563" spans="1:28" ht="66" customHeight="1">
      <c r="A563" s="7" t="str">
        <f>'Reported burning'!A563</f>
        <v>56u</v>
      </c>
      <c r="B563" s="7" t="str">
        <f>'Reported burning'!B563</f>
        <v>56u.1</v>
      </c>
      <c r="C563" s="7" t="str">
        <f>'Reported burning'!C563</f>
        <v>Human, deliberate</v>
      </c>
      <c r="D563" s="7" t="str">
        <f>'Reported burning'!D563</f>
        <v>Crop field preparation</v>
      </c>
      <c r="E563" s="7" t="str">
        <f>'Reported burning'!E563</f>
        <v>Cropping, Swidden</v>
      </c>
      <c r="F563" s="7" t="str">
        <f>'Reported burning'!F563</f>
        <v>Secondary Vegetation</v>
      </c>
      <c r="G563" s="7">
        <f>'Reported burning'!G563</f>
        <v>0</v>
      </c>
      <c r="H563" s="7" t="str">
        <f>'Reported burning'!H563</f>
        <v>Presence</v>
      </c>
      <c r="I563" s="96"/>
      <c r="J563" s="22" t="s">
        <v>2400</v>
      </c>
      <c r="K563" s="110" t="s">
        <v>2308</v>
      </c>
      <c r="L563" s="22" t="s">
        <v>2308</v>
      </c>
      <c r="M563" s="22" t="s">
        <v>2308</v>
      </c>
      <c r="N563" s="22" t="s">
        <v>2308</v>
      </c>
      <c r="O563" s="22" t="s">
        <v>2308</v>
      </c>
      <c r="P563" s="22" t="s">
        <v>2308</v>
      </c>
      <c r="Q563" s="109" t="s">
        <v>2308</v>
      </c>
      <c r="R563" s="109" t="s">
        <v>2308</v>
      </c>
      <c r="S563" s="22" t="s">
        <v>2308</v>
      </c>
      <c r="T563" s="22" t="s">
        <v>2308</v>
      </c>
      <c r="U563" s="22" t="s">
        <v>2560</v>
      </c>
      <c r="V563" s="22" t="s">
        <v>2308</v>
      </c>
      <c r="W563" s="22" t="s">
        <v>2308</v>
      </c>
      <c r="X563" s="4" t="s">
        <v>75</v>
      </c>
      <c r="Y563" s="4" t="s">
        <v>35</v>
      </c>
      <c r="Z563" s="4" t="s">
        <v>64</v>
      </c>
      <c r="AA563" s="5" t="s">
        <v>894</v>
      </c>
      <c r="AB563" s="5" t="s">
        <v>2157</v>
      </c>
    </row>
    <row r="564" spans="1:28" ht="66" customHeight="1">
      <c r="A564" s="7" t="str">
        <f>'Reported burning'!A564</f>
        <v>56v</v>
      </c>
      <c r="B564" s="7" t="str">
        <f>'Reported burning'!B564</f>
        <v>56v.1</v>
      </c>
      <c r="C564" s="7" t="str">
        <f>'Reported burning'!C564</f>
        <v>Human, deliberate</v>
      </c>
      <c r="D564" s="7" t="str">
        <f>'Reported burning'!D564</f>
        <v>Crop field preparation</v>
      </c>
      <c r="E564" s="7" t="str">
        <f>'Reported burning'!E564</f>
        <v>Cropping, Swidden</v>
      </c>
      <c r="F564" s="7" t="str">
        <f>'Reported burning'!F564</f>
        <v>Secondary Vegetation</v>
      </c>
      <c r="G564" s="7">
        <f>'Reported burning'!G564</f>
        <v>0</v>
      </c>
      <c r="H564" s="7" t="str">
        <f>'Reported burning'!H564</f>
        <v>Presence</v>
      </c>
      <c r="I564" s="96"/>
      <c r="J564" s="22" t="s">
        <v>2400</v>
      </c>
      <c r="K564" s="110" t="s">
        <v>2308</v>
      </c>
      <c r="L564" s="22" t="s">
        <v>2308</v>
      </c>
      <c r="M564" s="22" t="s">
        <v>2308</v>
      </c>
      <c r="N564" s="22" t="s">
        <v>2308</v>
      </c>
      <c r="O564" s="22" t="s">
        <v>2308</v>
      </c>
      <c r="P564" s="22" t="s">
        <v>2308</v>
      </c>
      <c r="Q564" s="109" t="s">
        <v>2308</v>
      </c>
      <c r="R564" s="109" t="s">
        <v>2308</v>
      </c>
      <c r="S564" s="22" t="s">
        <v>2308</v>
      </c>
      <c r="T564" s="22" t="s">
        <v>2308</v>
      </c>
      <c r="U564" s="22" t="s">
        <v>2560</v>
      </c>
      <c r="V564" s="22" t="s">
        <v>2308</v>
      </c>
      <c r="W564" s="22" t="s">
        <v>2308</v>
      </c>
      <c r="X564" s="4" t="s">
        <v>75</v>
      </c>
      <c r="Y564" s="4" t="s">
        <v>35</v>
      </c>
      <c r="Z564" s="4" t="s">
        <v>64</v>
      </c>
      <c r="AA564" s="5" t="s">
        <v>894</v>
      </c>
      <c r="AB564" s="5" t="s">
        <v>2157</v>
      </c>
    </row>
    <row r="565" spans="1:28" ht="66" customHeight="1">
      <c r="A565" s="7" t="str">
        <f>'Reported burning'!A565</f>
        <v>56w</v>
      </c>
      <c r="B565" s="7" t="str">
        <f>'Reported burning'!B565</f>
        <v>56w.1</v>
      </c>
      <c r="C565" s="7" t="str">
        <f>'Reported burning'!C565</f>
        <v>Human, deliberate</v>
      </c>
      <c r="D565" s="7" t="str">
        <f>'Reported burning'!D565</f>
        <v>Crop field preparation</v>
      </c>
      <c r="E565" s="7" t="str">
        <f>'Reported burning'!E565</f>
        <v>Cropping, Swidden</v>
      </c>
      <c r="F565" s="7" t="str">
        <f>'Reported burning'!F565</f>
        <v>Secondary Vegetation</v>
      </c>
      <c r="G565" s="7">
        <f>'Reported burning'!G565</f>
        <v>0</v>
      </c>
      <c r="H565" s="7" t="str">
        <f>'Reported burning'!H565</f>
        <v>Presence</v>
      </c>
      <c r="I565" s="96"/>
      <c r="J565" s="22" t="s">
        <v>2400</v>
      </c>
      <c r="K565" s="110" t="s">
        <v>2308</v>
      </c>
      <c r="L565" s="22" t="s">
        <v>2308</v>
      </c>
      <c r="M565" s="22" t="s">
        <v>2308</v>
      </c>
      <c r="N565" s="22" t="s">
        <v>2308</v>
      </c>
      <c r="O565" s="22" t="s">
        <v>2308</v>
      </c>
      <c r="P565" s="22" t="s">
        <v>2308</v>
      </c>
      <c r="Q565" s="109" t="s">
        <v>2308</v>
      </c>
      <c r="R565" s="109" t="s">
        <v>2308</v>
      </c>
      <c r="S565" s="22" t="s">
        <v>2308</v>
      </c>
      <c r="T565" s="22" t="s">
        <v>2308</v>
      </c>
      <c r="U565" s="22" t="s">
        <v>2560</v>
      </c>
      <c r="V565" s="22" t="s">
        <v>2308</v>
      </c>
      <c r="W565" s="22" t="s">
        <v>2308</v>
      </c>
      <c r="X565" s="4" t="s">
        <v>75</v>
      </c>
      <c r="Y565" s="4" t="s">
        <v>35</v>
      </c>
      <c r="Z565" s="4" t="s">
        <v>64</v>
      </c>
      <c r="AA565" s="5" t="s">
        <v>894</v>
      </c>
      <c r="AB565" s="5" t="s">
        <v>2157</v>
      </c>
    </row>
    <row r="566" spans="1:28" ht="66" customHeight="1">
      <c r="A566" s="7" t="str">
        <f>'Reported burning'!A566</f>
        <v>56x</v>
      </c>
      <c r="B566" s="7" t="str">
        <f>'Reported burning'!B566</f>
        <v>56x.1</v>
      </c>
      <c r="C566" s="7" t="str">
        <f>'Reported burning'!C566</f>
        <v>Human, deliberate</v>
      </c>
      <c r="D566" s="7" t="str">
        <f>'Reported burning'!D566</f>
        <v>Crop field preparation</v>
      </c>
      <c r="E566" s="7" t="str">
        <f>'Reported burning'!E566</f>
        <v>Cropping, Swidden</v>
      </c>
      <c r="F566" s="7" t="str">
        <f>'Reported burning'!F566</f>
        <v>Secondary Vegetation</v>
      </c>
      <c r="G566" s="7">
        <f>'Reported burning'!G566</f>
        <v>0</v>
      </c>
      <c r="H566" s="7" t="str">
        <f>'Reported burning'!H566</f>
        <v>Presence</v>
      </c>
      <c r="I566" s="96"/>
      <c r="J566" s="22" t="s">
        <v>2400</v>
      </c>
      <c r="K566" s="110" t="s">
        <v>2308</v>
      </c>
      <c r="L566" s="22" t="s">
        <v>2308</v>
      </c>
      <c r="M566" s="22" t="s">
        <v>2308</v>
      </c>
      <c r="N566" s="22" t="s">
        <v>2308</v>
      </c>
      <c r="O566" s="22" t="s">
        <v>2308</v>
      </c>
      <c r="P566" s="22" t="s">
        <v>2308</v>
      </c>
      <c r="Q566" s="109" t="s">
        <v>2308</v>
      </c>
      <c r="R566" s="109" t="s">
        <v>2308</v>
      </c>
      <c r="S566" s="22" t="s">
        <v>2308</v>
      </c>
      <c r="T566" s="22" t="s">
        <v>2308</v>
      </c>
      <c r="U566" s="22" t="s">
        <v>2560</v>
      </c>
      <c r="V566" s="22" t="s">
        <v>2308</v>
      </c>
      <c r="W566" s="22" t="s">
        <v>2308</v>
      </c>
      <c r="X566" s="4" t="s">
        <v>75</v>
      </c>
      <c r="Y566" s="4" t="s">
        <v>35</v>
      </c>
      <c r="Z566" s="4" t="s">
        <v>64</v>
      </c>
      <c r="AA566" s="5" t="s">
        <v>894</v>
      </c>
      <c r="AB566" s="5" t="s">
        <v>2157</v>
      </c>
    </row>
    <row r="567" spans="1:28" ht="66" customHeight="1">
      <c r="A567" s="7" t="str">
        <f>'Reported burning'!A567</f>
        <v>56y</v>
      </c>
      <c r="B567" s="7" t="str">
        <f>'Reported burning'!B567</f>
        <v>56y.1</v>
      </c>
      <c r="C567" s="7" t="str">
        <f>'Reported burning'!C567</f>
        <v>Human, deliberate</v>
      </c>
      <c r="D567" s="7" t="str">
        <f>'Reported burning'!D567</f>
        <v>Crop field preparation</v>
      </c>
      <c r="E567" s="7" t="str">
        <f>'Reported burning'!E567</f>
        <v>Cropping, Swidden</v>
      </c>
      <c r="F567" s="7" t="str">
        <f>'Reported burning'!F567</f>
        <v>Secondary Vegetation</v>
      </c>
      <c r="G567" s="7">
        <f>'Reported burning'!G567</f>
        <v>0</v>
      </c>
      <c r="H567" s="7" t="str">
        <f>'Reported burning'!H567</f>
        <v>Presence</v>
      </c>
      <c r="I567" s="96"/>
      <c r="J567" s="22" t="s">
        <v>2401</v>
      </c>
      <c r="K567" s="110" t="s">
        <v>2308</v>
      </c>
      <c r="L567" s="22" t="s">
        <v>2308</v>
      </c>
      <c r="M567" s="22" t="s">
        <v>2308</v>
      </c>
      <c r="N567" s="22" t="s">
        <v>2308</v>
      </c>
      <c r="O567" s="22" t="s">
        <v>2308</v>
      </c>
      <c r="P567" s="22" t="s">
        <v>2308</v>
      </c>
      <c r="Q567" s="109" t="s">
        <v>2308</v>
      </c>
      <c r="R567" s="109" t="s">
        <v>2308</v>
      </c>
      <c r="S567" s="22" t="s">
        <v>2308</v>
      </c>
      <c r="T567" s="22" t="s">
        <v>2308</v>
      </c>
      <c r="U567" s="22" t="s">
        <v>2560</v>
      </c>
      <c r="V567" s="22" t="s">
        <v>2308</v>
      </c>
      <c r="W567" s="22" t="s">
        <v>2308</v>
      </c>
      <c r="X567" s="4" t="s">
        <v>75</v>
      </c>
      <c r="Y567" s="4" t="s">
        <v>35</v>
      </c>
      <c r="Z567" s="4" t="s">
        <v>64</v>
      </c>
      <c r="AA567" s="5" t="s">
        <v>894</v>
      </c>
      <c r="AB567" s="5" t="s">
        <v>2157</v>
      </c>
    </row>
    <row r="568" spans="1:28" ht="66" customHeight="1">
      <c r="A568" s="7" t="str">
        <f>'Reported burning'!A568</f>
        <v>56z</v>
      </c>
      <c r="B568" s="7" t="str">
        <f>'Reported burning'!B568</f>
        <v>56z.1</v>
      </c>
      <c r="C568" s="7" t="str">
        <f>'Reported burning'!C568</f>
        <v>Human, deliberate</v>
      </c>
      <c r="D568" s="7" t="str">
        <f>'Reported burning'!D568</f>
        <v>Crop field preparation</v>
      </c>
      <c r="E568" s="7" t="str">
        <f>'Reported burning'!E568</f>
        <v>Cropping, Swidden</v>
      </c>
      <c r="F568" s="7" t="str">
        <f>'Reported burning'!F568</f>
        <v>Secondary Vegetation</v>
      </c>
      <c r="G568" s="7">
        <f>'Reported burning'!G568</f>
        <v>0</v>
      </c>
      <c r="H568" s="7" t="str">
        <f>'Reported burning'!H568</f>
        <v>Presence</v>
      </c>
      <c r="I568" s="96"/>
      <c r="J568" s="22" t="s">
        <v>2401</v>
      </c>
      <c r="K568" s="110" t="s">
        <v>2308</v>
      </c>
      <c r="L568" s="22" t="s">
        <v>2308</v>
      </c>
      <c r="M568" s="22" t="s">
        <v>2308</v>
      </c>
      <c r="N568" s="22" t="s">
        <v>2308</v>
      </c>
      <c r="O568" s="22" t="s">
        <v>2308</v>
      </c>
      <c r="P568" s="22" t="s">
        <v>2308</v>
      </c>
      <c r="Q568" s="109" t="s">
        <v>2308</v>
      </c>
      <c r="R568" s="109" t="s">
        <v>2308</v>
      </c>
      <c r="S568" s="22" t="s">
        <v>2308</v>
      </c>
      <c r="T568" s="22" t="s">
        <v>2308</v>
      </c>
      <c r="U568" s="22" t="s">
        <v>2560</v>
      </c>
      <c r="V568" s="22" t="s">
        <v>2308</v>
      </c>
      <c r="W568" s="22" t="s">
        <v>2308</v>
      </c>
      <c r="X568" s="4" t="s">
        <v>75</v>
      </c>
      <c r="Y568" s="4" t="s">
        <v>35</v>
      </c>
      <c r="Z568" s="4" t="s">
        <v>64</v>
      </c>
      <c r="AA568" s="5" t="s">
        <v>894</v>
      </c>
      <c r="AB568" s="5" t="s">
        <v>2157</v>
      </c>
    </row>
    <row r="569" spans="1:28" ht="66" customHeight="1">
      <c r="A569" s="7" t="str">
        <f>'Reported burning'!A569</f>
        <v>56aa</v>
      </c>
      <c r="B569" s="7" t="str">
        <f>'Reported burning'!B569</f>
        <v>56aa.1</v>
      </c>
      <c r="C569" s="7" t="str">
        <f>'Reported burning'!C569</f>
        <v>Human, deliberate</v>
      </c>
      <c r="D569" s="7" t="str">
        <f>'Reported burning'!D569</f>
        <v>Crop field preparation</v>
      </c>
      <c r="E569" s="7" t="str">
        <f>'Reported burning'!E569</f>
        <v>Cropping, Swidden</v>
      </c>
      <c r="F569" s="7" t="str">
        <f>'Reported burning'!F569</f>
        <v>Secondary Vegetation</v>
      </c>
      <c r="G569" s="7">
        <f>'Reported burning'!G569</f>
        <v>0</v>
      </c>
      <c r="H569" s="7" t="str">
        <f>'Reported burning'!H569</f>
        <v>Presence</v>
      </c>
      <c r="I569" s="96"/>
      <c r="J569" s="22" t="s">
        <v>2399</v>
      </c>
      <c r="K569" s="110" t="s">
        <v>2308</v>
      </c>
      <c r="L569" s="22" t="s">
        <v>2308</v>
      </c>
      <c r="M569" s="22" t="s">
        <v>2308</v>
      </c>
      <c r="N569" s="22" t="s">
        <v>2308</v>
      </c>
      <c r="O569" s="22" t="s">
        <v>2308</v>
      </c>
      <c r="P569" s="22" t="s">
        <v>2308</v>
      </c>
      <c r="Q569" s="109" t="s">
        <v>2308</v>
      </c>
      <c r="R569" s="109" t="s">
        <v>2308</v>
      </c>
      <c r="S569" s="22" t="s">
        <v>2308</v>
      </c>
      <c r="T569" s="22" t="s">
        <v>2308</v>
      </c>
      <c r="U569" s="22" t="s">
        <v>2560</v>
      </c>
      <c r="V569" s="22" t="s">
        <v>2308</v>
      </c>
      <c r="W569" s="22" t="s">
        <v>2308</v>
      </c>
      <c r="X569" s="4" t="s">
        <v>75</v>
      </c>
      <c r="Y569" s="4" t="s">
        <v>35</v>
      </c>
      <c r="Z569" s="4" t="s">
        <v>64</v>
      </c>
      <c r="AA569" s="5" t="s">
        <v>894</v>
      </c>
      <c r="AB569" s="5" t="s">
        <v>2157</v>
      </c>
    </row>
    <row r="570" spans="1:28" ht="66" customHeight="1">
      <c r="A570" s="7" t="str">
        <f>'Reported burning'!A570</f>
        <v>56ab</v>
      </c>
      <c r="B570" s="7" t="str">
        <f>'Reported burning'!B570</f>
        <v>56ab.1</v>
      </c>
      <c r="C570" s="7" t="str">
        <f>'Reported burning'!C570</f>
        <v>Human, deliberate</v>
      </c>
      <c r="D570" s="7" t="str">
        <f>'Reported burning'!D570</f>
        <v>Crop field preparation</v>
      </c>
      <c r="E570" s="7" t="str">
        <f>'Reported burning'!E570</f>
        <v>Cropping, Swidden</v>
      </c>
      <c r="F570" s="7" t="str">
        <f>'Reported burning'!F570</f>
        <v>Secondary Vegetation</v>
      </c>
      <c r="G570" s="7">
        <f>'Reported burning'!G570</f>
        <v>0</v>
      </c>
      <c r="H570" s="7" t="str">
        <f>'Reported burning'!H570</f>
        <v>Presence</v>
      </c>
      <c r="I570" s="96"/>
      <c r="J570" s="22" t="s">
        <v>2398</v>
      </c>
      <c r="K570" s="110" t="s">
        <v>2308</v>
      </c>
      <c r="L570" s="22" t="s">
        <v>2308</v>
      </c>
      <c r="M570" s="22" t="s">
        <v>2308</v>
      </c>
      <c r="N570" s="22" t="s">
        <v>2308</v>
      </c>
      <c r="O570" s="22" t="s">
        <v>2308</v>
      </c>
      <c r="P570" s="22" t="s">
        <v>2308</v>
      </c>
      <c r="Q570" s="109" t="s">
        <v>2308</v>
      </c>
      <c r="R570" s="109" t="s">
        <v>2308</v>
      </c>
      <c r="S570" s="22" t="s">
        <v>2308</v>
      </c>
      <c r="T570" s="22" t="s">
        <v>2308</v>
      </c>
      <c r="U570" s="22" t="s">
        <v>2560</v>
      </c>
      <c r="V570" s="22" t="s">
        <v>2308</v>
      </c>
      <c r="W570" s="22" t="s">
        <v>2308</v>
      </c>
      <c r="X570" s="4" t="s">
        <v>75</v>
      </c>
      <c r="Y570" s="4" t="s">
        <v>35</v>
      </c>
      <c r="Z570" s="4" t="s">
        <v>64</v>
      </c>
      <c r="AA570" s="5" t="s">
        <v>894</v>
      </c>
      <c r="AB570" s="5" t="s">
        <v>2157</v>
      </c>
    </row>
    <row r="571" spans="1:28" ht="66" customHeight="1">
      <c r="A571" s="7" t="str">
        <f>'Reported burning'!A571</f>
        <v>56ac</v>
      </c>
      <c r="B571" s="7" t="str">
        <f>'Reported burning'!B571</f>
        <v>56ac.1</v>
      </c>
      <c r="C571" s="7" t="str">
        <f>'Reported burning'!C571</f>
        <v>Human, deliberate</v>
      </c>
      <c r="D571" s="7" t="str">
        <f>'Reported burning'!D571</f>
        <v>Crop field preparation</v>
      </c>
      <c r="E571" s="7" t="str">
        <f>'Reported burning'!E571</f>
        <v>Cropping, Swidden</v>
      </c>
      <c r="F571" s="7" t="str">
        <f>'Reported burning'!F571</f>
        <v>Secondary Vegetation</v>
      </c>
      <c r="G571" s="7">
        <f>'Reported burning'!G571</f>
        <v>0</v>
      </c>
      <c r="H571" s="7" t="str">
        <f>'Reported burning'!H571</f>
        <v>Presence</v>
      </c>
      <c r="I571" s="96"/>
      <c r="J571" s="22" t="s">
        <v>2399</v>
      </c>
      <c r="K571" s="110" t="s">
        <v>2308</v>
      </c>
      <c r="L571" s="22" t="s">
        <v>2308</v>
      </c>
      <c r="M571" s="22" t="s">
        <v>2308</v>
      </c>
      <c r="N571" s="22" t="s">
        <v>2308</v>
      </c>
      <c r="O571" s="22" t="s">
        <v>2308</v>
      </c>
      <c r="P571" s="22" t="s">
        <v>2308</v>
      </c>
      <c r="Q571" s="109" t="s">
        <v>2308</v>
      </c>
      <c r="R571" s="109" t="s">
        <v>2308</v>
      </c>
      <c r="S571" s="22" t="s">
        <v>2308</v>
      </c>
      <c r="T571" s="22" t="s">
        <v>2308</v>
      </c>
      <c r="U571" s="22" t="s">
        <v>2560</v>
      </c>
      <c r="V571" s="22" t="s">
        <v>2308</v>
      </c>
      <c r="W571" s="22" t="s">
        <v>2308</v>
      </c>
      <c r="X571" s="4" t="s">
        <v>75</v>
      </c>
      <c r="Y571" s="4" t="s">
        <v>35</v>
      </c>
      <c r="Z571" s="4" t="s">
        <v>64</v>
      </c>
      <c r="AA571" s="5" t="s">
        <v>894</v>
      </c>
      <c r="AB571" s="5" t="s">
        <v>2157</v>
      </c>
    </row>
    <row r="572" spans="1:28" ht="66" customHeight="1">
      <c r="A572" s="7" t="str">
        <f>'Reported burning'!A572</f>
        <v>56ad</v>
      </c>
      <c r="B572" s="7" t="str">
        <f>'Reported burning'!B572</f>
        <v>56ad.1</v>
      </c>
      <c r="C572" s="7" t="str">
        <f>'Reported burning'!C572</f>
        <v>Human, deliberate</v>
      </c>
      <c r="D572" s="7" t="str">
        <f>'Reported burning'!D572</f>
        <v>Crop field preparation</v>
      </c>
      <c r="E572" s="7" t="str">
        <f>'Reported burning'!E572</f>
        <v>Cropping, Swidden</v>
      </c>
      <c r="F572" s="7" t="str">
        <f>'Reported burning'!F572</f>
        <v>Secondary Vegetation</v>
      </c>
      <c r="G572" s="7">
        <f>'Reported burning'!G572</f>
        <v>0</v>
      </c>
      <c r="H572" s="7" t="str">
        <f>'Reported burning'!H572</f>
        <v>Presence</v>
      </c>
      <c r="I572" s="96"/>
      <c r="J572" s="22" t="s">
        <v>2401</v>
      </c>
      <c r="K572" s="110" t="s">
        <v>2308</v>
      </c>
      <c r="L572" s="22" t="s">
        <v>2308</v>
      </c>
      <c r="M572" s="22" t="s">
        <v>2308</v>
      </c>
      <c r="N572" s="22" t="s">
        <v>2308</v>
      </c>
      <c r="O572" s="22" t="s">
        <v>2308</v>
      </c>
      <c r="P572" s="22" t="s">
        <v>2308</v>
      </c>
      <c r="Q572" s="109" t="s">
        <v>2308</v>
      </c>
      <c r="R572" s="109" t="s">
        <v>2308</v>
      </c>
      <c r="S572" s="22" t="s">
        <v>2308</v>
      </c>
      <c r="T572" s="22" t="s">
        <v>2308</v>
      </c>
      <c r="U572" s="22" t="s">
        <v>2560</v>
      </c>
      <c r="V572" s="22" t="s">
        <v>2308</v>
      </c>
      <c r="W572" s="22" t="s">
        <v>2308</v>
      </c>
      <c r="X572" s="4" t="s">
        <v>75</v>
      </c>
      <c r="Y572" s="4" t="s">
        <v>35</v>
      </c>
      <c r="Z572" s="4" t="s">
        <v>64</v>
      </c>
      <c r="AA572" s="5" t="s">
        <v>894</v>
      </c>
      <c r="AB572" s="5" t="s">
        <v>2157</v>
      </c>
    </row>
    <row r="573" spans="1:28" ht="66" customHeight="1">
      <c r="A573" s="7" t="str">
        <f>'Reported burning'!A573</f>
        <v>56ae</v>
      </c>
      <c r="B573" s="7" t="str">
        <f>'Reported burning'!B573</f>
        <v>56ae.1</v>
      </c>
      <c r="C573" s="7" t="str">
        <f>'Reported burning'!C573</f>
        <v>Human, deliberate</v>
      </c>
      <c r="D573" s="7" t="str">
        <f>'Reported burning'!D573</f>
        <v>Crop field preparation</v>
      </c>
      <c r="E573" s="7" t="str">
        <f>'Reported burning'!E573</f>
        <v>Cropping, Swidden</v>
      </c>
      <c r="F573" s="7" t="str">
        <f>'Reported burning'!F573</f>
        <v>Secondary Vegetation</v>
      </c>
      <c r="G573" s="7">
        <f>'Reported burning'!G573</f>
        <v>0</v>
      </c>
      <c r="H573" s="7" t="str">
        <f>'Reported burning'!H573</f>
        <v>Presence</v>
      </c>
      <c r="I573" s="96"/>
      <c r="J573" s="22" t="s">
        <v>2399</v>
      </c>
      <c r="K573" s="110" t="s">
        <v>2308</v>
      </c>
      <c r="L573" s="22" t="s">
        <v>2308</v>
      </c>
      <c r="M573" s="22" t="s">
        <v>2308</v>
      </c>
      <c r="N573" s="22" t="s">
        <v>2308</v>
      </c>
      <c r="O573" s="22" t="s">
        <v>2308</v>
      </c>
      <c r="P573" s="22" t="s">
        <v>2308</v>
      </c>
      <c r="Q573" s="109" t="s">
        <v>2308</v>
      </c>
      <c r="R573" s="109" t="s">
        <v>2308</v>
      </c>
      <c r="S573" s="22" t="s">
        <v>2308</v>
      </c>
      <c r="T573" s="22" t="s">
        <v>2308</v>
      </c>
      <c r="U573" s="22" t="s">
        <v>2560</v>
      </c>
      <c r="V573" s="22" t="s">
        <v>2308</v>
      </c>
      <c r="W573" s="22" t="s">
        <v>2308</v>
      </c>
      <c r="X573" s="4" t="s">
        <v>75</v>
      </c>
      <c r="Y573" s="4" t="s">
        <v>35</v>
      </c>
      <c r="Z573" s="4" t="s">
        <v>64</v>
      </c>
      <c r="AA573" s="5" t="s">
        <v>894</v>
      </c>
      <c r="AB573" s="5" t="s">
        <v>2157</v>
      </c>
    </row>
    <row r="574" spans="1:28" ht="66" customHeight="1">
      <c r="A574" s="7" t="str">
        <f>'Reported burning'!A574</f>
        <v>56af</v>
      </c>
      <c r="B574" s="7" t="str">
        <f>'Reported burning'!B574</f>
        <v>56af.1</v>
      </c>
      <c r="C574" s="7" t="str">
        <f>'Reported burning'!C574</f>
        <v>Human, deliberate</v>
      </c>
      <c r="D574" s="7" t="str">
        <f>'Reported burning'!D574</f>
        <v>Crop field preparation</v>
      </c>
      <c r="E574" s="7" t="str">
        <f>'Reported burning'!E574</f>
        <v>Cropping, Swidden</v>
      </c>
      <c r="F574" s="7" t="str">
        <f>'Reported burning'!F574</f>
        <v>Secondary Vegetation</v>
      </c>
      <c r="G574" s="7">
        <f>'Reported burning'!G574</f>
        <v>0</v>
      </c>
      <c r="H574" s="7" t="str">
        <f>'Reported burning'!H574</f>
        <v>Presence</v>
      </c>
      <c r="I574" s="96"/>
      <c r="J574" s="22" t="s">
        <v>2400</v>
      </c>
      <c r="K574" s="110" t="s">
        <v>2308</v>
      </c>
      <c r="L574" s="22" t="s">
        <v>2308</v>
      </c>
      <c r="M574" s="22" t="s">
        <v>2308</v>
      </c>
      <c r="N574" s="22" t="s">
        <v>2308</v>
      </c>
      <c r="O574" s="22" t="s">
        <v>2308</v>
      </c>
      <c r="P574" s="22" t="s">
        <v>2308</v>
      </c>
      <c r="Q574" s="109" t="s">
        <v>2308</v>
      </c>
      <c r="R574" s="109" t="s">
        <v>2308</v>
      </c>
      <c r="S574" s="22" t="s">
        <v>2308</v>
      </c>
      <c r="T574" s="22" t="s">
        <v>2308</v>
      </c>
      <c r="U574" s="22" t="s">
        <v>2560</v>
      </c>
      <c r="V574" s="22" t="s">
        <v>2308</v>
      </c>
      <c r="W574" s="22" t="s">
        <v>2308</v>
      </c>
      <c r="X574" s="4" t="s">
        <v>75</v>
      </c>
      <c r="Y574" s="4" t="s">
        <v>35</v>
      </c>
      <c r="Z574" s="4" t="s">
        <v>64</v>
      </c>
      <c r="AA574" s="5" t="s">
        <v>894</v>
      </c>
      <c r="AB574" s="5" t="s">
        <v>2157</v>
      </c>
    </row>
    <row r="575" spans="1:28" ht="66" customHeight="1">
      <c r="A575" s="7" t="str">
        <f>'Reported burning'!A575</f>
        <v>56ag</v>
      </c>
      <c r="B575" s="7" t="str">
        <f>'Reported burning'!B575</f>
        <v>56ag.1</v>
      </c>
      <c r="C575" s="7" t="str">
        <f>'Reported burning'!C575</f>
        <v>Human, deliberate</v>
      </c>
      <c r="D575" s="7" t="str">
        <f>'Reported burning'!D575</f>
        <v>Crop field preparation</v>
      </c>
      <c r="E575" s="7" t="str">
        <f>'Reported burning'!E575</f>
        <v>Cropping, Swidden</v>
      </c>
      <c r="F575" s="7" t="str">
        <f>'Reported burning'!F575</f>
        <v>Secondary Vegetation</v>
      </c>
      <c r="G575" s="7">
        <f>'Reported burning'!G575</f>
        <v>0</v>
      </c>
      <c r="H575" s="7" t="str">
        <f>'Reported burning'!H575</f>
        <v>Presence</v>
      </c>
      <c r="I575" s="96"/>
      <c r="J575" s="22" t="s">
        <v>2401</v>
      </c>
      <c r="K575" s="110" t="s">
        <v>2308</v>
      </c>
      <c r="L575" s="22" t="s">
        <v>2308</v>
      </c>
      <c r="M575" s="22" t="s">
        <v>2308</v>
      </c>
      <c r="N575" s="22" t="s">
        <v>2308</v>
      </c>
      <c r="O575" s="22" t="s">
        <v>2308</v>
      </c>
      <c r="P575" s="22" t="s">
        <v>2308</v>
      </c>
      <c r="Q575" s="109" t="s">
        <v>2308</v>
      </c>
      <c r="R575" s="109" t="s">
        <v>2308</v>
      </c>
      <c r="S575" s="22" t="s">
        <v>2308</v>
      </c>
      <c r="T575" s="22" t="s">
        <v>2308</v>
      </c>
      <c r="U575" s="22" t="s">
        <v>2560</v>
      </c>
      <c r="V575" s="22" t="s">
        <v>2308</v>
      </c>
      <c r="W575" s="22" t="s">
        <v>2308</v>
      </c>
      <c r="X575" s="4" t="s">
        <v>75</v>
      </c>
      <c r="Y575" s="4" t="s">
        <v>35</v>
      </c>
      <c r="Z575" s="4" t="s">
        <v>64</v>
      </c>
      <c r="AA575" s="5" t="s">
        <v>894</v>
      </c>
      <c r="AB575" s="5" t="s">
        <v>2157</v>
      </c>
    </row>
    <row r="576" spans="1:28" ht="66" customHeight="1">
      <c r="A576" s="7" t="str">
        <f>'Reported burning'!A576</f>
        <v>56ah</v>
      </c>
      <c r="B576" s="7" t="str">
        <f>'Reported burning'!B576</f>
        <v>56ah.1</v>
      </c>
      <c r="C576" s="7" t="str">
        <f>'Reported burning'!C576</f>
        <v>Human, deliberate</v>
      </c>
      <c r="D576" s="7" t="str">
        <f>'Reported burning'!D576</f>
        <v>Crop field preparation</v>
      </c>
      <c r="E576" s="7" t="str">
        <f>'Reported burning'!E576</f>
        <v>Cropping, Swidden</v>
      </c>
      <c r="F576" s="7" t="str">
        <f>'Reported burning'!F576</f>
        <v>Secondary Vegetation</v>
      </c>
      <c r="G576" s="7">
        <f>'Reported burning'!G576</f>
        <v>0</v>
      </c>
      <c r="H576" s="7" t="str">
        <f>'Reported burning'!H576</f>
        <v>Presence</v>
      </c>
      <c r="I576" s="96"/>
      <c r="J576" s="22" t="s">
        <v>2401</v>
      </c>
      <c r="K576" s="110" t="s">
        <v>2308</v>
      </c>
      <c r="L576" s="22" t="s">
        <v>2308</v>
      </c>
      <c r="M576" s="22" t="s">
        <v>2308</v>
      </c>
      <c r="N576" s="22" t="s">
        <v>2308</v>
      </c>
      <c r="O576" s="22" t="s">
        <v>2308</v>
      </c>
      <c r="P576" s="22" t="s">
        <v>2308</v>
      </c>
      <c r="Q576" s="109" t="s">
        <v>2308</v>
      </c>
      <c r="R576" s="109" t="s">
        <v>2308</v>
      </c>
      <c r="S576" s="22" t="s">
        <v>2308</v>
      </c>
      <c r="T576" s="22" t="s">
        <v>2308</v>
      </c>
      <c r="U576" s="22" t="s">
        <v>2560</v>
      </c>
      <c r="V576" s="22" t="s">
        <v>2308</v>
      </c>
      <c r="W576" s="22" t="s">
        <v>2308</v>
      </c>
      <c r="X576" s="4" t="s">
        <v>75</v>
      </c>
      <c r="Y576" s="4" t="s">
        <v>35</v>
      </c>
      <c r="Z576" s="4" t="s">
        <v>64</v>
      </c>
      <c r="AA576" s="5" t="s">
        <v>894</v>
      </c>
      <c r="AB576" s="5" t="s">
        <v>2157</v>
      </c>
    </row>
    <row r="577" spans="1:28" ht="66" customHeight="1">
      <c r="A577" s="7" t="str">
        <f>'Reported burning'!A577</f>
        <v>56ai</v>
      </c>
      <c r="B577" s="7" t="str">
        <f>'Reported burning'!B577</f>
        <v>56ai.1</v>
      </c>
      <c r="C577" s="7" t="str">
        <f>'Reported burning'!C577</f>
        <v>Human, deliberate</v>
      </c>
      <c r="D577" s="7" t="str">
        <f>'Reported burning'!D577</f>
        <v>Crop field preparation</v>
      </c>
      <c r="E577" s="7" t="str">
        <f>'Reported burning'!E577</f>
        <v>Cropping, Swidden</v>
      </c>
      <c r="F577" s="7" t="str">
        <f>'Reported burning'!F577</f>
        <v>Secondary Vegetation</v>
      </c>
      <c r="G577" s="7">
        <f>'Reported burning'!G577</f>
        <v>0</v>
      </c>
      <c r="H577" s="7" t="str">
        <f>'Reported burning'!H577</f>
        <v>Presence</v>
      </c>
      <c r="I577" s="96"/>
      <c r="J577" s="22" t="s">
        <v>2400</v>
      </c>
      <c r="K577" s="110" t="s">
        <v>2308</v>
      </c>
      <c r="L577" s="22" t="s">
        <v>2308</v>
      </c>
      <c r="M577" s="22" t="s">
        <v>2308</v>
      </c>
      <c r="N577" s="22" t="s">
        <v>2308</v>
      </c>
      <c r="O577" s="22" t="s">
        <v>2308</v>
      </c>
      <c r="P577" s="22" t="s">
        <v>2308</v>
      </c>
      <c r="Q577" s="109" t="s">
        <v>2308</v>
      </c>
      <c r="R577" s="109" t="s">
        <v>2308</v>
      </c>
      <c r="S577" s="22" t="s">
        <v>2308</v>
      </c>
      <c r="T577" s="22" t="s">
        <v>2308</v>
      </c>
      <c r="U577" s="22" t="s">
        <v>2560</v>
      </c>
      <c r="V577" s="22" t="s">
        <v>2308</v>
      </c>
      <c r="W577" s="22" t="s">
        <v>2308</v>
      </c>
      <c r="X577" s="4" t="s">
        <v>75</v>
      </c>
      <c r="Y577" s="4" t="s">
        <v>35</v>
      </c>
      <c r="Z577" s="4" t="s">
        <v>64</v>
      </c>
      <c r="AA577" s="5" t="s">
        <v>894</v>
      </c>
      <c r="AB577" s="5" t="s">
        <v>2157</v>
      </c>
    </row>
    <row r="578" spans="1:28" ht="66" customHeight="1">
      <c r="A578" s="7" t="str">
        <f>'Reported burning'!A578</f>
        <v>56aj</v>
      </c>
      <c r="B578" s="7" t="str">
        <f>'Reported burning'!B578</f>
        <v>56aj.1</v>
      </c>
      <c r="C578" s="7" t="str">
        <f>'Reported burning'!C578</f>
        <v>Human, deliberate</v>
      </c>
      <c r="D578" s="7" t="str">
        <f>'Reported burning'!D578</f>
        <v>Crop field preparation</v>
      </c>
      <c r="E578" s="7" t="str">
        <f>'Reported burning'!E578</f>
        <v>Cropping, Swidden</v>
      </c>
      <c r="F578" s="7" t="str">
        <f>'Reported burning'!F578</f>
        <v>Secondary Vegetation</v>
      </c>
      <c r="G578" s="7">
        <f>'Reported burning'!G578</f>
        <v>0</v>
      </c>
      <c r="H578" s="7" t="str">
        <f>'Reported burning'!H578</f>
        <v>Presence</v>
      </c>
      <c r="I578" s="96"/>
      <c r="J578" s="22" t="s">
        <v>2400</v>
      </c>
      <c r="K578" s="110" t="s">
        <v>2308</v>
      </c>
      <c r="L578" s="22" t="s">
        <v>2308</v>
      </c>
      <c r="M578" s="22" t="s">
        <v>2308</v>
      </c>
      <c r="N578" s="22" t="s">
        <v>2308</v>
      </c>
      <c r="O578" s="22" t="s">
        <v>2308</v>
      </c>
      <c r="P578" s="22" t="s">
        <v>2308</v>
      </c>
      <c r="Q578" s="109" t="s">
        <v>2308</v>
      </c>
      <c r="R578" s="109" t="s">
        <v>2308</v>
      </c>
      <c r="S578" s="22" t="s">
        <v>2308</v>
      </c>
      <c r="T578" s="22" t="s">
        <v>2308</v>
      </c>
      <c r="U578" s="22" t="s">
        <v>2560</v>
      </c>
      <c r="V578" s="22" t="s">
        <v>2308</v>
      </c>
      <c r="W578" s="22" t="s">
        <v>2308</v>
      </c>
      <c r="X578" s="4" t="s">
        <v>75</v>
      </c>
      <c r="Y578" s="4" t="s">
        <v>35</v>
      </c>
      <c r="Z578" s="4" t="s">
        <v>64</v>
      </c>
      <c r="AA578" s="5" t="s">
        <v>894</v>
      </c>
      <c r="AB578" s="5" t="s">
        <v>2157</v>
      </c>
    </row>
    <row r="579" spans="1:28" ht="66" customHeight="1">
      <c r="A579" s="7" t="str">
        <f>'Reported burning'!A579</f>
        <v>56ak</v>
      </c>
      <c r="B579" s="7" t="str">
        <f>'Reported burning'!B579</f>
        <v>56ak.1</v>
      </c>
      <c r="C579" s="7" t="str">
        <f>'Reported burning'!C579</f>
        <v>Human, deliberate</v>
      </c>
      <c r="D579" s="7" t="str">
        <f>'Reported burning'!D579</f>
        <v>Crop field preparation</v>
      </c>
      <c r="E579" s="7" t="str">
        <f>'Reported burning'!E579</f>
        <v>Cropping, Swidden</v>
      </c>
      <c r="F579" s="7" t="str">
        <f>'Reported burning'!F579</f>
        <v>Secondary Vegetation</v>
      </c>
      <c r="G579" s="7">
        <f>'Reported burning'!G579</f>
        <v>0</v>
      </c>
      <c r="H579" s="7" t="str">
        <f>'Reported burning'!H579</f>
        <v>Presence</v>
      </c>
      <c r="I579" s="96"/>
      <c r="J579" s="22" t="s">
        <v>2401</v>
      </c>
      <c r="K579" s="110" t="s">
        <v>2308</v>
      </c>
      <c r="L579" s="22" t="s">
        <v>2308</v>
      </c>
      <c r="M579" s="22" t="s">
        <v>2308</v>
      </c>
      <c r="N579" s="22" t="s">
        <v>2308</v>
      </c>
      <c r="O579" s="22" t="s">
        <v>2308</v>
      </c>
      <c r="P579" s="22" t="s">
        <v>2308</v>
      </c>
      <c r="Q579" s="109" t="s">
        <v>2308</v>
      </c>
      <c r="R579" s="109" t="s">
        <v>2308</v>
      </c>
      <c r="S579" s="22" t="s">
        <v>2308</v>
      </c>
      <c r="T579" s="22" t="s">
        <v>2308</v>
      </c>
      <c r="U579" s="22" t="s">
        <v>2560</v>
      </c>
      <c r="V579" s="22" t="s">
        <v>2308</v>
      </c>
      <c r="W579" s="22" t="s">
        <v>2308</v>
      </c>
      <c r="X579" s="4" t="s">
        <v>75</v>
      </c>
      <c r="Y579" s="4" t="s">
        <v>35</v>
      </c>
      <c r="Z579" s="4" t="s">
        <v>64</v>
      </c>
      <c r="AA579" s="5" t="s">
        <v>894</v>
      </c>
      <c r="AB579" s="5" t="s">
        <v>2157</v>
      </c>
    </row>
    <row r="580" spans="1:28" ht="66" customHeight="1">
      <c r="A580" s="7" t="str">
        <f>'Reported burning'!A580</f>
        <v>56al</v>
      </c>
      <c r="B580" s="7" t="str">
        <f>'Reported burning'!B580</f>
        <v>56al.1</v>
      </c>
      <c r="C580" s="7" t="str">
        <f>'Reported burning'!C580</f>
        <v>Human, deliberate</v>
      </c>
      <c r="D580" s="7" t="str">
        <f>'Reported burning'!D580</f>
        <v>Crop field preparation</v>
      </c>
      <c r="E580" s="7" t="str">
        <f>'Reported burning'!E580</f>
        <v>Cropping, Swidden</v>
      </c>
      <c r="F580" s="7" t="str">
        <f>'Reported burning'!F580</f>
        <v>Secondary Vegetation</v>
      </c>
      <c r="G580" s="7">
        <f>'Reported burning'!G580</f>
        <v>0</v>
      </c>
      <c r="H580" s="7" t="str">
        <f>'Reported burning'!H580</f>
        <v>Presence</v>
      </c>
      <c r="I580" s="96"/>
      <c r="J580" s="22" t="s">
        <v>2400</v>
      </c>
      <c r="K580" s="110" t="s">
        <v>2308</v>
      </c>
      <c r="L580" s="22" t="s">
        <v>2308</v>
      </c>
      <c r="M580" s="22" t="s">
        <v>2308</v>
      </c>
      <c r="N580" s="22" t="s">
        <v>2308</v>
      </c>
      <c r="O580" s="22" t="s">
        <v>2308</v>
      </c>
      <c r="P580" s="22" t="s">
        <v>2308</v>
      </c>
      <c r="Q580" s="109" t="s">
        <v>2308</v>
      </c>
      <c r="R580" s="109" t="s">
        <v>2308</v>
      </c>
      <c r="S580" s="22" t="s">
        <v>2308</v>
      </c>
      <c r="T580" s="22" t="s">
        <v>2308</v>
      </c>
      <c r="U580" s="22" t="s">
        <v>2560</v>
      </c>
      <c r="V580" s="22" t="s">
        <v>2308</v>
      </c>
      <c r="W580" s="22" t="s">
        <v>2308</v>
      </c>
      <c r="X580" s="4" t="s">
        <v>75</v>
      </c>
      <c r="Y580" s="4" t="s">
        <v>35</v>
      </c>
      <c r="Z580" s="4" t="s">
        <v>64</v>
      </c>
      <c r="AA580" s="5" t="s">
        <v>894</v>
      </c>
      <c r="AB580" s="5" t="s">
        <v>2157</v>
      </c>
    </row>
    <row r="581" spans="1:28" ht="66" customHeight="1">
      <c r="A581" s="7" t="str">
        <f>'Reported burning'!A581</f>
        <v>56am</v>
      </c>
      <c r="B581" s="7" t="str">
        <f>'Reported burning'!B581</f>
        <v>56am.1</v>
      </c>
      <c r="C581" s="7" t="str">
        <f>'Reported burning'!C581</f>
        <v>Human, deliberate</v>
      </c>
      <c r="D581" s="7" t="str">
        <f>'Reported burning'!D581</f>
        <v>Crop field preparation</v>
      </c>
      <c r="E581" s="7" t="str">
        <f>'Reported burning'!E581</f>
        <v>Cropping, Swidden</v>
      </c>
      <c r="F581" s="7" t="str">
        <f>'Reported burning'!F581</f>
        <v>Secondary Vegetation</v>
      </c>
      <c r="G581" s="7">
        <f>'Reported burning'!G581</f>
        <v>0</v>
      </c>
      <c r="H581" s="7" t="str">
        <f>'Reported burning'!H581</f>
        <v>Presence</v>
      </c>
      <c r="I581" s="96"/>
      <c r="J581" s="22" t="s">
        <v>2400</v>
      </c>
      <c r="K581" s="110" t="s">
        <v>2308</v>
      </c>
      <c r="L581" s="22" t="s">
        <v>2308</v>
      </c>
      <c r="M581" s="22" t="s">
        <v>2308</v>
      </c>
      <c r="N581" s="22" t="s">
        <v>2308</v>
      </c>
      <c r="O581" s="22" t="s">
        <v>2308</v>
      </c>
      <c r="P581" s="22" t="s">
        <v>2308</v>
      </c>
      <c r="Q581" s="109" t="s">
        <v>2308</v>
      </c>
      <c r="R581" s="109" t="s">
        <v>2308</v>
      </c>
      <c r="S581" s="22" t="s">
        <v>2308</v>
      </c>
      <c r="T581" s="22" t="s">
        <v>2308</v>
      </c>
      <c r="U581" s="22" t="s">
        <v>2560</v>
      </c>
      <c r="V581" s="22" t="s">
        <v>2308</v>
      </c>
      <c r="W581" s="22" t="s">
        <v>2308</v>
      </c>
      <c r="X581" s="4" t="s">
        <v>75</v>
      </c>
      <c r="Y581" s="4" t="s">
        <v>35</v>
      </c>
      <c r="Z581" s="4" t="s">
        <v>64</v>
      </c>
      <c r="AA581" s="5" t="s">
        <v>894</v>
      </c>
      <c r="AB581" s="5" t="s">
        <v>2157</v>
      </c>
    </row>
    <row r="582" spans="1:28" ht="66" customHeight="1">
      <c r="A582" s="7" t="str">
        <f>'Reported burning'!A582</f>
        <v>56an</v>
      </c>
      <c r="B582" s="7" t="str">
        <f>'Reported burning'!B582</f>
        <v>56an.1</v>
      </c>
      <c r="C582" s="7" t="str">
        <f>'Reported burning'!C582</f>
        <v>Human, deliberate</v>
      </c>
      <c r="D582" s="7" t="str">
        <f>'Reported burning'!D582</f>
        <v>Crop field preparation</v>
      </c>
      <c r="E582" s="7" t="str">
        <f>'Reported burning'!E582</f>
        <v>Cropping, Swidden</v>
      </c>
      <c r="F582" s="7" t="str">
        <f>'Reported burning'!F582</f>
        <v>Secondary Vegetation</v>
      </c>
      <c r="G582" s="7">
        <f>'Reported burning'!G582</f>
        <v>0</v>
      </c>
      <c r="H582" s="7" t="str">
        <f>'Reported burning'!H582</f>
        <v>Presence</v>
      </c>
      <c r="I582" s="96"/>
      <c r="J582" s="22" t="s">
        <v>2400</v>
      </c>
      <c r="K582" s="110" t="s">
        <v>2308</v>
      </c>
      <c r="L582" s="22" t="s">
        <v>2308</v>
      </c>
      <c r="M582" s="22" t="s">
        <v>2308</v>
      </c>
      <c r="N582" s="22" t="s">
        <v>2308</v>
      </c>
      <c r="O582" s="22" t="s">
        <v>2308</v>
      </c>
      <c r="P582" s="22" t="s">
        <v>2308</v>
      </c>
      <c r="Q582" s="109" t="s">
        <v>2308</v>
      </c>
      <c r="R582" s="109" t="s">
        <v>2308</v>
      </c>
      <c r="S582" s="22" t="s">
        <v>2308</v>
      </c>
      <c r="T582" s="22" t="s">
        <v>2308</v>
      </c>
      <c r="U582" s="22" t="s">
        <v>2560</v>
      </c>
      <c r="V582" s="22" t="s">
        <v>2308</v>
      </c>
      <c r="W582" s="22" t="s">
        <v>2308</v>
      </c>
      <c r="X582" s="4" t="s">
        <v>75</v>
      </c>
      <c r="Y582" s="4" t="s">
        <v>35</v>
      </c>
      <c r="Z582" s="4" t="s">
        <v>64</v>
      </c>
      <c r="AA582" s="5" t="s">
        <v>894</v>
      </c>
      <c r="AB582" s="5" t="s">
        <v>2157</v>
      </c>
    </row>
    <row r="583" spans="1:28" ht="66" customHeight="1">
      <c r="A583" s="7" t="str">
        <f>'Reported burning'!A583</f>
        <v>56ao</v>
      </c>
      <c r="B583" s="7" t="str">
        <f>'Reported burning'!B583</f>
        <v>56ao.1</v>
      </c>
      <c r="C583" s="7" t="str">
        <f>'Reported burning'!C583</f>
        <v>Human, deliberate</v>
      </c>
      <c r="D583" s="7" t="str">
        <f>'Reported burning'!D583</f>
        <v>Crop field preparation</v>
      </c>
      <c r="E583" s="7" t="str">
        <f>'Reported burning'!E583</f>
        <v>Cropping, Swidden</v>
      </c>
      <c r="F583" s="7" t="str">
        <f>'Reported burning'!F583</f>
        <v>Secondary Vegetation</v>
      </c>
      <c r="G583" s="7">
        <f>'Reported burning'!G583</f>
        <v>0</v>
      </c>
      <c r="H583" s="7" t="str">
        <f>'Reported burning'!H583</f>
        <v>Presence</v>
      </c>
      <c r="I583" s="96"/>
      <c r="J583" s="22" t="s">
        <v>2400</v>
      </c>
      <c r="K583" s="110" t="s">
        <v>2308</v>
      </c>
      <c r="L583" s="22" t="s">
        <v>2308</v>
      </c>
      <c r="M583" s="22" t="s">
        <v>2308</v>
      </c>
      <c r="N583" s="22" t="s">
        <v>2308</v>
      </c>
      <c r="O583" s="22" t="s">
        <v>2308</v>
      </c>
      <c r="P583" s="22" t="s">
        <v>2308</v>
      </c>
      <c r="Q583" s="109" t="s">
        <v>2308</v>
      </c>
      <c r="R583" s="109" t="s">
        <v>2308</v>
      </c>
      <c r="S583" s="22" t="s">
        <v>2308</v>
      </c>
      <c r="T583" s="22" t="s">
        <v>2308</v>
      </c>
      <c r="U583" s="22" t="s">
        <v>2560</v>
      </c>
      <c r="V583" s="22" t="s">
        <v>2308</v>
      </c>
      <c r="W583" s="22" t="s">
        <v>2308</v>
      </c>
      <c r="X583" s="4" t="s">
        <v>75</v>
      </c>
      <c r="Y583" s="4" t="s">
        <v>35</v>
      </c>
      <c r="Z583" s="4" t="s">
        <v>64</v>
      </c>
      <c r="AA583" s="5" t="s">
        <v>894</v>
      </c>
      <c r="AB583" s="5" t="s">
        <v>2157</v>
      </c>
    </row>
    <row r="584" spans="1:28" ht="66" customHeight="1">
      <c r="A584" s="7" t="str">
        <f>'Reported burning'!A584</f>
        <v>56ap</v>
      </c>
      <c r="B584" s="7" t="str">
        <f>'Reported burning'!B584</f>
        <v>56ap.1</v>
      </c>
      <c r="C584" s="7" t="str">
        <f>'Reported burning'!C584</f>
        <v>Human, deliberate</v>
      </c>
      <c r="D584" s="7" t="str">
        <f>'Reported burning'!D584</f>
        <v>Crop field preparation</v>
      </c>
      <c r="E584" s="7" t="str">
        <f>'Reported burning'!E584</f>
        <v>Cropping, Swidden</v>
      </c>
      <c r="F584" s="7" t="str">
        <f>'Reported burning'!F584</f>
        <v>Secondary Vegetation</v>
      </c>
      <c r="G584" s="7">
        <f>'Reported burning'!G584</f>
        <v>0</v>
      </c>
      <c r="H584" s="7" t="str">
        <f>'Reported burning'!H584</f>
        <v>Presence</v>
      </c>
      <c r="I584" s="96"/>
      <c r="J584" s="22" t="s">
        <v>2401</v>
      </c>
      <c r="K584" s="110" t="s">
        <v>2308</v>
      </c>
      <c r="L584" s="22" t="s">
        <v>2308</v>
      </c>
      <c r="M584" s="22" t="s">
        <v>2308</v>
      </c>
      <c r="N584" s="22" t="s">
        <v>2308</v>
      </c>
      <c r="O584" s="22" t="s">
        <v>2308</v>
      </c>
      <c r="P584" s="22" t="s">
        <v>2308</v>
      </c>
      <c r="Q584" s="109" t="s">
        <v>2308</v>
      </c>
      <c r="R584" s="109" t="s">
        <v>2308</v>
      </c>
      <c r="S584" s="22" t="s">
        <v>2308</v>
      </c>
      <c r="T584" s="22" t="s">
        <v>2308</v>
      </c>
      <c r="U584" s="22" t="s">
        <v>2560</v>
      </c>
      <c r="V584" s="22" t="s">
        <v>2308</v>
      </c>
      <c r="W584" s="22" t="s">
        <v>2308</v>
      </c>
      <c r="X584" s="4" t="s">
        <v>75</v>
      </c>
      <c r="Y584" s="4" t="s">
        <v>35</v>
      </c>
      <c r="Z584" s="4" t="s">
        <v>64</v>
      </c>
      <c r="AA584" s="5" t="s">
        <v>894</v>
      </c>
      <c r="AB584" s="5" t="s">
        <v>2157</v>
      </c>
    </row>
    <row r="585" spans="1:28" ht="66" customHeight="1">
      <c r="A585" s="7" t="str">
        <f>'Reported burning'!A585</f>
        <v>56aq</v>
      </c>
      <c r="B585" s="7" t="str">
        <f>'Reported burning'!B585</f>
        <v>56aq.1</v>
      </c>
      <c r="C585" s="7" t="str">
        <f>'Reported burning'!C585</f>
        <v>Human, deliberate</v>
      </c>
      <c r="D585" s="7" t="str">
        <f>'Reported burning'!D585</f>
        <v>Crop field preparation</v>
      </c>
      <c r="E585" s="7" t="str">
        <f>'Reported burning'!E585</f>
        <v>Cropping, Swidden</v>
      </c>
      <c r="F585" s="7" t="str">
        <f>'Reported burning'!F585</f>
        <v>Secondary Vegetation</v>
      </c>
      <c r="G585" s="7">
        <f>'Reported burning'!G585</f>
        <v>0</v>
      </c>
      <c r="H585" s="7" t="str">
        <f>'Reported burning'!H585</f>
        <v>Presence</v>
      </c>
      <c r="I585" s="96"/>
      <c r="J585" s="22" t="s">
        <v>2399</v>
      </c>
      <c r="K585" s="110" t="s">
        <v>2308</v>
      </c>
      <c r="L585" s="22" t="s">
        <v>2308</v>
      </c>
      <c r="M585" s="22" t="s">
        <v>2308</v>
      </c>
      <c r="N585" s="22" t="s">
        <v>2308</v>
      </c>
      <c r="O585" s="22" t="s">
        <v>2308</v>
      </c>
      <c r="P585" s="22" t="s">
        <v>2308</v>
      </c>
      <c r="Q585" s="109" t="s">
        <v>2308</v>
      </c>
      <c r="R585" s="109" t="s">
        <v>2308</v>
      </c>
      <c r="S585" s="22" t="s">
        <v>2308</v>
      </c>
      <c r="T585" s="22" t="s">
        <v>2308</v>
      </c>
      <c r="U585" s="22" t="s">
        <v>2560</v>
      </c>
      <c r="V585" s="22" t="s">
        <v>2308</v>
      </c>
      <c r="W585" s="22" t="s">
        <v>2308</v>
      </c>
      <c r="X585" s="4" t="s">
        <v>75</v>
      </c>
      <c r="Y585" s="4" t="s">
        <v>35</v>
      </c>
      <c r="Z585" s="4" t="s">
        <v>64</v>
      </c>
      <c r="AA585" s="5" t="s">
        <v>894</v>
      </c>
      <c r="AB585" s="5" t="s">
        <v>2157</v>
      </c>
    </row>
    <row r="586" spans="1:28" ht="66" customHeight="1">
      <c r="A586" s="7" t="str">
        <f>'Reported burning'!A586</f>
        <v>56ar</v>
      </c>
      <c r="B586" s="7" t="str">
        <f>'Reported burning'!B586</f>
        <v>56ar.1</v>
      </c>
      <c r="C586" s="7" t="str">
        <f>'Reported burning'!C586</f>
        <v>Human, deliberate</v>
      </c>
      <c r="D586" s="7" t="str">
        <f>'Reported burning'!D586</f>
        <v>Crop field preparation</v>
      </c>
      <c r="E586" s="7" t="str">
        <f>'Reported burning'!E586</f>
        <v>Cropping, Swidden</v>
      </c>
      <c r="F586" s="7" t="str">
        <f>'Reported burning'!F586</f>
        <v>Secondary Vegetation</v>
      </c>
      <c r="G586" s="7">
        <f>'Reported burning'!G586</f>
        <v>0</v>
      </c>
      <c r="H586" s="7" t="str">
        <f>'Reported burning'!H586</f>
        <v>Presence</v>
      </c>
      <c r="I586" s="96"/>
      <c r="J586" s="22" t="s">
        <v>2401</v>
      </c>
      <c r="K586" s="110" t="s">
        <v>2308</v>
      </c>
      <c r="L586" s="22" t="s">
        <v>2308</v>
      </c>
      <c r="M586" s="22" t="s">
        <v>2308</v>
      </c>
      <c r="N586" s="22" t="s">
        <v>2308</v>
      </c>
      <c r="O586" s="22" t="s">
        <v>2308</v>
      </c>
      <c r="P586" s="22" t="s">
        <v>2308</v>
      </c>
      <c r="Q586" s="109" t="s">
        <v>2308</v>
      </c>
      <c r="R586" s="109" t="s">
        <v>2308</v>
      </c>
      <c r="S586" s="22" t="s">
        <v>2308</v>
      </c>
      <c r="T586" s="22" t="s">
        <v>2308</v>
      </c>
      <c r="U586" s="22" t="s">
        <v>2560</v>
      </c>
      <c r="V586" s="22" t="s">
        <v>2308</v>
      </c>
      <c r="W586" s="22" t="s">
        <v>2308</v>
      </c>
      <c r="X586" s="4" t="s">
        <v>75</v>
      </c>
      <c r="Y586" s="4" t="s">
        <v>35</v>
      </c>
      <c r="Z586" s="4" t="s">
        <v>64</v>
      </c>
      <c r="AA586" s="5" t="s">
        <v>894</v>
      </c>
      <c r="AB586" s="5" t="s">
        <v>2157</v>
      </c>
    </row>
    <row r="587" spans="1:28" ht="66" customHeight="1">
      <c r="A587" s="7" t="str">
        <f>'Reported burning'!A587</f>
        <v>56as</v>
      </c>
      <c r="B587" s="7" t="str">
        <f>'Reported burning'!B587</f>
        <v>56as.1</v>
      </c>
      <c r="C587" s="7" t="str">
        <f>'Reported burning'!C587</f>
        <v>Human, deliberate</v>
      </c>
      <c r="D587" s="7" t="str">
        <f>'Reported burning'!D587</f>
        <v>Crop field preparation</v>
      </c>
      <c r="E587" s="7" t="str">
        <f>'Reported burning'!E587</f>
        <v>Cropping, Swidden</v>
      </c>
      <c r="F587" s="7" t="str">
        <f>'Reported burning'!F587</f>
        <v>Secondary Vegetation</v>
      </c>
      <c r="G587" s="7">
        <f>'Reported burning'!G587</f>
        <v>0</v>
      </c>
      <c r="H587" s="7" t="str">
        <f>'Reported burning'!H587</f>
        <v>Presence</v>
      </c>
      <c r="I587" s="96"/>
      <c r="J587" s="22" t="s">
        <v>2401</v>
      </c>
      <c r="K587" s="110" t="s">
        <v>2308</v>
      </c>
      <c r="L587" s="22" t="s">
        <v>2308</v>
      </c>
      <c r="M587" s="22" t="s">
        <v>2308</v>
      </c>
      <c r="N587" s="22" t="s">
        <v>2308</v>
      </c>
      <c r="O587" s="22" t="s">
        <v>2308</v>
      </c>
      <c r="P587" s="22" t="s">
        <v>2308</v>
      </c>
      <c r="Q587" s="109" t="s">
        <v>2308</v>
      </c>
      <c r="R587" s="109" t="s">
        <v>2308</v>
      </c>
      <c r="S587" s="22" t="s">
        <v>2308</v>
      </c>
      <c r="T587" s="22" t="s">
        <v>2308</v>
      </c>
      <c r="U587" s="22" t="s">
        <v>2560</v>
      </c>
      <c r="V587" s="22" t="s">
        <v>2308</v>
      </c>
      <c r="W587" s="22" t="s">
        <v>2308</v>
      </c>
      <c r="X587" s="4" t="s">
        <v>75</v>
      </c>
      <c r="Y587" s="4" t="s">
        <v>35</v>
      </c>
      <c r="Z587" s="4" t="s">
        <v>64</v>
      </c>
      <c r="AA587" s="5" t="s">
        <v>894</v>
      </c>
      <c r="AB587" s="5" t="s">
        <v>2157</v>
      </c>
    </row>
    <row r="588" spans="1:28" ht="66" customHeight="1">
      <c r="A588" s="7" t="str">
        <f>'Reported burning'!A588</f>
        <v>56at</v>
      </c>
      <c r="B588" s="7" t="str">
        <f>'Reported burning'!B588</f>
        <v>56at.1</v>
      </c>
      <c r="C588" s="7" t="str">
        <f>'Reported burning'!C588</f>
        <v>Human, deliberate</v>
      </c>
      <c r="D588" s="7" t="str">
        <f>'Reported burning'!D588</f>
        <v>Crop field preparation</v>
      </c>
      <c r="E588" s="7" t="str">
        <f>'Reported burning'!E588</f>
        <v>Cropping, Swidden</v>
      </c>
      <c r="F588" s="7" t="str">
        <f>'Reported burning'!F588</f>
        <v>Secondary Vegetation</v>
      </c>
      <c r="G588" s="7">
        <f>'Reported burning'!G588</f>
        <v>0</v>
      </c>
      <c r="H588" s="7" t="str">
        <f>'Reported burning'!H588</f>
        <v>Presence</v>
      </c>
      <c r="I588" s="96"/>
      <c r="J588" s="22" t="s">
        <v>2400</v>
      </c>
      <c r="K588" s="110" t="s">
        <v>2308</v>
      </c>
      <c r="L588" s="22" t="s">
        <v>2308</v>
      </c>
      <c r="M588" s="22" t="s">
        <v>2308</v>
      </c>
      <c r="N588" s="22" t="s">
        <v>2308</v>
      </c>
      <c r="O588" s="22" t="s">
        <v>2308</v>
      </c>
      <c r="P588" s="22" t="s">
        <v>2308</v>
      </c>
      <c r="Q588" s="109" t="s">
        <v>2308</v>
      </c>
      <c r="R588" s="109" t="s">
        <v>2308</v>
      </c>
      <c r="S588" s="22" t="s">
        <v>2308</v>
      </c>
      <c r="T588" s="22" t="s">
        <v>2308</v>
      </c>
      <c r="U588" s="22" t="s">
        <v>2560</v>
      </c>
      <c r="V588" s="22" t="s">
        <v>2308</v>
      </c>
      <c r="W588" s="22" t="s">
        <v>2308</v>
      </c>
      <c r="X588" s="4" t="s">
        <v>75</v>
      </c>
      <c r="Y588" s="4" t="s">
        <v>35</v>
      </c>
      <c r="Z588" s="4" t="s">
        <v>64</v>
      </c>
      <c r="AA588" s="5" t="s">
        <v>894</v>
      </c>
      <c r="AB588" s="5" t="s">
        <v>2157</v>
      </c>
    </row>
    <row r="589" spans="1:28" ht="66" customHeight="1">
      <c r="A589" s="7" t="str">
        <f>'Reported burning'!A589</f>
        <v>56au</v>
      </c>
      <c r="B589" s="7" t="str">
        <f>'Reported burning'!B589</f>
        <v>56au.1</v>
      </c>
      <c r="C589" s="7" t="str">
        <f>'Reported burning'!C589</f>
        <v>Human, deliberate</v>
      </c>
      <c r="D589" s="7" t="str">
        <f>'Reported burning'!D589</f>
        <v>Crop field preparation</v>
      </c>
      <c r="E589" s="7" t="str">
        <f>'Reported burning'!E589</f>
        <v>Cropping, Swidden</v>
      </c>
      <c r="F589" s="7" t="str">
        <f>'Reported burning'!F589</f>
        <v>Secondary Vegetation</v>
      </c>
      <c r="G589" s="7">
        <f>'Reported burning'!G589</f>
        <v>0</v>
      </c>
      <c r="H589" s="7" t="str">
        <f>'Reported burning'!H589</f>
        <v>Presence</v>
      </c>
      <c r="I589" s="96"/>
      <c r="J589" s="22" t="s">
        <v>2401</v>
      </c>
      <c r="K589" s="110" t="s">
        <v>2308</v>
      </c>
      <c r="L589" s="22" t="s">
        <v>2308</v>
      </c>
      <c r="M589" s="22" t="s">
        <v>2308</v>
      </c>
      <c r="N589" s="22" t="s">
        <v>2308</v>
      </c>
      <c r="O589" s="22" t="s">
        <v>2308</v>
      </c>
      <c r="P589" s="22" t="s">
        <v>2308</v>
      </c>
      <c r="Q589" s="109" t="s">
        <v>2308</v>
      </c>
      <c r="R589" s="109" t="s">
        <v>2308</v>
      </c>
      <c r="S589" s="22" t="s">
        <v>2308</v>
      </c>
      <c r="T589" s="22" t="s">
        <v>2308</v>
      </c>
      <c r="U589" s="22" t="s">
        <v>2560</v>
      </c>
      <c r="V589" s="22" t="s">
        <v>2308</v>
      </c>
      <c r="W589" s="22" t="s">
        <v>2308</v>
      </c>
      <c r="X589" s="4" t="s">
        <v>75</v>
      </c>
      <c r="Y589" s="4" t="s">
        <v>35</v>
      </c>
      <c r="Z589" s="4" t="s">
        <v>64</v>
      </c>
      <c r="AA589" s="5" t="s">
        <v>894</v>
      </c>
      <c r="AB589" s="5" t="s">
        <v>2157</v>
      </c>
    </row>
    <row r="590" spans="1:28" ht="66" customHeight="1">
      <c r="A590" s="7" t="str">
        <f>'Reported burning'!A590</f>
        <v>56av</v>
      </c>
      <c r="B590" s="7" t="str">
        <f>'Reported burning'!B590</f>
        <v>56av.1</v>
      </c>
      <c r="C590" s="7" t="str">
        <f>'Reported burning'!C590</f>
        <v>Human, deliberate</v>
      </c>
      <c r="D590" s="7" t="str">
        <f>'Reported burning'!D590</f>
        <v>Crop field preparation</v>
      </c>
      <c r="E590" s="7" t="str">
        <f>'Reported burning'!E590</f>
        <v>Cropping, Swidden</v>
      </c>
      <c r="F590" s="7" t="str">
        <f>'Reported burning'!F590</f>
        <v>Secondary Vegetation</v>
      </c>
      <c r="G590" s="7">
        <f>'Reported burning'!G590</f>
        <v>0</v>
      </c>
      <c r="H590" s="7" t="str">
        <f>'Reported burning'!H590</f>
        <v>Presence</v>
      </c>
      <c r="I590" s="96"/>
      <c r="J590" s="22" t="s">
        <v>2400</v>
      </c>
      <c r="K590" s="110" t="s">
        <v>2308</v>
      </c>
      <c r="L590" s="22" t="s">
        <v>2308</v>
      </c>
      <c r="M590" s="22" t="s">
        <v>2308</v>
      </c>
      <c r="N590" s="22" t="s">
        <v>2308</v>
      </c>
      <c r="O590" s="22" t="s">
        <v>2308</v>
      </c>
      <c r="P590" s="22" t="s">
        <v>2308</v>
      </c>
      <c r="Q590" s="109" t="s">
        <v>2308</v>
      </c>
      <c r="R590" s="109" t="s">
        <v>2308</v>
      </c>
      <c r="S590" s="22" t="s">
        <v>2308</v>
      </c>
      <c r="T590" s="22" t="s">
        <v>2308</v>
      </c>
      <c r="U590" s="22" t="s">
        <v>2560</v>
      </c>
      <c r="V590" s="22" t="s">
        <v>2308</v>
      </c>
      <c r="W590" s="22" t="s">
        <v>2308</v>
      </c>
      <c r="X590" s="4" t="s">
        <v>75</v>
      </c>
      <c r="Y590" s="4" t="s">
        <v>35</v>
      </c>
      <c r="Z590" s="4" t="s">
        <v>64</v>
      </c>
      <c r="AA590" s="5" t="s">
        <v>894</v>
      </c>
      <c r="AB590" s="5" t="s">
        <v>2157</v>
      </c>
    </row>
    <row r="591" spans="1:28" ht="66" customHeight="1">
      <c r="A591" s="7" t="str">
        <f>'Reported burning'!A591</f>
        <v>56aw</v>
      </c>
      <c r="B591" s="7" t="str">
        <f>'Reported burning'!B591</f>
        <v>56aw.1</v>
      </c>
      <c r="C591" s="7" t="str">
        <f>'Reported burning'!C591</f>
        <v>Human, deliberate</v>
      </c>
      <c r="D591" s="7" t="str">
        <f>'Reported burning'!D591</f>
        <v>Crop field preparation</v>
      </c>
      <c r="E591" s="7" t="str">
        <f>'Reported burning'!E591</f>
        <v>Cropping, Swidden</v>
      </c>
      <c r="F591" s="7" t="str">
        <f>'Reported burning'!F591</f>
        <v>Secondary Vegetation</v>
      </c>
      <c r="G591" s="7">
        <f>'Reported burning'!G591</f>
        <v>0</v>
      </c>
      <c r="H591" s="7" t="str">
        <f>'Reported burning'!H591</f>
        <v>Presence</v>
      </c>
      <c r="I591" s="96"/>
      <c r="J591" s="22" t="s">
        <v>2401</v>
      </c>
      <c r="K591" s="110" t="s">
        <v>2308</v>
      </c>
      <c r="L591" s="22" t="s">
        <v>2308</v>
      </c>
      <c r="M591" s="22" t="s">
        <v>2308</v>
      </c>
      <c r="N591" s="22" t="s">
        <v>2308</v>
      </c>
      <c r="O591" s="22" t="s">
        <v>2308</v>
      </c>
      <c r="P591" s="22" t="s">
        <v>2308</v>
      </c>
      <c r="Q591" s="109" t="s">
        <v>2308</v>
      </c>
      <c r="R591" s="109" t="s">
        <v>2308</v>
      </c>
      <c r="S591" s="22" t="s">
        <v>2308</v>
      </c>
      <c r="T591" s="22" t="s">
        <v>2308</v>
      </c>
      <c r="U591" s="22" t="s">
        <v>2560</v>
      </c>
      <c r="V591" s="22" t="s">
        <v>2308</v>
      </c>
      <c r="W591" s="22" t="s">
        <v>2308</v>
      </c>
      <c r="X591" s="4" t="s">
        <v>75</v>
      </c>
      <c r="Y591" s="4" t="s">
        <v>35</v>
      </c>
      <c r="Z591" s="4" t="s">
        <v>64</v>
      </c>
      <c r="AA591" s="5" t="s">
        <v>894</v>
      </c>
      <c r="AB591" s="5" t="s">
        <v>2157</v>
      </c>
    </row>
    <row r="592" spans="1:28" ht="66" customHeight="1">
      <c r="A592" s="7" t="str">
        <f>'Reported burning'!A592</f>
        <v>56ax</v>
      </c>
      <c r="B592" s="7" t="str">
        <f>'Reported burning'!B592</f>
        <v>56ax.1</v>
      </c>
      <c r="C592" s="7" t="str">
        <f>'Reported burning'!C592</f>
        <v>Human, deliberate</v>
      </c>
      <c r="D592" s="7" t="str">
        <f>'Reported burning'!D592</f>
        <v>Crop field preparation</v>
      </c>
      <c r="E592" s="7" t="str">
        <f>'Reported burning'!E592</f>
        <v>Cropping, Swidden</v>
      </c>
      <c r="F592" s="7" t="str">
        <f>'Reported burning'!F592</f>
        <v>Secondary Vegetation</v>
      </c>
      <c r="G592" s="7">
        <f>'Reported burning'!G592</f>
        <v>0</v>
      </c>
      <c r="H592" s="7" t="str">
        <f>'Reported burning'!H592</f>
        <v>Presence</v>
      </c>
      <c r="I592" s="96"/>
      <c r="J592" s="22" t="s">
        <v>2400</v>
      </c>
      <c r="K592" s="110" t="s">
        <v>2308</v>
      </c>
      <c r="L592" s="22" t="s">
        <v>2308</v>
      </c>
      <c r="M592" s="22" t="s">
        <v>2308</v>
      </c>
      <c r="N592" s="22" t="s">
        <v>2308</v>
      </c>
      <c r="O592" s="22" t="s">
        <v>2308</v>
      </c>
      <c r="P592" s="22" t="s">
        <v>2308</v>
      </c>
      <c r="Q592" s="109" t="s">
        <v>2308</v>
      </c>
      <c r="R592" s="109" t="s">
        <v>2308</v>
      </c>
      <c r="S592" s="22" t="s">
        <v>2308</v>
      </c>
      <c r="T592" s="22" t="s">
        <v>2308</v>
      </c>
      <c r="U592" s="22" t="s">
        <v>2560</v>
      </c>
      <c r="V592" s="22" t="s">
        <v>2308</v>
      </c>
      <c r="W592" s="22" t="s">
        <v>2308</v>
      </c>
      <c r="X592" s="4" t="s">
        <v>75</v>
      </c>
      <c r="Y592" s="4" t="s">
        <v>35</v>
      </c>
      <c r="Z592" s="4" t="s">
        <v>64</v>
      </c>
      <c r="AA592" s="5" t="s">
        <v>894</v>
      </c>
      <c r="AB592" s="5" t="s">
        <v>2157</v>
      </c>
    </row>
    <row r="593" spans="1:28" ht="66" customHeight="1">
      <c r="A593" s="7" t="str">
        <f>'Reported burning'!A593</f>
        <v>56ay</v>
      </c>
      <c r="B593" s="7" t="str">
        <f>'Reported burning'!B593</f>
        <v>56ay.1</v>
      </c>
      <c r="C593" s="7" t="str">
        <f>'Reported burning'!C593</f>
        <v>Human, deliberate</v>
      </c>
      <c r="D593" s="7" t="str">
        <f>'Reported burning'!D593</f>
        <v>Crop field preparation</v>
      </c>
      <c r="E593" s="7" t="str">
        <f>'Reported burning'!E593</f>
        <v>Cropping, Swidden</v>
      </c>
      <c r="F593" s="7" t="str">
        <f>'Reported burning'!F593</f>
        <v>Secondary Vegetation</v>
      </c>
      <c r="G593" s="7">
        <f>'Reported burning'!G593</f>
        <v>0</v>
      </c>
      <c r="H593" s="7" t="str">
        <f>'Reported burning'!H593</f>
        <v>Presence</v>
      </c>
      <c r="I593" s="96"/>
      <c r="J593" s="22" t="s">
        <v>2401</v>
      </c>
      <c r="K593" s="110" t="s">
        <v>2308</v>
      </c>
      <c r="L593" s="22" t="s">
        <v>2308</v>
      </c>
      <c r="M593" s="22" t="s">
        <v>2308</v>
      </c>
      <c r="N593" s="22" t="s">
        <v>2308</v>
      </c>
      <c r="O593" s="22" t="s">
        <v>2308</v>
      </c>
      <c r="P593" s="22" t="s">
        <v>2308</v>
      </c>
      <c r="Q593" s="109" t="s">
        <v>2308</v>
      </c>
      <c r="R593" s="109" t="s">
        <v>2308</v>
      </c>
      <c r="S593" s="22" t="s">
        <v>2308</v>
      </c>
      <c r="T593" s="22" t="s">
        <v>2308</v>
      </c>
      <c r="U593" s="22" t="s">
        <v>2560</v>
      </c>
      <c r="V593" s="22" t="s">
        <v>2308</v>
      </c>
      <c r="W593" s="22" t="s">
        <v>2308</v>
      </c>
      <c r="X593" s="4" t="s">
        <v>75</v>
      </c>
      <c r="Y593" s="4" t="s">
        <v>35</v>
      </c>
      <c r="Z593" s="4" t="s">
        <v>64</v>
      </c>
      <c r="AA593" s="5" t="s">
        <v>894</v>
      </c>
      <c r="AB593" s="5" t="s">
        <v>2157</v>
      </c>
    </row>
    <row r="594" spans="1:28" ht="66" customHeight="1">
      <c r="A594" s="7" t="str">
        <f>'Reported burning'!A594</f>
        <v>56az</v>
      </c>
      <c r="B594" s="7" t="str">
        <f>'Reported burning'!B594</f>
        <v>56az.1</v>
      </c>
      <c r="C594" s="7" t="str">
        <f>'Reported burning'!C594</f>
        <v>Human, deliberate</v>
      </c>
      <c r="D594" s="7" t="str">
        <f>'Reported burning'!D594</f>
        <v>Crop field preparation</v>
      </c>
      <c r="E594" s="7" t="str">
        <f>'Reported burning'!E594</f>
        <v>Cropping, Swidden</v>
      </c>
      <c r="F594" s="7" t="str">
        <f>'Reported burning'!F594</f>
        <v>Secondary Vegetation</v>
      </c>
      <c r="G594" s="7">
        <f>'Reported burning'!G594</f>
        <v>0</v>
      </c>
      <c r="H594" s="7" t="str">
        <f>'Reported burning'!H594</f>
        <v>Presence</v>
      </c>
      <c r="I594" s="96"/>
      <c r="J594" s="22" t="s">
        <v>2399</v>
      </c>
      <c r="K594" s="110" t="s">
        <v>2308</v>
      </c>
      <c r="L594" s="22" t="s">
        <v>2308</v>
      </c>
      <c r="M594" s="22" t="s">
        <v>2308</v>
      </c>
      <c r="N594" s="22" t="s">
        <v>2308</v>
      </c>
      <c r="O594" s="22" t="s">
        <v>2308</v>
      </c>
      <c r="P594" s="22" t="s">
        <v>2308</v>
      </c>
      <c r="Q594" s="109" t="s">
        <v>2308</v>
      </c>
      <c r="R594" s="109" t="s">
        <v>2308</v>
      </c>
      <c r="S594" s="22" t="s">
        <v>2308</v>
      </c>
      <c r="T594" s="22" t="s">
        <v>2308</v>
      </c>
      <c r="U594" s="22" t="s">
        <v>2560</v>
      </c>
      <c r="V594" s="22" t="s">
        <v>2308</v>
      </c>
      <c r="W594" s="22" t="s">
        <v>2308</v>
      </c>
      <c r="X594" s="4" t="s">
        <v>75</v>
      </c>
      <c r="Y594" s="4" t="s">
        <v>35</v>
      </c>
      <c r="Z594" s="4" t="s">
        <v>64</v>
      </c>
      <c r="AA594" s="5" t="s">
        <v>894</v>
      </c>
      <c r="AB594" s="5" t="s">
        <v>2157</v>
      </c>
    </row>
    <row r="595" spans="1:28" ht="75" customHeight="1">
      <c r="A595" s="7" t="str">
        <f>'Reported burning'!A595</f>
        <v>57a</v>
      </c>
      <c r="B595" s="7" t="str">
        <f>'Reported burning'!B595</f>
        <v>57a.1</v>
      </c>
      <c r="C595" s="7" t="str">
        <f>'Reported burning'!C595</f>
        <v>Human, deliberate</v>
      </c>
      <c r="D595" s="7" t="str">
        <f>'Reported burning'!D595</f>
        <v>Crop field preparation</v>
      </c>
      <c r="E595" s="7" t="str">
        <f>'Reported burning'!E595</f>
        <v>Cropping, Swidden</v>
      </c>
      <c r="F595" s="7" t="str">
        <f>'Reported burning'!F595</f>
        <v>Secondary Vegetation</v>
      </c>
      <c r="G595" s="7">
        <f>'Reported burning'!G595</f>
        <v>0</v>
      </c>
      <c r="H595" s="7" t="str">
        <f>'Reported burning'!H595</f>
        <v>Presence</v>
      </c>
      <c r="I595" s="4"/>
      <c r="J595" s="22" t="s">
        <v>2308</v>
      </c>
      <c r="K595" s="110" t="s">
        <v>2394</v>
      </c>
      <c r="L595" s="22" t="s">
        <v>2308</v>
      </c>
      <c r="M595" s="22" t="s">
        <v>2394</v>
      </c>
      <c r="N595" s="22" t="s">
        <v>2308</v>
      </c>
      <c r="O595" s="22" t="s">
        <v>2394</v>
      </c>
      <c r="P595" s="22" t="s">
        <v>2308</v>
      </c>
      <c r="Q595" s="109" t="s">
        <v>2308</v>
      </c>
      <c r="R595" s="109" t="s">
        <v>2308</v>
      </c>
      <c r="S595" s="22" t="s">
        <v>2308</v>
      </c>
      <c r="T595" s="22" t="s">
        <v>2308</v>
      </c>
      <c r="U595" s="22" t="s">
        <v>2308</v>
      </c>
      <c r="V595" s="22" t="s">
        <v>2308</v>
      </c>
      <c r="W595" s="22" t="s">
        <v>2308</v>
      </c>
      <c r="X595" s="4" t="s">
        <v>75</v>
      </c>
      <c r="Y595" s="4" t="s">
        <v>35</v>
      </c>
      <c r="Z595" s="4" t="s">
        <v>64</v>
      </c>
      <c r="AA595" s="5" t="s">
        <v>894</v>
      </c>
      <c r="AB595" s="4"/>
    </row>
    <row r="596" spans="1:28" ht="67.5" customHeight="1">
      <c r="A596" s="7" t="str">
        <f>'Reported burning'!A596</f>
        <v>58a</v>
      </c>
      <c r="B596" s="7" t="str">
        <f>'Reported burning'!B596</f>
        <v>58a.1</v>
      </c>
      <c r="C596" s="7" t="str">
        <f>'Reported burning'!C596</f>
        <v>Human, deliberate</v>
      </c>
      <c r="D596" s="7" t="str">
        <f>'Reported burning'!D596</f>
        <v>Crop field preparation</v>
      </c>
      <c r="E596" s="7" t="str">
        <f>'Reported burning'!E596</f>
        <v>Cropping, Swidden</v>
      </c>
      <c r="F596" s="7" t="str">
        <f>'Reported burning'!F596</f>
        <v>Secondary Vegetation</v>
      </c>
      <c r="G596" s="7">
        <f>'Reported burning'!G596</f>
        <v>0</v>
      </c>
      <c r="H596" s="7" t="str">
        <f>'Reported burning'!H596</f>
        <v>Presence</v>
      </c>
      <c r="I596" s="4"/>
      <c r="J596" s="22" t="s">
        <v>2308</v>
      </c>
      <c r="K596" s="110" t="s">
        <v>2394</v>
      </c>
      <c r="L596" s="22" t="s">
        <v>2308</v>
      </c>
      <c r="M596" s="22" t="s">
        <v>2405</v>
      </c>
      <c r="N596" s="22" t="s">
        <v>2308</v>
      </c>
      <c r="O596" s="22" t="s">
        <v>2407</v>
      </c>
      <c r="P596" s="22" t="s">
        <v>2308</v>
      </c>
      <c r="Q596" s="109" t="s">
        <v>2308</v>
      </c>
      <c r="R596" s="109" t="s">
        <v>2308</v>
      </c>
      <c r="S596" s="22" t="s">
        <v>2308</v>
      </c>
      <c r="T596" s="22" t="s">
        <v>2308</v>
      </c>
      <c r="U596" s="22" t="s">
        <v>2308</v>
      </c>
      <c r="V596" s="22" t="s">
        <v>2308</v>
      </c>
      <c r="W596" s="22" t="s">
        <v>2435</v>
      </c>
      <c r="X596" s="4" t="s">
        <v>38</v>
      </c>
      <c r="Y596" s="4" t="s">
        <v>86</v>
      </c>
      <c r="Z596" s="4" t="s">
        <v>76</v>
      </c>
      <c r="AA596" s="5" t="s">
        <v>2237</v>
      </c>
      <c r="AB596" s="5" t="s">
        <v>2238</v>
      </c>
    </row>
    <row r="597" spans="1:28" ht="75" customHeight="1">
      <c r="A597" s="7" t="str">
        <f>'Reported burning'!A597</f>
        <v>59a</v>
      </c>
      <c r="B597" s="7" t="str">
        <f>'Reported burning'!B597</f>
        <v>59a.1</v>
      </c>
      <c r="C597" s="7" t="str">
        <f>'Reported burning'!C597</f>
        <v>Human, deliberate</v>
      </c>
      <c r="D597" s="7" t="str">
        <f>'Reported burning'!D597</f>
        <v>Crop field preparation</v>
      </c>
      <c r="E597" s="7" t="str">
        <f>'Reported burning'!E597</f>
        <v>Cropping, Swidden</v>
      </c>
      <c r="F597" s="7" t="str">
        <f>'Reported burning'!F597</f>
        <v>Secondary Vegetation</v>
      </c>
      <c r="G597" s="7">
        <f>'Reported burning'!G597</f>
        <v>0</v>
      </c>
      <c r="H597" s="7" t="str">
        <f>'Reported burning'!H597</f>
        <v>Presence</v>
      </c>
      <c r="I597" s="4"/>
      <c r="J597" s="22" t="s">
        <v>2308</v>
      </c>
      <c r="K597" s="110" t="s">
        <v>2308</v>
      </c>
      <c r="L597" s="22" t="s">
        <v>2308</v>
      </c>
      <c r="M597" s="22" t="s">
        <v>2308</v>
      </c>
      <c r="N597" s="22" t="s">
        <v>2308</v>
      </c>
      <c r="O597" s="22" t="s">
        <v>2308</v>
      </c>
      <c r="P597" s="22" t="s">
        <v>2308</v>
      </c>
      <c r="Q597" s="109" t="s">
        <v>2308</v>
      </c>
      <c r="R597" s="109" t="s">
        <v>2308</v>
      </c>
      <c r="S597" s="22" t="s">
        <v>2308</v>
      </c>
      <c r="T597" s="22" t="s">
        <v>2308</v>
      </c>
      <c r="U597" s="22" t="s">
        <v>2308</v>
      </c>
      <c r="V597" s="22" t="s">
        <v>2308</v>
      </c>
      <c r="W597" s="22" t="s">
        <v>2308</v>
      </c>
      <c r="X597" s="4" t="s">
        <v>38</v>
      </c>
      <c r="Y597" s="4" t="s">
        <v>38</v>
      </c>
      <c r="Z597" s="4" t="s">
        <v>64</v>
      </c>
      <c r="AA597" s="5" t="s">
        <v>2240</v>
      </c>
      <c r="AB597" s="4" t="s">
        <v>2239</v>
      </c>
    </row>
    <row r="598" spans="1:28" ht="53" customHeight="1">
      <c r="A598" s="7" t="str">
        <f>'Reported burning'!A598</f>
        <v>60a</v>
      </c>
      <c r="B598" s="7" t="str">
        <f>'Reported burning'!B598</f>
        <v>60a.1</v>
      </c>
      <c r="C598" s="7" t="str">
        <f>'Reported burning'!C598</f>
        <v>Human, deliberate</v>
      </c>
      <c r="D598" s="7" t="str">
        <f>'Reported burning'!D598</f>
        <v>Crop field preparation</v>
      </c>
      <c r="E598" s="7" t="str">
        <f>'Reported burning'!E598</f>
        <v>Cropping, Swidden</v>
      </c>
      <c r="F598" s="7" t="str">
        <f>'Reported burning'!F598</f>
        <v>Secondary Vegetation</v>
      </c>
      <c r="G598" s="7">
        <f>'Reported burning'!G598</f>
        <v>0</v>
      </c>
      <c r="H598" s="7" t="str">
        <f>'Reported burning'!H598</f>
        <v>Presence</v>
      </c>
      <c r="I598" s="4"/>
      <c r="J598" s="22" t="s">
        <v>2308</v>
      </c>
      <c r="K598" s="110" t="s">
        <v>2308</v>
      </c>
      <c r="L598" s="22" t="s">
        <v>2308</v>
      </c>
      <c r="M598" s="22" t="s">
        <v>2308</v>
      </c>
      <c r="N598" s="22" t="s">
        <v>2308</v>
      </c>
      <c r="O598" s="22" t="s">
        <v>2308</v>
      </c>
      <c r="P598" s="22" t="s">
        <v>2308</v>
      </c>
      <c r="Q598" s="109" t="s">
        <v>2308</v>
      </c>
      <c r="R598" s="109" t="s">
        <v>2308</v>
      </c>
      <c r="S598" s="22" t="s">
        <v>2308</v>
      </c>
      <c r="T598" s="22" t="s">
        <v>2308</v>
      </c>
      <c r="U598" s="22" t="s">
        <v>2308</v>
      </c>
      <c r="V598" s="22" t="s">
        <v>2308</v>
      </c>
      <c r="W598" s="22" t="s">
        <v>2437</v>
      </c>
      <c r="X598" s="4" t="s">
        <v>2308</v>
      </c>
      <c r="Y598" s="4" t="s">
        <v>2308</v>
      </c>
      <c r="Z598" s="4" t="s">
        <v>2308</v>
      </c>
      <c r="AA598" s="4"/>
      <c r="AB598" s="4" t="s">
        <v>728</v>
      </c>
    </row>
    <row r="599" spans="1:28" ht="75" customHeight="1">
      <c r="A599" s="7" t="str">
        <f>'Reported burning'!A599</f>
        <v>61a</v>
      </c>
      <c r="B599" s="7" t="str">
        <f>'Reported burning'!B599</f>
        <v>61a.1</v>
      </c>
      <c r="C599" s="7" t="str">
        <f>'Reported burning'!C599</f>
        <v>Human, deliberate</v>
      </c>
      <c r="D599" s="7" t="str">
        <f>'Reported burning'!D599</f>
        <v>Crop field preparation</v>
      </c>
      <c r="E599" s="7" t="str">
        <f>'Reported burning'!E599</f>
        <v>Cropping, Swidden</v>
      </c>
      <c r="F599" s="7" t="str">
        <f>'Reported burning'!F599</f>
        <v>Secondary Vegetation</v>
      </c>
      <c r="G599" s="7">
        <f>'Reported burning'!G599</f>
        <v>0</v>
      </c>
      <c r="H599" s="7" t="str">
        <f>'Reported burning'!H599</f>
        <v>Presence</v>
      </c>
      <c r="I599" s="4"/>
      <c r="J599" s="22" t="s">
        <v>2308</v>
      </c>
      <c r="K599" s="110" t="s">
        <v>2308</v>
      </c>
      <c r="L599" s="22" t="s">
        <v>2308</v>
      </c>
      <c r="M599" s="22" t="s">
        <v>2308</v>
      </c>
      <c r="N599" s="22" t="s">
        <v>2308</v>
      </c>
      <c r="O599" s="22" t="s">
        <v>2308</v>
      </c>
      <c r="P599" s="22" t="s">
        <v>2406</v>
      </c>
      <c r="Q599" s="109" t="s">
        <v>2308</v>
      </c>
      <c r="R599" s="109" t="s">
        <v>2308</v>
      </c>
      <c r="S599" s="22" t="s">
        <v>2308</v>
      </c>
      <c r="T599" s="22" t="s">
        <v>2308</v>
      </c>
      <c r="U599" s="22" t="s">
        <v>2308</v>
      </c>
      <c r="V599" s="22" t="s">
        <v>2308</v>
      </c>
      <c r="W599" s="22" t="s">
        <v>2435</v>
      </c>
      <c r="X599" s="4" t="s">
        <v>38</v>
      </c>
      <c r="Y599" s="4" t="s">
        <v>86</v>
      </c>
      <c r="Z599" s="4" t="s">
        <v>64</v>
      </c>
      <c r="AA599" s="4"/>
      <c r="AB599" s="5" t="s">
        <v>919</v>
      </c>
    </row>
    <row r="600" spans="1:28" ht="75" customHeight="1">
      <c r="A600" s="7" t="str">
        <f>'Reported burning'!A600</f>
        <v>62a</v>
      </c>
      <c r="B600" s="7" t="str">
        <f>'Reported burning'!B600</f>
        <v>62a.1</v>
      </c>
      <c r="C600" s="7" t="str">
        <f>'Reported burning'!C600</f>
        <v>Human, deliberate</v>
      </c>
      <c r="D600" s="7" t="str">
        <f>'Reported burning'!D600</f>
        <v>Crop field preparation</v>
      </c>
      <c r="E600" s="7" t="str">
        <f>'Reported burning'!E600</f>
        <v>Cropping, Swidden</v>
      </c>
      <c r="F600" s="7" t="str">
        <f>'Reported burning'!F600</f>
        <v>Secondary Vegetation</v>
      </c>
      <c r="G600" s="7">
        <f>'Reported burning'!G600</f>
        <v>0</v>
      </c>
      <c r="H600" s="7" t="str">
        <f>'Reported burning'!H600</f>
        <v>Presence</v>
      </c>
      <c r="I600" s="4"/>
      <c r="J600" s="22" t="s">
        <v>2308</v>
      </c>
      <c r="K600" s="110" t="s">
        <v>2308</v>
      </c>
      <c r="L600" s="22" t="s">
        <v>2308</v>
      </c>
      <c r="M600" s="22" t="s">
        <v>2308</v>
      </c>
      <c r="N600" s="22" t="s">
        <v>2308</v>
      </c>
      <c r="O600" s="22" t="s">
        <v>2308</v>
      </c>
      <c r="P600" s="22" t="s">
        <v>2308</v>
      </c>
      <c r="Q600" s="109" t="s">
        <v>2308</v>
      </c>
      <c r="R600" s="109" t="s">
        <v>2308</v>
      </c>
      <c r="S600" s="22" t="s">
        <v>2308</v>
      </c>
      <c r="T600" s="22" t="s">
        <v>2308</v>
      </c>
      <c r="U600" s="22" t="s">
        <v>2308</v>
      </c>
      <c r="V600" s="22" t="s">
        <v>2308</v>
      </c>
      <c r="W600" s="22" t="s">
        <v>2308</v>
      </c>
      <c r="X600" s="4" t="s">
        <v>2308</v>
      </c>
      <c r="Y600" s="4" t="s">
        <v>2308</v>
      </c>
      <c r="Z600" s="4" t="s">
        <v>2308</v>
      </c>
      <c r="AA600" s="4"/>
      <c r="AB600" s="5"/>
    </row>
    <row r="601" spans="1:28" ht="75" customHeight="1">
      <c r="A601" s="7" t="str">
        <f>'Reported burning'!A601</f>
        <v>62b</v>
      </c>
      <c r="B601" s="7" t="str">
        <f>'Reported burning'!B601</f>
        <v>62b.1</v>
      </c>
      <c r="C601" s="7" t="str">
        <f>'Reported burning'!C601</f>
        <v>Human, deliberate</v>
      </c>
      <c r="D601" s="7" t="str">
        <f>'Reported burning'!D601</f>
        <v>Crop field preparation</v>
      </c>
      <c r="E601" s="7" t="str">
        <f>'Reported burning'!E601</f>
        <v>Cropping, Swidden</v>
      </c>
      <c r="F601" s="7" t="str">
        <f>'Reported burning'!F601</f>
        <v>Secondary Vegetation</v>
      </c>
      <c r="G601" s="7">
        <f>'Reported burning'!G601</f>
        <v>0</v>
      </c>
      <c r="H601" s="7" t="str">
        <f>'Reported burning'!H601</f>
        <v>Presence</v>
      </c>
      <c r="I601" s="4"/>
      <c r="J601" s="22" t="s">
        <v>2308</v>
      </c>
      <c r="K601" s="110" t="s">
        <v>2308</v>
      </c>
      <c r="L601" s="22" t="s">
        <v>2308</v>
      </c>
      <c r="M601" s="22" t="s">
        <v>2308</v>
      </c>
      <c r="N601" s="22" t="s">
        <v>2308</v>
      </c>
      <c r="O601" s="22" t="s">
        <v>2308</v>
      </c>
      <c r="P601" s="22" t="s">
        <v>2308</v>
      </c>
      <c r="Q601" s="109" t="s">
        <v>2308</v>
      </c>
      <c r="R601" s="109" t="s">
        <v>2308</v>
      </c>
      <c r="S601" s="22" t="s">
        <v>2308</v>
      </c>
      <c r="T601" s="22" t="s">
        <v>2308</v>
      </c>
      <c r="U601" s="22" t="s">
        <v>2308</v>
      </c>
      <c r="V601" s="22" t="s">
        <v>2308</v>
      </c>
      <c r="W601" s="22" t="s">
        <v>2308</v>
      </c>
      <c r="X601" s="4" t="s">
        <v>2308</v>
      </c>
      <c r="Y601" s="4" t="s">
        <v>2308</v>
      </c>
      <c r="Z601" s="4" t="s">
        <v>2308</v>
      </c>
      <c r="AA601" s="4"/>
      <c r="AB601" s="5"/>
    </row>
    <row r="602" spans="1:28" ht="75" customHeight="1">
      <c r="A602" s="7" t="str">
        <f>'Reported burning'!A602</f>
        <v>62c</v>
      </c>
      <c r="B602" s="7" t="str">
        <f>'Reported burning'!B602</f>
        <v>62c.1</v>
      </c>
      <c r="C602" s="7" t="str">
        <f>'Reported burning'!C602</f>
        <v>Human, deliberate</v>
      </c>
      <c r="D602" s="7" t="str">
        <f>'Reported burning'!D602</f>
        <v>Crop field preparation</v>
      </c>
      <c r="E602" s="7" t="str">
        <f>'Reported burning'!E602</f>
        <v>Cropping, Swidden</v>
      </c>
      <c r="F602" s="7" t="str">
        <f>'Reported burning'!F602</f>
        <v>Secondary Vegetation</v>
      </c>
      <c r="G602" s="7">
        <f>'Reported burning'!G602</f>
        <v>0</v>
      </c>
      <c r="H602" s="7" t="str">
        <f>'Reported burning'!H602</f>
        <v>Presence</v>
      </c>
      <c r="I602" s="4"/>
      <c r="J602" s="22" t="s">
        <v>2308</v>
      </c>
      <c r="K602" s="110" t="s">
        <v>2308</v>
      </c>
      <c r="L602" s="22" t="s">
        <v>2308</v>
      </c>
      <c r="M602" s="22" t="s">
        <v>2308</v>
      </c>
      <c r="N602" s="22" t="s">
        <v>2308</v>
      </c>
      <c r="O602" s="22" t="s">
        <v>2308</v>
      </c>
      <c r="P602" s="22" t="s">
        <v>2308</v>
      </c>
      <c r="Q602" s="109" t="s">
        <v>2308</v>
      </c>
      <c r="R602" s="109" t="s">
        <v>2308</v>
      </c>
      <c r="S602" s="22" t="s">
        <v>2308</v>
      </c>
      <c r="T602" s="22" t="s">
        <v>2308</v>
      </c>
      <c r="U602" s="22" t="s">
        <v>2308</v>
      </c>
      <c r="V602" s="22" t="s">
        <v>2308</v>
      </c>
      <c r="W602" s="22" t="s">
        <v>2308</v>
      </c>
      <c r="X602" s="4" t="s">
        <v>2308</v>
      </c>
      <c r="Y602" s="4" t="s">
        <v>2308</v>
      </c>
      <c r="Z602" s="4" t="s">
        <v>2308</v>
      </c>
      <c r="AA602" s="4"/>
      <c r="AB602" s="5"/>
    </row>
    <row r="603" spans="1:28" ht="75" customHeight="1">
      <c r="A603" s="7" t="str">
        <f>'Reported burning'!A603</f>
        <v>62d</v>
      </c>
      <c r="B603" s="7" t="str">
        <f>'Reported burning'!B603</f>
        <v>62d.1</v>
      </c>
      <c r="C603" s="7" t="str">
        <f>'Reported burning'!C603</f>
        <v>Human, deliberate</v>
      </c>
      <c r="D603" s="7" t="str">
        <f>'Reported burning'!D603</f>
        <v>Crop field preparation</v>
      </c>
      <c r="E603" s="7" t="str">
        <f>'Reported burning'!E603</f>
        <v>Cropping, Swidden</v>
      </c>
      <c r="F603" s="7" t="str">
        <f>'Reported burning'!F603</f>
        <v>Secondary Vegetation</v>
      </c>
      <c r="G603" s="7">
        <f>'Reported burning'!G603</f>
        <v>0</v>
      </c>
      <c r="H603" s="7" t="str">
        <f>'Reported burning'!H603</f>
        <v>Presence</v>
      </c>
      <c r="I603" s="4"/>
      <c r="J603" s="22" t="s">
        <v>2308</v>
      </c>
      <c r="K603" s="110" t="s">
        <v>2308</v>
      </c>
      <c r="L603" s="22" t="s">
        <v>2308</v>
      </c>
      <c r="M603" s="22" t="s">
        <v>2308</v>
      </c>
      <c r="N603" s="22" t="s">
        <v>2308</v>
      </c>
      <c r="O603" s="22" t="s">
        <v>2308</v>
      </c>
      <c r="P603" s="22" t="s">
        <v>2308</v>
      </c>
      <c r="Q603" s="109" t="s">
        <v>2308</v>
      </c>
      <c r="R603" s="109" t="s">
        <v>2308</v>
      </c>
      <c r="S603" s="22" t="s">
        <v>2308</v>
      </c>
      <c r="T603" s="22" t="s">
        <v>2308</v>
      </c>
      <c r="U603" s="22" t="s">
        <v>2308</v>
      </c>
      <c r="V603" s="22" t="s">
        <v>2308</v>
      </c>
      <c r="W603" s="22" t="s">
        <v>2308</v>
      </c>
      <c r="X603" s="4" t="s">
        <v>2308</v>
      </c>
      <c r="Y603" s="4" t="s">
        <v>2308</v>
      </c>
      <c r="Z603" s="4" t="s">
        <v>2308</v>
      </c>
      <c r="AA603" s="4"/>
      <c r="AB603" s="5"/>
    </row>
    <row r="604" spans="1:28" ht="75" customHeight="1">
      <c r="A604" s="7" t="str">
        <f>'Reported burning'!A604</f>
        <v>62e</v>
      </c>
      <c r="B604" s="7" t="str">
        <f>'Reported burning'!B604</f>
        <v>62e.1</v>
      </c>
      <c r="C604" s="7" t="str">
        <f>'Reported burning'!C604</f>
        <v>Human, deliberate</v>
      </c>
      <c r="D604" s="7" t="str">
        <f>'Reported burning'!D604</f>
        <v>Crop field preparation</v>
      </c>
      <c r="E604" s="7" t="str">
        <f>'Reported burning'!E604</f>
        <v>Cropping, Swidden</v>
      </c>
      <c r="F604" s="7" t="str">
        <f>'Reported burning'!F604</f>
        <v>Secondary Vegetation</v>
      </c>
      <c r="G604" s="7">
        <f>'Reported burning'!G604</f>
        <v>0</v>
      </c>
      <c r="H604" s="7" t="str">
        <f>'Reported burning'!H604</f>
        <v>Presence</v>
      </c>
      <c r="I604" s="4"/>
      <c r="J604" s="22" t="s">
        <v>2308</v>
      </c>
      <c r="K604" s="110" t="s">
        <v>2308</v>
      </c>
      <c r="L604" s="22" t="s">
        <v>2308</v>
      </c>
      <c r="M604" s="22" t="s">
        <v>2308</v>
      </c>
      <c r="N604" s="22" t="s">
        <v>2308</v>
      </c>
      <c r="O604" s="22" t="s">
        <v>2308</v>
      </c>
      <c r="P604" s="22" t="s">
        <v>2308</v>
      </c>
      <c r="Q604" s="109" t="s">
        <v>2308</v>
      </c>
      <c r="R604" s="109" t="s">
        <v>2308</v>
      </c>
      <c r="S604" s="22" t="s">
        <v>2308</v>
      </c>
      <c r="T604" s="22" t="s">
        <v>2308</v>
      </c>
      <c r="U604" s="22" t="s">
        <v>2308</v>
      </c>
      <c r="V604" s="22" t="s">
        <v>2308</v>
      </c>
      <c r="W604" s="22" t="s">
        <v>2308</v>
      </c>
      <c r="X604" s="4" t="s">
        <v>2308</v>
      </c>
      <c r="Y604" s="4" t="s">
        <v>2308</v>
      </c>
      <c r="Z604" s="4" t="s">
        <v>2308</v>
      </c>
      <c r="AA604" s="4"/>
      <c r="AB604" s="5"/>
    </row>
    <row r="605" spans="1:28" ht="151" customHeight="1">
      <c r="A605" s="7" t="str">
        <f>'Reported burning'!A605</f>
        <v xml:space="preserve">63a </v>
      </c>
      <c r="B605" s="7" t="str">
        <f>'Reported burning'!B605</f>
        <v>63a.1</v>
      </c>
      <c r="C605" s="7" t="str">
        <f>'Reported burning'!C605</f>
        <v>Human, deliberate</v>
      </c>
      <c r="D605" s="7" t="str">
        <f>'Reported burning'!D605</f>
        <v>Pasture renewal</v>
      </c>
      <c r="E605" s="7" t="str">
        <f>'Reported burning'!E605</f>
        <v>Cattle, Extensive</v>
      </c>
      <c r="F605" s="7" t="str">
        <f>'Reported burning'!F605</f>
        <v>Pasture</v>
      </c>
      <c r="G605" s="7">
        <f>'Reported burning'!G605</f>
        <v>0</v>
      </c>
      <c r="H605" s="7" t="str">
        <f>'Reported burning'!H605</f>
        <v>Presence</v>
      </c>
      <c r="I605" s="4"/>
      <c r="J605" s="22" t="s">
        <v>2308</v>
      </c>
      <c r="K605" s="110" t="s">
        <v>2308</v>
      </c>
      <c r="L605" s="22" t="s">
        <v>2308</v>
      </c>
      <c r="M605" s="22" t="s">
        <v>2308</v>
      </c>
      <c r="N605" s="22" t="s">
        <v>2308</v>
      </c>
      <c r="O605" s="22" t="s">
        <v>2308</v>
      </c>
      <c r="P605" s="22" t="s">
        <v>2308</v>
      </c>
      <c r="Q605" s="109" t="s">
        <v>2308</v>
      </c>
      <c r="R605" s="109" t="s">
        <v>2308</v>
      </c>
      <c r="S605" s="22" t="s">
        <v>2308</v>
      </c>
      <c r="T605" s="22" t="s">
        <v>2308</v>
      </c>
      <c r="U605" s="22" t="s">
        <v>2308</v>
      </c>
      <c r="V605" s="22" t="s">
        <v>2308</v>
      </c>
      <c r="W605" s="22" t="s">
        <v>2308</v>
      </c>
      <c r="X605" s="4" t="s">
        <v>432</v>
      </c>
      <c r="Y605" s="4" t="s">
        <v>68</v>
      </c>
      <c r="Z605" s="4" t="s">
        <v>64</v>
      </c>
      <c r="AA605" s="5" t="s">
        <v>928</v>
      </c>
      <c r="AB605" s="4"/>
    </row>
    <row r="606" spans="1:28" ht="89.5" customHeight="1">
      <c r="A606" s="7" t="str">
        <f>'Reported burning'!A606</f>
        <v xml:space="preserve">63a </v>
      </c>
      <c r="B606" s="7" t="str">
        <f>'Reported burning'!B606</f>
        <v>63a.2</v>
      </c>
      <c r="C606" s="7" t="str">
        <f>'Reported burning'!C606</f>
        <v>Human, deliberate</v>
      </c>
      <c r="D606" s="7" t="str">
        <f>'Reported burning'!D606</f>
        <v>Crop field preparation</v>
      </c>
      <c r="E606" s="7" t="str">
        <f>'Reported burning'!E606</f>
        <v>Cropping, Swidden</v>
      </c>
      <c r="F606" s="7" t="str">
        <f>'Reported burning'!F606</f>
        <v>Secondary Vegetation</v>
      </c>
      <c r="G606" s="7">
        <f>'Reported burning'!G606</f>
        <v>0</v>
      </c>
      <c r="H606" s="7" t="str">
        <f>'Reported burning'!H606</f>
        <v>Presence</v>
      </c>
      <c r="I606" s="4"/>
      <c r="J606" s="22" t="s">
        <v>2308</v>
      </c>
      <c r="K606" s="110" t="s">
        <v>2308</v>
      </c>
      <c r="L606" s="22" t="s">
        <v>2308</v>
      </c>
      <c r="M606" s="22" t="s">
        <v>2308</v>
      </c>
      <c r="N606" s="22" t="s">
        <v>2308</v>
      </c>
      <c r="O606" s="22" t="s">
        <v>2308</v>
      </c>
      <c r="P606" s="22" t="s">
        <v>2308</v>
      </c>
      <c r="Q606" s="109" t="s">
        <v>2308</v>
      </c>
      <c r="R606" s="109" t="s">
        <v>2308</v>
      </c>
      <c r="S606" s="22" t="s">
        <v>2308</v>
      </c>
      <c r="T606" s="22" t="s">
        <v>2308</v>
      </c>
      <c r="U606" s="22" t="s">
        <v>2308</v>
      </c>
      <c r="V606" s="22" t="s">
        <v>2308</v>
      </c>
      <c r="W606" s="22" t="s">
        <v>2437</v>
      </c>
      <c r="X606" s="4" t="s">
        <v>432</v>
      </c>
      <c r="Y606" s="4" t="s">
        <v>68</v>
      </c>
      <c r="Z606" s="4" t="s">
        <v>64</v>
      </c>
      <c r="AA606" s="5" t="s">
        <v>932</v>
      </c>
      <c r="AB606" s="4" t="s">
        <v>728</v>
      </c>
    </row>
    <row r="607" spans="1:28" ht="45.5" customHeight="1">
      <c r="A607" s="7" t="str">
        <f>'Reported burning'!A607</f>
        <v xml:space="preserve">63a </v>
      </c>
      <c r="B607" s="7" t="str">
        <f>'Reported burning'!B607</f>
        <v>63a.3</v>
      </c>
      <c r="C607" s="7" t="str">
        <f>'Reported burning'!C607</f>
        <v>Human, deliberate</v>
      </c>
      <c r="D607" s="7" t="str">
        <f>'Reported burning'!D607</f>
        <v>Crop field preparation</v>
      </c>
      <c r="E607" s="7" t="str">
        <f>'Reported burning'!E607</f>
        <v>Cropping, Swidden</v>
      </c>
      <c r="F607" s="7" t="str">
        <f>'Reported burning'!F607</f>
        <v>Cropland</v>
      </c>
      <c r="G607" s="7">
        <f>'Reported burning'!G607</f>
        <v>0</v>
      </c>
      <c r="H607" s="7" t="str">
        <f>'Reported burning'!H607</f>
        <v>Absence</v>
      </c>
      <c r="I607" s="4"/>
      <c r="J607" s="22" t="s">
        <v>2396</v>
      </c>
      <c r="K607" s="110" t="s">
        <v>2396</v>
      </c>
      <c r="L607" s="22" t="s">
        <v>2396</v>
      </c>
      <c r="M607" s="22" t="s">
        <v>2396</v>
      </c>
      <c r="N607" s="22" t="s">
        <v>2396</v>
      </c>
      <c r="O607" s="22" t="s">
        <v>2396</v>
      </c>
      <c r="P607" s="22" t="s">
        <v>2396</v>
      </c>
      <c r="Q607" s="109" t="s">
        <v>2308</v>
      </c>
      <c r="R607" s="109" t="s">
        <v>2308</v>
      </c>
      <c r="S607" s="22" t="s">
        <v>2396</v>
      </c>
      <c r="T607" s="22" t="s">
        <v>2396</v>
      </c>
      <c r="U607" s="22" t="s">
        <v>2396</v>
      </c>
      <c r="V607" s="22" t="s">
        <v>2396</v>
      </c>
      <c r="W607" s="22" t="s">
        <v>2308</v>
      </c>
      <c r="X607" s="4" t="s">
        <v>2308</v>
      </c>
      <c r="Y607" s="4" t="s">
        <v>2308</v>
      </c>
      <c r="Z607" s="4" t="s">
        <v>2308</v>
      </c>
      <c r="AA607" s="4"/>
      <c r="AB607" s="4"/>
    </row>
    <row r="608" spans="1:28" ht="41.5" customHeight="1">
      <c r="A608" s="7" t="str">
        <f>'Reported burning'!A608</f>
        <v xml:space="preserve">63a </v>
      </c>
      <c r="B608" s="7" t="str">
        <f>'Reported burning'!B608</f>
        <v>63a.4</v>
      </c>
      <c r="C608" s="7" t="str">
        <f>'Reported burning'!C608</f>
        <v>Human, deliberate</v>
      </c>
      <c r="D608" s="7" t="str">
        <f>'Reported burning'!D608</f>
        <v>Forest management</v>
      </c>
      <c r="E608" s="7" t="str">
        <f>'Reported burning'!E608</f>
        <v>Agroforestry, Market-oriented</v>
      </c>
      <c r="F608" s="7" t="str">
        <f>'Reported burning'!F608</f>
        <v>Secondary Vegetation</v>
      </c>
      <c r="G608" s="7">
        <f>'Reported burning'!G608</f>
        <v>0</v>
      </c>
      <c r="H608" s="7" t="str">
        <f>'Reported burning'!H608</f>
        <v>Absence</v>
      </c>
      <c r="I608" s="4"/>
      <c r="J608" s="22" t="s">
        <v>2396</v>
      </c>
      <c r="K608" s="110" t="s">
        <v>2396</v>
      </c>
      <c r="L608" s="22" t="s">
        <v>2396</v>
      </c>
      <c r="M608" s="22" t="s">
        <v>2396</v>
      </c>
      <c r="N608" s="22" t="s">
        <v>2396</v>
      </c>
      <c r="O608" s="22" t="s">
        <v>2396</v>
      </c>
      <c r="P608" s="22" t="s">
        <v>2396</v>
      </c>
      <c r="Q608" s="109" t="s">
        <v>2308</v>
      </c>
      <c r="R608" s="109" t="s">
        <v>2308</v>
      </c>
      <c r="S608" s="22" t="s">
        <v>2396</v>
      </c>
      <c r="T608" s="22" t="s">
        <v>2396</v>
      </c>
      <c r="U608" s="22" t="s">
        <v>2396</v>
      </c>
      <c r="V608" s="22" t="s">
        <v>2396</v>
      </c>
      <c r="W608" s="22" t="s">
        <v>2308</v>
      </c>
      <c r="X608" s="4" t="s">
        <v>2308</v>
      </c>
      <c r="Y608" s="4" t="s">
        <v>2308</v>
      </c>
      <c r="Z608" s="4" t="s">
        <v>2308</v>
      </c>
      <c r="AA608" s="4"/>
      <c r="AB608" s="4"/>
    </row>
    <row r="609" spans="1:28" ht="41.5" customHeight="1">
      <c r="A609" s="7" t="str">
        <f>'Reported burning'!A609</f>
        <v>65a</v>
      </c>
      <c r="B609" s="7" t="str">
        <f>'Reported burning'!B609</f>
        <v>65a.1</v>
      </c>
      <c r="C609" s="7" t="str">
        <f>'Reported burning'!C609</f>
        <v>Human, deliberate</v>
      </c>
      <c r="D609" s="7" t="str">
        <f>'Reported burning'!D609</f>
        <v>Forest clearance</v>
      </c>
      <c r="E609" s="7" t="str">
        <f>'Reported burning'!E609</f>
        <v>Cattle, Extensive</v>
      </c>
      <c r="F609" s="7" t="str">
        <f>'Reported burning'!F609</f>
        <v>Forest</v>
      </c>
      <c r="G609" s="7">
        <f>'Reported burning'!G609</f>
        <v>0</v>
      </c>
      <c r="H609" s="7" t="str">
        <f>'Reported burning'!H609</f>
        <v>Presence</v>
      </c>
      <c r="I609" s="4"/>
      <c r="J609" s="22" t="s">
        <v>2308</v>
      </c>
      <c r="K609" s="110" t="s">
        <v>2308</v>
      </c>
      <c r="L609" s="22" t="s">
        <v>2308</v>
      </c>
      <c r="M609" s="22" t="s">
        <v>2308</v>
      </c>
      <c r="N609" s="22" t="s">
        <v>2308</v>
      </c>
      <c r="O609" s="22" t="s">
        <v>2308</v>
      </c>
      <c r="P609" s="22" t="s">
        <v>2308</v>
      </c>
      <c r="Q609" s="109" t="s">
        <v>2308</v>
      </c>
      <c r="R609" s="109" t="s">
        <v>2308</v>
      </c>
      <c r="S609" s="22" t="s">
        <v>2308</v>
      </c>
      <c r="T609" s="22" t="s">
        <v>2308</v>
      </c>
      <c r="U609" s="22" t="s">
        <v>2308</v>
      </c>
      <c r="V609" s="22" t="s">
        <v>2308</v>
      </c>
      <c r="W609" s="22" t="s">
        <v>2308</v>
      </c>
      <c r="X609" s="4" t="s">
        <v>2308</v>
      </c>
      <c r="Y609" s="4" t="s">
        <v>2308</v>
      </c>
      <c r="Z609" s="4" t="s">
        <v>2308</v>
      </c>
      <c r="AA609" s="4"/>
      <c r="AB609" s="4"/>
    </row>
    <row r="610" spans="1:28" ht="39.5" customHeight="1">
      <c r="A610" s="7" t="str">
        <f>'Reported burning'!A610</f>
        <v>65b</v>
      </c>
      <c r="B610" s="7" t="str">
        <f>'Reported burning'!B610</f>
        <v>65b.1</v>
      </c>
      <c r="C610" s="7" t="str">
        <f>'Reported burning'!C610</f>
        <v>Human, deliberate</v>
      </c>
      <c r="D610" s="7" t="str">
        <f>'Reported burning'!D610</f>
        <v>Crop field preparation</v>
      </c>
      <c r="E610" s="7" t="str">
        <f>'Reported burning'!E610</f>
        <v>Cropping, Swidden</v>
      </c>
      <c r="F610" s="7" t="str">
        <f>'Reported burning'!F610</f>
        <v>Secondary Vegetation</v>
      </c>
      <c r="G610" s="7">
        <f>'Reported burning'!G610</f>
        <v>0</v>
      </c>
      <c r="H610" s="7" t="str">
        <f>'Reported burning'!H610</f>
        <v>Presence</v>
      </c>
      <c r="I610" s="4"/>
      <c r="J610" s="22" t="s">
        <v>2308</v>
      </c>
      <c r="K610" s="110" t="s">
        <v>2308</v>
      </c>
      <c r="L610" s="22" t="s">
        <v>2308</v>
      </c>
      <c r="M610" s="22" t="s">
        <v>2308</v>
      </c>
      <c r="N610" s="22" t="s">
        <v>2308</v>
      </c>
      <c r="O610" s="22" t="s">
        <v>2308</v>
      </c>
      <c r="P610" s="22" t="s">
        <v>2308</v>
      </c>
      <c r="Q610" s="109" t="s">
        <v>2308</v>
      </c>
      <c r="R610" s="109" t="s">
        <v>2308</v>
      </c>
      <c r="S610" s="22" t="s">
        <v>2308</v>
      </c>
      <c r="T610" s="22" t="s">
        <v>2308</v>
      </c>
      <c r="U610" s="22" t="s">
        <v>2308</v>
      </c>
      <c r="V610" s="22" t="s">
        <v>2308</v>
      </c>
      <c r="W610" s="22" t="s">
        <v>2308</v>
      </c>
      <c r="X610" s="4" t="s">
        <v>2308</v>
      </c>
      <c r="Y610" s="4" t="s">
        <v>2308</v>
      </c>
      <c r="Z610" s="4" t="s">
        <v>2308</v>
      </c>
      <c r="AA610" s="4"/>
      <c r="AB610" s="4"/>
    </row>
    <row r="611" spans="1:28" ht="41" customHeight="1">
      <c r="A611" s="7" t="str">
        <f>'Reported burning'!A611</f>
        <v>66a</v>
      </c>
      <c r="B611" s="7" t="str">
        <f>'Reported burning'!B611</f>
        <v>66a.1</v>
      </c>
      <c r="C611" s="7" t="str">
        <f>'Reported burning'!C611</f>
        <v>Human, deliberate</v>
      </c>
      <c r="D611" s="7" t="str">
        <f>'Reported burning'!D611</f>
        <v>Crop field preparation</v>
      </c>
      <c r="E611" s="7" t="str">
        <f>'Reported burning'!E611</f>
        <v>Cropping, Swidden</v>
      </c>
      <c r="F611" s="7" t="str">
        <f>'Reported burning'!F611</f>
        <v>Secondary Vegetation</v>
      </c>
      <c r="G611" s="7">
        <f>'Reported burning'!G611</f>
        <v>0</v>
      </c>
      <c r="H611" s="7" t="str">
        <f>'Reported burning'!H611</f>
        <v>Presence</v>
      </c>
      <c r="I611" s="4"/>
      <c r="J611" s="22" t="s">
        <v>2308</v>
      </c>
      <c r="K611" s="110" t="s">
        <v>2394</v>
      </c>
      <c r="L611" s="22" t="s">
        <v>2308</v>
      </c>
      <c r="M611" s="22" t="s">
        <v>2406</v>
      </c>
      <c r="N611" s="22" t="s">
        <v>2308</v>
      </c>
      <c r="O611" s="22" t="s">
        <v>2308</v>
      </c>
      <c r="P611" s="22" t="s">
        <v>2308</v>
      </c>
      <c r="Q611" s="109" t="s">
        <v>2308</v>
      </c>
      <c r="R611" s="109" t="s">
        <v>2308</v>
      </c>
      <c r="S611" s="22" t="s">
        <v>2308</v>
      </c>
      <c r="T611" s="22" t="s">
        <v>2308</v>
      </c>
      <c r="U611" s="22" t="s">
        <v>2308</v>
      </c>
      <c r="V611" s="22" t="s">
        <v>2308</v>
      </c>
      <c r="W611" s="22" t="s">
        <v>2308</v>
      </c>
      <c r="X611" s="4" t="s">
        <v>2308</v>
      </c>
      <c r="Y611" s="4" t="s">
        <v>2308</v>
      </c>
      <c r="Z611" s="4" t="s">
        <v>2308</v>
      </c>
      <c r="AA611" s="4"/>
      <c r="AB611" s="5" t="s">
        <v>2247</v>
      </c>
    </row>
    <row r="612" spans="1:28" ht="52" customHeight="1">
      <c r="A612" s="7" t="str">
        <f>'Reported burning'!A612</f>
        <v>67a</v>
      </c>
      <c r="B612" s="7" t="str">
        <f>'Reported burning'!B612</f>
        <v>67a.1</v>
      </c>
      <c r="C612" s="7" t="str">
        <f>'Reported burning'!C612</f>
        <v>Human, deliberate</v>
      </c>
      <c r="D612" s="7" t="str">
        <f>'Reported burning'!D612</f>
        <v>Forest clearance</v>
      </c>
      <c r="E612" s="7" t="str">
        <f>'Reported burning'!E612</f>
        <v>Forestry, Small-scale</v>
      </c>
      <c r="F612" s="7" t="str">
        <f>'Reported burning'!F612</f>
        <v>Forest</v>
      </c>
      <c r="G612" s="7">
        <f>'Reported burning'!G612</f>
        <v>0</v>
      </c>
      <c r="H612" s="7" t="str">
        <f>'Reported burning'!H612</f>
        <v>Absence</v>
      </c>
      <c r="I612" s="4"/>
      <c r="J612" s="22" t="s">
        <v>2308</v>
      </c>
      <c r="K612" s="110" t="s">
        <v>2308</v>
      </c>
      <c r="L612" s="22" t="s">
        <v>2308</v>
      </c>
      <c r="M612" s="22" t="s">
        <v>2308</v>
      </c>
      <c r="N612" s="22" t="s">
        <v>2308</v>
      </c>
      <c r="O612" s="22" t="s">
        <v>2308</v>
      </c>
      <c r="P612" s="22" t="s">
        <v>2308</v>
      </c>
      <c r="Q612" s="109" t="s">
        <v>2308</v>
      </c>
      <c r="R612" s="109" t="s">
        <v>2308</v>
      </c>
      <c r="S612" s="22" t="s">
        <v>2308</v>
      </c>
      <c r="T612" s="22" t="s">
        <v>2308</v>
      </c>
      <c r="U612" s="22" t="s">
        <v>2308</v>
      </c>
      <c r="V612" s="22" t="s">
        <v>2308</v>
      </c>
      <c r="W612" s="22" t="s">
        <v>2308</v>
      </c>
      <c r="X612" s="4" t="s">
        <v>2308</v>
      </c>
      <c r="Y612" s="4" t="s">
        <v>2308</v>
      </c>
      <c r="Z612" s="4" t="s">
        <v>2308</v>
      </c>
      <c r="AA612" s="5" t="s">
        <v>2248</v>
      </c>
      <c r="AB612" s="4"/>
    </row>
    <row r="613" spans="1:28" ht="39.5" customHeight="1">
      <c r="A613" s="7" t="str">
        <f>'Reported burning'!A613</f>
        <v>67a</v>
      </c>
      <c r="B613" s="7" t="str">
        <f>'Reported burning'!B613</f>
        <v>67a.2</v>
      </c>
      <c r="C613" s="7" t="str">
        <f>'Reported burning'!C613</f>
        <v>Human, deliberate</v>
      </c>
      <c r="D613" s="7" t="str">
        <f>'Reported burning'!D613</f>
        <v>Crop field preparation</v>
      </c>
      <c r="E613" s="7" t="str">
        <f>'Reported burning'!E613</f>
        <v>Cropping, Swidden</v>
      </c>
      <c r="F613" s="7" t="str">
        <f>'Reported burning'!F613</f>
        <v>Secondary Vegetation</v>
      </c>
      <c r="G613" s="7">
        <f>'Reported burning'!G613</f>
        <v>0</v>
      </c>
      <c r="H613" s="7" t="str">
        <f>'Reported burning'!H613</f>
        <v>Presence</v>
      </c>
      <c r="I613" s="4"/>
      <c r="J613" s="22" t="s">
        <v>2308</v>
      </c>
      <c r="K613" s="110" t="s">
        <v>2308</v>
      </c>
      <c r="L613" s="22" t="s">
        <v>2308</v>
      </c>
      <c r="M613" s="22" t="s">
        <v>2308</v>
      </c>
      <c r="N613" s="22" t="s">
        <v>2308</v>
      </c>
      <c r="O613" s="22" t="s">
        <v>2308</v>
      </c>
      <c r="P613" s="22" t="s">
        <v>2308</v>
      </c>
      <c r="Q613" s="109" t="s">
        <v>2308</v>
      </c>
      <c r="R613" s="109" t="s">
        <v>2308</v>
      </c>
      <c r="S613" s="22" t="s">
        <v>2308</v>
      </c>
      <c r="T613" s="22" t="s">
        <v>2308</v>
      </c>
      <c r="U613" s="22" t="s">
        <v>2308</v>
      </c>
      <c r="V613" s="22" t="s">
        <v>2308</v>
      </c>
      <c r="W613" s="22" t="s">
        <v>2308</v>
      </c>
      <c r="X613" s="4" t="s">
        <v>2308</v>
      </c>
      <c r="Y613" s="4" t="s">
        <v>2308</v>
      </c>
      <c r="Z613" s="4" t="s">
        <v>2308</v>
      </c>
      <c r="AA613" s="5"/>
      <c r="AB613" s="4"/>
    </row>
    <row r="614" spans="1:28" ht="48.5" customHeight="1">
      <c r="A614" s="7" t="str">
        <f>'Reported burning'!A614</f>
        <v>67b</v>
      </c>
      <c r="B614" s="7" t="str">
        <f>'Reported burning'!B614</f>
        <v>67b.1</v>
      </c>
      <c r="C614" s="7" t="str">
        <f>'Reported burning'!C614</f>
        <v>Human, deliberate</v>
      </c>
      <c r="D614" s="7" t="str">
        <f>'Reported burning'!D614</f>
        <v>Forest clearance</v>
      </c>
      <c r="E614" s="7" t="str">
        <f>'Reported burning'!E614</f>
        <v>Forestry, Small-scale</v>
      </c>
      <c r="F614" s="7" t="str">
        <f>'Reported burning'!F614</f>
        <v>Forest</v>
      </c>
      <c r="G614" s="7">
        <f>'Reported burning'!G614</f>
        <v>0</v>
      </c>
      <c r="H614" s="7" t="str">
        <f>'Reported burning'!H614</f>
        <v>Absence</v>
      </c>
      <c r="I614" s="4"/>
      <c r="J614" s="22" t="s">
        <v>2308</v>
      </c>
      <c r="K614" s="110" t="s">
        <v>2308</v>
      </c>
      <c r="L614" s="22" t="s">
        <v>2308</v>
      </c>
      <c r="M614" s="22" t="s">
        <v>2308</v>
      </c>
      <c r="N614" s="22" t="s">
        <v>2308</v>
      </c>
      <c r="O614" s="22" t="s">
        <v>2308</v>
      </c>
      <c r="P614" s="22" t="s">
        <v>2308</v>
      </c>
      <c r="Q614" s="109" t="s">
        <v>2308</v>
      </c>
      <c r="R614" s="109" t="s">
        <v>2308</v>
      </c>
      <c r="S614" s="22" t="s">
        <v>2308</v>
      </c>
      <c r="T614" s="22" t="s">
        <v>2308</v>
      </c>
      <c r="U614" s="22" t="s">
        <v>2308</v>
      </c>
      <c r="V614" s="22" t="s">
        <v>2308</v>
      </c>
      <c r="W614" s="22" t="s">
        <v>2308</v>
      </c>
      <c r="X614" s="4" t="s">
        <v>2308</v>
      </c>
      <c r="Y614" s="4" t="s">
        <v>2308</v>
      </c>
      <c r="Z614" s="4" t="s">
        <v>2308</v>
      </c>
      <c r="AA614" s="5" t="s">
        <v>2248</v>
      </c>
      <c r="AB614" s="4"/>
    </row>
    <row r="615" spans="1:28" ht="55" customHeight="1">
      <c r="A615" s="7" t="str">
        <f>'Reported burning'!A615</f>
        <v>67b</v>
      </c>
      <c r="B615" s="7" t="str">
        <f>'Reported burning'!B615</f>
        <v>67b.2</v>
      </c>
      <c r="C615" s="7" t="str">
        <f>'Reported burning'!C615</f>
        <v>Human, deliberate</v>
      </c>
      <c r="D615" s="7" t="str">
        <f>'Reported burning'!D615</f>
        <v>Crop field preparation</v>
      </c>
      <c r="E615" s="7" t="str">
        <f>'Reported burning'!E615</f>
        <v>Cropping, Swidden</v>
      </c>
      <c r="F615" s="7" t="str">
        <f>'Reported burning'!F615</f>
        <v>Secondary Vegetation</v>
      </c>
      <c r="G615" s="7">
        <f>'Reported burning'!G615</f>
        <v>0</v>
      </c>
      <c r="H615" s="7" t="str">
        <f>'Reported burning'!H615</f>
        <v>Presence</v>
      </c>
      <c r="I615" s="4"/>
      <c r="J615" s="22" t="s">
        <v>2308</v>
      </c>
      <c r="K615" s="110" t="s">
        <v>2308</v>
      </c>
      <c r="L615" s="22" t="s">
        <v>2308</v>
      </c>
      <c r="M615" s="22" t="s">
        <v>2308</v>
      </c>
      <c r="N615" s="22" t="s">
        <v>2308</v>
      </c>
      <c r="O615" s="22" t="s">
        <v>2308</v>
      </c>
      <c r="P615" s="22" t="s">
        <v>2308</v>
      </c>
      <c r="Q615" s="109" t="s">
        <v>2308</v>
      </c>
      <c r="R615" s="109" t="s">
        <v>2308</v>
      </c>
      <c r="S615" s="22" t="s">
        <v>2308</v>
      </c>
      <c r="T615" s="22" t="s">
        <v>2308</v>
      </c>
      <c r="U615" s="22" t="s">
        <v>2308</v>
      </c>
      <c r="V615" s="22" t="s">
        <v>2308</v>
      </c>
      <c r="W615" s="22" t="s">
        <v>2308</v>
      </c>
      <c r="X615" s="4" t="s">
        <v>2308</v>
      </c>
      <c r="Y615" s="4" t="s">
        <v>2308</v>
      </c>
      <c r="Z615" s="4" t="s">
        <v>2308</v>
      </c>
      <c r="AA615" s="4"/>
      <c r="AB615" s="4"/>
    </row>
    <row r="616" spans="1:28" ht="72" customHeight="1">
      <c r="A616" s="7" t="str">
        <f>'Reported burning'!A616</f>
        <v>68a</v>
      </c>
      <c r="B616" s="7" t="str">
        <f>'Reported burning'!B616</f>
        <v>68a.1</v>
      </c>
      <c r="C616" s="7" t="str">
        <f>'Reported burning'!C616</f>
        <v>Human, deliberate</v>
      </c>
      <c r="D616" s="7" t="str">
        <f>'Reported burning'!D616</f>
        <v>Crop field preparation</v>
      </c>
      <c r="E616" s="7" t="str">
        <f>'Reported burning'!E616</f>
        <v>Cropping, Swidden</v>
      </c>
      <c r="F616" s="7" t="str">
        <f>'Reported burning'!F616</f>
        <v>Secondary Vegetation</v>
      </c>
      <c r="G616" s="7">
        <f>'Reported burning'!G616</f>
        <v>0</v>
      </c>
      <c r="H616" s="7" t="str">
        <f>'Reported burning'!H616</f>
        <v>Presence</v>
      </c>
      <c r="I616" s="4"/>
      <c r="J616" s="22" t="s">
        <v>2308</v>
      </c>
      <c r="K616" s="110" t="s">
        <v>2308</v>
      </c>
      <c r="L616" s="22" t="s">
        <v>2308</v>
      </c>
      <c r="M616" s="22" t="s">
        <v>2308</v>
      </c>
      <c r="N616" s="22" t="s">
        <v>2308</v>
      </c>
      <c r="O616" s="22" t="s">
        <v>2308</v>
      </c>
      <c r="P616" s="22" t="s">
        <v>2308</v>
      </c>
      <c r="Q616" s="109" t="s">
        <v>2308</v>
      </c>
      <c r="R616" s="109" t="s">
        <v>2308</v>
      </c>
      <c r="S616" s="22" t="s">
        <v>2308</v>
      </c>
      <c r="T616" s="22" t="s">
        <v>2308</v>
      </c>
      <c r="U616" s="22" t="s">
        <v>2308</v>
      </c>
      <c r="V616" s="22" t="s">
        <v>2308</v>
      </c>
      <c r="W616" s="22" t="s">
        <v>2434</v>
      </c>
      <c r="X616" s="4" t="s">
        <v>432</v>
      </c>
      <c r="Y616" s="4" t="s">
        <v>68</v>
      </c>
      <c r="Z616" s="4" t="s">
        <v>2308</v>
      </c>
      <c r="AA616" s="5" t="s">
        <v>976</v>
      </c>
      <c r="AB616" s="4" t="s">
        <v>2454</v>
      </c>
    </row>
    <row r="617" spans="1:28" ht="46.5" customHeight="1">
      <c r="A617" s="7" t="str">
        <f>'Reported burning'!A617</f>
        <v>68a</v>
      </c>
      <c r="B617" s="7" t="str">
        <f>'Reported burning'!B617</f>
        <v>68a.2</v>
      </c>
      <c r="C617" s="7" t="str">
        <f>'Reported burning'!C617</f>
        <v>Human, deliberate</v>
      </c>
      <c r="D617" s="7" t="str">
        <f>'Reported burning'!D617</f>
        <v>Forest clearance</v>
      </c>
      <c r="E617" s="7" t="str">
        <f>'Reported burning'!E617</f>
        <v>Cattle, Extensive</v>
      </c>
      <c r="F617" s="7" t="str">
        <f>'Reported burning'!F617</f>
        <v>Forest</v>
      </c>
      <c r="G617" s="7">
        <f>'Reported burning'!G617</f>
        <v>0</v>
      </c>
      <c r="H617" s="7" t="str">
        <f>'Reported burning'!H617</f>
        <v>Presence</v>
      </c>
      <c r="I617" s="4"/>
      <c r="J617" s="22" t="s">
        <v>2308</v>
      </c>
      <c r="K617" s="110" t="s">
        <v>2308</v>
      </c>
      <c r="L617" s="22" t="s">
        <v>2308</v>
      </c>
      <c r="M617" s="22" t="s">
        <v>2308</v>
      </c>
      <c r="N617" s="22" t="s">
        <v>2308</v>
      </c>
      <c r="O617" s="22" t="s">
        <v>2308</v>
      </c>
      <c r="P617" s="22" t="s">
        <v>2308</v>
      </c>
      <c r="Q617" s="109" t="s">
        <v>2308</v>
      </c>
      <c r="R617" s="109" t="s">
        <v>2308</v>
      </c>
      <c r="S617" s="22" t="s">
        <v>2308</v>
      </c>
      <c r="T617" s="22" t="s">
        <v>2308</v>
      </c>
      <c r="U617" s="22" t="s">
        <v>2308</v>
      </c>
      <c r="V617" s="22" t="s">
        <v>2308</v>
      </c>
      <c r="W617" s="80" t="s">
        <v>2308</v>
      </c>
      <c r="X617" s="4" t="s">
        <v>2308</v>
      </c>
      <c r="Y617" s="4" t="s">
        <v>2308</v>
      </c>
      <c r="Z617" s="4" t="s">
        <v>2308</v>
      </c>
      <c r="AA617" s="5" t="s">
        <v>977</v>
      </c>
      <c r="AB617" s="4"/>
    </row>
    <row r="618" spans="1:28" ht="71.5" customHeight="1">
      <c r="A618" s="7" t="str">
        <f>'Reported burning'!A618</f>
        <v>69a</v>
      </c>
      <c r="B618" s="7" t="str">
        <f>'Reported burning'!B618</f>
        <v>69a.1</v>
      </c>
      <c r="C618" s="7" t="str">
        <f>'Reported burning'!C618</f>
        <v>Human, deliberate</v>
      </c>
      <c r="D618" s="7" t="str">
        <f>'Reported burning'!D618</f>
        <v>Crop field preparation</v>
      </c>
      <c r="E618" s="7" t="str">
        <f>'Reported burning'!E618</f>
        <v>Cropping, Swidden</v>
      </c>
      <c r="F618" s="7" t="str">
        <f>'Reported burning'!F618</f>
        <v>Secondary Vegetation</v>
      </c>
      <c r="G618" s="7">
        <f>'Reported burning'!G618</f>
        <v>0</v>
      </c>
      <c r="H618" s="7" t="str">
        <f>'Reported burning'!H618</f>
        <v>Presence</v>
      </c>
      <c r="I618" s="4"/>
      <c r="J618" s="22" t="s">
        <v>2308</v>
      </c>
      <c r="K618" s="110" t="s">
        <v>2308</v>
      </c>
      <c r="L618" s="22" t="s">
        <v>2308</v>
      </c>
      <c r="M618" s="22" t="s">
        <v>2394</v>
      </c>
      <c r="N618" s="22" t="s">
        <v>2308</v>
      </c>
      <c r="O618" s="22" t="s">
        <v>2308</v>
      </c>
      <c r="P618" s="22" t="s">
        <v>2308</v>
      </c>
      <c r="Q618" s="109" t="s">
        <v>2308</v>
      </c>
      <c r="R618" s="109" t="s">
        <v>2308</v>
      </c>
      <c r="S618" s="22" t="s">
        <v>2308</v>
      </c>
      <c r="T618" s="22" t="s">
        <v>2308</v>
      </c>
      <c r="U618" s="22" t="s">
        <v>2406</v>
      </c>
      <c r="V618" s="22" t="s">
        <v>2308</v>
      </c>
      <c r="W618" s="22" t="s">
        <v>2434</v>
      </c>
      <c r="X618" s="4" t="s">
        <v>2308</v>
      </c>
      <c r="Y618" s="4" t="s">
        <v>2308</v>
      </c>
      <c r="Z618" s="4" t="s">
        <v>2308</v>
      </c>
      <c r="AA618" s="4" t="s">
        <v>987</v>
      </c>
      <c r="AB618" s="25" t="s">
        <v>2254</v>
      </c>
    </row>
    <row r="619" spans="1:28" ht="64.5" customHeight="1">
      <c r="A619" s="7" t="str">
        <f>'Reported burning'!A619</f>
        <v>69b</v>
      </c>
      <c r="B619" s="7" t="str">
        <f>'Reported burning'!B619</f>
        <v>69b.1</v>
      </c>
      <c r="C619" s="7" t="str">
        <f>'Reported burning'!C619</f>
        <v>Human, deliberate</v>
      </c>
      <c r="D619" s="7" t="str">
        <f>'Reported burning'!D619</f>
        <v>Crop field preparation</v>
      </c>
      <c r="E619" s="7" t="str">
        <f>'Reported burning'!E619</f>
        <v>Cropping, Swidden</v>
      </c>
      <c r="F619" s="7" t="str">
        <f>'Reported burning'!F619</f>
        <v>Secondary Vegetation</v>
      </c>
      <c r="G619" s="7">
        <f>'Reported burning'!G619</f>
        <v>0</v>
      </c>
      <c r="H619" s="7" t="str">
        <f>'Reported burning'!H619</f>
        <v>Presence</v>
      </c>
      <c r="I619" s="4"/>
      <c r="J619" s="22" t="s">
        <v>2308</v>
      </c>
      <c r="K619" s="110" t="s">
        <v>2308</v>
      </c>
      <c r="L619" s="22" t="s">
        <v>2308</v>
      </c>
      <c r="M619" s="22" t="s">
        <v>2394</v>
      </c>
      <c r="N619" s="22" t="s">
        <v>2308</v>
      </c>
      <c r="O619" s="22" t="s">
        <v>2308</v>
      </c>
      <c r="P619" s="22" t="s">
        <v>2308</v>
      </c>
      <c r="Q619" s="109" t="s">
        <v>2308</v>
      </c>
      <c r="R619" s="109" t="s">
        <v>2308</v>
      </c>
      <c r="S619" s="22" t="s">
        <v>2308</v>
      </c>
      <c r="T619" s="22" t="s">
        <v>2308</v>
      </c>
      <c r="U619" s="22" t="s">
        <v>2560</v>
      </c>
      <c r="V619" s="22" t="s">
        <v>2308</v>
      </c>
      <c r="W619" s="22" t="s">
        <v>2434</v>
      </c>
      <c r="X619" s="4" t="s">
        <v>2308</v>
      </c>
      <c r="Y619" s="4" t="s">
        <v>2308</v>
      </c>
      <c r="Z619" s="4" t="s">
        <v>2308</v>
      </c>
      <c r="AA619" s="4" t="s">
        <v>987</v>
      </c>
      <c r="AB619" s="5" t="s">
        <v>2255</v>
      </c>
    </row>
    <row r="620" spans="1:28" ht="70" customHeight="1">
      <c r="A620" s="7" t="str">
        <f>'Reported burning'!A620</f>
        <v>69c</v>
      </c>
      <c r="B620" s="7" t="str">
        <f>'Reported burning'!B620</f>
        <v>69c.1</v>
      </c>
      <c r="C620" s="7" t="str">
        <f>'Reported burning'!C620</f>
        <v>Human, deliberate</v>
      </c>
      <c r="D620" s="7" t="str">
        <f>'Reported burning'!D620</f>
        <v>Crop field preparation</v>
      </c>
      <c r="E620" s="7" t="str">
        <f>'Reported burning'!E620</f>
        <v>Cropping, Swidden</v>
      </c>
      <c r="F620" s="7" t="str">
        <f>'Reported burning'!F620</f>
        <v>Secondary Vegetation</v>
      </c>
      <c r="G620" s="7">
        <f>'Reported burning'!G620</f>
        <v>0</v>
      </c>
      <c r="H620" s="7" t="str">
        <f>'Reported burning'!H620</f>
        <v>Presence</v>
      </c>
      <c r="I620" s="4"/>
      <c r="J620" s="22" t="s">
        <v>2308</v>
      </c>
      <c r="K620" s="110" t="s">
        <v>2308</v>
      </c>
      <c r="L620" s="22" t="s">
        <v>2308</v>
      </c>
      <c r="M620" s="22" t="s">
        <v>2394</v>
      </c>
      <c r="N620" s="22" t="s">
        <v>2308</v>
      </c>
      <c r="O620" s="22" t="s">
        <v>2308</v>
      </c>
      <c r="P620" s="22" t="s">
        <v>2308</v>
      </c>
      <c r="Q620" s="109" t="s">
        <v>2308</v>
      </c>
      <c r="R620" s="109" t="s">
        <v>2308</v>
      </c>
      <c r="S620" s="22" t="s">
        <v>2308</v>
      </c>
      <c r="T620" s="22" t="s">
        <v>2308</v>
      </c>
      <c r="U620" s="22" t="s">
        <v>2406</v>
      </c>
      <c r="V620" s="22" t="s">
        <v>2308</v>
      </c>
      <c r="W620" s="22" t="s">
        <v>2434</v>
      </c>
      <c r="X620" s="4" t="s">
        <v>2308</v>
      </c>
      <c r="Y620" s="4" t="s">
        <v>2308</v>
      </c>
      <c r="Z620" s="4" t="s">
        <v>2308</v>
      </c>
      <c r="AA620" s="4" t="s">
        <v>987</v>
      </c>
      <c r="AB620" s="5" t="s">
        <v>2255</v>
      </c>
    </row>
    <row r="621" spans="1:28" ht="68.5" customHeight="1">
      <c r="A621" s="7" t="str">
        <f>'Reported burning'!A621</f>
        <v xml:space="preserve">70a </v>
      </c>
      <c r="B621" s="7" t="str">
        <f>'Reported burning'!B621</f>
        <v>70a.1</v>
      </c>
      <c r="C621" s="7" t="str">
        <f>'Reported burning'!C621</f>
        <v>Human, deliberate</v>
      </c>
      <c r="D621" s="7" t="str">
        <f>'Reported burning'!D621</f>
        <v>Crop field preparation</v>
      </c>
      <c r="E621" s="7" t="str">
        <f>'Reported burning'!E621</f>
        <v>Cropping, Swidden</v>
      </c>
      <c r="F621" s="7" t="str">
        <f>'Reported burning'!F621</f>
        <v>Secondary Vegetation</v>
      </c>
      <c r="G621" s="7">
        <f>'Reported burning'!G621</f>
        <v>0</v>
      </c>
      <c r="H621" s="7" t="str">
        <f>'Reported burning'!H621</f>
        <v>Presence</v>
      </c>
      <c r="I621" s="4"/>
      <c r="J621" s="22" t="s">
        <v>2308</v>
      </c>
      <c r="K621" s="110" t="s">
        <v>2308</v>
      </c>
      <c r="L621" s="22" t="s">
        <v>2308</v>
      </c>
      <c r="M621" s="22" t="s">
        <v>2308</v>
      </c>
      <c r="N621" s="22" t="s">
        <v>2308</v>
      </c>
      <c r="O621" s="22" t="s">
        <v>2308</v>
      </c>
      <c r="P621" s="22" t="s">
        <v>2308</v>
      </c>
      <c r="Q621" s="109" t="s">
        <v>2308</v>
      </c>
      <c r="R621" s="109" t="s">
        <v>2308</v>
      </c>
      <c r="S621" s="22" t="s">
        <v>2408</v>
      </c>
      <c r="T621" s="22" t="s">
        <v>2308</v>
      </c>
      <c r="U621" s="22" t="s">
        <v>2308</v>
      </c>
      <c r="V621" s="22" t="s">
        <v>2308</v>
      </c>
      <c r="W621" s="22" t="s">
        <v>2308</v>
      </c>
      <c r="X621" s="4" t="s">
        <v>2308</v>
      </c>
      <c r="Y621" s="4" t="s">
        <v>2308</v>
      </c>
      <c r="Z621" s="4" t="s">
        <v>2308</v>
      </c>
      <c r="AA621" s="4"/>
      <c r="AB621" s="5" t="s">
        <v>2257</v>
      </c>
    </row>
    <row r="622" spans="1:28" ht="38.5" customHeight="1">
      <c r="A622" s="7" t="str">
        <f>'Reported burning'!A622</f>
        <v>71a</v>
      </c>
      <c r="B622" s="7" t="str">
        <f>'Reported burning'!B622</f>
        <v xml:space="preserve">71a.1 </v>
      </c>
      <c r="C622" s="7" t="str">
        <f>'Reported burning'!C622</f>
        <v>Human, deliberate</v>
      </c>
      <c r="D622" s="7" t="str">
        <f>'Reported burning'!D622</f>
        <v>Forest clearance</v>
      </c>
      <c r="E622" s="7" t="str">
        <f>'Reported burning'!E622</f>
        <v>Cropping, Monoculture, Subsistence-oriented</v>
      </c>
      <c r="F622" s="7" t="str">
        <f>'Reported burning'!F622</f>
        <v>Forest</v>
      </c>
      <c r="G622" s="7">
        <f>'Reported burning'!G622</f>
        <v>0</v>
      </c>
      <c r="H622" s="7" t="str">
        <f>'Reported burning'!H622</f>
        <v>Presence</v>
      </c>
      <c r="I622" s="4"/>
      <c r="J622" s="22" t="s">
        <v>2308</v>
      </c>
      <c r="K622" s="110" t="s">
        <v>2308</v>
      </c>
      <c r="L622" s="22" t="s">
        <v>2308</v>
      </c>
      <c r="M622" s="22" t="s">
        <v>2308</v>
      </c>
      <c r="N622" s="22" t="s">
        <v>2308</v>
      </c>
      <c r="O622" s="22" t="s">
        <v>2308</v>
      </c>
      <c r="P622" s="22" t="s">
        <v>2308</v>
      </c>
      <c r="Q622" s="109" t="s">
        <v>2308</v>
      </c>
      <c r="R622" s="109" t="s">
        <v>2308</v>
      </c>
      <c r="S622" s="22" t="s">
        <v>2308</v>
      </c>
      <c r="T622" s="22" t="s">
        <v>2308</v>
      </c>
      <c r="U622" s="22" t="s">
        <v>2308</v>
      </c>
      <c r="V622" s="22" t="s">
        <v>2308</v>
      </c>
      <c r="W622" s="22" t="s">
        <v>2308</v>
      </c>
      <c r="X622" s="4" t="s">
        <v>2308</v>
      </c>
      <c r="Y622" s="4" t="s">
        <v>2308</v>
      </c>
      <c r="Z622" s="4" t="s">
        <v>2308</v>
      </c>
      <c r="AA622" s="4"/>
      <c r="AB622" s="4"/>
    </row>
    <row r="623" spans="1:28" ht="36" customHeight="1">
      <c r="A623" s="7" t="str">
        <f>'Reported burning'!A623</f>
        <v>71c</v>
      </c>
      <c r="B623" s="7" t="str">
        <f>'Reported burning'!B623</f>
        <v>71c.1</v>
      </c>
      <c r="C623" s="7" t="str">
        <f>'Reported burning'!C623</f>
        <v>Human, deliberate</v>
      </c>
      <c r="D623" s="7" t="str">
        <f>'Reported burning'!D623</f>
        <v>Crop field preparation</v>
      </c>
      <c r="E623" s="7" t="str">
        <f>'Reported burning'!E623</f>
        <v>Cropping, Swidden</v>
      </c>
      <c r="F623" s="7" t="str">
        <f>'Reported burning'!F623</f>
        <v>Secondary Vegetation</v>
      </c>
      <c r="G623" s="7">
        <f>'Reported burning'!G623</f>
        <v>0</v>
      </c>
      <c r="H623" s="7" t="str">
        <f>'Reported burning'!H623</f>
        <v>Presence</v>
      </c>
      <c r="I623" s="4"/>
      <c r="J623" s="22" t="s">
        <v>2308</v>
      </c>
      <c r="K623" s="110" t="s">
        <v>2308</v>
      </c>
      <c r="L623" s="22" t="s">
        <v>2308</v>
      </c>
      <c r="M623" s="22" t="s">
        <v>2308</v>
      </c>
      <c r="N623" s="22" t="s">
        <v>2308</v>
      </c>
      <c r="O623" s="22" t="s">
        <v>2308</v>
      </c>
      <c r="P623" s="22" t="s">
        <v>2308</v>
      </c>
      <c r="Q623" s="109" t="s">
        <v>2308</v>
      </c>
      <c r="R623" s="109" t="s">
        <v>2308</v>
      </c>
      <c r="S623" s="22" t="s">
        <v>2308</v>
      </c>
      <c r="T623" s="22" t="s">
        <v>2308</v>
      </c>
      <c r="U623" s="22" t="s">
        <v>2308</v>
      </c>
      <c r="V623" s="22" t="s">
        <v>2308</v>
      </c>
      <c r="W623" s="22" t="s">
        <v>2308</v>
      </c>
      <c r="X623" s="4" t="s">
        <v>2308</v>
      </c>
      <c r="Y623" s="4" t="s">
        <v>2308</v>
      </c>
      <c r="Z623" s="4" t="s">
        <v>2308</v>
      </c>
      <c r="AA623" s="4"/>
      <c r="AB623" s="4"/>
    </row>
    <row r="624" spans="1:28" ht="34.5" customHeight="1">
      <c r="A624" s="7" t="str">
        <f>'Reported burning'!A624</f>
        <v>72a</v>
      </c>
      <c r="B624" s="7" t="str">
        <f>'Reported burning'!B624</f>
        <v>72a.1</v>
      </c>
      <c r="C624" s="7" t="str">
        <f>'Reported burning'!C624</f>
        <v>Human, deliberate</v>
      </c>
      <c r="D624" s="7" t="str">
        <f>'Reported burning'!D624</f>
        <v>Crop field preparation</v>
      </c>
      <c r="E624" s="7" t="str">
        <f>'Reported burning'!E624</f>
        <v>Cropping, Swidden</v>
      </c>
      <c r="F624" s="7" t="str">
        <f>'Reported burning'!F624</f>
        <v>Secondary Vegetation</v>
      </c>
      <c r="G624" s="7">
        <f>'Reported burning'!G624</f>
        <v>0</v>
      </c>
      <c r="H624" s="7" t="str">
        <f>'Reported burning'!H624</f>
        <v>Presence</v>
      </c>
      <c r="I624" s="4"/>
      <c r="J624" s="22" t="s">
        <v>2308</v>
      </c>
      <c r="K624" s="110" t="s">
        <v>2308</v>
      </c>
      <c r="L624" s="22" t="s">
        <v>2308</v>
      </c>
      <c r="M624" s="22" t="s">
        <v>2308</v>
      </c>
      <c r="N624" s="22" t="s">
        <v>2308</v>
      </c>
      <c r="O624" s="22" t="s">
        <v>2308</v>
      </c>
      <c r="P624" s="22" t="s">
        <v>2308</v>
      </c>
      <c r="Q624" s="109" t="s">
        <v>2308</v>
      </c>
      <c r="R624" s="109" t="s">
        <v>2308</v>
      </c>
      <c r="S624" s="22" t="s">
        <v>2308</v>
      </c>
      <c r="T624" s="22" t="s">
        <v>2308</v>
      </c>
      <c r="U624" s="22" t="s">
        <v>2406</v>
      </c>
      <c r="V624" s="22" t="s">
        <v>2308</v>
      </c>
      <c r="W624" s="22" t="s">
        <v>2435</v>
      </c>
      <c r="X624" s="4" t="s">
        <v>2308</v>
      </c>
      <c r="Y624" s="4" t="s">
        <v>2308</v>
      </c>
      <c r="Z624" s="4" t="s">
        <v>2308</v>
      </c>
      <c r="AA624" s="4" t="s">
        <v>1027</v>
      </c>
      <c r="AB624" s="5" t="s">
        <v>728</v>
      </c>
    </row>
    <row r="625" spans="1:28" ht="61" customHeight="1">
      <c r="A625" s="7" t="str">
        <f>'Reported burning'!A625</f>
        <v>72a</v>
      </c>
      <c r="B625" s="7" t="str">
        <f>'Reported burning'!B625</f>
        <v>72a.2</v>
      </c>
      <c r="C625" s="7" t="str">
        <f>'Reported burning'!C625</f>
        <v>Human, deliberate</v>
      </c>
      <c r="D625" s="7" t="str">
        <f>'Reported burning'!D625</f>
        <v>Land clearance</v>
      </c>
      <c r="E625" s="7" t="str">
        <f>'Reported burning'!E625</f>
        <v>Cropping, Monoculture, Market-oriented</v>
      </c>
      <c r="F625" s="7" t="str">
        <f>'Reported burning'!F625</f>
        <v>Secondary Vegetation</v>
      </c>
      <c r="G625" s="7">
        <f>'Reported burning'!G625</f>
        <v>0</v>
      </c>
      <c r="H625" s="7" t="str">
        <f>'Reported burning'!H625</f>
        <v>Presence</v>
      </c>
      <c r="I625" s="4"/>
      <c r="J625" s="22" t="s">
        <v>2308</v>
      </c>
      <c r="K625" s="110" t="s">
        <v>2308</v>
      </c>
      <c r="L625" s="22" t="s">
        <v>2308</v>
      </c>
      <c r="M625" s="22" t="s">
        <v>2308</v>
      </c>
      <c r="N625" s="22" t="s">
        <v>2308</v>
      </c>
      <c r="O625" s="22" t="s">
        <v>2308</v>
      </c>
      <c r="P625" s="22" t="s">
        <v>2308</v>
      </c>
      <c r="Q625" s="109" t="s">
        <v>2308</v>
      </c>
      <c r="R625" s="109" t="s">
        <v>2308</v>
      </c>
      <c r="S625" s="22" t="s">
        <v>2308</v>
      </c>
      <c r="T625" s="22" t="s">
        <v>2308</v>
      </c>
      <c r="U625" s="22" t="s">
        <v>2308</v>
      </c>
      <c r="V625" s="22" t="s">
        <v>2308</v>
      </c>
      <c r="W625" s="22" t="s">
        <v>2308</v>
      </c>
      <c r="X625" s="4" t="s">
        <v>2308</v>
      </c>
      <c r="Y625" s="4" t="s">
        <v>2308</v>
      </c>
      <c r="Z625" s="4" t="s">
        <v>2308</v>
      </c>
      <c r="AA625" s="5" t="s">
        <v>2264</v>
      </c>
      <c r="AB625" s="5"/>
    </row>
    <row r="626" spans="1:28" ht="65" customHeight="1">
      <c r="A626" s="7" t="str">
        <f>'Reported burning'!A626</f>
        <v>72b</v>
      </c>
      <c r="B626" s="7" t="str">
        <f>'Reported burning'!B626</f>
        <v>72b.1</v>
      </c>
      <c r="C626" s="7" t="str">
        <f>'Reported burning'!C626</f>
        <v>Human, deliberate</v>
      </c>
      <c r="D626" s="7" t="str">
        <f>'Reported burning'!D626</f>
        <v>Crop field preparation</v>
      </c>
      <c r="E626" s="7" t="str">
        <f>'Reported burning'!E626</f>
        <v>Cropping, Swidden</v>
      </c>
      <c r="F626" s="7" t="str">
        <f>'Reported burning'!F626</f>
        <v>Secondary Vegetation</v>
      </c>
      <c r="G626" s="7">
        <f>'Reported burning'!G626</f>
        <v>0</v>
      </c>
      <c r="H626" s="7" t="str">
        <f>'Reported burning'!H626</f>
        <v>Presence</v>
      </c>
      <c r="I626" s="4"/>
      <c r="J626" s="22" t="s">
        <v>2308</v>
      </c>
      <c r="K626" s="110" t="s">
        <v>2308</v>
      </c>
      <c r="L626" s="22" t="s">
        <v>2308</v>
      </c>
      <c r="M626" s="22" t="s">
        <v>2308</v>
      </c>
      <c r="N626" s="22" t="s">
        <v>2308</v>
      </c>
      <c r="O626" s="22" t="s">
        <v>2308</v>
      </c>
      <c r="P626" s="22" t="s">
        <v>2308</v>
      </c>
      <c r="Q626" s="109" t="s">
        <v>2308</v>
      </c>
      <c r="R626" s="109" t="s">
        <v>2308</v>
      </c>
      <c r="S626" s="22" t="s">
        <v>2308</v>
      </c>
      <c r="T626" s="22" t="s">
        <v>2308</v>
      </c>
      <c r="U626" s="22" t="s">
        <v>2560</v>
      </c>
      <c r="V626" s="22" t="s">
        <v>2308</v>
      </c>
      <c r="W626" s="22" t="s">
        <v>2435</v>
      </c>
      <c r="X626" s="4" t="s">
        <v>2308</v>
      </c>
      <c r="Y626" s="4" t="s">
        <v>2308</v>
      </c>
      <c r="Z626" s="4" t="s">
        <v>2308</v>
      </c>
      <c r="AA626" s="4" t="s">
        <v>1027</v>
      </c>
      <c r="AB626" s="5" t="s">
        <v>1028</v>
      </c>
    </row>
    <row r="627" spans="1:28" ht="65" customHeight="1">
      <c r="A627" s="7" t="str">
        <f>'Reported burning'!A627</f>
        <v>72b</v>
      </c>
      <c r="B627" s="7" t="str">
        <f>'Reported burning'!B627</f>
        <v>72b.2</v>
      </c>
      <c r="C627" s="7" t="str">
        <f>'Reported burning'!C627</f>
        <v>Human, deliberate</v>
      </c>
      <c r="D627" s="7" t="str">
        <f>'Reported burning'!D627</f>
        <v>Land clearance</v>
      </c>
      <c r="E627" s="7" t="str">
        <f>'Reported burning'!E627</f>
        <v>Cropping, Monoculture, Market-oriented</v>
      </c>
      <c r="F627" s="7" t="str">
        <f>'Reported burning'!F627</f>
        <v>Secondary Vegetation</v>
      </c>
      <c r="G627" s="7">
        <f>'Reported burning'!G627</f>
        <v>0</v>
      </c>
      <c r="H627" s="7" t="str">
        <f>'Reported burning'!H627</f>
        <v>Presence</v>
      </c>
      <c r="I627" s="4"/>
      <c r="J627" s="22" t="s">
        <v>2308</v>
      </c>
      <c r="K627" s="110" t="s">
        <v>2308</v>
      </c>
      <c r="L627" s="22" t="s">
        <v>2308</v>
      </c>
      <c r="M627" s="22" t="s">
        <v>2308</v>
      </c>
      <c r="N627" s="22" t="s">
        <v>2308</v>
      </c>
      <c r="O627" s="22" t="s">
        <v>2308</v>
      </c>
      <c r="P627" s="22" t="s">
        <v>2308</v>
      </c>
      <c r="Q627" s="109" t="s">
        <v>2308</v>
      </c>
      <c r="R627" s="109" t="s">
        <v>2308</v>
      </c>
      <c r="S627" s="22" t="s">
        <v>2308</v>
      </c>
      <c r="T627" s="22" t="s">
        <v>2308</v>
      </c>
      <c r="U627" s="22" t="s">
        <v>2308</v>
      </c>
      <c r="V627" s="22" t="s">
        <v>2308</v>
      </c>
      <c r="W627" s="22" t="s">
        <v>2308</v>
      </c>
      <c r="X627" s="4" t="s">
        <v>2308</v>
      </c>
      <c r="Y627" s="4" t="s">
        <v>2308</v>
      </c>
      <c r="Z627" s="4" t="s">
        <v>2308</v>
      </c>
      <c r="AA627" s="5" t="s">
        <v>2269</v>
      </c>
      <c r="AB627" s="5"/>
    </row>
    <row r="628" spans="1:28" ht="60.5" customHeight="1">
      <c r="A628" s="7" t="str">
        <f>'Reported burning'!A628</f>
        <v>72c</v>
      </c>
      <c r="B628" s="7" t="str">
        <f>'Reported burning'!B628</f>
        <v>72c.1</v>
      </c>
      <c r="C628" s="7" t="str">
        <f>'Reported burning'!C628</f>
        <v>Human, deliberate</v>
      </c>
      <c r="D628" s="7" t="str">
        <f>'Reported burning'!D628</f>
        <v>Crop field preparation</v>
      </c>
      <c r="E628" s="7" t="str">
        <f>'Reported burning'!E628</f>
        <v>Cropping, Swidden</v>
      </c>
      <c r="F628" s="7" t="str">
        <f>'Reported burning'!F628</f>
        <v>Secondary Vegetation</v>
      </c>
      <c r="G628" s="7">
        <f>'Reported burning'!G628</f>
        <v>0</v>
      </c>
      <c r="H628" s="7" t="str">
        <f>'Reported burning'!H628</f>
        <v>Presence</v>
      </c>
      <c r="I628" s="4"/>
      <c r="J628" s="22" t="s">
        <v>2308</v>
      </c>
      <c r="K628" s="110" t="s">
        <v>2308</v>
      </c>
      <c r="L628" s="22" t="s">
        <v>2308</v>
      </c>
      <c r="M628" s="22" t="s">
        <v>2308</v>
      </c>
      <c r="N628" s="22" t="s">
        <v>2308</v>
      </c>
      <c r="O628" s="22" t="s">
        <v>2308</v>
      </c>
      <c r="P628" s="22" t="s">
        <v>2308</v>
      </c>
      <c r="Q628" s="109" t="s">
        <v>2308</v>
      </c>
      <c r="R628" s="109" t="s">
        <v>2308</v>
      </c>
      <c r="S628" s="22" t="s">
        <v>2308</v>
      </c>
      <c r="T628" s="22" t="s">
        <v>2308</v>
      </c>
      <c r="U628" s="22" t="s">
        <v>2406</v>
      </c>
      <c r="V628" s="22" t="s">
        <v>2308</v>
      </c>
      <c r="W628" s="22" t="s">
        <v>2435</v>
      </c>
      <c r="X628" s="4" t="s">
        <v>2308</v>
      </c>
      <c r="Y628" s="4" t="s">
        <v>2308</v>
      </c>
      <c r="Z628" s="4" t="s">
        <v>2308</v>
      </c>
      <c r="AA628" s="4" t="s">
        <v>1027</v>
      </c>
      <c r="AB628" s="5" t="s">
        <v>1028</v>
      </c>
    </row>
    <row r="629" spans="1:28" ht="60.5" customHeight="1">
      <c r="A629" s="7" t="str">
        <f>'Reported burning'!A629</f>
        <v>72c</v>
      </c>
      <c r="B629" s="7" t="str">
        <f>'Reported burning'!B629</f>
        <v>72c.2</v>
      </c>
      <c r="C629" s="7" t="str">
        <f>'Reported burning'!C629</f>
        <v>Human, deliberate</v>
      </c>
      <c r="D629" s="7" t="str">
        <f>'Reported burning'!D629</f>
        <v>Land clearance</v>
      </c>
      <c r="E629" s="7" t="str">
        <f>'Reported burning'!E629</f>
        <v>Cropping, Monoculture, Market-oriented</v>
      </c>
      <c r="F629" s="7" t="str">
        <f>'Reported burning'!F629</f>
        <v>Secondary Vegetation</v>
      </c>
      <c r="G629" s="7">
        <f>'Reported burning'!G629</f>
        <v>0</v>
      </c>
      <c r="H629" s="7" t="str">
        <f>'Reported burning'!H629</f>
        <v>Presence</v>
      </c>
      <c r="I629" s="4"/>
      <c r="J629" s="22" t="s">
        <v>2308</v>
      </c>
      <c r="K629" s="110" t="s">
        <v>2308</v>
      </c>
      <c r="L629" s="22" t="s">
        <v>2308</v>
      </c>
      <c r="M629" s="22" t="s">
        <v>2308</v>
      </c>
      <c r="N629" s="22" t="s">
        <v>2308</v>
      </c>
      <c r="O629" s="22" t="s">
        <v>2308</v>
      </c>
      <c r="P629" s="22" t="s">
        <v>2308</v>
      </c>
      <c r="Q629" s="109" t="s">
        <v>2308</v>
      </c>
      <c r="R629" s="109" t="s">
        <v>2308</v>
      </c>
      <c r="S629" s="22" t="s">
        <v>2308</v>
      </c>
      <c r="T629" s="22" t="s">
        <v>2308</v>
      </c>
      <c r="U629" s="22" t="s">
        <v>2308</v>
      </c>
      <c r="V629" s="22" t="s">
        <v>2308</v>
      </c>
      <c r="W629" s="22" t="s">
        <v>2308</v>
      </c>
      <c r="X629" s="4" t="s">
        <v>2308</v>
      </c>
      <c r="Y629" s="4" t="s">
        <v>2308</v>
      </c>
      <c r="Z629" s="4" t="s">
        <v>2308</v>
      </c>
      <c r="AA629" s="5" t="s">
        <v>2270</v>
      </c>
      <c r="AB629" s="5"/>
    </row>
    <row r="630" spans="1:28" ht="60" customHeight="1">
      <c r="A630" s="7" t="str">
        <f>'Reported burning'!A630</f>
        <v>72d</v>
      </c>
      <c r="B630" s="7" t="str">
        <f>'Reported burning'!B630</f>
        <v>72d.1</v>
      </c>
      <c r="C630" s="7" t="str">
        <f>'Reported burning'!C630</f>
        <v>Human, deliberate</v>
      </c>
      <c r="D630" s="7" t="str">
        <f>'Reported burning'!D630</f>
        <v>Crop field preparation</v>
      </c>
      <c r="E630" s="7" t="str">
        <f>'Reported burning'!E630</f>
        <v>Cropping, Swidden</v>
      </c>
      <c r="F630" s="7" t="str">
        <f>'Reported burning'!F630</f>
        <v>Secondary Vegetation</v>
      </c>
      <c r="G630" s="7">
        <f>'Reported burning'!G630</f>
        <v>0</v>
      </c>
      <c r="H630" s="7" t="str">
        <f>'Reported burning'!H630</f>
        <v>Presence</v>
      </c>
      <c r="I630" s="4"/>
      <c r="J630" s="22" t="s">
        <v>2308</v>
      </c>
      <c r="K630" s="110" t="s">
        <v>2308</v>
      </c>
      <c r="L630" s="22" t="s">
        <v>2308</v>
      </c>
      <c r="M630" s="22" t="s">
        <v>2308</v>
      </c>
      <c r="N630" s="22" t="s">
        <v>2308</v>
      </c>
      <c r="O630" s="22" t="s">
        <v>2308</v>
      </c>
      <c r="P630" s="22" t="s">
        <v>2308</v>
      </c>
      <c r="Q630" s="109" t="s">
        <v>2308</v>
      </c>
      <c r="R630" s="109" t="s">
        <v>2308</v>
      </c>
      <c r="S630" s="22" t="s">
        <v>2308</v>
      </c>
      <c r="T630" s="22" t="s">
        <v>2308</v>
      </c>
      <c r="U630" s="22" t="s">
        <v>2406</v>
      </c>
      <c r="V630" s="22" t="s">
        <v>2308</v>
      </c>
      <c r="W630" s="22" t="s">
        <v>2435</v>
      </c>
      <c r="X630" s="4" t="s">
        <v>2308</v>
      </c>
      <c r="Y630" s="4" t="s">
        <v>2308</v>
      </c>
      <c r="Z630" s="4" t="s">
        <v>2308</v>
      </c>
      <c r="AA630" s="4" t="s">
        <v>1027</v>
      </c>
      <c r="AB630" s="5" t="s">
        <v>1028</v>
      </c>
    </row>
    <row r="631" spans="1:28" ht="60" customHeight="1">
      <c r="A631" s="7" t="str">
        <f>'Reported burning'!A631</f>
        <v>72d</v>
      </c>
      <c r="B631" s="7" t="str">
        <f>'Reported burning'!B631</f>
        <v>72d.2</v>
      </c>
      <c r="C631" s="7" t="str">
        <f>'Reported burning'!C631</f>
        <v>Human, deliberate</v>
      </c>
      <c r="D631" s="7" t="str">
        <f>'Reported burning'!D631</f>
        <v>Land clearance</v>
      </c>
      <c r="E631" s="7" t="str">
        <f>'Reported burning'!E631</f>
        <v>Cropping, Monoculture, Market-oriented</v>
      </c>
      <c r="F631" s="7" t="str">
        <f>'Reported burning'!F631</f>
        <v>Secondary Vegetation</v>
      </c>
      <c r="G631" s="7">
        <f>'Reported burning'!G631</f>
        <v>0</v>
      </c>
      <c r="H631" s="7" t="str">
        <f>'Reported burning'!H631</f>
        <v>Presence</v>
      </c>
      <c r="I631" s="4"/>
      <c r="J631" s="22" t="s">
        <v>2308</v>
      </c>
      <c r="K631" s="110" t="s">
        <v>2308</v>
      </c>
      <c r="L631" s="22" t="s">
        <v>2308</v>
      </c>
      <c r="M631" s="22" t="s">
        <v>2308</v>
      </c>
      <c r="N631" s="22" t="s">
        <v>2308</v>
      </c>
      <c r="O631" s="22" t="s">
        <v>2308</v>
      </c>
      <c r="P631" s="22" t="s">
        <v>2308</v>
      </c>
      <c r="Q631" s="109" t="s">
        <v>2308</v>
      </c>
      <c r="R631" s="109" t="s">
        <v>2308</v>
      </c>
      <c r="S631" s="22" t="s">
        <v>2308</v>
      </c>
      <c r="T631" s="22" t="s">
        <v>2308</v>
      </c>
      <c r="U631" s="22" t="s">
        <v>2308</v>
      </c>
      <c r="V631" s="22" t="s">
        <v>2308</v>
      </c>
      <c r="W631" s="22" t="s">
        <v>2308</v>
      </c>
      <c r="X631" s="4" t="s">
        <v>2308</v>
      </c>
      <c r="Y631" s="4" t="s">
        <v>2308</v>
      </c>
      <c r="Z631" s="4" t="s">
        <v>2308</v>
      </c>
      <c r="AA631" s="5" t="s">
        <v>2271</v>
      </c>
      <c r="AB631" s="5"/>
    </row>
    <row r="632" spans="1:28" ht="57.5" customHeight="1">
      <c r="A632" s="7" t="str">
        <f>'Reported burning'!A632</f>
        <v>72e</v>
      </c>
      <c r="B632" s="7" t="str">
        <f>'Reported burning'!B632</f>
        <v>72e.1</v>
      </c>
      <c r="C632" s="7" t="str">
        <f>'Reported burning'!C632</f>
        <v>Human, deliberate</v>
      </c>
      <c r="D632" s="7" t="str">
        <f>'Reported burning'!D632</f>
        <v>Crop field preparation</v>
      </c>
      <c r="E632" s="7" t="str">
        <f>'Reported burning'!E632</f>
        <v>Cropping, Swidden</v>
      </c>
      <c r="F632" s="7" t="str">
        <f>'Reported burning'!F632</f>
        <v>Secondary Vegetation</v>
      </c>
      <c r="G632" s="7">
        <f>'Reported burning'!G632</f>
        <v>0</v>
      </c>
      <c r="H632" s="7" t="str">
        <f>'Reported burning'!H632</f>
        <v>Presence</v>
      </c>
      <c r="I632" s="4"/>
      <c r="J632" s="22" t="s">
        <v>2308</v>
      </c>
      <c r="K632" s="110" t="s">
        <v>2308</v>
      </c>
      <c r="L632" s="22" t="s">
        <v>2308</v>
      </c>
      <c r="M632" s="22" t="s">
        <v>2308</v>
      </c>
      <c r="N632" s="22" t="s">
        <v>2308</v>
      </c>
      <c r="O632" s="22" t="s">
        <v>2308</v>
      </c>
      <c r="P632" s="22" t="s">
        <v>2308</v>
      </c>
      <c r="Q632" s="109" t="s">
        <v>2308</v>
      </c>
      <c r="R632" s="109" t="s">
        <v>2308</v>
      </c>
      <c r="S632" s="22" t="s">
        <v>2308</v>
      </c>
      <c r="T632" s="22" t="s">
        <v>2308</v>
      </c>
      <c r="U632" s="22" t="s">
        <v>2560</v>
      </c>
      <c r="V632" s="22" t="s">
        <v>2308</v>
      </c>
      <c r="W632" s="22" t="s">
        <v>2434</v>
      </c>
      <c r="X632" s="4" t="s">
        <v>2308</v>
      </c>
      <c r="Y632" s="4" t="s">
        <v>2308</v>
      </c>
      <c r="Z632" s="4" t="s">
        <v>2308</v>
      </c>
      <c r="AA632" s="4" t="s">
        <v>1027</v>
      </c>
      <c r="AB632" s="5" t="s">
        <v>728</v>
      </c>
    </row>
    <row r="633" spans="1:28" ht="57.5" customHeight="1">
      <c r="A633" s="7" t="str">
        <f>'Reported burning'!A633</f>
        <v>72e</v>
      </c>
      <c r="B633" s="7" t="str">
        <f>'Reported burning'!B633</f>
        <v>72e.2</v>
      </c>
      <c r="C633" s="7" t="str">
        <f>'Reported burning'!C633</f>
        <v>Human, deliberate</v>
      </c>
      <c r="D633" s="7" t="str">
        <f>'Reported burning'!D633</f>
        <v>Land clearance</v>
      </c>
      <c r="E633" s="7" t="str">
        <f>'Reported burning'!E633</f>
        <v>Cropping, Monoculture, Market-oriented</v>
      </c>
      <c r="F633" s="7" t="str">
        <f>'Reported burning'!F633</f>
        <v>Secondary Vegetation</v>
      </c>
      <c r="G633" s="7">
        <f>'Reported burning'!G633</f>
        <v>0</v>
      </c>
      <c r="H633" s="7" t="str">
        <f>'Reported burning'!H633</f>
        <v>Presence</v>
      </c>
      <c r="I633" s="4"/>
      <c r="J633" s="22" t="s">
        <v>2308</v>
      </c>
      <c r="K633" s="110" t="s">
        <v>2308</v>
      </c>
      <c r="L633" s="22" t="s">
        <v>2308</v>
      </c>
      <c r="M633" s="22" t="s">
        <v>2308</v>
      </c>
      <c r="N633" s="22" t="s">
        <v>2308</v>
      </c>
      <c r="O633" s="22" t="s">
        <v>2308</v>
      </c>
      <c r="P633" s="22" t="s">
        <v>2308</v>
      </c>
      <c r="Q633" s="109" t="s">
        <v>2308</v>
      </c>
      <c r="R633" s="109" t="s">
        <v>2308</v>
      </c>
      <c r="S633" s="22" t="s">
        <v>2308</v>
      </c>
      <c r="T633" s="22" t="s">
        <v>2308</v>
      </c>
      <c r="U633" s="22" t="s">
        <v>2308</v>
      </c>
      <c r="V633" s="22" t="s">
        <v>2308</v>
      </c>
      <c r="W633" s="22" t="s">
        <v>2308</v>
      </c>
      <c r="X633" s="4" t="s">
        <v>2308</v>
      </c>
      <c r="Y633" s="4" t="s">
        <v>2308</v>
      </c>
      <c r="Z633" s="4" t="s">
        <v>2308</v>
      </c>
      <c r="AA633" s="5" t="s">
        <v>2272</v>
      </c>
      <c r="AB633" s="5"/>
    </row>
    <row r="634" spans="1:28" ht="61" customHeight="1">
      <c r="A634" s="7" t="str">
        <f>'Reported burning'!A634</f>
        <v>72f</v>
      </c>
      <c r="B634" s="7" t="str">
        <f>'Reported burning'!B634</f>
        <v>72f.1</v>
      </c>
      <c r="C634" s="7" t="str">
        <f>'Reported burning'!C634</f>
        <v>Human, deliberate</v>
      </c>
      <c r="D634" s="7" t="str">
        <f>'Reported burning'!D634</f>
        <v>Crop field preparation</v>
      </c>
      <c r="E634" s="7" t="str">
        <f>'Reported burning'!E634</f>
        <v>Cropping, Swidden</v>
      </c>
      <c r="F634" s="7" t="str">
        <f>'Reported burning'!F634</f>
        <v>Secondary Vegetation</v>
      </c>
      <c r="G634" s="7">
        <f>'Reported burning'!G634</f>
        <v>0</v>
      </c>
      <c r="H634" s="7" t="str">
        <f>'Reported burning'!H634</f>
        <v>Presence</v>
      </c>
      <c r="I634" s="4"/>
      <c r="J634" s="22" t="s">
        <v>2308</v>
      </c>
      <c r="K634" s="110" t="s">
        <v>2308</v>
      </c>
      <c r="L634" s="22" t="s">
        <v>2308</v>
      </c>
      <c r="M634" s="22" t="s">
        <v>2308</v>
      </c>
      <c r="N634" s="22" t="s">
        <v>2308</v>
      </c>
      <c r="O634" s="22" t="s">
        <v>2308</v>
      </c>
      <c r="P634" s="22" t="s">
        <v>2308</v>
      </c>
      <c r="Q634" s="109" t="s">
        <v>2308</v>
      </c>
      <c r="R634" s="109" t="s">
        <v>2308</v>
      </c>
      <c r="S634" s="22" t="s">
        <v>2308</v>
      </c>
      <c r="T634" s="22" t="s">
        <v>2308</v>
      </c>
      <c r="U634" s="22" t="s">
        <v>2560</v>
      </c>
      <c r="V634" s="22" t="s">
        <v>2308</v>
      </c>
      <c r="W634" s="22" t="s">
        <v>2437</v>
      </c>
      <c r="X634" s="4" t="s">
        <v>2308</v>
      </c>
      <c r="Y634" s="4" t="s">
        <v>2308</v>
      </c>
      <c r="Z634" s="4" t="s">
        <v>2308</v>
      </c>
      <c r="AA634" s="4" t="s">
        <v>1027</v>
      </c>
      <c r="AB634" s="5" t="s">
        <v>2260</v>
      </c>
    </row>
    <row r="635" spans="1:28" ht="71.5" customHeight="1">
      <c r="A635" s="7" t="str">
        <f>'Reported burning'!A635</f>
        <v>72g</v>
      </c>
      <c r="B635" s="7" t="str">
        <f>'Reported burning'!B635</f>
        <v>72g.1</v>
      </c>
      <c r="C635" s="7" t="str">
        <f>'Reported burning'!C635</f>
        <v>Human, deliberate</v>
      </c>
      <c r="D635" s="7" t="str">
        <f>'Reported burning'!D635</f>
        <v>Crop field preparation</v>
      </c>
      <c r="E635" s="7" t="str">
        <f>'Reported burning'!E635</f>
        <v>Cropping, Swidden</v>
      </c>
      <c r="F635" s="7" t="str">
        <f>'Reported burning'!F635</f>
        <v>Secondary Vegetation</v>
      </c>
      <c r="G635" s="7">
        <f>'Reported burning'!G635</f>
        <v>0</v>
      </c>
      <c r="H635" s="7" t="str">
        <f>'Reported burning'!H635</f>
        <v>Presence</v>
      </c>
      <c r="I635" s="4"/>
      <c r="J635" s="22" t="s">
        <v>2308</v>
      </c>
      <c r="K635" s="110" t="s">
        <v>2308</v>
      </c>
      <c r="L635" s="22" t="s">
        <v>2308</v>
      </c>
      <c r="M635" s="22" t="s">
        <v>2308</v>
      </c>
      <c r="N635" s="22" t="s">
        <v>2308</v>
      </c>
      <c r="O635" s="22" t="s">
        <v>2308</v>
      </c>
      <c r="P635" s="22" t="s">
        <v>2308</v>
      </c>
      <c r="Q635" s="109" t="s">
        <v>2308</v>
      </c>
      <c r="R635" s="109" t="s">
        <v>2308</v>
      </c>
      <c r="S635" s="22" t="s">
        <v>2308</v>
      </c>
      <c r="T635" s="22" t="s">
        <v>2308</v>
      </c>
      <c r="U635" s="22" t="s">
        <v>2406</v>
      </c>
      <c r="V635" s="22" t="s">
        <v>2308</v>
      </c>
      <c r="W635" s="22" t="s">
        <v>2435</v>
      </c>
      <c r="X635" s="4" t="s">
        <v>2308</v>
      </c>
      <c r="Y635" s="4" t="s">
        <v>2308</v>
      </c>
      <c r="Z635" s="4" t="s">
        <v>2308</v>
      </c>
      <c r="AA635" s="4" t="s">
        <v>1027</v>
      </c>
      <c r="AB635" s="5" t="s">
        <v>2261</v>
      </c>
    </row>
    <row r="636" spans="1:28" ht="74" customHeight="1">
      <c r="A636" s="7" t="str">
        <f>'Reported burning'!A636</f>
        <v>72h</v>
      </c>
      <c r="B636" s="7" t="str">
        <f>'Reported burning'!B636</f>
        <v>72h.1</v>
      </c>
      <c r="C636" s="7" t="str">
        <f>'Reported burning'!C636</f>
        <v>Human, deliberate</v>
      </c>
      <c r="D636" s="7" t="str">
        <f>'Reported burning'!D636</f>
        <v>Crop field preparation</v>
      </c>
      <c r="E636" s="7" t="str">
        <f>'Reported burning'!E636</f>
        <v>Cropping, Swidden</v>
      </c>
      <c r="F636" s="7" t="str">
        <f>'Reported burning'!F636</f>
        <v>Secondary Vegetation</v>
      </c>
      <c r="G636" s="7">
        <f>'Reported burning'!G636</f>
        <v>0</v>
      </c>
      <c r="H636" s="7" t="str">
        <f>'Reported burning'!H636</f>
        <v>Presence</v>
      </c>
      <c r="I636" s="4"/>
      <c r="J636" s="22" t="s">
        <v>2308</v>
      </c>
      <c r="K636" s="110" t="s">
        <v>2308</v>
      </c>
      <c r="L636" s="22" t="s">
        <v>2308</v>
      </c>
      <c r="M636" s="22" t="s">
        <v>2308</v>
      </c>
      <c r="N636" s="22" t="s">
        <v>2308</v>
      </c>
      <c r="O636" s="22" t="s">
        <v>2308</v>
      </c>
      <c r="P636" s="22" t="s">
        <v>2308</v>
      </c>
      <c r="Q636" s="109" t="s">
        <v>2308</v>
      </c>
      <c r="R636" s="109" t="s">
        <v>2308</v>
      </c>
      <c r="S636" s="22" t="s">
        <v>2308</v>
      </c>
      <c r="T636" s="22" t="s">
        <v>2308</v>
      </c>
      <c r="U636" s="22" t="s">
        <v>2560</v>
      </c>
      <c r="V636" s="22" t="s">
        <v>2308</v>
      </c>
      <c r="W636" s="22" t="s">
        <v>2435</v>
      </c>
      <c r="X636" s="4" t="s">
        <v>2308</v>
      </c>
      <c r="Y636" s="4" t="s">
        <v>2308</v>
      </c>
      <c r="Z636" s="4" t="s">
        <v>2308</v>
      </c>
      <c r="AA636" s="4" t="s">
        <v>1027</v>
      </c>
      <c r="AB636" s="5" t="s">
        <v>2261</v>
      </c>
    </row>
    <row r="637" spans="1:28" ht="74" customHeight="1">
      <c r="A637" s="7" t="str">
        <f>'Reported burning'!A637</f>
        <v>72h</v>
      </c>
      <c r="B637" s="7" t="str">
        <f>'Reported burning'!B637</f>
        <v>72h.2</v>
      </c>
      <c r="C637" s="7" t="str">
        <f>'Reported burning'!C637</f>
        <v>Human, deliberate</v>
      </c>
      <c r="D637" s="7" t="str">
        <f>'Reported burning'!D637</f>
        <v>Land clearance</v>
      </c>
      <c r="E637" s="7" t="str">
        <f>'Reported burning'!E637</f>
        <v>Cropping, Monoculture, Market-oriented</v>
      </c>
      <c r="F637" s="7" t="str">
        <f>'Reported burning'!F637</f>
        <v>Secondary Vegetation</v>
      </c>
      <c r="G637" s="7">
        <f>'Reported burning'!G637</f>
        <v>0</v>
      </c>
      <c r="H637" s="7" t="str">
        <f>'Reported burning'!H637</f>
        <v>Presence</v>
      </c>
      <c r="I637" s="4"/>
      <c r="J637" s="22" t="s">
        <v>2308</v>
      </c>
      <c r="K637" s="110" t="s">
        <v>2308</v>
      </c>
      <c r="L637" s="22" t="s">
        <v>2308</v>
      </c>
      <c r="M637" s="22" t="s">
        <v>2308</v>
      </c>
      <c r="N637" s="22" t="s">
        <v>2308</v>
      </c>
      <c r="O637" s="22" t="s">
        <v>2308</v>
      </c>
      <c r="P637" s="22" t="s">
        <v>2308</v>
      </c>
      <c r="Q637" s="109" t="s">
        <v>2308</v>
      </c>
      <c r="R637" s="109" t="s">
        <v>2308</v>
      </c>
      <c r="S637" s="22" t="s">
        <v>2308</v>
      </c>
      <c r="T637" s="22" t="s">
        <v>2308</v>
      </c>
      <c r="U637" s="22" t="s">
        <v>2308</v>
      </c>
      <c r="V637" s="22" t="s">
        <v>2308</v>
      </c>
      <c r="W637" s="22" t="s">
        <v>2308</v>
      </c>
      <c r="X637" s="4" t="s">
        <v>2308</v>
      </c>
      <c r="Y637" s="4" t="s">
        <v>2308</v>
      </c>
      <c r="Z637" s="4" t="s">
        <v>2308</v>
      </c>
      <c r="AA637" s="5" t="s">
        <v>2275</v>
      </c>
      <c r="AB637" s="5"/>
    </row>
    <row r="638" spans="1:28" ht="62.5" customHeight="1">
      <c r="A638" s="7" t="str">
        <f>'Reported burning'!A638</f>
        <v>72i</v>
      </c>
      <c r="B638" s="7" t="str">
        <f>'Reported burning'!B638</f>
        <v>72i.1</v>
      </c>
      <c r="C638" s="7" t="str">
        <f>'Reported burning'!C638</f>
        <v>Human, deliberate</v>
      </c>
      <c r="D638" s="7" t="str">
        <f>'Reported burning'!D638</f>
        <v>Crop field preparation</v>
      </c>
      <c r="E638" s="7" t="str">
        <f>'Reported burning'!E638</f>
        <v>Cropping, Swidden</v>
      </c>
      <c r="F638" s="7" t="str">
        <f>'Reported burning'!F638</f>
        <v>Secondary Vegetation</v>
      </c>
      <c r="G638" s="7">
        <f>'Reported burning'!G638</f>
        <v>0</v>
      </c>
      <c r="H638" s="7" t="str">
        <f>'Reported burning'!H638</f>
        <v>Presence</v>
      </c>
      <c r="I638" s="4"/>
      <c r="J638" s="22" t="s">
        <v>2308</v>
      </c>
      <c r="K638" s="110" t="s">
        <v>2308</v>
      </c>
      <c r="L638" s="22" t="s">
        <v>2308</v>
      </c>
      <c r="M638" s="22" t="s">
        <v>2308</v>
      </c>
      <c r="N638" s="22" t="s">
        <v>2308</v>
      </c>
      <c r="O638" s="22" t="s">
        <v>2308</v>
      </c>
      <c r="P638" s="22" t="s">
        <v>2308</v>
      </c>
      <c r="Q638" s="109" t="s">
        <v>2308</v>
      </c>
      <c r="R638" s="109" t="s">
        <v>2308</v>
      </c>
      <c r="S638" s="22" t="s">
        <v>2308</v>
      </c>
      <c r="T638" s="22" t="s">
        <v>2308</v>
      </c>
      <c r="U638" s="22" t="s">
        <v>2406</v>
      </c>
      <c r="V638" s="22" t="s">
        <v>2308</v>
      </c>
      <c r="W638" s="22" t="s">
        <v>2434</v>
      </c>
      <c r="X638" s="4" t="s">
        <v>2308</v>
      </c>
      <c r="Y638" s="4" t="s">
        <v>2308</v>
      </c>
      <c r="Z638" s="4" t="s">
        <v>2308</v>
      </c>
      <c r="AA638" s="4" t="s">
        <v>1027</v>
      </c>
      <c r="AB638" s="5" t="s">
        <v>2260</v>
      </c>
    </row>
    <row r="639" spans="1:28" ht="69" customHeight="1">
      <c r="A639" s="7" t="str">
        <f>'Reported burning'!A639</f>
        <v>72i</v>
      </c>
      <c r="B639" s="7" t="str">
        <f>'Reported burning'!B639</f>
        <v>72i.2</v>
      </c>
      <c r="C639" s="7" t="str">
        <f>'Reported burning'!C639</f>
        <v>Human, deliberate</v>
      </c>
      <c r="D639" s="7" t="str">
        <f>'Reported burning'!D639</f>
        <v>Land clearance</v>
      </c>
      <c r="E639" s="7" t="str">
        <f>'Reported burning'!E639</f>
        <v>Cropping, Monoculture, Market-oriented</v>
      </c>
      <c r="F639" s="7" t="str">
        <f>'Reported burning'!F639</f>
        <v>Secondary Vegetation</v>
      </c>
      <c r="G639" s="7">
        <f>'Reported burning'!G639</f>
        <v>0</v>
      </c>
      <c r="H639" s="7" t="str">
        <f>'Reported burning'!H639</f>
        <v>Presence</v>
      </c>
      <c r="I639" s="4"/>
      <c r="J639" s="22" t="s">
        <v>2308</v>
      </c>
      <c r="K639" s="110" t="s">
        <v>2308</v>
      </c>
      <c r="L639" s="22" t="s">
        <v>2308</v>
      </c>
      <c r="M639" s="22" t="s">
        <v>2308</v>
      </c>
      <c r="N639" s="22" t="s">
        <v>2308</v>
      </c>
      <c r="O639" s="22" t="s">
        <v>2308</v>
      </c>
      <c r="P639" s="22" t="s">
        <v>2308</v>
      </c>
      <c r="Q639" s="109" t="s">
        <v>2308</v>
      </c>
      <c r="R639" s="109" t="s">
        <v>2308</v>
      </c>
      <c r="S639" s="22" t="s">
        <v>2308</v>
      </c>
      <c r="T639" s="22" t="s">
        <v>2308</v>
      </c>
      <c r="U639" s="22" t="s">
        <v>2308</v>
      </c>
      <c r="V639" s="22" t="s">
        <v>2308</v>
      </c>
      <c r="W639" s="22" t="s">
        <v>2308</v>
      </c>
      <c r="X639" s="4" t="s">
        <v>2308</v>
      </c>
      <c r="Y639" s="4" t="s">
        <v>2308</v>
      </c>
      <c r="Z639" s="4" t="s">
        <v>2308</v>
      </c>
      <c r="AA639" s="5" t="s">
        <v>2272</v>
      </c>
      <c r="AB639" s="5"/>
    </row>
    <row r="640" spans="1:28" ht="70" customHeight="1">
      <c r="A640" s="7" t="str">
        <f>'Reported burning'!A640</f>
        <v>73a</v>
      </c>
      <c r="B640" s="7" t="str">
        <f>'Reported burning'!B640</f>
        <v>73a.1</v>
      </c>
      <c r="C640" s="7" t="str">
        <f>'Reported burning'!C640</f>
        <v>Human, deliberate</v>
      </c>
      <c r="D640" s="7" t="str">
        <f>'Reported burning'!D640</f>
        <v>Crop field preparation</v>
      </c>
      <c r="E640" s="7" t="str">
        <f>'Reported burning'!E640</f>
        <v>Cropping, Swidden</v>
      </c>
      <c r="F640" s="7" t="str">
        <f>'Reported burning'!F640</f>
        <v>Secondary Vegetation</v>
      </c>
      <c r="G640" s="7">
        <f>'Reported burning'!G640</f>
        <v>0</v>
      </c>
      <c r="H640" s="7" t="str">
        <f>'Reported burning'!H640</f>
        <v>Presence</v>
      </c>
      <c r="I640" s="4"/>
      <c r="J640" s="22" t="s">
        <v>2308</v>
      </c>
      <c r="K640" s="110" t="s">
        <v>2308</v>
      </c>
      <c r="L640" s="22" t="s">
        <v>2308</v>
      </c>
      <c r="M640" s="22" t="s">
        <v>2308</v>
      </c>
      <c r="N640" s="22" t="s">
        <v>2308</v>
      </c>
      <c r="O640" s="22" t="s">
        <v>2308</v>
      </c>
      <c r="P640" s="22" t="s">
        <v>2308</v>
      </c>
      <c r="Q640" s="109" t="s">
        <v>2308</v>
      </c>
      <c r="R640" s="109" t="s">
        <v>2308</v>
      </c>
      <c r="S640" s="22" t="s">
        <v>2308</v>
      </c>
      <c r="T640" s="22" t="s">
        <v>2308</v>
      </c>
      <c r="U640" s="22" t="s">
        <v>2560</v>
      </c>
      <c r="V640" s="22" t="s">
        <v>2308</v>
      </c>
      <c r="W640" s="22" t="s">
        <v>2435</v>
      </c>
      <c r="X640" s="4" t="s">
        <v>2308</v>
      </c>
      <c r="Y640" s="4" t="s">
        <v>2308</v>
      </c>
      <c r="Z640" s="4" t="s">
        <v>2308</v>
      </c>
      <c r="AA640" s="4" t="s">
        <v>1027</v>
      </c>
      <c r="AB640" s="5" t="s">
        <v>2276</v>
      </c>
    </row>
    <row r="641" spans="1:28" ht="67.5" customHeight="1">
      <c r="A641" s="7" t="str">
        <f>'Reported burning'!A641</f>
        <v>73b</v>
      </c>
      <c r="B641" s="7" t="str">
        <f>'Reported burning'!B641</f>
        <v>73b.1</v>
      </c>
      <c r="C641" s="7" t="str">
        <f>'Reported burning'!C641</f>
        <v>Human, deliberate</v>
      </c>
      <c r="D641" s="7" t="str">
        <f>'Reported burning'!D641</f>
        <v>Crop field preparation</v>
      </c>
      <c r="E641" s="7" t="str">
        <f>'Reported burning'!E641</f>
        <v>Cropping, Swidden</v>
      </c>
      <c r="F641" s="7" t="str">
        <f>'Reported burning'!F641</f>
        <v>Secondary Vegetation</v>
      </c>
      <c r="G641" s="7">
        <f>'Reported burning'!G641</f>
        <v>0</v>
      </c>
      <c r="H641" s="7" t="str">
        <f>'Reported burning'!H641</f>
        <v>Presence</v>
      </c>
      <c r="I641" s="4"/>
      <c r="J641" s="22" t="s">
        <v>2308</v>
      </c>
      <c r="K641" s="110" t="s">
        <v>2308</v>
      </c>
      <c r="L641" s="22" t="s">
        <v>2308</v>
      </c>
      <c r="M641" s="22" t="s">
        <v>2308</v>
      </c>
      <c r="N641" s="22" t="s">
        <v>2308</v>
      </c>
      <c r="O641" s="22" t="s">
        <v>2308</v>
      </c>
      <c r="P641" s="22" t="s">
        <v>2308</v>
      </c>
      <c r="Q641" s="109" t="s">
        <v>2308</v>
      </c>
      <c r="R641" s="109" t="s">
        <v>2308</v>
      </c>
      <c r="S641" s="22" t="s">
        <v>2308</v>
      </c>
      <c r="T641" s="22" t="s">
        <v>2308</v>
      </c>
      <c r="U641" s="22" t="s">
        <v>2560</v>
      </c>
      <c r="V641" s="22" t="s">
        <v>2308</v>
      </c>
      <c r="W641" s="22" t="s">
        <v>2434</v>
      </c>
      <c r="X641" s="4" t="s">
        <v>2308</v>
      </c>
      <c r="Y641" s="4" t="s">
        <v>2308</v>
      </c>
      <c r="Z641" s="4" t="s">
        <v>2308</v>
      </c>
      <c r="AA641" s="4" t="s">
        <v>1027</v>
      </c>
      <c r="AB641" s="5" t="s">
        <v>2276</v>
      </c>
    </row>
    <row r="642" spans="1:28" ht="48.5" customHeight="1">
      <c r="A642" s="7" t="str">
        <f>'Reported burning'!A642</f>
        <v>74a</v>
      </c>
      <c r="B642" s="7" t="str">
        <f>'Reported burning'!B642</f>
        <v>74a.1</v>
      </c>
      <c r="C642" s="7" t="str">
        <f>'Reported burning'!C642</f>
        <v>Human, deliberate</v>
      </c>
      <c r="D642" s="7" t="str">
        <f>'Reported burning'!D642</f>
        <v>Crop field preparation</v>
      </c>
      <c r="E642" s="7" t="str">
        <f>'Reported burning'!E642</f>
        <v>Cropping, Swidden</v>
      </c>
      <c r="F642" s="7" t="str">
        <f>'Reported burning'!F642</f>
        <v>Secondary Vegetation</v>
      </c>
      <c r="G642" s="7">
        <f>'Reported burning'!G642</f>
        <v>0</v>
      </c>
      <c r="H642" s="7" t="str">
        <f>'Reported burning'!H642</f>
        <v>Presence</v>
      </c>
      <c r="I642" s="4"/>
      <c r="J642" s="22" t="s">
        <v>2308</v>
      </c>
      <c r="K642" s="110" t="s">
        <v>2394</v>
      </c>
      <c r="L642" s="22" t="s">
        <v>2308</v>
      </c>
      <c r="M642" s="22" t="s">
        <v>2394</v>
      </c>
      <c r="N642" s="22" t="s">
        <v>2308</v>
      </c>
      <c r="O642" s="22" t="s">
        <v>2308</v>
      </c>
      <c r="P642" s="22" t="s">
        <v>2308</v>
      </c>
      <c r="Q642" s="109" t="s">
        <v>2308</v>
      </c>
      <c r="R642" s="109" t="s">
        <v>2308</v>
      </c>
      <c r="S642" s="22" t="s">
        <v>2308</v>
      </c>
      <c r="T642" s="22" t="s">
        <v>2308</v>
      </c>
      <c r="U642" s="22" t="s">
        <v>2308</v>
      </c>
      <c r="V642" s="22" t="s">
        <v>2308</v>
      </c>
      <c r="W642" s="22" t="s">
        <v>2434</v>
      </c>
      <c r="X642" s="4" t="s">
        <v>2308</v>
      </c>
      <c r="Y642" s="4" t="s">
        <v>2308</v>
      </c>
      <c r="Z642" s="4" t="s">
        <v>2308</v>
      </c>
      <c r="AA642" s="5" t="s">
        <v>2278</v>
      </c>
      <c r="AB642" s="5" t="s">
        <v>2103</v>
      </c>
    </row>
    <row r="643" spans="1:28" ht="54" customHeight="1">
      <c r="A643" s="7" t="str">
        <f>'Reported burning'!A643</f>
        <v>74b</v>
      </c>
      <c r="B643" s="7" t="str">
        <f>'Reported burning'!B643</f>
        <v>74b.1</v>
      </c>
      <c r="C643" s="7" t="str">
        <f>'Reported burning'!C643</f>
        <v>Human, deliberate</v>
      </c>
      <c r="D643" s="7" t="str">
        <f>'Reported burning'!D643</f>
        <v>Crop field preparation</v>
      </c>
      <c r="E643" s="7" t="str">
        <f>'Reported burning'!E643</f>
        <v>Cropping, Swidden</v>
      </c>
      <c r="F643" s="7" t="str">
        <f>'Reported burning'!F643</f>
        <v>Secondary Vegetation</v>
      </c>
      <c r="G643" s="7">
        <f>'Reported burning'!G643</f>
        <v>0</v>
      </c>
      <c r="H643" s="7" t="str">
        <f>'Reported burning'!H643</f>
        <v>Presence</v>
      </c>
      <c r="I643" s="4"/>
      <c r="J643" s="22" t="s">
        <v>2308</v>
      </c>
      <c r="K643" s="110" t="s">
        <v>2394</v>
      </c>
      <c r="L643" s="22" t="s">
        <v>2308</v>
      </c>
      <c r="M643" s="22" t="s">
        <v>2394</v>
      </c>
      <c r="N643" s="22" t="s">
        <v>2308</v>
      </c>
      <c r="O643" s="22" t="s">
        <v>2308</v>
      </c>
      <c r="P643" s="22" t="s">
        <v>2308</v>
      </c>
      <c r="Q643" s="109" t="s">
        <v>2308</v>
      </c>
      <c r="R643" s="109" t="s">
        <v>2308</v>
      </c>
      <c r="S643" s="22" t="s">
        <v>2308</v>
      </c>
      <c r="T643" s="22" t="s">
        <v>2308</v>
      </c>
      <c r="U643" s="22" t="s">
        <v>2308</v>
      </c>
      <c r="V643" s="22" t="s">
        <v>2308</v>
      </c>
      <c r="W643" s="22" t="s">
        <v>2434</v>
      </c>
      <c r="X643" s="4" t="s">
        <v>2308</v>
      </c>
      <c r="Y643" s="4" t="s">
        <v>2308</v>
      </c>
      <c r="Z643" s="4" t="s">
        <v>2308</v>
      </c>
      <c r="AA643" s="5" t="s">
        <v>2278</v>
      </c>
      <c r="AB643" s="5" t="s">
        <v>2103</v>
      </c>
    </row>
    <row r="644" spans="1:28" ht="47.5" customHeight="1">
      <c r="A644" s="7" t="str">
        <f>'Reported burning'!A644</f>
        <v>76a</v>
      </c>
      <c r="B644" s="7" t="str">
        <f>'Reported burning'!B644</f>
        <v>76a.1</v>
      </c>
      <c r="C644" s="7" t="str">
        <f>'Reported burning'!C644</f>
        <v>Human, deliberate</v>
      </c>
      <c r="D644" s="7" t="str">
        <f>'Reported burning'!D644</f>
        <v>Crop field preparation</v>
      </c>
      <c r="E644" s="7" t="str">
        <f>'Reported burning'!E644</f>
        <v>Cropping, Swidden</v>
      </c>
      <c r="F644" s="7" t="str">
        <f>'Reported burning'!F644</f>
        <v>Secondary Vegetation</v>
      </c>
      <c r="G644" s="7">
        <f>'Reported burning'!G644</f>
        <v>0</v>
      </c>
      <c r="H644" s="7" t="str">
        <f>'Reported burning'!H644</f>
        <v>Absence</v>
      </c>
      <c r="I644" s="4"/>
      <c r="J644" s="79" t="s">
        <v>2396</v>
      </c>
      <c r="K644" s="118" t="s">
        <v>2396</v>
      </c>
      <c r="L644" s="79" t="s">
        <v>2396</v>
      </c>
      <c r="M644" s="79" t="s">
        <v>2396</v>
      </c>
      <c r="N644" s="79" t="s">
        <v>2396</v>
      </c>
      <c r="O644" s="79" t="s">
        <v>2396</v>
      </c>
      <c r="P644" s="79" t="s">
        <v>2396</v>
      </c>
      <c r="Q644" s="109" t="s">
        <v>2308</v>
      </c>
      <c r="R644" s="109" t="s">
        <v>2308</v>
      </c>
      <c r="S644" s="79" t="s">
        <v>2396</v>
      </c>
      <c r="T644" s="79" t="s">
        <v>2396</v>
      </c>
      <c r="U644" s="79" t="s">
        <v>2396</v>
      </c>
      <c r="V644" s="79" t="s">
        <v>2396</v>
      </c>
      <c r="W644" s="4" t="s">
        <v>2308</v>
      </c>
      <c r="X644" s="4" t="s">
        <v>2308</v>
      </c>
      <c r="Y644" s="4" t="s">
        <v>2308</v>
      </c>
      <c r="Z644" s="4" t="s">
        <v>2308</v>
      </c>
      <c r="AA644" s="4"/>
      <c r="AB644" s="4"/>
    </row>
    <row r="645" spans="1:28" ht="46.5" customHeight="1">
      <c r="A645" s="7" t="str">
        <f>'Reported burning'!A645</f>
        <v>76a</v>
      </c>
      <c r="B645" s="7" t="str">
        <f>'Reported burning'!B645</f>
        <v>76a.2</v>
      </c>
      <c r="C645" s="7" t="str">
        <f>'Reported burning'!C645</f>
        <v>Human, deliberate</v>
      </c>
      <c r="D645" s="7" t="str">
        <f>'Reported burning'!D645</f>
        <v>Forest clearance</v>
      </c>
      <c r="E645" s="7" t="str">
        <f>'Reported burning'!E645</f>
        <v>Forestry</v>
      </c>
      <c r="F645" s="7" t="str">
        <f>'Reported burning'!F645</f>
        <v>Forest</v>
      </c>
      <c r="G645" s="7">
        <f>'Reported burning'!G645</f>
        <v>0</v>
      </c>
      <c r="H645" s="7" t="str">
        <f>'Reported burning'!H645</f>
        <v>Absence</v>
      </c>
      <c r="I645" s="4"/>
      <c r="J645" s="22" t="s">
        <v>2308</v>
      </c>
      <c r="K645" s="110" t="s">
        <v>2308</v>
      </c>
      <c r="L645" s="22" t="s">
        <v>2308</v>
      </c>
      <c r="M645" s="22" t="s">
        <v>2308</v>
      </c>
      <c r="N645" s="22" t="s">
        <v>2308</v>
      </c>
      <c r="O645" s="22" t="s">
        <v>2308</v>
      </c>
      <c r="P645" s="22" t="s">
        <v>2308</v>
      </c>
      <c r="Q645" s="109" t="s">
        <v>2308</v>
      </c>
      <c r="R645" s="109" t="s">
        <v>2308</v>
      </c>
      <c r="S645" s="22" t="s">
        <v>2308</v>
      </c>
      <c r="T645" s="22" t="s">
        <v>2308</v>
      </c>
      <c r="U645" s="22" t="s">
        <v>2308</v>
      </c>
      <c r="V645" s="22" t="s">
        <v>2308</v>
      </c>
      <c r="W645" s="22" t="s">
        <v>2308</v>
      </c>
      <c r="X645" s="4" t="s">
        <v>2308</v>
      </c>
      <c r="Y645" s="4" t="s">
        <v>2308</v>
      </c>
      <c r="Z645" s="4" t="s">
        <v>2308</v>
      </c>
      <c r="AA645" s="4"/>
      <c r="AB645" s="5" t="s">
        <v>1099</v>
      </c>
    </row>
    <row r="646" spans="1:28" ht="64" customHeight="1">
      <c r="A646" s="7" t="str">
        <f>'Reported burning'!A646</f>
        <v>76b</v>
      </c>
      <c r="B646" s="7" t="str">
        <f>'Reported burning'!B646</f>
        <v>76b.1</v>
      </c>
      <c r="C646" s="7" t="str">
        <f>'Reported burning'!C646</f>
        <v>Human, deliberate</v>
      </c>
      <c r="D646" s="7" t="str">
        <f>'Reported burning'!D646</f>
        <v>Crop field preparation</v>
      </c>
      <c r="E646" s="7" t="str">
        <f>'Reported burning'!E646</f>
        <v>Cropping, Swidden</v>
      </c>
      <c r="F646" s="7" t="str">
        <f>'Reported burning'!F646</f>
        <v>Secondary Vegetation</v>
      </c>
      <c r="G646" s="7">
        <f>'Reported burning'!G646</f>
        <v>0</v>
      </c>
      <c r="H646" s="7" t="str">
        <f>'Reported burning'!H646</f>
        <v>Presence</v>
      </c>
      <c r="I646" s="4"/>
      <c r="J646" s="22" t="s">
        <v>2308</v>
      </c>
      <c r="K646" s="110" t="s">
        <v>2308</v>
      </c>
      <c r="L646" s="22" t="s">
        <v>2308</v>
      </c>
      <c r="M646" s="22" t="s">
        <v>2308</v>
      </c>
      <c r="N646" s="22" t="s">
        <v>2308</v>
      </c>
      <c r="O646" s="22" t="s">
        <v>2308</v>
      </c>
      <c r="P646" s="22" t="s">
        <v>2308</v>
      </c>
      <c r="Q646" s="109" t="s">
        <v>2308</v>
      </c>
      <c r="R646" s="109" t="s">
        <v>2308</v>
      </c>
      <c r="S646" s="22" t="s">
        <v>2308</v>
      </c>
      <c r="T646" s="22" t="s">
        <v>2308</v>
      </c>
      <c r="U646" s="22" t="s">
        <v>2308</v>
      </c>
      <c r="V646" s="22" t="s">
        <v>2308</v>
      </c>
      <c r="W646" s="22" t="s">
        <v>2308</v>
      </c>
      <c r="X646" s="4" t="s">
        <v>195</v>
      </c>
      <c r="Y646" s="4" t="s">
        <v>195</v>
      </c>
      <c r="Z646" s="4" t="s">
        <v>2308</v>
      </c>
      <c r="AA646" s="4" t="s">
        <v>1027</v>
      </c>
      <c r="AB646" s="5" t="s">
        <v>2324</v>
      </c>
    </row>
    <row r="647" spans="1:28" ht="46" customHeight="1">
      <c r="A647" s="7" t="str">
        <f>'Reported burning'!A647</f>
        <v>76b</v>
      </c>
      <c r="B647" s="7" t="str">
        <f>'Reported burning'!B647</f>
        <v>76b.2</v>
      </c>
      <c r="C647" s="7" t="str">
        <f>'Reported burning'!C647</f>
        <v>Human, deliberate</v>
      </c>
      <c r="D647" s="7" t="str">
        <f>'Reported burning'!D647</f>
        <v>Pasture renewal</v>
      </c>
      <c r="E647" s="7" t="str">
        <f>'Reported burning'!E647</f>
        <v>Cattle, Extensive</v>
      </c>
      <c r="F647" s="7" t="str">
        <f>'Reported burning'!F647</f>
        <v>Secondary Vegetation</v>
      </c>
      <c r="G647" s="7">
        <f>'Reported burning'!G647</f>
        <v>0</v>
      </c>
      <c r="H647" s="7" t="str">
        <f>'Reported burning'!H647</f>
        <v>Presence</v>
      </c>
      <c r="I647" s="4"/>
      <c r="J647" s="22" t="s">
        <v>2308</v>
      </c>
      <c r="K647" s="110" t="s">
        <v>2308</v>
      </c>
      <c r="L647" s="22" t="s">
        <v>2308</v>
      </c>
      <c r="M647" s="22" t="s">
        <v>2308</v>
      </c>
      <c r="N647" s="22" t="s">
        <v>2308</v>
      </c>
      <c r="O647" s="22" t="s">
        <v>2308</v>
      </c>
      <c r="P647" s="22" t="s">
        <v>2308</v>
      </c>
      <c r="Q647" s="109" t="s">
        <v>2308</v>
      </c>
      <c r="R647" s="109" t="s">
        <v>2308</v>
      </c>
      <c r="S647" s="22" t="s">
        <v>2308</v>
      </c>
      <c r="T647" s="22" t="s">
        <v>2308</v>
      </c>
      <c r="U647" s="22" t="s">
        <v>2308</v>
      </c>
      <c r="V647" s="22" t="s">
        <v>2308</v>
      </c>
      <c r="W647" s="22" t="s">
        <v>2308</v>
      </c>
      <c r="X647" s="4" t="s">
        <v>1102</v>
      </c>
      <c r="Y647" s="4" t="s">
        <v>195</v>
      </c>
      <c r="Z647" s="4" t="s">
        <v>2308</v>
      </c>
      <c r="AA647" s="5" t="s">
        <v>2325</v>
      </c>
      <c r="AB647" s="4"/>
    </row>
    <row r="648" spans="1:28" ht="43.5" customHeight="1">
      <c r="A648" s="7" t="str">
        <f>'Reported burning'!A648</f>
        <v>78a</v>
      </c>
      <c r="B648" s="7" t="str">
        <f>'Reported burning'!B648</f>
        <v>78a.1</v>
      </c>
      <c r="C648" s="7" t="str">
        <f>'Reported burning'!C648</f>
        <v>Human, deliberate</v>
      </c>
      <c r="D648" s="7" t="str">
        <f>'Reported burning'!D648</f>
        <v>Pasture renewal</v>
      </c>
      <c r="E648" s="7" t="str">
        <f>'Reported burning'!E648</f>
        <v>Cattle, Extensive</v>
      </c>
      <c r="F648" s="7" t="str">
        <f>'Reported burning'!F648</f>
        <v>Pasture</v>
      </c>
      <c r="G648" s="7">
        <f>'Reported burning'!G648</f>
        <v>0</v>
      </c>
      <c r="H648" s="7" t="str">
        <f>'Reported burning'!H648</f>
        <v>Presence</v>
      </c>
      <c r="I648" s="39"/>
      <c r="J648" s="22" t="s">
        <v>2308</v>
      </c>
      <c r="K648" s="110" t="s">
        <v>2308</v>
      </c>
      <c r="L648" s="22" t="s">
        <v>2308</v>
      </c>
      <c r="M648" s="22" t="s">
        <v>2308</v>
      </c>
      <c r="N648" s="22" t="s">
        <v>2308</v>
      </c>
      <c r="O648" s="22" t="s">
        <v>2308</v>
      </c>
      <c r="P648" s="22" t="s">
        <v>2308</v>
      </c>
      <c r="Q648" s="109" t="s">
        <v>2308</v>
      </c>
      <c r="R648" s="109" t="s">
        <v>2308</v>
      </c>
      <c r="S648" s="22" t="s">
        <v>2308</v>
      </c>
      <c r="T648" s="22" t="s">
        <v>2308</v>
      </c>
      <c r="U648" s="22" t="s">
        <v>2308</v>
      </c>
      <c r="V648" s="22" t="s">
        <v>2308</v>
      </c>
      <c r="W648" s="22" t="s">
        <v>2308</v>
      </c>
      <c r="X648" s="39" t="s">
        <v>194</v>
      </c>
      <c r="Y648" s="39" t="s">
        <v>38</v>
      </c>
      <c r="Z648" s="39" t="s">
        <v>2308</v>
      </c>
      <c r="AA648" s="39"/>
      <c r="AB648" s="39"/>
    </row>
    <row r="649" spans="1:28" ht="44.5" customHeight="1">
      <c r="A649" s="7" t="str">
        <f>'Reported burning'!A649</f>
        <v>78a</v>
      </c>
      <c r="B649" s="7" t="str">
        <f>'Reported burning'!B649</f>
        <v>78a.2</v>
      </c>
      <c r="C649" s="7" t="str">
        <f>'Reported burning'!C649</f>
        <v>Human, deliberate</v>
      </c>
      <c r="D649" s="7" t="str">
        <f>'Reported burning'!D649</f>
        <v>Harvesting of NTFP</v>
      </c>
      <c r="E649" s="7" t="str">
        <f>'Reported burning'!E649</f>
        <v>Forestry, Traditional</v>
      </c>
      <c r="F649" s="7" t="str">
        <f>'Reported burning'!F649</f>
        <v>Forest</v>
      </c>
      <c r="G649" s="7">
        <f>'Reported burning'!G649</f>
        <v>0</v>
      </c>
      <c r="H649" s="7" t="str">
        <f>'Reported burning'!H649</f>
        <v>Presence</v>
      </c>
      <c r="I649" s="4"/>
      <c r="J649" s="22" t="s">
        <v>2308</v>
      </c>
      <c r="K649" s="110" t="s">
        <v>2308</v>
      </c>
      <c r="L649" s="22" t="s">
        <v>2308</v>
      </c>
      <c r="M649" s="22" t="s">
        <v>2308</v>
      </c>
      <c r="N649" s="22" t="s">
        <v>2308</v>
      </c>
      <c r="O649" s="22" t="s">
        <v>2308</v>
      </c>
      <c r="P649" s="22" t="s">
        <v>2308</v>
      </c>
      <c r="Q649" s="109" t="s">
        <v>2308</v>
      </c>
      <c r="R649" s="109" t="s">
        <v>2308</v>
      </c>
      <c r="S649" s="22" t="s">
        <v>2308</v>
      </c>
      <c r="T649" s="22" t="s">
        <v>2308</v>
      </c>
      <c r="U649" s="22" t="s">
        <v>2308</v>
      </c>
      <c r="V649" s="22" t="s">
        <v>2308</v>
      </c>
      <c r="W649" s="22" t="s">
        <v>2308</v>
      </c>
      <c r="X649" s="39" t="s">
        <v>194</v>
      </c>
      <c r="Y649" s="39" t="s">
        <v>38</v>
      </c>
      <c r="Z649" s="4" t="s">
        <v>2308</v>
      </c>
      <c r="AA649" s="5" t="s">
        <v>1123</v>
      </c>
      <c r="AB649" s="4"/>
    </row>
    <row r="650" spans="1:28" ht="44.5" customHeight="1">
      <c r="A650" s="7" t="str">
        <f>'Reported burning'!A650</f>
        <v>78a</v>
      </c>
      <c r="B650" s="7" t="str">
        <f>'Reported burning'!B650</f>
        <v>78a.3</v>
      </c>
      <c r="C650" s="7" t="str">
        <f>'Reported burning'!C650</f>
        <v>Human, deliberate</v>
      </c>
      <c r="D650" s="7" t="str">
        <f>'Reported burning'!D650</f>
        <v>Conservation</v>
      </c>
      <c r="E650" s="7" t="str">
        <f>'Reported burning'!E650</f>
        <v>Biodiversity conservation</v>
      </c>
      <c r="F650" s="7" t="str">
        <f>'Reported burning'!F650</f>
        <v>Forest</v>
      </c>
      <c r="G650" s="7">
        <f>'Reported burning'!G650</f>
        <v>0</v>
      </c>
      <c r="H650" s="7" t="str">
        <f>'Reported burning'!H650</f>
        <v>Absence</v>
      </c>
      <c r="I650" s="4"/>
      <c r="J650" s="22" t="s">
        <v>2308</v>
      </c>
      <c r="K650" s="110" t="s">
        <v>2308</v>
      </c>
      <c r="L650" s="22" t="s">
        <v>2308</v>
      </c>
      <c r="M650" s="22" t="s">
        <v>2308</v>
      </c>
      <c r="N650" s="22" t="s">
        <v>2308</v>
      </c>
      <c r="O650" s="22" t="s">
        <v>2308</v>
      </c>
      <c r="P650" s="22" t="s">
        <v>2308</v>
      </c>
      <c r="Q650" s="109" t="s">
        <v>2308</v>
      </c>
      <c r="R650" s="109" t="s">
        <v>2308</v>
      </c>
      <c r="S650" s="22" t="s">
        <v>2308</v>
      </c>
      <c r="T650" s="22" t="s">
        <v>2308</v>
      </c>
      <c r="U650" s="22" t="s">
        <v>2308</v>
      </c>
      <c r="V650" s="22" t="s">
        <v>2308</v>
      </c>
      <c r="W650" s="22" t="s">
        <v>2308</v>
      </c>
      <c r="X650" s="4" t="s">
        <v>2308</v>
      </c>
      <c r="Y650" s="4" t="s">
        <v>2308</v>
      </c>
      <c r="Z650" s="4" t="s">
        <v>2308</v>
      </c>
      <c r="AA650" s="5"/>
      <c r="AB650" s="4"/>
    </row>
    <row r="651" spans="1:28" ht="66" customHeight="1">
      <c r="A651" s="7" t="str">
        <f>'Reported burning'!A651</f>
        <v>78a</v>
      </c>
      <c r="B651" s="7" t="str">
        <f>'Reported burning'!B651</f>
        <v>78a.4</v>
      </c>
      <c r="C651" s="7" t="str">
        <f>'Reported burning'!C651</f>
        <v>Lightning</v>
      </c>
      <c r="D651" s="7" t="str">
        <f>'Reported burning'!D651</f>
        <v>ND</v>
      </c>
      <c r="E651" s="7" t="str">
        <f>'Reported burning'!E651</f>
        <v>ND</v>
      </c>
      <c r="F651" s="7" t="str">
        <f>'Reported burning'!F651</f>
        <v>ND</v>
      </c>
      <c r="G651" s="7" t="str">
        <f>'Reported burning'!G651</f>
        <v>Forest</v>
      </c>
      <c r="H651" s="7" t="str">
        <f>'Reported burning'!H651</f>
        <v>Absence</v>
      </c>
      <c r="I651" s="4">
        <v>1992</v>
      </c>
      <c r="J651" s="22" t="s">
        <v>2308</v>
      </c>
      <c r="K651" s="110" t="s">
        <v>2308</v>
      </c>
      <c r="L651" s="22" t="s">
        <v>2308</v>
      </c>
      <c r="M651" s="22" t="s">
        <v>2308</v>
      </c>
      <c r="N651" s="22" t="s">
        <v>2308</v>
      </c>
      <c r="O651" s="22" t="s">
        <v>2308</v>
      </c>
      <c r="P651" s="22" t="s">
        <v>2308</v>
      </c>
      <c r="Q651" s="109" t="s">
        <v>2308</v>
      </c>
      <c r="R651" s="109" t="s">
        <v>2308</v>
      </c>
      <c r="S651" s="22" t="s">
        <v>2308</v>
      </c>
      <c r="T651" s="22" t="s">
        <v>2308</v>
      </c>
      <c r="U651" s="22" t="s">
        <v>2308</v>
      </c>
      <c r="V651" s="22" t="s">
        <v>2308</v>
      </c>
      <c r="W651" s="22" t="s">
        <v>2308</v>
      </c>
      <c r="X651" s="4" t="s">
        <v>2308</v>
      </c>
      <c r="Y651" s="4" t="s">
        <v>2308</v>
      </c>
      <c r="Z651" s="4" t="s">
        <v>2308</v>
      </c>
      <c r="AA651" s="5" t="s">
        <v>1128</v>
      </c>
      <c r="AB651" s="4"/>
    </row>
    <row r="652" spans="1:28" ht="63" customHeight="1">
      <c r="A652" s="7" t="str">
        <f>'Reported burning'!A652</f>
        <v>78a</v>
      </c>
      <c r="B652" s="7" t="str">
        <f>'Reported burning'!B652</f>
        <v>78a.5</v>
      </c>
      <c r="C652" s="7" t="str">
        <f>'Reported burning'!C652</f>
        <v>Lightning</v>
      </c>
      <c r="D652" s="7" t="str">
        <f>'Reported burning'!D652</f>
        <v>ND</v>
      </c>
      <c r="E652" s="7" t="str">
        <f>'Reported burning'!E652</f>
        <v>ND</v>
      </c>
      <c r="F652" s="7" t="str">
        <f>'Reported burning'!F652</f>
        <v>ND</v>
      </c>
      <c r="G652" s="7" t="str">
        <f>'Reported burning'!G652</f>
        <v>Forest</v>
      </c>
      <c r="H652" s="7" t="str">
        <f>'Reported burning'!H652</f>
        <v>Absence</v>
      </c>
      <c r="I652" s="4">
        <v>1993</v>
      </c>
      <c r="J652" s="22" t="s">
        <v>2308</v>
      </c>
      <c r="K652" s="110" t="s">
        <v>2308</v>
      </c>
      <c r="L652" s="22" t="s">
        <v>2308</v>
      </c>
      <c r="M652" s="22" t="s">
        <v>2308</v>
      </c>
      <c r="N652" s="22" t="s">
        <v>2308</v>
      </c>
      <c r="O652" s="22" t="s">
        <v>2308</v>
      </c>
      <c r="P652" s="22" t="s">
        <v>2308</v>
      </c>
      <c r="Q652" s="109" t="s">
        <v>2308</v>
      </c>
      <c r="R652" s="109" t="s">
        <v>2308</v>
      </c>
      <c r="S652" s="22" t="s">
        <v>2308</v>
      </c>
      <c r="T652" s="22" t="s">
        <v>2308</v>
      </c>
      <c r="U652" s="22" t="s">
        <v>2308</v>
      </c>
      <c r="V652" s="22" t="s">
        <v>2308</v>
      </c>
      <c r="W652" s="22" t="s">
        <v>2308</v>
      </c>
      <c r="X652" s="4" t="s">
        <v>2308</v>
      </c>
      <c r="Y652" s="4" t="s">
        <v>2308</v>
      </c>
      <c r="Z652" s="4" t="s">
        <v>2308</v>
      </c>
      <c r="AA652" s="5" t="s">
        <v>1128</v>
      </c>
      <c r="AB652" s="4"/>
    </row>
    <row r="653" spans="1:28" ht="62" customHeight="1">
      <c r="A653" s="7" t="str">
        <f>'Reported burning'!A653</f>
        <v>78a</v>
      </c>
      <c r="B653" s="7" t="str">
        <f>'Reported burning'!B653</f>
        <v>78a.6</v>
      </c>
      <c r="C653" s="7" t="str">
        <f>'Reported burning'!C653</f>
        <v>Lightning</v>
      </c>
      <c r="D653" s="7" t="str">
        <f>'Reported burning'!D653</f>
        <v>ND</v>
      </c>
      <c r="E653" s="7" t="str">
        <f>'Reported burning'!E653</f>
        <v>ND</v>
      </c>
      <c r="F653" s="7" t="str">
        <f>'Reported burning'!F653</f>
        <v>ND</v>
      </c>
      <c r="G653" s="7" t="str">
        <f>'Reported burning'!G653</f>
        <v>Forest</v>
      </c>
      <c r="H653" s="7" t="str">
        <f>'Reported burning'!H653</f>
        <v>Absence</v>
      </c>
      <c r="I653" s="4">
        <v>1994</v>
      </c>
      <c r="J653" s="22" t="s">
        <v>2308</v>
      </c>
      <c r="K653" s="110" t="s">
        <v>2308</v>
      </c>
      <c r="L653" s="22" t="s">
        <v>2308</v>
      </c>
      <c r="M653" s="22" t="s">
        <v>2308</v>
      </c>
      <c r="N653" s="22" t="s">
        <v>2308</v>
      </c>
      <c r="O653" s="22" t="s">
        <v>2308</v>
      </c>
      <c r="P653" s="22" t="s">
        <v>2308</v>
      </c>
      <c r="Q653" s="109" t="s">
        <v>2308</v>
      </c>
      <c r="R653" s="109" t="s">
        <v>2308</v>
      </c>
      <c r="S653" s="22" t="s">
        <v>2308</v>
      </c>
      <c r="T653" s="22" t="s">
        <v>2308</v>
      </c>
      <c r="U653" s="22" t="s">
        <v>2308</v>
      </c>
      <c r="V653" s="22" t="s">
        <v>2308</v>
      </c>
      <c r="W653" s="22" t="s">
        <v>2308</v>
      </c>
      <c r="X653" s="4" t="s">
        <v>2308</v>
      </c>
      <c r="Y653" s="4" t="s">
        <v>2308</v>
      </c>
      <c r="Z653" s="4" t="s">
        <v>2308</v>
      </c>
      <c r="AA653" s="5" t="s">
        <v>1128</v>
      </c>
      <c r="AB653" s="4"/>
    </row>
    <row r="654" spans="1:28" ht="64.5" customHeight="1">
      <c r="A654" s="7" t="str">
        <f>'Reported burning'!A654</f>
        <v>78a</v>
      </c>
      <c r="B654" s="7" t="str">
        <f>'Reported burning'!B654</f>
        <v>78a.7</v>
      </c>
      <c r="C654" s="7" t="str">
        <f>'Reported burning'!C654</f>
        <v>Lightning</v>
      </c>
      <c r="D654" s="7" t="str">
        <f>'Reported burning'!D654</f>
        <v>ND</v>
      </c>
      <c r="E654" s="7" t="str">
        <f>'Reported burning'!E654</f>
        <v>ND</v>
      </c>
      <c r="F654" s="7" t="str">
        <f>'Reported burning'!F654</f>
        <v>ND</v>
      </c>
      <c r="G654" s="7" t="str">
        <f>'Reported burning'!G654</f>
        <v>Forest</v>
      </c>
      <c r="H654" s="7" t="str">
        <f>'Reported burning'!H654</f>
        <v>Absence</v>
      </c>
      <c r="I654" s="4">
        <v>1995</v>
      </c>
      <c r="J654" s="22" t="s">
        <v>2308</v>
      </c>
      <c r="K654" s="110" t="s">
        <v>2308</v>
      </c>
      <c r="L654" s="22" t="s">
        <v>2308</v>
      </c>
      <c r="M654" s="22" t="s">
        <v>2308</v>
      </c>
      <c r="N654" s="22" t="s">
        <v>2308</v>
      </c>
      <c r="O654" s="22" t="s">
        <v>2308</v>
      </c>
      <c r="P654" s="22" t="s">
        <v>2308</v>
      </c>
      <c r="Q654" s="109" t="s">
        <v>2308</v>
      </c>
      <c r="R654" s="109" t="s">
        <v>2308</v>
      </c>
      <c r="S654" s="22" t="s">
        <v>2308</v>
      </c>
      <c r="T654" s="22" t="s">
        <v>2308</v>
      </c>
      <c r="U654" s="22" t="s">
        <v>2308</v>
      </c>
      <c r="V654" s="22" t="s">
        <v>2308</v>
      </c>
      <c r="W654" s="22" t="s">
        <v>2308</v>
      </c>
      <c r="X654" s="4" t="s">
        <v>2308</v>
      </c>
      <c r="Y654" s="4" t="s">
        <v>2308</v>
      </c>
      <c r="Z654" s="4" t="s">
        <v>2308</v>
      </c>
      <c r="AA654" s="5" t="s">
        <v>1128</v>
      </c>
      <c r="AB654" s="4"/>
    </row>
    <row r="655" spans="1:28" ht="65.5" customHeight="1">
      <c r="A655" s="7" t="str">
        <f>'Reported burning'!A655</f>
        <v>78a</v>
      </c>
      <c r="B655" s="7" t="str">
        <f>'Reported burning'!B655</f>
        <v>78a.8</v>
      </c>
      <c r="C655" s="7" t="str">
        <f>'Reported burning'!C655</f>
        <v>Lightning</v>
      </c>
      <c r="D655" s="7" t="str">
        <f>'Reported burning'!D655</f>
        <v>ND</v>
      </c>
      <c r="E655" s="7" t="str">
        <f>'Reported burning'!E655</f>
        <v>ND</v>
      </c>
      <c r="F655" s="7" t="str">
        <f>'Reported burning'!F655</f>
        <v>ND</v>
      </c>
      <c r="G655" s="7" t="str">
        <f>'Reported burning'!G655</f>
        <v>Forest</v>
      </c>
      <c r="H655" s="7" t="str">
        <f>'Reported burning'!H655</f>
        <v>Absence</v>
      </c>
      <c r="I655" s="4">
        <v>1996</v>
      </c>
      <c r="J655" s="22" t="s">
        <v>2308</v>
      </c>
      <c r="K655" s="110" t="s">
        <v>2308</v>
      </c>
      <c r="L655" s="22" t="s">
        <v>2308</v>
      </c>
      <c r="M655" s="22" t="s">
        <v>2308</v>
      </c>
      <c r="N655" s="22" t="s">
        <v>2308</v>
      </c>
      <c r="O655" s="22" t="s">
        <v>2308</v>
      </c>
      <c r="P655" s="22" t="s">
        <v>2308</v>
      </c>
      <c r="Q655" s="109" t="s">
        <v>2308</v>
      </c>
      <c r="R655" s="109" t="s">
        <v>2308</v>
      </c>
      <c r="S655" s="22" t="s">
        <v>2308</v>
      </c>
      <c r="T655" s="22" t="s">
        <v>2308</v>
      </c>
      <c r="U655" s="22" t="s">
        <v>2308</v>
      </c>
      <c r="V655" s="22" t="s">
        <v>2308</v>
      </c>
      <c r="W655" s="22" t="s">
        <v>2308</v>
      </c>
      <c r="X655" s="4" t="s">
        <v>2308</v>
      </c>
      <c r="Y655" s="4" t="s">
        <v>2308</v>
      </c>
      <c r="Z655" s="4" t="s">
        <v>2308</v>
      </c>
      <c r="AA655" s="5" t="s">
        <v>1128</v>
      </c>
      <c r="AB655" s="4"/>
    </row>
    <row r="656" spans="1:28" ht="64.5" customHeight="1">
      <c r="A656" s="7" t="str">
        <f>'Reported burning'!A656</f>
        <v>78a</v>
      </c>
      <c r="B656" s="7" t="str">
        <f>'Reported burning'!B656</f>
        <v>78a.9</v>
      </c>
      <c r="C656" s="7" t="str">
        <f>'Reported burning'!C656</f>
        <v>Lightning</v>
      </c>
      <c r="D656" s="7" t="str">
        <f>'Reported burning'!D656</f>
        <v>ND</v>
      </c>
      <c r="E656" s="7" t="str">
        <f>'Reported burning'!E656</f>
        <v>ND</v>
      </c>
      <c r="F656" s="7" t="str">
        <f>'Reported burning'!F656</f>
        <v>ND</v>
      </c>
      <c r="G656" s="7" t="str">
        <f>'Reported burning'!G656</f>
        <v>Forest</v>
      </c>
      <c r="H656" s="7" t="str">
        <f>'Reported burning'!H656</f>
        <v>Absence</v>
      </c>
      <c r="I656" s="4">
        <v>1997</v>
      </c>
      <c r="J656" s="22" t="s">
        <v>2308</v>
      </c>
      <c r="K656" s="110" t="s">
        <v>2308</v>
      </c>
      <c r="L656" s="22" t="s">
        <v>2308</v>
      </c>
      <c r="M656" s="22" t="s">
        <v>2308</v>
      </c>
      <c r="N656" s="22" t="s">
        <v>2308</v>
      </c>
      <c r="O656" s="22" t="s">
        <v>2308</v>
      </c>
      <c r="P656" s="22" t="s">
        <v>2308</v>
      </c>
      <c r="Q656" s="109" t="s">
        <v>2308</v>
      </c>
      <c r="R656" s="109" t="s">
        <v>2308</v>
      </c>
      <c r="S656" s="22" t="s">
        <v>2308</v>
      </c>
      <c r="T656" s="22" t="s">
        <v>2308</v>
      </c>
      <c r="U656" s="22" t="s">
        <v>2308</v>
      </c>
      <c r="V656" s="22" t="s">
        <v>2308</v>
      </c>
      <c r="W656" s="22" t="s">
        <v>2308</v>
      </c>
      <c r="X656" s="4" t="s">
        <v>2308</v>
      </c>
      <c r="Y656" s="4" t="s">
        <v>2308</v>
      </c>
      <c r="Z656" s="4" t="s">
        <v>2308</v>
      </c>
      <c r="AA656" s="5" t="s">
        <v>1128</v>
      </c>
      <c r="AB656" s="4"/>
    </row>
    <row r="657" spans="1:28" ht="63" customHeight="1">
      <c r="A657" s="7" t="str">
        <f>'Reported burning'!A657</f>
        <v>78a</v>
      </c>
      <c r="B657" s="7" t="str">
        <f>'Reported burning'!B657</f>
        <v>78a.10</v>
      </c>
      <c r="C657" s="7" t="str">
        <f>'Reported burning'!C657</f>
        <v>Lightning</v>
      </c>
      <c r="D657" s="7" t="str">
        <f>'Reported burning'!D657</f>
        <v>ND</v>
      </c>
      <c r="E657" s="7" t="str">
        <f>'Reported burning'!E657</f>
        <v>ND</v>
      </c>
      <c r="F657" s="7" t="str">
        <f>'Reported burning'!F657</f>
        <v>ND</v>
      </c>
      <c r="G657" s="7" t="str">
        <f>'Reported burning'!G657</f>
        <v>Forest</v>
      </c>
      <c r="H657" s="7" t="str">
        <f>'Reported burning'!H657</f>
        <v>Absence</v>
      </c>
      <c r="I657" s="4">
        <v>1998</v>
      </c>
      <c r="J657" s="22" t="s">
        <v>2308</v>
      </c>
      <c r="K657" s="110" t="s">
        <v>2308</v>
      </c>
      <c r="L657" s="22" t="s">
        <v>2308</v>
      </c>
      <c r="M657" s="22" t="s">
        <v>2308</v>
      </c>
      <c r="N657" s="22" t="s">
        <v>2308</v>
      </c>
      <c r="O657" s="22" t="s">
        <v>2308</v>
      </c>
      <c r="P657" s="22" t="s">
        <v>2308</v>
      </c>
      <c r="Q657" s="109" t="s">
        <v>2308</v>
      </c>
      <c r="R657" s="109" t="s">
        <v>2308</v>
      </c>
      <c r="S657" s="22" t="s">
        <v>2308</v>
      </c>
      <c r="T657" s="22" t="s">
        <v>2308</v>
      </c>
      <c r="U657" s="22" t="s">
        <v>2308</v>
      </c>
      <c r="V657" s="22" t="s">
        <v>2308</v>
      </c>
      <c r="W657" s="22" t="s">
        <v>2308</v>
      </c>
      <c r="X657" s="4" t="s">
        <v>2308</v>
      </c>
      <c r="Y657" s="4" t="s">
        <v>2308</v>
      </c>
      <c r="Z657" s="4" t="s">
        <v>2308</v>
      </c>
      <c r="AA657" s="5" t="s">
        <v>1128</v>
      </c>
      <c r="AB657" s="4"/>
    </row>
    <row r="658" spans="1:28" ht="62" customHeight="1">
      <c r="A658" s="7" t="str">
        <f>'Reported burning'!A658</f>
        <v>78a</v>
      </c>
      <c r="B658" s="7" t="str">
        <f>'Reported burning'!B658</f>
        <v>78a.11</v>
      </c>
      <c r="C658" s="7" t="str">
        <f>'Reported burning'!C658</f>
        <v>Lightning</v>
      </c>
      <c r="D658" s="7" t="str">
        <f>'Reported burning'!D658</f>
        <v>ND</v>
      </c>
      <c r="E658" s="7" t="str">
        <f>'Reported burning'!E658</f>
        <v>ND</v>
      </c>
      <c r="F658" s="7" t="str">
        <f>'Reported burning'!F658</f>
        <v>ND</v>
      </c>
      <c r="G658" s="7" t="str">
        <f>'Reported burning'!G658</f>
        <v>Forest</v>
      </c>
      <c r="H658" s="7" t="str">
        <f>'Reported burning'!H658</f>
        <v>Absence</v>
      </c>
      <c r="I658" s="4">
        <v>1999</v>
      </c>
      <c r="J658" s="22" t="s">
        <v>2308</v>
      </c>
      <c r="K658" s="110" t="s">
        <v>2308</v>
      </c>
      <c r="L658" s="22" t="s">
        <v>2308</v>
      </c>
      <c r="M658" s="22" t="s">
        <v>2308</v>
      </c>
      <c r="N658" s="22" t="s">
        <v>2308</v>
      </c>
      <c r="O658" s="22" t="s">
        <v>2308</v>
      </c>
      <c r="P658" s="22" t="s">
        <v>2308</v>
      </c>
      <c r="Q658" s="109" t="s">
        <v>2308</v>
      </c>
      <c r="R658" s="109" t="s">
        <v>2308</v>
      </c>
      <c r="S658" s="22" t="s">
        <v>2308</v>
      </c>
      <c r="T658" s="22" t="s">
        <v>2308</v>
      </c>
      <c r="U658" s="22" t="s">
        <v>2308</v>
      </c>
      <c r="V658" s="22" t="s">
        <v>2308</v>
      </c>
      <c r="W658" s="22" t="s">
        <v>2308</v>
      </c>
      <c r="X658" s="4" t="s">
        <v>2308</v>
      </c>
      <c r="Y658" s="4" t="s">
        <v>2308</v>
      </c>
      <c r="Z658" s="4" t="s">
        <v>2308</v>
      </c>
      <c r="AA658" s="5" t="s">
        <v>1128</v>
      </c>
      <c r="AB658" s="4"/>
    </row>
    <row r="659" spans="1:28" ht="67" customHeight="1">
      <c r="A659" s="7" t="str">
        <f>'Reported burning'!A659</f>
        <v>78a</v>
      </c>
      <c r="B659" s="7" t="str">
        <f>'Reported burning'!B659</f>
        <v>78a.12</v>
      </c>
      <c r="C659" s="7" t="str">
        <f>'Reported burning'!C659</f>
        <v>Lightning</v>
      </c>
      <c r="D659" s="7" t="str">
        <f>'Reported burning'!D659</f>
        <v>ND</v>
      </c>
      <c r="E659" s="7" t="str">
        <f>'Reported burning'!E659</f>
        <v>ND</v>
      </c>
      <c r="F659" s="7" t="str">
        <f>'Reported burning'!F659</f>
        <v>ND</v>
      </c>
      <c r="G659" s="7" t="str">
        <f>'Reported burning'!G659</f>
        <v>Forest</v>
      </c>
      <c r="H659" s="7" t="str">
        <f>'Reported burning'!H659</f>
        <v>Absence</v>
      </c>
      <c r="I659" s="4">
        <v>2000</v>
      </c>
      <c r="J659" s="22" t="s">
        <v>2308</v>
      </c>
      <c r="K659" s="110" t="s">
        <v>2308</v>
      </c>
      <c r="L659" s="22" t="s">
        <v>2308</v>
      </c>
      <c r="M659" s="22" t="s">
        <v>2308</v>
      </c>
      <c r="N659" s="22" t="s">
        <v>2308</v>
      </c>
      <c r="O659" s="22" t="s">
        <v>2308</v>
      </c>
      <c r="P659" s="22" t="s">
        <v>2308</v>
      </c>
      <c r="Q659" s="109" t="s">
        <v>2308</v>
      </c>
      <c r="R659" s="109" t="s">
        <v>2308</v>
      </c>
      <c r="S659" s="22" t="s">
        <v>2308</v>
      </c>
      <c r="T659" s="22" t="s">
        <v>2308</v>
      </c>
      <c r="U659" s="22" t="s">
        <v>2308</v>
      </c>
      <c r="V659" s="22" t="s">
        <v>2308</v>
      </c>
      <c r="W659" s="22" t="s">
        <v>2308</v>
      </c>
      <c r="X659" s="4" t="s">
        <v>2308</v>
      </c>
      <c r="Y659" s="4" t="s">
        <v>2308</v>
      </c>
      <c r="Z659" s="4" t="s">
        <v>2308</v>
      </c>
      <c r="AA659" s="5" t="s">
        <v>1128</v>
      </c>
      <c r="AB659" s="4"/>
    </row>
    <row r="660" spans="1:28" ht="93.5" customHeight="1">
      <c r="A660" s="7" t="str">
        <f>'Reported burning'!A660</f>
        <v>79a</v>
      </c>
      <c r="B660" s="7" t="str">
        <f>'Reported burning'!B660</f>
        <v>79a.1</v>
      </c>
      <c r="C660" s="7" t="str">
        <f>'Reported burning'!C660</f>
        <v>Human, deliberate</v>
      </c>
      <c r="D660" s="7" t="str">
        <f>'Reported burning'!D660</f>
        <v>Crop field preparation</v>
      </c>
      <c r="E660" s="7" t="str">
        <f>'Reported burning'!E660</f>
        <v>Cropping, Swidden</v>
      </c>
      <c r="F660" s="7" t="str">
        <f>'Reported burning'!F660</f>
        <v>Secondary Vegetation</v>
      </c>
      <c r="G660" s="7">
        <f>'Reported burning'!G660</f>
        <v>0</v>
      </c>
      <c r="H660" s="7" t="str">
        <f>'Reported burning'!H660</f>
        <v>Presence</v>
      </c>
      <c r="I660" s="4"/>
      <c r="J660" s="22" t="s">
        <v>2308</v>
      </c>
      <c r="K660" s="110" t="s">
        <v>2308</v>
      </c>
      <c r="L660" s="22" t="s">
        <v>2308</v>
      </c>
      <c r="M660" s="22" t="s">
        <v>2308</v>
      </c>
      <c r="N660" s="22" t="s">
        <v>2308</v>
      </c>
      <c r="O660" s="22" t="s">
        <v>2308</v>
      </c>
      <c r="P660" s="22" t="s">
        <v>2308</v>
      </c>
      <c r="Q660" s="109" t="s">
        <v>2308</v>
      </c>
      <c r="R660" s="109" t="s">
        <v>2308</v>
      </c>
      <c r="S660" s="22" t="s">
        <v>2308</v>
      </c>
      <c r="T660" s="22" t="s">
        <v>2308</v>
      </c>
      <c r="U660" s="22" t="s">
        <v>2308</v>
      </c>
      <c r="V660" s="22" t="s">
        <v>2308</v>
      </c>
      <c r="W660" s="22" t="s">
        <v>2308</v>
      </c>
      <c r="X660" s="4" t="s">
        <v>68</v>
      </c>
      <c r="Y660" s="4" t="s">
        <v>35</v>
      </c>
      <c r="Z660" s="4" t="s">
        <v>2308</v>
      </c>
      <c r="AA660" s="5" t="s">
        <v>2381</v>
      </c>
      <c r="AB660" s="4"/>
    </row>
    <row r="661" spans="1:28" ht="93.5" customHeight="1">
      <c r="A661" s="7" t="str">
        <f>'Reported burning'!A661</f>
        <v>79a</v>
      </c>
      <c r="B661" s="7" t="str">
        <f>'Reported burning'!B661</f>
        <v>79a.2</v>
      </c>
      <c r="C661" s="7" t="str">
        <f>'Reported burning'!C661</f>
        <v>Human, deliberate</v>
      </c>
      <c r="D661" s="7" t="str">
        <f>'Reported burning'!D661</f>
        <v>Forest clearance</v>
      </c>
      <c r="E661" s="7" t="str">
        <f>'Reported burning'!E661</f>
        <v>Forestry, Small-scale</v>
      </c>
      <c r="F661" s="7" t="str">
        <f>'Reported burning'!F661</f>
        <v>Forest</v>
      </c>
      <c r="G661" s="7">
        <f>'Reported burning'!G661</f>
        <v>0</v>
      </c>
      <c r="H661" s="7" t="str">
        <f>'Reported burning'!H661</f>
        <v>Presence</v>
      </c>
      <c r="I661" s="4"/>
      <c r="J661" s="22" t="s">
        <v>2308</v>
      </c>
      <c r="K661" s="110" t="s">
        <v>2308</v>
      </c>
      <c r="L661" s="22" t="s">
        <v>2308</v>
      </c>
      <c r="M661" s="22" t="s">
        <v>2308</v>
      </c>
      <c r="N661" s="22" t="s">
        <v>2308</v>
      </c>
      <c r="O661" s="22" t="s">
        <v>2308</v>
      </c>
      <c r="P661" s="22" t="s">
        <v>2308</v>
      </c>
      <c r="Q661" s="109" t="s">
        <v>2308</v>
      </c>
      <c r="R661" s="109" t="s">
        <v>2308</v>
      </c>
      <c r="S661" s="22" t="s">
        <v>2308</v>
      </c>
      <c r="T661" s="22" t="s">
        <v>2308</v>
      </c>
      <c r="U661" s="22" t="s">
        <v>2308</v>
      </c>
      <c r="V661" s="22" t="s">
        <v>2308</v>
      </c>
      <c r="W661" s="22" t="s">
        <v>2308</v>
      </c>
      <c r="X661" s="22" t="s">
        <v>2308</v>
      </c>
      <c r="Y661" s="22" t="s">
        <v>2308</v>
      </c>
      <c r="Z661" s="22" t="s">
        <v>2308</v>
      </c>
      <c r="AA661" s="5" t="s">
        <v>2368</v>
      </c>
      <c r="AB661" s="4"/>
    </row>
    <row r="662" spans="1:28" ht="93.5" customHeight="1">
      <c r="A662" s="7" t="str">
        <f>'Reported burning'!A662</f>
        <v>79a</v>
      </c>
      <c r="B662" s="7" t="str">
        <f>'Reported burning'!B662</f>
        <v>79a.3</v>
      </c>
      <c r="C662" s="7" t="str">
        <f>'Reported burning'!C662</f>
        <v>Human, deliberate</v>
      </c>
      <c r="D662" s="7" t="str">
        <f>'Reported burning'!D662</f>
        <v>Forest management</v>
      </c>
      <c r="E662" s="7" t="str">
        <f>'Reported burning'!E662</f>
        <v>Forestry, Small-scale</v>
      </c>
      <c r="F662" s="7" t="str">
        <f>'Reported burning'!F662</f>
        <v>Secondary Vegetation</v>
      </c>
      <c r="G662" s="7">
        <f>'Reported burning'!G662</f>
        <v>0</v>
      </c>
      <c r="H662" s="7" t="str">
        <f>'Reported burning'!H662</f>
        <v>Presence</v>
      </c>
      <c r="I662" s="4"/>
      <c r="J662" s="22" t="s">
        <v>2308</v>
      </c>
      <c r="K662" s="110" t="s">
        <v>2308</v>
      </c>
      <c r="L662" s="22" t="s">
        <v>2308</v>
      </c>
      <c r="M662" s="22" t="s">
        <v>2308</v>
      </c>
      <c r="N662" s="22" t="s">
        <v>2308</v>
      </c>
      <c r="O662" s="22" t="s">
        <v>2308</v>
      </c>
      <c r="P662" s="22" t="s">
        <v>2308</v>
      </c>
      <c r="Q662" s="109" t="s">
        <v>2308</v>
      </c>
      <c r="R662" s="109" t="s">
        <v>2308</v>
      </c>
      <c r="S662" s="22" t="s">
        <v>2308</v>
      </c>
      <c r="T662" s="22" t="s">
        <v>2308</v>
      </c>
      <c r="U662" s="22" t="s">
        <v>2308</v>
      </c>
      <c r="V662" s="22" t="s">
        <v>2308</v>
      </c>
      <c r="W662" s="110" t="s">
        <v>2433</v>
      </c>
      <c r="X662" s="22" t="s">
        <v>2308</v>
      </c>
      <c r="Y662" s="22" t="s">
        <v>2308</v>
      </c>
      <c r="Z662" s="22" t="s">
        <v>2308</v>
      </c>
      <c r="AA662" s="5" t="s">
        <v>2380</v>
      </c>
      <c r="AB662" s="4"/>
    </row>
    <row r="663" spans="1:28" ht="93.5" customHeight="1">
      <c r="A663" s="7" t="str">
        <f>'Reported burning'!A663</f>
        <v>79a</v>
      </c>
      <c r="B663" s="7" t="str">
        <f>'Reported burning'!B663</f>
        <v>79a.4</v>
      </c>
      <c r="C663" s="7" t="str">
        <f>'Reported burning'!C663</f>
        <v>Human, deliberate</v>
      </c>
      <c r="D663" s="7" t="str">
        <f>'Reported burning'!D663</f>
        <v>Hunting</v>
      </c>
      <c r="E663" s="7" t="str">
        <f>'Reported burning'!E663</f>
        <v>Forestry, Traditional</v>
      </c>
      <c r="F663" s="7" t="str">
        <f>'Reported burning'!F663</f>
        <v>Forest</v>
      </c>
      <c r="G663" s="7">
        <f>'Reported burning'!G663</f>
        <v>0</v>
      </c>
      <c r="H663" s="7" t="str">
        <f>'Reported burning'!H663</f>
        <v>Presence</v>
      </c>
      <c r="I663" s="4"/>
      <c r="J663" s="22" t="s">
        <v>2308</v>
      </c>
      <c r="K663" s="110" t="s">
        <v>2308</v>
      </c>
      <c r="L663" s="22" t="s">
        <v>2308</v>
      </c>
      <c r="M663" s="22" t="s">
        <v>2308</v>
      </c>
      <c r="N663" s="22" t="s">
        <v>2308</v>
      </c>
      <c r="O663" s="22" t="s">
        <v>2308</v>
      </c>
      <c r="P663" s="22" t="s">
        <v>2308</v>
      </c>
      <c r="Q663" s="109" t="s">
        <v>2308</v>
      </c>
      <c r="R663" s="109" t="s">
        <v>2308</v>
      </c>
      <c r="S663" s="22" t="s">
        <v>2308</v>
      </c>
      <c r="T663" s="22" t="s">
        <v>2308</v>
      </c>
      <c r="U663" s="22" t="s">
        <v>2308</v>
      </c>
      <c r="V663" s="22" t="s">
        <v>2308</v>
      </c>
      <c r="W663" s="22" t="s">
        <v>2308</v>
      </c>
      <c r="X663" s="22" t="s">
        <v>2308</v>
      </c>
      <c r="Y663" s="22" t="s">
        <v>2308</v>
      </c>
      <c r="Z663" s="22" t="s">
        <v>2308</v>
      </c>
      <c r="AA663" s="5" t="s">
        <v>2384</v>
      </c>
      <c r="AB663" s="4"/>
    </row>
    <row r="664" spans="1:28" ht="93.5" customHeight="1">
      <c r="A664" s="7" t="str">
        <f>'Reported burning'!A664</f>
        <v>79a</v>
      </c>
      <c r="B664" s="7" t="str">
        <f>'Reported burning'!B664</f>
        <v>79a.5</v>
      </c>
      <c r="C664" s="7" t="str">
        <f>'Reported burning'!C664</f>
        <v>Human, deliberate</v>
      </c>
      <c r="D664" s="7" t="str">
        <f>'Reported burning'!D664</f>
        <v>Accessibility</v>
      </c>
      <c r="E664" s="7" t="str">
        <f>'Reported burning'!E664</f>
        <v>All</v>
      </c>
      <c r="F664" s="7" t="str">
        <f>'Reported burning'!F664</f>
        <v>Secondary Vegetation</v>
      </c>
      <c r="G664" s="7">
        <f>'Reported burning'!G664</f>
        <v>0</v>
      </c>
      <c r="H664" s="7" t="str">
        <f>'Reported burning'!H664</f>
        <v>Presence</v>
      </c>
      <c r="I664" s="4"/>
      <c r="J664" s="22" t="s">
        <v>2308</v>
      </c>
      <c r="K664" s="110" t="s">
        <v>2308</v>
      </c>
      <c r="L664" s="22" t="s">
        <v>2308</v>
      </c>
      <c r="M664" s="22" t="s">
        <v>2308</v>
      </c>
      <c r="N664" s="22" t="s">
        <v>2308</v>
      </c>
      <c r="O664" s="22" t="s">
        <v>2308</v>
      </c>
      <c r="P664" s="22" t="s">
        <v>2308</v>
      </c>
      <c r="Q664" s="109" t="s">
        <v>2308</v>
      </c>
      <c r="R664" s="109" t="s">
        <v>2308</v>
      </c>
      <c r="S664" s="22" t="s">
        <v>2308</v>
      </c>
      <c r="T664" s="22" t="s">
        <v>2308</v>
      </c>
      <c r="U664" s="22" t="s">
        <v>2308</v>
      </c>
      <c r="V664" s="22" t="s">
        <v>2308</v>
      </c>
      <c r="W664" s="22" t="s">
        <v>2308</v>
      </c>
      <c r="X664" s="22" t="s">
        <v>2308</v>
      </c>
      <c r="Y664" s="22" t="s">
        <v>2308</v>
      </c>
      <c r="Z664" s="22" t="s">
        <v>2308</v>
      </c>
      <c r="AA664" s="5" t="s">
        <v>2374</v>
      </c>
      <c r="AB664" s="4"/>
    </row>
    <row r="665" spans="1:28" ht="89.5" customHeight="1">
      <c r="A665" s="7" t="str">
        <f>'Reported burning'!A665</f>
        <v>79b</v>
      </c>
      <c r="B665" s="7" t="str">
        <f>'Reported burning'!B665</f>
        <v>79b.1</v>
      </c>
      <c r="C665" s="7" t="str">
        <f>'Reported burning'!C665</f>
        <v>Human, deliberate</v>
      </c>
      <c r="D665" s="7" t="str">
        <f>'Reported burning'!D665</f>
        <v>Crop field preparation</v>
      </c>
      <c r="E665" s="7" t="str">
        <f>'Reported burning'!E665</f>
        <v>Cropping, Swidden</v>
      </c>
      <c r="F665" s="7" t="str">
        <f>'Reported burning'!F665</f>
        <v>Secondary Vegetation</v>
      </c>
      <c r="G665" s="7">
        <f>'Reported burning'!G665</f>
        <v>0</v>
      </c>
      <c r="H665" s="7" t="str">
        <f>'Reported burning'!H665</f>
        <v>Presence</v>
      </c>
      <c r="I665" s="4"/>
      <c r="J665" s="22" t="s">
        <v>2308</v>
      </c>
      <c r="K665" s="110" t="s">
        <v>2308</v>
      </c>
      <c r="L665" s="22" t="s">
        <v>2308</v>
      </c>
      <c r="M665" s="22" t="s">
        <v>2308</v>
      </c>
      <c r="N665" s="22" t="s">
        <v>2308</v>
      </c>
      <c r="O665" s="22" t="s">
        <v>2308</v>
      </c>
      <c r="P665" s="22" t="s">
        <v>2308</v>
      </c>
      <c r="Q665" s="109" t="s">
        <v>2308</v>
      </c>
      <c r="R665" s="109" t="s">
        <v>2308</v>
      </c>
      <c r="S665" s="22" t="s">
        <v>2308</v>
      </c>
      <c r="T665" s="22" t="s">
        <v>2308</v>
      </c>
      <c r="U665" s="22" t="s">
        <v>2308</v>
      </c>
      <c r="V665" s="22" t="s">
        <v>2308</v>
      </c>
      <c r="W665" s="22" t="s">
        <v>2308</v>
      </c>
      <c r="X665" s="4" t="s">
        <v>68</v>
      </c>
      <c r="Y665" s="4" t="s">
        <v>35</v>
      </c>
      <c r="Z665" s="22" t="s">
        <v>2308</v>
      </c>
      <c r="AA665" s="5" t="s">
        <v>2381</v>
      </c>
      <c r="AB665" s="4"/>
    </row>
    <row r="666" spans="1:28" ht="102" customHeight="1">
      <c r="A666" s="7" t="str">
        <f>'Reported burning'!A666</f>
        <v>79b</v>
      </c>
      <c r="B666" s="7" t="str">
        <f>'Reported burning'!B666</f>
        <v>79b.2</v>
      </c>
      <c r="C666" s="7" t="str">
        <f>'Reported burning'!C666</f>
        <v>Human, deliberate</v>
      </c>
      <c r="D666" s="7" t="str">
        <f>'Reported burning'!D666</f>
        <v>Forest clearance</v>
      </c>
      <c r="E666" s="7" t="str">
        <f>'Reported burning'!E666</f>
        <v>Forestry, Small-scale</v>
      </c>
      <c r="F666" s="7" t="str">
        <f>'Reported burning'!F666</f>
        <v>Forest</v>
      </c>
      <c r="G666" s="7">
        <f>'Reported burning'!G666</f>
        <v>0</v>
      </c>
      <c r="H666" s="7" t="str">
        <f>'Reported burning'!H666</f>
        <v>Presence</v>
      </c>
      <c r="I666" s="4"/>
      <c r="J666" s="22" t="s">
        <v>2308</v>
      </c>
      <c r="K666" s="110" t="s">
        <v>2308</v>
      </c>
      <c r="L666" s="22" t="s">
        <v>2308</v>
      </c>
      <c r="M666" s="22" t="s">
        <v>2308</v>
      </c>
      <c r="N666" s="22" t="s">
        <v>2308</v>
      </c>
      <c r="O666" s="22" t="s">
        <v>2308</v>
      </c>
      <c r="P666" s="22" t="s">
        <v>2308</v>
      </c>
      <c r="Q666" s="109" t="s">
        <v>2308</v>
      </c>
      <c r="R666" s="109" t="s">
        <v>2308</v>
      </c>
      <c r="S666" s="22" t="s">
        <v>2308</v>
      </c>
      <c r="T666" s="22" t="s">
        <v>2308</v>
      </c>
      <c r="U666" s="22" t="s">
        <v>2308</v>
      </c>
      <c r="V666" s="22" t="s">
        <v>2308</v>
      </c>
      <c r="W666" s="22" t="s">
        <v>2308</v>
      </c>
      <c r="X666" s="22" t="s">
        <v>2308</v>
      </c>
      <c r="Y666" s="22" t="s">
        <v>2308</v>
      </c>
      <c r="Z666" s="22" t="s">
        <v>2308</v>
      </c>
      <c r="AA666" s="5" t="s">
        <v>2368</v>
      </c>
      <c r="AB666" s="4"/>
    </row>
    <row r="667" spans="1:28" ht="102" customHeight="1">
      <c r="A667" s="7" t="str">
        <f>'Reported burning'!A667</f>
        <v>79b</v>
      </c>
      <c r="B667" s="7" t="str">
        <f>'Reported burning'!B667</f>
        <v>79b.3</v>
      </c>
      <c r="C667" s="7" t="str">
        <f>'Reported burning'!C667</f>
        <v>Human, deliberate</v>
      </c>
      <c r="D667" s="7" t="str">
        <f>'Reported burning'!D667</f>
        <v>Hunting</v>
      </c>
      <c r="E667" s="7" t="str">
        <f>'Reported burning'!E667</f>
        <v>Forestry, Traditional</v>
      </c>
      <c r="F667" s="7" t="str">
        <f>'Reported burning'!F667</f>
        <v>Forest</v>
      </c>
      <c r="G667" s="7">
        <f>'Reported burning'!G667</f>
        <v>0</v>
      </c>
      <c r="H667" s="7" t="str">
        <f>'Reported burning'!H667</f>
        <v>Presence</v>
      </c>
      <c r="I667" s="4"/>
      <c r="J667" s="22" t="s">
        <v>2308</v>
      </c>
      <c r="K667" s="110" t="s">
        <v>2308</v>
      </c>
      <c r="L667" s="22" t="s">
        <v>2308</v>
      </c>
      <c r="M667" s="22" t="s">
        <v>2308</v>
      </c>
      <c r="N667" s="22" t="s">
        <v>2308</v>
      </c>
      <c r="O667" s="22" t="s">
        <v>2308</v>
      </c>
      <c r="P667" s="22" t="s">
        <v>2308</v>
      </c>
      <c r="Q667" s="109" t="s">
        <v>2308</v>
      </c>
      <c r="R667" s="109" t="s">
        <v>2308</v>
      </c>
      <c r="S667" s="22" t="s">
        <v>2308</v>
      </c>
      <c r="T667" s="22" t="s">
        <v>2308</v>
      </c>
      <c r="U667" s="22" t="s">
        <v>2308</v>
      </c>
      <c r="V667" s="22" t="s">
        <v>2308</v>
      </c>
      <c r="W667" s="22" t="s">
        <v>2308</v>
      </c>
      <c r="X667" s="22" t="s">
        <v>2308</v>
      </c>
      <c r="Y667" s="22" t="s">
        <v>2308</v>
      </c>
      <c r="Z667" s="22" t="s">
        <v>2308</v>
      </c>
      <c r="AA667" s="5" t="s">
        <v>2384</v>
      </c>
      <c r="AB667" s="4"/>
    </row>
    <row r="668" spans="1:28" ht="102" customHeight="1">
      <c r="A668" s="7" t="str">
        <f>'Reported burning'!A668</f>
        <v>79b</v>
      </c>
      <c r="B668" s="7" t="str">
        <f>'Reported burning'!B668</f>
        <v>79b.4</v>
      </c>
      <c r="C668" s="7" t="str">
        <f>'Reported burning'!C668</f>
        <v>Human, deliberate</v>
      </c>
      <c r="D668" s="7" t="str">
        <f>'Reported burning'!D668</f>
        <v>Accessibility</v>
      </c>
      <c r="E668" s="7" t="str">
        <f>'Reported burning'!E668</f>
        <v>All</v>
      </c>
      <c r="F668" s="7" t="str">
        <f>'Reported burning'!F668</f>
        <v>Secondary Vegetation</v>
      </c>
      <c r="G668" s="7">
        <f>'Reported burning'!G668</f>
        <v>0</v>
      </c>
      <c r="H668" s="7" t="str">
        <f>'Reported burning'!H668</f>
        <v>Presence</v>
      </c>
      <c r="I668" s="4"/>
      <c r="J668" s="22" t="s">
        <v>2308</v>
      </c>
      <c r="K668" s="110" t="s">
        <v>2308</v>
      </c>
      <c r="L668" s="22" t="s">
        <v>2308</v>
      </c>
      <c r="M668" s="22" t="s">
        <v>2308</v>
      </c>
      <c r="N668" s="22" t="s">
        <v>2308</v>
      </c>
      <c r="O668" s="22" t="s">
        <v>2308</v>
      </c>
      <c r="P668" s="22" t="s">
        <v>2308</v>
      </c>
      <c r="Q668" s="109" t="s">
        <v>2308</v>
      </c>
      <c r="R668" s="109" t="s">
        <v>2308</v>
      </c>
      <c r="S668" s="22" t="s">
        <v>2308</v>
      </c>
      <c r="T668" s="22" t="s">
        <v>2308</v>
      </c>
      <c r="U668" s="22" t="s">
        <v>2308</v>
      </c>
      <c r="V668" s="22" t="s">
        <v>2308</v>
      </c>
      <c r="W668" s="22" t="s">
        <v>2308</v>
      </c>
      <c r="X668" s="22" t="s">
        <v>2308</v>
      </c>
      <c r="Y668" s="22" t="s">
        <v>2308</v>
      </c>
      <c r="Z668" s="22" t="s">
        <v>2308</v>
      </c>
      <c r="AA668" s="5" t="s">
        <v>2374</v>
      </c>
      <c r="AB668" s="4"/>
    </row>
    <row r="669" spans="1:28" ht="102" customHeight="1">
      <c r="A669" s="7" t="str">
        <f>'Reported burning'!A669</f>
        <v>79b</v>
      </c>
      <c r="B669" s="7" t="str">
        <f>'Reported burning'!B669</f>
        <v>79b.5</v>
      </c>
      <c r="C669" s="7" t="str">
        <f>'Reported burning'!C669</f>
        <v>Human, deliberate</v>
      </c>
      <c r="D669" s="7" t="str">
        <f>'Reported burning'!D669</f>
        <v>Forest management</v>
      </c>
      <c r="E669" s="7" t="str">
        <f>'Reported burning'!E669</f>
        <v>Forestry, Small-scale</v>
      </c>
      <c r="F669" s="7" t="str">
        <f>'Reported burning'!F669</f>
        <v>Secondary Vegetation</v>
      </c>
      <c r="G669" s="7">
        <f>'Reported burning'!G669</f>
        <v>0</v>
      </c>
      <c r="H669" s="7" t="str">
        <f>'Reported burning'!H669</f>
        <v>Presence</v>
      </c>
      <c r="I669" s="4"/>
      <c r="J669" s="22" t="s">
        <v>2308</v>
      </c>
      <c r="K669" s="110" t="s">
        <v>2308</v>
      </c>
      <c r="L669" s="22" t="s">
        <v>2308</v>
      </c>
      <c r="M669" s="22" t="s">
        <v>2308</v>
      </c>
      <c r="N669" s="22" t="s">
        <v>2308</v>
      </c>
      <c r="O669" s="22" t="s">
        <v>2308</v>
      </c>
      <c r="P669" s="22" t="s">
        <v>2308</v>
      </c>
      <c r="Q669" s="109" t="s">
        <v>2308</v>
      </c>
      <c r="R669" s="109" t="s">
        <v>2308</v>
      </c>
      <c r="S669" s="22" t="s">
        <v>2308</v>
      </c>
      <c r="T669" s="22" t="s">
        <v>2308</v>
      </c>
      <c r="U669" s="22" t="s">
        <v>2308</v>
      </c>
      <c r="V669" s="22" t="s">
        <v>2308</v>
      </c>
      <c r="W669" s="110" t="s">
        <v>2433</v>
      </c>
      <c r="X669" s="22" t="s">
        <v>2308</v>
      </c>
      <c r="Y669" s="22" t="s">
        <v>2308</v>
      </c>
      <c r="Z669" s="22" t="s">
        <v>2308</v>
      </c>
      <c r="AA669" s="5" t="s">
        <v>2380</v>
      </c>
      <c r="AB669" s="4"/>
    </row>
    <row r="670" spans="1:28" ht="102" customHeight="1">
      <c r="A670" s="7" t="str">
        <f>'Reported burning'!A670</f>
        <v>79b</v>
      </c>
      <c r="B670" s="7" t="str">
        <f>'Reported burning'!B670</f>
        <v>79b.6</v>
      </c>
      <c r="C670" s="7" t="str">
        <f>'Reported burning'!C670</f>
        <v>Human, deliberate</v>
      </c>
      <c r="D670" s="7" t="str">
        <f>'Reported burning'!D670</f>
        <v>Crop field preparation</v>
      </c>
      <c r="E670" s="7" t="str">
        <f>'Reported burning'!E670</f>
        <v>Cropping, Intensive</v>
      </c>
      <c r="F670" s="7" t="str">
        <f>'Reported burning'!F670</f>
        <v>Cropland</v>
      </c>
      <c r="G670" s="7">
        <f>'Reported burning'!G670</f>
        <v>0</v>
      </c>
      <c r="H670" s="7" t="str">
        <f>'Reported burning'!H670</f>
        <v>Absence</v>
      </c>
      <c r="I670" s="4"/>
      <c r="J670" s="22" t="s">
        <v>2396</v>
      </c>
      <c r="K670" s="110" t="s">
        <v>2396</v>
      </c>
      <c r="L670" s="22" t="s">
        <v>2396</v>
      </c>
      <c r="M670" s="22" t="s">
        <v>2396</v>
      </c>
      <c r="N670" s="22" t="s">
        <v>2396</v>
      </c>
      <c r="O670" s="22" t="s">
        <v>2396</v>
      </c>
      <c r="P670" s="22" t="s">
        <v>2396</v>
      </c>
      <c r="Q670" s="109" t="s">
        <v>2308</v>
      </c>
      <c r="R670" s="109" t="s">
        <v>2308</v>
      </c>
      <c r="S670" s="22" t="s">
        <v>2396</v>
      </c>
      <c r="T670" s="22" t="s">
        <v>2396</v>
      </c>
      <c r="U670" s="22" t="s">
        <v>2396</v>
      </c>
      <c r="V670" s="22" t="s">
        <v>2396</v>
      </c>
      <c r="W670" s="22" t="s">
        <v>2308</v>
      </c>
      <c r="X670" s="22" t="s">
        <v>2308</v>
      </c>
      <c r="Y670" s="22" t="s">
        <v>2308</v>
      </c>
      <c r="Z670" s="22" t="s">
        <v>2308</v>
      </c>
      <c r="AA670" s="5" t="s">
        <v>2377</v>
      </c>
      <c r="AB670" s="4"/>
    </row>
    <row r="671" spans="1:28" ht="102" customHeight="1">
      <c r="A671" s="7" t="str">
        <f>'Reported burning'!A671</f>
        <v>79b</v>
      </c>
      <c r="B671" s="7" t="str">
        <f>'Reported burning'!B671</f>
        <v>79b.7</v>
      </c>
      <c r="C671" s="7" t="str">
        <f>'Reported burning'!C671</f>
        <v>Human, deliberate</v>
      </c>
      <c r="D671" s="7" t="str">
        <f>'Reported burning'!D671</f>
        <v>Arson</v>
      </c>
      <c r="E671" s="7" t="str">
        <f>'Reported burning'!E671</f>
        <v>Cropping, Swidden</v>
      </c>
      <c r="F671" s="7" t="str">
        <f>'Reported burning'!F671</f>
        <v>Cropland</v>
      </c>
      <c r="G671" s="7">
        <f>'Reported burning'!G671</f>
        <v>0</v>
      </c>
      <c r="H671" s="7" t="str">
        <f>'Reported burning'!H671</f>
        <v>Presence</v>
      </c>
      <c r="I671" s="4"/>
      <c r="J671" s="22" t="s">
        <v>2308</v>
      </c>
      <c r="K671" s="110" t="s">
        <v>2308</v>
      </c>
      <c r="L671" s="22" t="s">
        <v>2308</v>
      </c>
      <c r="M671" s="22" t="s">
        <v>2308</v>
      </c>
      <c r="N671" s="22" t="s">
        <v>2308</v>
      </c>
      <c r="O671" s="22" t="s">
        <v>2308</v>
      </c>
      <c r="P671" s="22" t="s">
        <v>2308</v>
      </c>
      <c r="Q671" s="109" t="s">
        <v>2308</v>
      </c>
      <c r="R671" s="109" t="s">
        <v>2308</v>
      </c>
      <c r="S671" s="22" t="s">
        <v>2308</v>
      </c>
      <c r="T671" s="22" t="s">
        <v>2308</v>
      </c>
      <c r="U671" s="22" t="s">
        <v>2308</v>
      </c>
      <c r="V671" s="22" t="s">
        <v>2308</v>
      </c>
      <c r="W671" s="22" t="s">
        <v>2308</v>
      </c>
      <c r="X671" s="22" t="s">
        <v>2308</v>
      </c>
      <c r="Y671" s="22" t="s">
        <v>2308</v>
      </c>
      <c r="Z671" s="22" t="s">
        <v>2308</v>
      </c>
      <c r="AA671" s="5" t="s">
        <v>2379</v>
      </c>
      <c r="AB671" s="4"/>
    </row>
    <row r="672" spans="1:28" ht="102" customHeight="1">
      <c r="A672" s="7" t="str">
        <f>'Reported burning'!A672</f>
        <v>79b</v>
      </c>
      <c r="B672" s="7" t="str">
        <f>'Reported burning'!B672</f>
        <v>79b.8</v>
      </c>
      <c r="C672" s="7" t="str">
        <f>'Reported burning'!C672</f>
        <v>Human, deliberate</v>
      </c>
      <c r="D672" s="7" t="str">
        <f>'Reported burning'!D672</f>
        <v>Arson</v>
      </c>
      <c r="E672" s="7" t="str">
        <f>'Reported burning'!E672</f>
        <v>Forestry, Small-scale</v>
      </c>
      <c r="F672" s="7" t="str">
        <f>'Reported burning'!F672</f>
        <v>Cropland</v>
      </c>
      <c r="G672" s="7">
        <f>'Reported burning'!G672</f>
        <v>0</v>
      </c>
      <c r="H672" s="7" t="str">
        <f>'Reported burning'!H672</f>
        <v>Presence</v>
      </c>
      <c r="I672" s="4"/>
      <c r="J672" s="22" t="s">
        <v>2308</v>
      </c>
      <c r="K672" s="110" t="s">
        <v>2308</v>
      </c>
      <c r="L672" s="22" t="s">
        <v>2308</v>
      </c>
      <c r="M672" s="22" t="s">
        <v>2308</v>
      </c>
      <c r="N672" s="22" t="s">
        <v>2308</v>
      </c>
      <c r="O672" s="22" t="s">
        <v>2308</v>
      </c>
      <c r="P672" s="22" t="s">
        <v>2308</v>
      </c>
      <c r="Q672" s="109" t="s">
        <v>2308</v>
      </c>
      <c r="R672" s="109" t="s">
        <v>2308</v>
      </c>
      <c r="S672" s="22" t="s">
        <v>2308</v>
      </c>
      <c r="T672" s="22" t="s">
        <v>2308</v>
      </c>
      <c r="U672" s="22" t="s">
        <v>2308</v>
      </c>
      <c r="V672" s="22" t="s">
        <v>2308</v>
      </c>
      <c r="W672" s="22" t="s">
        <v>2308</v>
      </c>
      <c r="X672" s="22" t="s">
        <v>2308</v>
      </c>
      <c r="Y672" s="22" t="s">
        <v>2308</v>
      </c>
      <c r="Z672" s="22" t="s">
        <v>2308</v>
      </c>
      <c r="AA672" s="5" t="s">
        <v>2379</v>
      </c>
      <c r="AB672" s="4"/>
    </row>
    <row r="673" spans="1:28" ht="52" customHeight="1">
      <c r="A673" s="7" t="str">
        <f>'Reported burning'!A673</f>
        <v>80a</v>
      </c>
      <c r="B673" s="7" t="str">
        <f>'Reported burning'!B673</f>
        <v>80a.1</v>
      </c>
      <c r="C673" s="7" t="str">
        <f>'Reported burning'!C673</f>
        <v>Human, deliberate</v>
      </c>
      <c r="D673" s="7" t="str">
        <f>'Reported burning'!D673</f>
        <v>Crop field preparation</v>
      </c>
      <c r="E673" s="7" t="str">
        <f>'Reported burning'!E673</f>
        <v>Cropping, Swidden</v>
      </c>
      <c r="F673" s="7" t="str">
        <f>'Reported burning'!F673</f>
        <v>Secondary Vegetation</v>
      </c>
      <c r="G673" s="7">
        <f>'Reported burning'!G673</f>
        <v>0</v>
      </c>
      <c r="H673" s="7" t="str">
        <f>'Reported burning'!H673</f>
        <v>Presence</v>
      </c>
      <c r="I673" s="4"/>
      <c r="J673" s="22" t="s">
        <v>2308</v>
      </c>
      <c r="K673" s="110" t="s">
        <v>2308</v>
      </c>
      <c r="L673" s="22" t="s">
        <v>2308</v>
      </c>
      <c r="M673" s="22" t="s">
        <v>2308</v>
      </c>
      <c r="N673" s="22" t="s">
        <v>2308</v>
      </c>
      <c r="O673" s="22" t="s">
        <v>2308</v>
      </c>
      <c r="P673" s="22" t="s">
        <v>2394</v>
      </c>
      <c r="Q673" s="109" t="s">
        <v>2308</v>
      </c>
      <c r="R673" s="109" t="s">
        <v>2308</v>
      </c>
      <c r="S673" s="22" t="s">
        <v>2308</v>
      </c>
      <c r="T673" s="22" t="s">
        <v>2308</v>
      </c>
      <c r="U673" s="22" t="s">
        <v>2308</v>
      </c>
      <c r="V673" s="22" t="s">
        <v>2308</v>
      </c>
      <c r="W673" s="22" t="s">
        <v>2308</v>
      </c>
      <c r="X673" s="4" t="s">
        <v>2308</v>
      </c>
      <c r="Y673" s="4" t="s">
        <v>2308</v>
      </c>
      <c r="Z673" s="4" t="s">
        <v>2308</v>
      </c>
      <c r="AA673" s="4"/>
      <c r="AB673" s="4"/>
    </row>
    <row r="674" spans="1:28" ht="80" customHeight="1">
      <c r="A674" s="7" t="str">
        <f>'Reported burning'!A674</f>
        <v>80a</v>
      </c>
      <c r="B674" s="7" t="str">
        <f>'Reported burning'!B674</f>
        <v>80a.2</v>
      </c>
      <c r="C674" s="7" t="str">
        <f>'Reported burning'!C674</f>
        <v>Human, deliberate</v>
      </c>
      <c r="D674" s="7" t="str">
        <f>'Reported burning'!D674</f>
        <v>Crop residue burning</v>
      </c>
      <c r="E674" s="7" t="str">
        <f>'Reported burning'!E674</f>
        <v>Cropping, Swidden</v>
      </c>
      <c r="F674" s="7" t="str">
        <f>'Reported burning'!F674</f>
        <v>Cropland</v>
      </c>
      <c r="G674" s="7">
        <f>'Reported burning'!G674</f>
        <v>0</v>
      </c>
      <c r="H674" s="7" t="str">
        <f>'Reported burning'!H674</f>
        <v>Presence</v>
      </c>
      <c r="I674" s="4"/>
      <c r="J674" s="22" t="s">
        <v>2308</v>
      </c>
      <c r="K674" s="110" t="s">
        <v>2308</v>
      </c>
      <c r="L674" s="22" t="s">
        <v>2308</v>
      </c>
      <c r="M674" s="22" t="s">
        <v>2308</v>
      </c>
      <c r="N674" s="22" t="s">
        <v>2308</v>
      </c>
      <c r="O674" s="22" t="s">
        <v>2308</v>
      </c>
      <c r="P674" s="22" t="s">
        <v>2394</v>
      </c>
      <c r="Q674" s="109" t="s">
        <v>2308</v>
      </c>
      <c r="R674" s="109" t="s">
        <v>2308</v>
      </c>
      <c r="S674" s="22" t="s">
        <v>2308</v>
      </c>
      <c r="T674" s="22" t="s">
        <v>2308</v>
      </c>
      <c r="U674" s="22" t="s">
        <v>2308</v>
      </c>
      <c r="V674" s="22" t="s">
        <v>2308</v>
      </c>
      <c r="W674" s="22" t="s">
        <v>2308</v>
      </c>
      <c r="X674" s="4" t="s">
        <v>2308</v>
      </c>
      <c r="Y674" s="4" t="s">
        <v>2308</v>
      </c>
      <c r="Z674" s="4" t="s">
        <v>2308</v>
      </c>
      <c r="AA674" s="5" t="s">
        <v>1148</v>
      </c>
      <c r="AB674" s="4"/>
    </row>
    <row r="675" spans="1:28" ht="70.5" customHeight="1">
      <c r="A675" s="7" t="str">
        <f>'Reported burning'!A675</f>
        <v>80a</v>
      </c>
      <c r="B675" s="7" t="str">
        <f>'Reported burning'!B675</f>
        <v>80a.3</v>
      </c>
      <c r="C675" s="7" t="str">
        <f>'Reported burning'!C675</f>
        <v>Human, deliberate</v>
      </c>
      <c r="D675" s="7" t="str">
        <f>'Reported burning'!D675</f>
        <v>Vegetation management</v>
      </c>
      <c r="E675" s="7" t="str">
        <f>'Reported burning'!E675</f>
        <v>Cropping, Swidden</v>
      </c>
      <c r="F675" s="7" t="str">
        <f>'Reported burning'!F675</f>
        <v>Forest</v>
      </c>
      <c r="G675" s="7">
        <f>'Reported burning'!G675</f>
        <v>0</v>
      </c>
      <c r="H675" s="7" t="str">
        <f>'Reported burning'!H675</f>
        <v>Presence</v>
      </c>
      <c r="I675" s="4"/>
      <c r="J675" s="22" t="s">
        <v>2308</v>
      </c>
      <c r="K675" s="110" t="s">
        <v>2308</v>
      </c>
      <c r="L675" s="22" t="s">
        <v>2308</v>
      </c>
      <c r="M675" s="22" t="s">
        <v>2308</v>
      </c>
      <c r="N675" s="22" t="s">
        <v>2308</v>
      </c>
      <c r="O675" s="22" t="s">
        <v>2308</v>
      </c>
      <c r="P675" s="22" t="s">
        <v>2308</v>
      </c>
      <c r="Q675" s="109" t="s">
        <v>2308</v>
      </c>
      <c r="R675" s="109" t="s">
        <v>2308</v>
      </c>
      <c r="S675" s="22" t="s">
        <v>2308</v>
      </c>
      <c r="T675" s="22" t="s">
        <v>2308</v>
      </c>
      <c r="U675" s="22" t="s">
        <v>2308</v>
      </c>
      <c r="V675" s="22" t="s">
        <v>2308</v>
      </c>
      <c r="W675" s="22" t="s">
        <v>2308</v>
      </c>
      <c r="X675" s="4" t="s">
        <v>2308</v>
      </c>
      <c r="Y675" s="4" t="s">
        <v>2308</v>
      </c>
      <c r="Z675" s="4" t="s">
        <v>2308</v>
      </c>
      <c r="AA675" s="4"/>
      <c r="AB675" s="4"/>
    </row>
    <row r="676" spans="1:28" ht="49.5" customHeight="1">
      <c r="A676" s="7" t="str">
        <f>'Reported burning'!A676</f>
        <v>80a</v>
      </c>
      <c r="B676" s="7" t="str">
        <f>'Reported burning'!B676</f>
        <v>80a.4</v>
      </c>
      <c r="C676" s="7" t="str">
        <f>'Reported burning'!C676</f>
        <v>Human, deliberate</v>
      </c>
      <c r="D676" s="7" t="str">
        <f>'Reported burning'!D676</f>
        <v>Vegetation management</v>
      </c>
      <c r="E676" s="7" t="str">
        <f>'Reported burning'!E676</f>
        <v>Cropping, Swidden</v>
      </c>
      <c r="F676" s="7" t="str">
        <f>'Reported burning'!F676</f>
        <v>Secondary Vegetation</v>
      </c>
      <c r="G676" s="7">
        <f>'Reported burning'!G676</f>
        <v>0</v>
      </c>
      <c r="H676" s="7" t="str">
        <f>'Reported burning'!H676</f>
        <v>Presence</v>
      </c>
      <c r="I676" s="4"/>
      <c r="J676" s="22" t="s">
        <v>2308</v>
      </c>
      <c r="K676" s="110" t="s">
        <v>2308</v>
      </c>
      <c r="L676" s="22" t="s">
        <v>2308</v>
      </c>
      <c r="M676" s="22" t="s">
        <v>2308</v>
      </c>
      <c r="N676" s="22" t="s">
        <v>2308</v>
      </c>
      <c r="O676" s="22" t="s">
        <v>2308</v>
      </c>
      <c r="P676" s="22" t="s">
        <v>2308</v>
      </c>
      <c r="Q676" s="109" t="s">
        <v>2308</v>
      </c>
      <c r="R676" s="109" t="s">
        <v>2308</v>
      </c>
      <c r="S676" s="22" t="s">
        <v>2308</v>
      </c>
      <c r="T676" s="22" t="s">
        <v>2308</v>
      </c>
      <c r="U676" s="22" t="s">
        <v>2308</v>
      </c>
      <c r="V676" s="22" t="s">
        <v>2308</v>
      </c>
      <c r="W676" s="22" t="s">
        <v>2308</v>
      </c>
      <c r="X676" s="4" t="s">
        <v>2308</v>
      </c>
      <c r="Y676" s="4" t="s">
        <v>2308</v>
      </c>
      <c r="Z676" s="4" t="s">
        <v>2308</v>
      </c>
      <c r="AA676" s="4"/>
      <c r="AB676" s="4"/>
    </row>
    <row r="677" spans="1:28" ht="49.5" customHeight="1">
      <c r="A677" s="7" t="str">
        <f>'Reported burning'!A677</f>
        <v>84a</v>
      </c>
      <c r="B677" s="7" t="str">
        <f>'Reported burning'!B677</f>
        <v>84a.1</v>
      </c>
      <c r="C677" s="7" t="str">
        <f>'Reported burning'!C677</f>
        <v>Human, deliberate</v>
      </c>
      <c r="D677" s="7" t="str">
        <f>'Reported burning'!D677</f>
        <v>Forest clearance</v>
      </c>
      <c r="E677" s="7" t="str">
        <f>'Reported burning'!E677</f>
        <v>Forestry, Small-scale</v>
      </c>
      <c r="F677" s="7" t="str">
        <f>'Reported burning'!F677</f>
        <v>Forest</v>
      </c>
      <c r="G677" s="7">
        <f>'Reported burning'!G677</f>
        <v>0</v>
      </c>
      <c r="H677" s="7" t="str">
        <f>'Reported burning'!H677</f>
        <v>Absence</v>
      </c>
      <c r="I677" s="4"/>
      <c r="J677" s="22" t="s">
        <v>2396</v>
      </c>
      <c r="K677" s="110" t="s">
        <v>2396</v>
      </c>
      <c r="L677" s="22" t="s">
        <v>2396</v>
      </c>
      <c r="M677" s="22" t="s">
        <v>2396</v>
      </c>
      <c r="N677" s="22" t="s">
        <v>2396</v>
      </c>
      <c r="O677" s="22" t="s">
        <v>2396</v>
      </c>
      <c r="P677" s="22" t="s">
        <v>2396</v>
      </c>
      <c r="Q677" s="109" t="s">
        <v>2308</v>
      </c>
      <c r="R677" s="109" t="s">
        <v>2308</v>
      </c>
      <c r="S677" s="22" t="s">
        <v>2396</v>
      </c>
      <c r="T677" s="22" t="s">
        <v>2396</v>
      </c>
      <c r="U677" s="22" t="s">
        <v>2396</v>
      </c>
      <c r="V677" s="22" t="s">
        <v>2396</v>
      </c>
      <c r="W677" s="22" t="s">
        <v>2308</v>
      </c>
      <c r="X677" s="4" t="s">
        <v>2308</v>
      </c>
      <c r="Y677" s="4" t="s">
        <v>2308</v>
      </c>
      <c r="Z677" s="4" t="s">
        <v>2308</v>
      </c>
      <c r="AA677" s="5" t="s">
        <v>1749</v>
      </c>
      <c r="AB677" s="4"/>
    </row>
    <row r="678" spans="1:28" ht="49.5" customHeight="1">
      <c r="A678" s="7" t="str">
        <f>'Reported burning'!A678</f>
        <v>84b</v>
      </c>
      <c r="B678" s="7" t="str">
        <f>'Reported burning'!B678</f>
        <v>84b.1</v>
      </c>
      <c r="C678" s="7" t="str">
        <f>'Reported burning'!C678</f>
        <v>Human, deliberate</v>
      </c>
      <c r="D678" s="7" t="str">
        <f>'Reported burning'!D678</f>
        <v>Forest clearance</v>
      </c>
      <c r="E678" s="7" t="str">
        <f>'Reported burning'!E678</f>
        <v>Forestry, Small-scale</v>
      </c>
      <c r="F678" s="7" t="str">
        <f>'Reported burning'!F678</f>
        <v>Forest</v>
      </c>
      <c r="G678" s="7">
        <f>'Reported burning'!G678</f>
        <v>0</v>
      </c>
      <c r="H678" s="7" t="str">
        <f>'Reported burning'!H678</f>
        <v>Absence</v>
      </c>
      <c r="I678" s="4"/>
      <c r="J678" s="22" t="s">
        <v>2396</v>
      </c>
      <c r="K678" s="110" t="s">
        <v>2396</v>
      </c>
      <c r="L678" s="22" t="s">
        <v>2396</v>
      </c>
      <c r="M678" s="22" t="s">
        <v>2396</v>
      </c>
      <c r="N678" s="22" t="s">
        <v>2396</v>
      </c>
      <c r="O678" s="22" t="s">
        <v>2396</v>
      </c>
      <c r="P678" s="22" t="s">
        <v>2396</v>
      </c>
      <c r="Q678" s="109" t="s">
        <v>2308</v>
      </c>
      <c r="R678" s="109" t="s">
        <v>2308</v>
      </c>
      <c r="S678" s="22" t="s">
        <v>2396</v>
      </c>
      <c r="T678" s="22" t="s">
        <v>2396</v>
      </c>
      <c r="U678" s="22" t="s">
        <v>2396</v>
      </c>
      <c r="V678" s="22" t="s">
        <v>2396</v>
      </c>
      <c r="W678" s="22" t="s">
        <v>2308</v>
      </c>
      <c r="X678" s="4" t="s">
        <v>2308</v>
      </c>
      <c r="Y678" s="4" t="s">
        <v>2308</v>
      </c>
      <c r="Z678" s="4" t="s">
        <v>2308</v>
      </c>
      <c r="AA678" s="5" t="s">
        <v>1749</v>
      </c>
      <c r="AB678" s="4"/>
    </row>
    <row r="679" spans="1:28" ht="49.5" customHeight="1">
      <c r="A679" s="7" t="str">
        <f>'Reported burning'!A679</f>
        <v>84c</v>
      </c>
      <c r="B679" s="7" t="str">
        <f>'Reported burning'!B679</f>
        <v>84c.1</v>
      </c>
      <c r="C679" s="7" t="str">
        <f>'Reported burning'!C679</f>
        <v>Human, deliberate</v>
      </c>
      <c r="D679" s="7" t="str">
        <f>'Reported burning'!D679</f>
        <v>Forest clearance</v>
      </c>
      <c r="E679" s="7" t="str">
        <f>'Reported burning'!E679</f>
        <v>Forestry, Small-scale</v>
      </c>
      <c r="F679" s="7" t="str">
        <f>'Reported burning'!F679</f>
        <v>Forest</v>
      </c>
      <c r="G679" s="7">
        <f>'Reported burning'!G679</f>
        <v>0</v>
      </c>
      <c r="H679" s="7" t="str">
        <f>'Reported burning'!H679</f>
        <v>Absence</v>
      </c>
      <c r="I679" s="4"/>
      <c r="J679" s="22" t="s">
        <v>2396</v>
      </c>
      <c r="K679" s="110" t="s">
        <v>2396</v>
      </c>
      <c r="L679" s="22" t="s">
        <v>2396</v>
      </c>
      <c r="M679" s="22" t="s">
        <v>2396</v>
      </c>
      <c r="N679" s="22" t="s">
        <v>2396</v>
      </c>
      <c r="O679" s="22" t="s">
        <v>2396</v>
      </c>
      <c r="P679" s="22" t="s">
        <v>2396</v>
      </c>
      <c r="Q679" s="109" t="s">
        <v>2308</v>
      </c>
      <c r="R679" s="109" t="s">
        <v>2308</v>
      </c>
      <c r="S679" s="22" t="s">
        <v>2396</v>
      </c>
      <c r="T679" s="22" t="s">
        <v>2396</v>
      </c>
      <c r="U679" s="22" t="s">
        <v>2396</v>
      </c>
      <c r="V679" s="22" t="s">
        <v>2396</v>
      </c>
      <c r="W679" s="22" t="s">
        <v>2308</v>
      </c>
      <c r="X679" s="4" t="s">
        <v>2308</v>
      </c>
      <c r="Y679" s="4" t="s">
        <v>2308</v>
      </c>
      <c r="Z679" s="4" t="s">
        <v>2308</v>
      </c>
      <c r="AA679" s="5" t="s">
        <v>1749</v>
      </c>
      <c r="AB679" s="4"/>
    </row>
    <row r="680" spans="1:28" ht="49.5" customHeight="1">
      <c r="A680" s="7" t="str">
        <f>'Reported burning'!A680</f>
        <v>84d</v>
      </c>
      <c r="B680" s="7" t="str">
        <f>'Reported burning'!B680</f>
        <v>84d.1</v>
      </c>
      <c r="C680" s="7" t="str">
        <f>'Reported burning'!C680</f>
        <v>Human, deliberate</v>
      </c>
      <c r="D680" s="7" t="str">
        <f>'Reported burning'!D680</f>
        <v>Forest clearance</v>
      </c>
      <c r="E680" s="7" t="str">
        <f>'Reported burning'!E680</f>
        <v>Forestry, Small-scale</v>
      </c>
      <c r="F680" s="7" t="str">
        <f>'Reported burning'!F680</f>
        <v>Forest</v>
      </c>
      <c r="G680" s="7">
        <f>'Reported burning'!G680</f>
        <v>0</v>
      </c>
      <c r="H680" s="7" t="str">
        <f>'Reported burning'!H680</f>
        <v>Absence</v>
      </c>
      <c r="I680" s="4"/>
      <c r="J680" s="22" t="s">
        <v>2396</v>
      </c>
      <c r="K680" s="110" t="s">
        <v>2396</v>
      </c>
      <c r="L680" s="22" t="s">
        <v>2396</v>
      </c>
      <c r="M680" s="22" t="s">
        <v>2396</v>
      </c>
      <c r="N680" s="22" t="s">
        <v>2396</v>
      </c>
      <c r="O680" s="22" t="s">
        <v>2396</v>
      </c>
      <c r="P680" s="22" t="s">
        <v>2396</v>
      </c>
      <c r="Q680" s="109" t="s">
        <v>2308</v>
      </c>
      <c r="R680" s="109" t="s">
        <v>2308</v>
      </c>
      <c r="S680" s="22" t="s">
        <v>2396</v>
      </c>
      <c r="T680" s="22" t="s">
        <v>2396</v>
      </c>
      <c r="U680" s="22" t="s">
        <v>2396</v>
      </c>
      <c r="V680" s="22" t="s">
        <v>2396</v>
      </c>
      <c r="W680" s="22" t="s">
        <v>2308</v>
      </c>
      <c r="X680" s="4" t="s">
        <v>2308</v>
      </c>
      <c r="Y680" s="4" t="s">
        <v>2308</v>
      </c>
      <c r="Z680" s="4" t="s">
        <v>2308</v>
      </c>
      <c r="AA680" s="5" t="s">
        <v>1749</v>
      </c>
      <c r="AB680" s="4"/>
    </row>
    <row r="681" spans="1:28" ht="49.5" customHeight="1">
      <c r="A681" s="7" t="str">
        <f>'Reported burning'!A681</f>
        <v>84e</v>
      </c>
      <c r="B681" s="7" t="str">
        <f>'Reported burning'!B681</f>
        <v>84e.1</v>
      </c>
      <c r="C681" s="7" t="str">
        <f>'Reported burning'!C681</f>
        <v>Human, deliberate</v>
      </c>
      <c r="D681" s="7" t="str">
        <f>'Reported burning'!D681</f>
        <v>Forest clearance</v>
      </c>
      <c r="E681" s="7" t="str">
        <f>'Reported burning'!E681</f>
        <v>Forestry, Small-scale</v>
      </c>
      <c r="F681" s="7" t="str">
        <f>'Reported burning'!F681</f>
        <v>Forest</v>
      </c>
      <c r="G681" s="7">
        <f>'Reported burning'!G681</f>
        <v>0</v>
      </c>
      <c r="H681" s="7" t="str">
        <f>'Reported burning'!H681</f>
        <v>Absence</v>
      </c>
      <c r="I681" s="4"/>
      <c r="J681" s="22" t="s">
        <v>2396</v>
      </c>
      <c r="K681" s="110" t="s">
        <v>2396</v>
      </c>
      <c r="L681" s="22" t="s">
        <v>2396</v>
      </c>
      <c r="M681" s="22" t="s">
        <v>2396</v>
      </c>
      <c r="N681" s="22" t="s">
        <v>2396</v>
      </c>
      <c r="O681" s="22" t="s">
        <v>2396</v>
      </c>
      <c r="P681" s="22" t="s">
        <v>2396</v>
      </c>
      <c r="Q681" s="109" t="s">
        <v>2308</v>
      </c>
      <c r="R681" s="109" t="s">
        <v>2308</v>
      </c>
      <c r="S681" s="22" t="s">
        <v>2396</v>
      </c>
      <c r="T681" s="22" t="s">
        <v>2396</v>
      </c>
      <c r="U681" s="22" t="s">
        <v>2396</v>
      </c>
      <c r="V681" s="22" t="s">
        <v>2396</v>
      </c>
      <c r="W681" s="22" t="s">
        <v>2308</v>
      </c>
      <c r="X681" s="4" t="s">
        <v>2308</v>
      </c>
      <c r="Y681" s="4" t="s">
        <v>2308</v>
      </c>
      <c r="Z681" s="4" t="s">
        <v>2308</v>
      </c>
      <c r="AA681" s="5" t="s">
        <v>1749</v>
      </c>
      <c r="AB681" s="4"/>
    </row>
    <row r="682" spans="1:28" ht="49.5" customHeight="1">
      <c r="A682" s="7" t="str">
        <f>'Reported burning'!A682</f>
        <v>84f</v>
      </c>
      <c r="B682" s="7" t="str">
        <f>'Reported burning'!B682</f>
        <v>84f.1</v>
      </c>
      <c r="C682" s="7" t="str">
        <f>'Reported burning'!C682</f>
        <v>Human, deliberate</v>
      </c>
      <c r="D682" s="7" t="str">
        <f>'Reported burning'!D682</f>
        <v>Forest clearance</v>
      </c>
      <c r="E682" s="7" t="str">
        <f>'Reported burning'!E682</f>
        <v>Forestry, Small-scale</v>
      </c>
      <c r="F682" s="7" t="str">
        <f>'Reported burning'!F682</f>
        <v>Forest</v>
      </c>
      <c r="G682" s="7">
        <f>'Reported burning'!G682</f>
        <v>0</v>
      </c>
      <c r="H682" s="7" t="str">
        <f>'Reported burning'!H682</f>
        <v>Absence</v>
      </c>
      <c r="I682" s="4"/>
      <c r="J682" s="22" t="s">
        <v>2396</v>
      </c>
      <c r="K682" s="110" t="s">
        <v>2396</v>
      </c>
      <c r="L682" s="22" t="s">
        <v>2396</v>
      </c>
      <c r="M682" s="22" t="s">
        <v>2396</v>
      </c>
      <c r="N682" s="22" t="s">
        <v>2396</v>
      </c>
      <c r="O682" s="22" t="s">
        <v>2396</v>
      </c>
      <c r="P682" s="22" t="s">
        <v>2396</v>
      </c>
      <c r="Q682" s="109" t="s">
        <v>2308</v>
      </c>
      <c r="R682" s="109" t="s">
        <v>2308</v>
      </c>
      <c r="S682" s="22" t="s">
        <v>2396</v>
      </c>
      <c r="T682" s="22" t="s">
        <v>2396</v>
      </c>
      <c r="U682" s="22" t="s">
        <v>2396</v>
      </c>
      <c r="V682" s="22" t="s">
        <v>2396</v>
      </c>
      <c r="W682" s="22" t="s">
        <v>2308</v>
      </c>
      <c r="X682" s="4" t="s">
        <v>2308</v>
      </c>
      <c r="Y682" s="4" t="s">
        <v>2308</v>
      </c>
      <c r="Z682" s="4" t="s">
        <v>2308</v>
      </c>
      <c r="AA682" s="5" t="s">
        <v>1749</v>
      </c>
      <c r="AB682" s="4"/>
    </row>
    <row r="683" spans="1:28" ht="49.5" customHeight="1">
      <c r="A683" s="7" t="str">
        <f>'Reported burning'!A683</f>
        <v>84g</v>
      </c>
      <c r="B683" s="7" t="str">
        <f>'Reported burning'!B683</f>
        <v>84g.1</v>
      </c>
      <c r="C683" s="7" t="str">
        <f>'Reported burning'!C683</f>
        <v>Human, deliberate</v>
      </c>
      <c r="D683" s="7" t="str">
        <f>'Reported burning'!D683</f>
        <v>Forest clearance</v>
      </c>
      <c r="E683" s="7" t="str">
        <f>'Reported burning'!E683</f>
        <v>Forestry, Small-scale</v>
      </c>
      <c r="F683" s="7" t="str">
        <f>'Reported burning'!F683</f>
        <v>Forest</v>
      </c>
      <c r="G683" s="7">
        <f>'Reported burning'!G683</f>
        <v>0</v>
      </c>
      <c r="H683" s="7" t="str">
        <f>'Reported burning'!H683</f>
        <v>Absence</v>
      </c>
      <c r="I683" s="4"/>
      <c r="J683" s="22" t="s">
        <v>2396</v>
      </c>
      <c r="K683" s="110" t="s">
        <v>2396</v>
      </c>
      <c r="L683" s="22" t="s">
        <v>2396</v>
      </c>
      <c r="M683" s="22" t="s">
        <v>2396</v>
      </c>
      <c r="N683" s="22" t="s">
        <v>2396</v>
      </c>
      <c r="O683" s="22" t="s">
        <v>2396</v>
      </c>
      <c r="P683" s="22" t="s">
        <v>2396</v>
      </c>
      <c r="Q683" s="109" t="s">
        <v>2308</v>
      </c>
      <c r="R683" s="109" t="s">
        <v>2308</v>
      </c>
      <c r="S683" s="22" t="s">
        <v>2396</v>
      </c>
      <c r="T683" s="22" t="s">
        <v>2396</v>
      </c>
      <c r="U683" s="22" t="s">
        <v>2396</v>
      </c>
      <c r="V683" s="22" t="s">
        <v>2396</v>
      </c>
      <c r="W683" s="22" t="s">
        <v>2308</v>
      </c>
      <c r="X683" s="4" t="s">
        <v>2308</v>
      </c>
      <c r="Y683" s="4" t="s">
        <v>2308</v>
      </c>
      <c r="Z683" s="4" t="s">
        <v>2308</v>
      </c>
      <c r="AA683" s="5" t="s">
        <v>1749</v>
      </c>
      <c r="AB683" s="4"/>
    </row>
    <row r="684" spans="1:28" ht="49.5" customHeight="1">
      <c r="A684" s="7" t="str">
        <f>'Reported burning'!A684</f>
        <v>84h</v>
      </c>
      <c r="B684" s="7" t="str">
        <f>'Reported burning'!B684</f>
        <v>84h.1</v>
      </c>
      <c r="C684" s="7" t="str">
        <f>'Reported burning'!C684</f>
        <v>Human, deliberate</v>
      </c>
      <c r="D684" s="7" t="str">
        <f>'Reported burning'!D684</f>
        <v>Forest clearance</v>
      </c>
      <c r="E684" s="7" t="str">
        <f>'Reported burning'!E684</f>
        <v>Forestry, Small-scale</v>
      </c>
      <c r="F684" s="7" t="str">
        <f>'Reported burning'!F684</f>
        <v>Forest</v>
      </c>
      <c r="G684" s="7">
        <f>'Reported burning'!G684</f>
        <v>0</v>
      </c>
      <c r="H684" s="7" t="str">
        <f>'Reported burning'!H684</f>
        <v>Absence</v>
      </c>
      <c r="I684" s="4"/>
      <c r="J684" s="22" t="s">
        <v>2396</v>
      </c>
      <c r="K684" s="110" t="s">
        <v>2396</v>
      </c>
      <c r="L684" s="22" t="s">
        <v>2396</v>
      </c>
      <c r="M684" s="22" t="s">
        <v>2396</v>
      </c>
      <c r="N684" s="22" t="s">
        <v>2396</v>
      </c>
      <c r="O684" s="22" t="s">
        <v>2396</v>
      </c>
      <c r="P684" s="22" t="s">
        <v>2396</v>
      </c>
      <c r="Q684" s="109" t="s">
        <v>2308</v>
      </c>
      <c r="R684" s="109" t="s">
        <v>2308</v>
      </c>
      <c r="S684" s="22" t="s">
        <v>2396</v>
      </c>
      <c r="T684" s="22" t="s">
        <v>2396</v>
      </c>
      <c r="U684" s="22" t="s">
        <v>2396</v>
      </c>
      <c r="V684" s="22" t="s">
        <v>2396</v>
      </c>
      <c r="W684" s="22" t="s">
        <v>2308</v>
      </c>
      <c r="X684" s="4" t="s">
        <v>2308</v>
      </c>
      <c r="Y684" s="4" t="s">
        <v>2308</v>
      </c>
      <c r="Z684" s="4" t="s">
        <v>2308</v>
      </c>
      <c r="AA684" s="5" t="s">
        <v>1749</v>
      </c>
      <c r="AB684" s="4"/>
    </row>
    <row r="685" spans="1:28" ht="49.5" customHeight="1">
      <c r="A685" s="7" t="str">
        <f>'Reported burning'!A685</f>
        <v>84i</v>
      </c>
      <c r="B685" s="7" t="str">
        <f>'Reported burning'!B685</f>
        <v>84i.1</v>
      </c>
      <c r="C685" s="7" t="str">
        <f>'Reported burning'!C685</f>
        <v>Human, deliberate</v>
      </c>
      <c r="D685" s="7" t="str">
        <f>'Reported burning'!D685</f>
        <v>Forest clearance</v>
      </c>
      <c r="E685" s="7" t="str">
        <f>'Reported burning'!E685</f>
        <v>Forestry, Small-scale</v>
      </c>
      <c r="F685" s="7" t="str">
        <f>'Reported burning'!F685</f>
        <v>Forest</v>
      </c>
      <c r="G685" s="7">
        <f>'Reported burning'!G685</f>
        <v>0</v>
      </c>
      <c r="H685" s="7" t="str">
        <f>'Reported burning'!H685</f>
        <v>Absence</v>
      </c>
      <c r="I685" s="4"/>
      <c r="J685" s="22" t="s">
        <v>2396</v>
      </c>
      <c r="K685" s="110" t="s">
        <v>2396</v>
      </c>
      <c r="L685" s="22" t="s">
        <v>2396</v>
      </c>
      <c r="M685" s="22" t="s">
        <v>2396</v>
      </c>
      <c r="N685" s="22" t="s">
        <v>2396</v>
      </c>
      <c r="O685" s="22" t="s">
        <v>2396</v>
      </c>
      <c r="P685" s="22" t="s">
        <v>2396</v>
      </c>
      <c r="Q685" s="109" t="s">
        <v>2308</v>
      </c>
      <c r="R685" s="109" t="s">
        <v>2308</v>
      </c>
      <c r="S685" s="22" t="s">
        <v>2396</v>
      </c>
      <c r="T685" s="22" t="s">
        <v>2396</v>
      </c>
      <c r="U685" s="22" t="s">
        <v>2396</v>
      </c>
      <c r="V685" s="22" t="s">
        <v>2396</v>
      </c>
      <c r="W685" s="22" t="s">
        <v>2308</v>
      </c>
      <c r="X685" s="4" t="s">
        <v>2308</v>
      </c>
      <c r="Y685" s="4" t="s">
        <v>2308</v>
      </c>
      <c r="Z685" s="4" t="s">
        <v>2308</v>
      </c>
      <c r="AA685" s="5" t="s">
        <v>1749</v>
      </c>
      <c r="AB685" s="4"/>
    </row>
    <row r="686" spans="1:28" ht="49.5" customHeight="1">
      <c r="A686" s="7" t="str">
        <f>'Reported burning'!A686</f>
        <v>84j</v>
      </c>
      <c r="B686" s="7" t="str">
        <f>'Reported burning'!B686</f>
        <v>84j.1</v>
      </c>
      <c r="C686" s="7" t="str">
        <f>'Reported burning'!C686</f>
        <v>Human, deliberate</v>
      </c>
      <c r="D686" s="7" t="str">
        <f>'Reported burning'!D686</f>
        <v>Forest clearance</v>
      </c>
      <c r="E686" s="7" t="str">
        <f>'Reported burning'!E686</f>
        <v>Forestry, Small-scale</v>
      </c>
      <c r="F686" s="7" t="str">
        <f>'Reported burning'!F686</f>
        <v>Forest</v>
      </c>
      <c r="G686" s="7">
        <f>'Reported burning'!G686</f>
        <v>0</v>
      </c>
      <c r="H686" s="7" t="str">
        <f>'Reported burning'!H686</f>
        <v>Absence</v>
      </c>
      <c r="I686" s="4"/>
      <c r="J686" s="22" t="s">
        <v>2396</v>
      </c>
      <c r="K686" s="110" t="s">
        <v>2396</v>
      </c>
      <c r="L686" s="22" t="s">
        <v>2396</v>
      </c>
      <c r="M686" s="22" t="s">
        <v>2396</v>
      </c>
      <c r="N686" s="22" t="s">
        <v>2396</v>
      </c>
      <c r="O686" s="22" t="s">
        <v>2396</v>
      </c>
      <c r="P686" s="22" t="s">
        <v>2396</v>
      </c>
      <c r="Q686" s="109" t="s">
        <v>2308</v>
      </c>
      <c r="R686" s="109" t="s">
        <v>2308</v>
      </c>
      <c r="S686" s="22" t="s">
        <v>2396</v>
      </c>
      <c r="T686" s="22" t="s">
        <v>2396</v>
      </c>
      <c r="U686" s="22" t="s">
        <v>2396</v>
      </c>
      <c r="V686" s="22" t="s">
        <v>2396</v>
      </c>
      <c r="W686" s="22" t="s">
        <v>2308</v>
      </c>
      <c r="X686" s="4" t="s">
        <v>2308</v>
      </c>
      <c r="Y686" s="4" t="s">
        <v>2308</v>
      </c>
      <c r="Z686" s="4" t="s">
        <v>2308</v>
      </c>
      <c r="AA686" s="5" t="s">
        <v>1749</v>
      </c>
      <c r="AB686" s="4"/>
    </row>
    <row r="687" spans="1:28" ht="49.5" customHeight="1">
      <c r="A687" s="7" t="str">
        <f>'Reported burning'!A687</f>
        <v>84k</v>
      </c>
      <c r="B687" s="7" t="str">
        <f>'Reported burning'!B687</f>
        <v>84k.1</v>
      </c>
      <c r="C687" s="7" t="str">
        <f>'Reported burning'!C687</f>
        <v>Human, deliberate</v>
      </c>
      <c r="D687" s="7" t="str">
        <f>'Reported burning'!D687</f>
        <v>Forest clearance</v>
      </c>
      <c r="E687" s="7" t="str">
        <f>'Reported burning'!E687</f>
        <v>Forestry, Small-scale</v>
      </c>
      <c r="F687" s="7" t="str">
        <f>'Reported burning'!F687</f>
        <v>Forest</v>
      </c>
      <c r="G687" s="7">
        <f>'Reported burning'!G687</f>
        <v>0</v>
      </c>
      <c r="H687" s="7" t="str">
        <f>'Reported burning'!H687</f>
        <v>Absence</v>
      </c>
      <c r="I687" s="4"/>
      <c r="J687" s="22" t="s">
        <v>2396</v>
      </c>
      <c r="K687" s="110" t="s">
        <v>2396</v>
      </c>
      <c r="L687" s="22" t="s">
        <v>2396</v>
      </c>
      <c r="M687" s="22" t="s">
        <v>2396</v>
      </c>
      <c r="N687" s="22" t="s">
        <v>2396</v>
      </c>
      <c r="O687" s="22" t="s">
        <v>2396</v>
      </c>
      <c r="P687" s="22" t="s">
        <v>2396</v>
      </c>
      <c r="Q687" s="109" t="s">
        <v>2308</v>
      </c>
      <c r="R687" s="109" t="s">
        <v>2308</v>
      </c>
      <c r="S687" s="22" t="s">
        <v>2396</v>
      </c>
      <c r="T687" s="22" t="s">
        <v>2396</v>
      </c>
      <c r="U687" s="22" t="s">
        <v>2396</v>
      </c>
      <c r="V687" s="22" t="s">
        <v>2396</v>
      </c>
      <c r="W687" s="22" t="s">
        <v>2308</v>
      </c>
      <c r="X687" s="4" t="s">
        <v>2308</v>
      </c>
      <c r="Y687" s="4" t="s">
        <v>2308</v>
      </c>
      <c r="Z687" s="4" t="s">
        <v>2308</v>
      </c>
      <c r="AA687" s="5" t="s">
        <v>1749</v>
      </c>
      <c r="AB687" s="4"/>
    </row>
    <row r="688" spans="1:28" ht="49.5" customHeight="1">
      <c r="A688" s="7" t="str">
        <f>'Reported burning'!A688</f>
        <v>84l</v>
      </c>
      <c r="B688" s="7" t="str">
        <f>'Reported burning'!B688</f>
        <v>84l.1</v>
      </c>
      <c r="C688" s="7" t="str">
        <f>'Reported burning'!C688</f>
        <v>Human, deliberate</v>
      </c>
      <c r="D688" s="7" t="str">
        <f>'Reported burning'!D688</f>
        <v>Forest clearance</v>
      </c>
      <c r="E688" s="7" t="str">
        <f>'Reported burning'!E688</f>
        <v>Forestry, Small-scale</v>
      </c>
      <c r="F688" s="7" t="str">
        <f>'Reported burning'!F688</f>
        <v>Forest</v>
      </c>
      <c r="G688" s="7">
        <f>'Reported burning'!G688</f>
        <v>0</v>
      </c>
      <c r="H688" s="7" t="str">
        <f>'Reported burning'!H688</f>
        <v>Absence</v>
      </c>
      <c r="I688" s="4"/>
      <c r="J688" s="22" t="s">
        <v>2396</v>
      </c>
      <c r="K688" s="110" t="s">
        <v>2396</v>
      </c>
      <c r="L688" s="22" t="s">
        <v>2396</v>
      </c>
      <c r="M688" s="22" t="s">
        <v>2396</v>
      </c>
      <c r="N688" s="22" t="s">
        <v>2396</v>
      </c>
      <c r="O688" s="22" t="s">
        <v>2396</v>
      </c>
      <c r="P688" s="22" t="s">
        <v>2396</v>
      </c>
      <c r="Q688" s="109" t="s">
        <v>2308</v>
      </c>
      <c r="R688" s="109" t="s">
        <v>2308</v>
      </c>
      <c r="S688" s="22" t="s">
        <v>2396</v>
      </c>
      <c r="T688" s="22" t="s">
        <v>2396</v>
      </c>
      <c r="U688" s="22" t="s">
        <v>2396</v>
      </c>
      <c r="V688" s="22" t="s">
        <v>2396</v>
      </c>
      <c r="W688" s="22" t="s">
        <v>2308</v>
      </c>
      <c r="X688" s="4" t="s">
        <v>2308</v>
      </c>
      <c r="Y688" s="4" t="s">
        <v>2308</v>
      </c>
      <c r="Z688" s="4" t="s">
        <v>2308</v>
      </c>
      <c r="AA688" s="5" t="s">
        <v>1749</v>
      </c>
      <c r="AB688" s="4"/>
    </row>
    <row r="689" spans="1:28" ht="49.5" customHeight="1">
      <c r="A689" s="7" t="str">
        <f>'Reported burning'!A689</f>
        <v>84m</v>
      </c>
      <c r="B689" s="7" t="str">
        <f>'Reported burning'!B689</f>
        <v>84m.1</v>
      </c>
      <c r="C689" s="7" t="str">
        <f>'Reported burning'!C689</f>
        <v>Human, deliberate</v>
      </c>
      <c r="D689" s="7" t="str">
        <f>'Reported burning'!D689</f>
        <v>Forest clearance</v>
      </c>
      <c r="E689" s="7" t="str">
        <f>'Reported burning'!E689</f>
        <v>Forestry, Small-scale</v>
      </c>
      <c r="F689" s="7" t="str">
        <f>'Reported burning'!F689</f>
        <v>Forest</v>
      </c>
      <c r="G689" s="7">
        <f>'Reported burning'!G689</f>
        <v>0</v>
      </c>
      <c r="H689" s="7" t="str">
        <f>'Reported burning'!H689</f>
        <v>Absence</v>
      </c>
      <c r="I689" s="4"/>
      <c r="J689" s="22" t="s">
        <v>2396</v>
      </c>
      <c r="K689" s="110" t="s">
        <v>2396</v>
      </c>
      <c r="L689" s="22" t="s">
        <v>2396</v>
      </c>
      <c r="M689" s="22" t="s">
        <v>2396</v>
      </c>
      <c r="N689" s="22" t="s">
        <v>2396</v>
      </c>
      <c r="O689" s="22" t="s">
        <v>2396</v>
      </c>
      <c r="P689" s="22" t="s">
        <v>2396</v>
      </c>
      <c r="Q689" s="109" t="s">
        <v>2308</v>
      </c>
      <c r="R689" s="109" t="s">
        <v>2308</v>
      </c>
      <c r="S689" s="22" t="s">
        <v>2396</v>
      </c>
      <c r="T689" s="22" t="s">
        <v>2396</v>
      </c>
      <c r="U689" s="22" t="s">
        <v>2396</v>
      </c>
      <c r="V689" s="22" t="s">
        <v>2396</v>
      </c>
      <c r="W689" s="22" t="s">
        <v>2308</v>
      </c>
      <c r="X689" s="4" t="s">
        <v>2308</v>
      </c>
      <c r="Y689" s="4" t="s">
        <v>2308</v>
      </c>
      <c r="Z689" s="4" t="s">
        <v>2308</v>
      </c>
      <c r="AA689" s="5" t="s">
        <v>1749</v>
      </c>
      <c r="AB689" s="4"/>
    </row>
    <row r="690" spans="1:28" ht="49.5" customHeight="1">
      <c r="A690" s="7" t="str">
        <f>'Reported burning'!A690</f>
        <v>84n</v>
      </c>
      <c r="B690" s="7" t="str">
        <f>'Reported burning'!B690</f>
        <v>84n.1</v>
      </c>
      <c r="C690" s="7" t="str">
        <f>'Reported burning'!C690</f>
        <v>Human, deliberate</v>
      </c>
      <c r="D690" s="7" t="str">
        <f>'Reported burning'!D690</f>
        <v>Forest clearance</v>
      </c>
      <c r="E690" s="7" t="str">
        <f>'Reported burning'!E690</f>
        <v>Forestry, Small-scale</v>
      </c>
      <c r="F690" s="7" t="str">
        <f>'Reported burning'!F690</f>
        <v>Forest</v>
      </c>
      <c r="G690" s="7">
        <f>'Reported burning'!G690</f>
        <v>0</v>
      </c>
      <c r="H690" s="7" t="str">
        <f>'Reported burning'!H690</f>
        <v>Absence</v>
      </c>
      <c r="I690" s="4"/>
      <c r="J690" s="22" t="s">
        <v>2396</v>
      </c>
      <c r="K690" s="110" t="s">
        <v>2396</v>
      </c>
      <c r="L690" s="22" t="s">
        <v>2396</v>
      </c>
      <c r="M690" s="22" t="s">
        <v>2396</v>
      </c>
      <c r="N690" s="22" t="s">
        <v>2396</v>
      </c>
      <c r="O690" s="22" t="s">
        <v>2396</v>
      </c>
      <c r="P690" s="22" t="s">
        <v>2396</v>
      </c>
      <c r="Q690" s="109" t="s">
        <v>2308</v>
      </c>
      <c r="R690" s="109" t="s">
        <v>2308</v>
      </c>
      <c r="S690" s="22" t="s">
        <v>2396</v>
      </c>
      <c r="T690" s="22" t="s">
        <v>2396</v>
      </c>
      <c r="U690" s="22" t="s">
        <v>2396</v>
      </c>
      <c r="V690" s="22" t="s">
        <v>2396</v>
      </c>
      <c r="W690" s="22" t="s">
        <v>2308</v>
      </c>
      <c r="X690" s="4" t="s">
        <v>2308</v>
      </c>
      <c r="Y690" s="4" t="s">
        <v>2308</v>
      </c>
      <c r="Z690" s="4" t="s">
        <v>2308</v>
      </c>
      <c r="AA690" s="5" t="s">
        <v>1749</v>
      </c>
      <c r="AB690" s="4"/>
    </row>
    <row r="691" spans="1:28" ht="49.5" customHeight="1">
      <c r="A691" s="7" t="str">
        <f>'Reported burning'!A691</f>
        <v>84o</v>
      </c>
      <c r="B691" s="7" t="str">
        <f>'Reported burning'!B691</f>
        <v>84o.1</v>
      </c>
      <c r="C691" s="7" t="str">
        <f>'Reported burning'!C691</f>
        <v>Human, deliberate</v>
      </c>
      <c r="D691" s="7" t="str">
        <f>'Reported burning'!D691</f>
        <v>Forest clearance</v>
      </c>
      <c r="E691" s="7" t="str">
        <f>'Reported burning'!E691</f>
        <v>Forestry, Small-scale</v>
      </c>
      <c r="F691" s="7" t="str">
        <f>'Reported burning'!F691</f>
        <v>Forest</v>
      </c>
      <c r="G691" s="7">
        <f>'Reported burning'!G691</f>
        <v>0</v>
      </c>
      <c r="H691" s="7" t="str">
        <f>'Reported burning'!H691</f>
        <v>Absence</v>
      </c>
      <c r="I691" s="4"/>
      <c r="J691" s="22" t="s">
        <v>2396</v>
      </c>
      <c r="K691" s="110" t="s">
        <v>2396</v>
      </c>
      <c r="L691" s="22" t="s">
        <v>2396</v>
      </c>
      <c r="M691" s="22" t="s">
        <v>2396</v>
      </c>
      <c r="N691" s="22" t="s">
        <v>2396</v>
      </c>
      <c r="O691" s="22" t="s">
        <v>2396</v>
      </c>
      <c r="P691" s="22" t="s">
        <v>2396</v>
      </c>
      <c r="Q691" s="109" t="s">
        <v>2308</v>
      </c>
      <c r="R691" s="109" t="s">
        <v>2308</v>
      </c>
      <c r="S691" s="22" t="s">
        <v>2396</v>
      </c>
      <c r="T691" s="22" t="s">
        <v>2396</v>
      </c>
      <c r="U691" s="22" t="s">
        <v>2396</v>
      </c>
      <c r="V691" s="22" t="s">
        <v>2396</v>
      </c>
      <c r="W691" s="22" t="s">
        <v>2308</v>
      </c>
      <c r="X691" s="4" t="s">
        <v>2308</v>
      </c>
      <c r="Y691" s="4" t="s">
        <v>2308</v>
      </c>
      <c r="Z691" s="4" t="s">
        <v>2308</v>
      </c>
      <c r="AA691" s="5" t="s">
        <v>1749</v>
      </c>
      <c r="AB691" s="4"/>
    </row>
    <row r="692" spans="1:28" ht="49.5" customHeight="1">
      <c r="A692" s="7" t="str">
        <f>'Reported burning'!A692</f>
        <v>84p</v>
      </c>
      <c r="B692" s="7" t="str">
        <f>'Reported burning'!B692</f>
        <v>84p.1</v>
      </c>
      <c r="C692" s="7" t="str">
        <f>'Reported burning'!C692</f>
        <v>Human, deliberate</v>
      </c>
      <c r="D692" s="7" t="str">
        <f>'Reported burning'!D692</f>
        <v>Forest clearance</v>
      </c>
      <c r="E692" s="7" t="str">
        <f>'Reported burning'!E692</f>
        <v>Forestry, Small-scale</v>
      </c>
      <c r="F692" s="7" t="str">
        <f>'Reported burning'!F692</f>
        <v>Forest</v>
      </c>
      <c r="G692" s="7">
        <f>'Reported burning'!G692</f>
        <v>0</v>
      </c>
      <c r="H692" s="7" t="str">
        <f>'Reported burning'!H692</f>
        <v>Absence</v>
      </c>
      <c r="I692" s="4"/>
      <c r="J692" s="22" t="s">
        <v>2396</v>
      </c>
      <c r="K692" s="110" t="s">
        <v>2396</v>
      </c>
      <c r="L692" s="22" t="s">
        <v>2396</v>
      </c>
      <c r="M692" s="22" t="s">
        <v>2396</v>
      </c>
      <c r="N692" s="22" t="s">
        <v>2396</v>
      </c>
      <c r="O692" s="22" t="s">
        <v>2396</v>
      </c>
      <c r="P692" s="22" t="s">
        <v>2396</v>
      </c>
      <c r="Q692" s="109" t="s">
        <v>2308</v>
      </c>
      <c r="R692" s="109" t="s">
        <v>2308</v>
      </c>
      <c r="S692" s="22" t="s">
        <v>2396</v>
      </c>
      <c r="T692" s="22" t="s">
        <v>2396</v>
      </c>
      <c r="U692" s="22" t="s">
        <v>2396</v>
      </c>
      <c r="V692" s="22" t="s">
        <v>2396</v>
      </c>
      <c r="W692" s="22" t="s">
        <v>2308</v>
      </c>
      <c r="X692" s="4" t="s">
        <v>2308</v>
      </c>
      <c r="Y692" s="4" t="s">
        <v>2308</v>
      </c>
      <c r="Z692" s="4" t="s">
        <v>2308</v>
      </c>
      <c r="AA692" s="5" t="s">
        <v>1749</v>
      </c>
      <c r="AB692" s="4"/>
    </row>
    <row r="693" spans="1:28" ht="49.5" customHeight="1">
      <c r="A693" s="7" t="str">
        <f>'Reported burning'!A693</f>
        <v>84q</v>
      </c>
      <c r="B693" s="7" t="str">
        <f>'Reported burning'!B693</f>
        <v>84q.1</v>
      </c>
      <c r="C693" s="7" t="str">
        <f>'Reported burning'!C693</f>
        <v>Human, deliberate</v>
      </c>
      <c r="D693" s="7" t="str">
        <f>'Reported burning'!D693</f>
        <v>Forest clearance</v>
      </c>
      <c r="E693" s="7" t="str">
        <f>'Reported burning'!E693</f>
        <v>Forestry, Small-scale</v>
      </c>
      <c r="F693" s="7" t="str">
        <f>'Reported burning'!F693</f>
        <v>Forest</v>
      </c>
      <c r="G693" s="7">
        <f>'Reported burning'!G693</f>
        <v>0</v>
      </c>
      <c r="H693" s="7" t="str">
        <f>'Reported burning'!H693</f>
        <v>Absence</v>
      </c>
      <c r="I693" s="4"/>
      <c r="J693" s="22" t="s">
        <v>2396</v>
      </c>
      <c r="K693" s="110" t="s">
        <v>2396</v>
      </c>
      <c r="L693" s="22" t="s">
        <v>2396</v>
      </c>
      <c r="M693" s="22" t="s">
        <v>2396</v>
      </c>
      <c r="N693" s="22" t="s">
        <v>2396</v>
      </c>
      <c r="O693" s="22" t="s">
        <v>2396</v>
      </c>
      <c r="P693" s="22" t="s">
        <v>2396</v>
      </c>
      <c r="Q693" s="109" t="s">
        <v>2308</v>
      </c>
      <c r="R693" s="109" t="s">
        <v>2308</v>
      </c>
      <c r="S693" s="22" t="s">
        <v>2396</v>
      </c>
      <c r="T693" s="22" t="s">
        <v>2396</v>
      </c>
      <c r="U693" s="22" t="s">
        <v>2396</v>
      </c>
      <c r="V693" s="22" t="s">
        <v>2396</v>
      </c>
      <c r="W693" s="22" t="s">
        <v>2308</v>
      </c>
      <c r="X693" s="4" t="s">
        <v>2308</v>
      </c>
      <c r="Y693" s="4" t="s">
        <v>2308</v>
      </c>
      <c r="Z693" s="4" t="s">
        <v>2308</v>
      </c>
      <c r="AA693" s="5" t="s">
        <v>1749</v>
      </c>
      <c r="AB693" s="4"/>
    </row>
    <row r="694" spans="1:28" ht="49.5" customHeight="1">
      <c r="A694" s="7" t="str">
        <f>'Reported burning'!A694</f>
        <v>84r</v>
      </c>
      <c r="B694" s="7" t="str">
        <f>'Reported burning'!B694</f>
        <v>84r.1</v>
      </c>
      <c r="C694" s="7" t="str">
        <f>'Reported burning'!C694</f>
        <v>Human, deliberate</v>
      </c>
      <c r="D694" s="7" t="str">
        <f>'Reported burning'!D694</f>
        <v>Forest clearance</v>
      </c>
      <c r="E694" s="7" t="str">
        <f>'Reported burning'!E694</f>
        <v>Forestry, Small-scale</v>
      </c>
      <c r="F694" s="7" t="str">
        <f>'Reported burning'!F694</f>
        <v>Forest</v>
      </c>
      <c r="G694" s="7">
        <f>'Reported burning'!G694</f>
        <v>0</v>
      </c>
      <c r="H694" s="7" t="str">
        <f>'Reported burning'!H694</f>
        <v>Absence</v>
      </c>
      <c r="I694" s="4"/>
      <c r="J694" s="22" t="s">
        <v>2396</v>
      </c>
      <c r="K694" s="110" t="s">
        <v>2396</v>
      </c>
      <c r="L694" s="22" t="s">
        <v>2396</v>
      </c>
      <c r="M694" s="22" t="s">
        <v>2396</v>
      </c>
      <c r="N694" s="22" t="s">
        <v>2396</v>
      </c>
      <c r="O694" s="22" t="s">
        <v>2396</v>
      </c>
      <c r="P694" s="22" t="s">
        <v>2396</v>
      </c>
      <c r="Q694" s="109" t="s">
        <v>2308</v>
      </c>
      <c r="R694" s="109" t="s">
        <v>2308</v>
      </c>
      <c r="S694" s="22" t="s">
        <v>2396</v>
      </c>
      <c r="T694" s="22" t="s">
        <v>2396</v>
      </c>
      <c r="U694" s="22" t="s">
        <v>2396</v>
      </c>
      <c r="V694" s="22" t="s">
        <v>2396</v>
      </c>
      <c r="W694" s="22" t="s">
        <v>2308</v>
      </c>
      <c r="X694" s="4" t="s">
        <v>2308</v>
      </c>
      <c r="Y694" s="4" t="s">
        <v>2308</v>
      </c>
      <c r="Z694" s="4" t="s">
        <v>2308</v>
      </c>
      <c r="AA694" s="5" t="s">
        <v>1749</v>
      </c>
      <c r="AB694" s="4"/>
    </row>
    <row r="695" spans="1:28" ht="49.5" customHeight="1">
      <c r="A695" s="7" t="str">
        <f>'Reported burning'!A695</f>
        <v>84s</v>
      </c>
      <c r="B695" s="7" t="str">
        <f>'Reported burning'!B695</f>
        <v>84s.1</v>
      </c>
      <c r="C695" s="7" t="str">
        <f>'Reported burning'!C695</f>
        <v>Human, deliberate</v>
      </c>
      <c r="D695" s="7" t="str">
        <f>'Reported burning'!D695</f>
        <v>Forest clearance</v>
      </c>
      <c r="E695" s="7" t="str">
        <f>'Reported burning'!E695</f>
        <v>Forestry, Small-scale</v>
      </c>
      <c r="F695" s="7" t="str">
        <f>'Reported burning'!F695</f>
        <v>Forest</v>
      </c>
      <c r="G695" s="7">
        <f>'Reported burning'!G695</f>
        <v>0</v>
      </c>
      <c r="H695" s="7" t="str">
        <f>'Reported burning'!H695</f>
        <v>Absence</v>
      </c>
      <c r="I695" s="4"/>
      <c r="J695" s="22" t="s">
        <v>2396</v>
      </c>
      <c r="K695" s="110" t="s">
        <v>2396</v>
      </c>
      <c r="L695" s="22" t="s">
        <v>2396</v>
      </c>
      <c r="M695" s="22" t="s">
        <v>2396</v>
      </c>
      <c r="N695" s="22" t="s">
        <v>2396</v>
      </c>
      <c r="O695" s="22" t="s">
        <v>2396</v>
      </c>
      <c r="P695" s="22" t="s">
        <v>2396</v>
      </c>
      <c r="Q695" s="109" t="s">
        <v>2308</v>
      </c>
      <c r="R695" s="109" t="s">
        <v>2308</v>
      </c>
      <c r="S695" s="22" t="s">
        <v>2396</v>
      </c>
      <c r="T695" s="22" t="s">
        <v>2396</v>
      </c>
      <c r="U695" s="22" t="s">
        <v>2396</v>
      </c>
      <c r="V695" s="22" t="s">
        <v>2396</v>
      </c>
      <c r="W695" s="22" t="s">
        <v>2308</v>
      </c>
      <c r="X695" s="4" t="s">
        <v>2308</v>
      </c>
      <c r="Y695" s="4" t="s">
        <v>2308</v>
      </c>
      <c r="Z695" s="4" t="s">
        <v>2308</v>
      </c>
      <c r="AA695" s="5" t="s">
        <v>1749</v>
      </c>
      <c r="AB695" s="4"/>
    </row>
    <row r="696" spans="1:28" ht="49.5" customHeight="1">
      <c r="A696" s="7" t="str">
        <f>'Reported burning'!A696</f>
        <v>84t</v>
      </c>
      <c r="B696" s="7" t="str">
        <f>'Reported burning'!B696</f>
        <v>84t.1</v>
      </c>
      <c r="C696" s="7" t="str">
        <f>'Reported burning'!C696</f>
        <v>Human, deliberate</v>
      </c>
      <c r="D696" s="7" t="str">
        <f>'Reported burning'!D696</f>
        <v>Forest clearance</v>
      </c>
      <c r="E696" s="7" t="str">
        <f>'Reported burning'!E696</f>
        <v>Forestry, Small-scale</v>
      </c>
      <c r="F696" s="7" t="str">
        <f>'Reported burning'!F696</f>
        <v>Forest</v>
      </c>
      <c r="G696" s="7">
        <f>'Reported burning'!G696</f>
        <v>0</v>
      </c>
      <c r="H696" s="7" t="str">
        <f>'Reported burning'!H696</f>
        <v>Absence</v>
      </c>
      <c r="I696" s="4"/>
      <c r="J696" s="22" t="s">
        <v>2396</v>
      </c>
      <c r="K696" s="110" t="s">
        <v>2396</v>
      </c>
      <c r="L696" s="22" t="s">
        <v>2396</v>
      </c>
      <c r="M696" s="22" t="s">
        <v>2396</v>
      </c>
      <c r="N696" s="22" t="s">
        <v>2396</v>
      </c>
      <c r="O696" s="22" t="s">
        <v>2396</v>
      </c>
      <c r="P696" s="22" t="s">
        <v>2396</v>
      </c>
      <c r="Q696" s="109" t="s">
        <v>2308</v>
      </c>
      <c r="R696" s="109" t="s">
        <v>2308</v>
      </c>
      <c r="S696" s="22" t="s">
        <v>2396</v>
      </c>
      <c r="T696" s="22" t="s">
        <v>2396</v>
      </c>
      <c r="U696" s="22" t="s">
        <v>2396</v>
      </c>
      <c r="V696" s="22" t="s">
        <v>2396</v>
      </c>
      <c r="W696" s="22" t="s">
        <v>2308</v>
      </c>
      <c r="X696" s="4" t="s">
        <v>2308</v>
      </c>
      <c r="Y696" s="4" t="s">
        <v>2308</v>
      </c>
      <c r="Z696" s="4" t="s">
        <v>2308</v>
      </c>
      <c r="AA696" s="5" t="s">
        <v>1749</v>
      </c>
      <c r="AB696" s="4"/>
    </row>
    <row r="697" spans="1:28" ht="49.5" customHeight="1">
      <c r="A697" s="7" t="str">
        <f>'Reported burning'!A697</f>
        <v>84u</v>
      </c>
      <c r="B697" s="7" t="str">
        <f>'Reported burning'!B697</f>
        <v>84u.1</v>
      </c>
      <c r="C697" s="7" t="str">
        <f>'Reported burning'!C697</f>
        <v>Human, deliberate</v>
      </c>
      <c r="D697" s="7" t="str">
        <f>'Reported burning'!D697</f>
        <v>Forest clearance</v>
      </c>
      <c r="E697" s="7" t="str">
        <f>'Reported burning'!E697</f>
        <v>Forestry, Small-scale</v>
      </c>
      <c r="F697" s="7" t="str">
        <f>'Reported burning'!F697</f>
        <v>Forest</v>
      </c>
      <c r="G697" s="7">
        <f>'Reported burning'!G697</f>
        <v>0</v>
      </c>
      <c r="H697" s="7" t="str">
        <f>'Reported burning'!H697</f>
        <v>Absence</v>
      </c>
      <c r="I697" s="4"/>
      <c r="J697" s="22" t="s">
        <v>2396</v>
      </c>
      <c r="K697" s="110" t="s">
        <v>2396</v>
      </c>
      <c r="L697" s="22" t="s">
        <v>2396</v>
      </c>
      <c r="M697" s="22" t="s">
        <v>2396</v>
      </c>
      <c r="N697" s="22" t="s">
        <v>2396</v>
      </c>
      <c r="O697" s="22" t="s">
        <v>2396</v>
      </c>
      <c r="P697" s="22" t="s">
        <v>2396</v>
      </c>
      <c r="Q697" s="109" t="s">
        <v>2308</v>
      </c>
      <c r="R697" s="109" t="s">
        <v>2308</v>
      </c>
      <c r="S697" s="22" t="s">
        <v>2396</v>
      </c>
      <c r="T697" s="22" t="s">
        <v>2396</v>
      </c>
      <c r="U697" s="22" t="s">
        <v>2396</v>
      </c>
      <c r="V697" s="22" t="s">
        <v>2396</v>
      </c>
      <c r="W697" s="22" t="s">
        <v>2308</v>
      </c>
      <c r="X697" s="4" t="s">
        <v>2308</v>
      </c>
      <c r="Y697" s="4" t="s">
        <v>2308</v>
      </c>
      <c r="Z697" s="4" t="s">
        <v>2308</v>
      </c>
      <c r="AA697" s="5" t="s">
        <v>1749</v>
      </c>
      <c r="AB697" s="4"/>
    </row>
    <row r="698" spans="1:28" ht="49.5" customHeight="1">
      <c r="A698" s="7" t="str">
        <f>'Reported burning'!A698</f>
        <v>84v</v>
      </c>
      <c r="B698" s="7" t="str">
        <f>'Reported burning'!B698</f>
        <v>84v.1</v>
      </c>
      <c r="C698" s="7" t="str">
        <f>'Reported burning'!C698</f>
        <v>Human, deliberate</v>
      </c>
      <c r="D698" s="7" t="str">
        <f>'Reported burning'!D698</f>
        <v>Forest clearance</v>
      </c>
      <c r="E698" s="7" t="str">
        <f>'Reported burning'!E698</f>
        <v>Forestry, Small-scale</v>
      </c>
      <c r="F698" s="7" t="str">
        <f>'Reported burning'!F698</f>
        <v>Forest</v>
      </c>
      <c r="G698" s="7">
        <f>'Reported burning'!G698</f>
        <v>0</v>
      </c>
      <c r="H698" s="7" t="str">
        <f>'Reported burning'!H698</f>
        <v>Absence</v>
      </c>
      <c r="I698" s="4"/>
      <c r="J698" s="22" t="s">
        <v>2396</v>
      </c>
      <c r="K698" s="110" t="s">
        <v>2396</v>
      </c>
      <c r="L698" s="22" t="s">
        <v>2396</v>
      </c>
      <c r="M698" s="22" t="s">
        <v>2396</v>
      </c>
      <c r="N698" s="22" t="s">
        <v>2396</v>
      </c>
      <c r="O698" s="22" t="s">
        <v>2396</v>
      </c>
      <c r="P698" s="22" t="s">
        <v>2396</v>
      </c>
      <c r="Q698" s="109" t="s">
        <v>2308</v>
      </c>
      <c r="R698" s="109" t="s">
        <v>2308</v>
      </c>
      <c r="S698" s="22" t="s">
        <v>2396</v>
      </c>
      <c r="T698" s="22" t="s">
        <v>2396</v>
      </c>
      <c r="U698" s="22" t="s">
        <v>2396</v>
      </c>
      <c r="V698" s="22" t="s">
        <v>2396</v>
      </c>
      <c r="W698" s="22" t="s">
        <v>2308</v>
      </c>
      <c r="X698" s="4" t="s">
        <v>2308</v>
      </c>
      <c r="Y698" s="4" t="s">
        <v>2308</v>
      </c>
      <c r="Z698" s="4" t="s">
        <v>2308</v>
      </c>
      <c r="AA698" s="5" t="s">
        <v>1749</v>
      </c>
      <c r="AB698" s="4"/>
    </row>
    <row r="699" spans="1:28" ht="49.5" customHeight="1">
      <c r="A699" s="7" t="str">
        <f>'Reported burning'!A699</f>
        <v>84w</v>
      </c>
      <c r="B699" s="7" t="str">
        <f>'Reported burning'!B699</f>
        <v>84w.1</v>
      </c>
      <c r="C699" s="7" t="str">
        <f>'Reported burning'!C699</f>
        <v>Human, deliberate</v>
      </c>
      <c r="D699" s="7" t="str">
        <f>'Reported burning'!D699</f>
        <v>Forest clearance</v>
      </c>
      <c r="E699" s="7" t="str">
        <f>'Reported burning'!E699</f>
        <v>Forestry, Small-scale</v>
      </c>
      <c r="F699" s="7" t="str">
        <f>'Reported burning'!F699</f>
        <v>Forest</v>
      </c>
      <c r="G699" s="7">
        <f>'Reported burning'!G699</f>
        <v>0</v>
      </c>
      <c r="H699" s="7" t="str">
        <f>'Reported burning'!H699</f>
        <v>Absence</v>
      </c>
      <c r="I699" s="4"/>
      <c r="J699" s="22" t="s">
        <v>2396</v>
      </c>
      <c r="K699" s="110" t="s">
        <v>2396</v>
      </c>
      <c r="L699" s="22" t="s">
        <v>2396</v>
      </c>
      <c r="M699" s="22" t="s">
        <v>2396</v>
      </c>
      <c r="N699" s="22" t="s">
        <v>2396</v>
      </c>
      <c r="O699" s="22" t="s">
        <v>2396</v>
      </c>
      <c r="P699" s="22" t="s">
        <v>2396</v>
      </c>
      <c r="Q699" s="109" t="s">
        <v>2308</v>
      </c>
      <c r="R699" s="109" t="s">
        <v>2308</v>
      </c>
      <c r="S699" s="22" t="s">
        <v>2396</v>
      </c>
      <c r="T699" s="22" t="s">
        <v>2396</v>
      </c>
      <c r="U699" s="22" t="s">
        <v>2396</v>
      </c>
      <c r="V699" s="22" t="s">
        <v>2396</v>
      </c>
      <c r="W699" s="22" t="s">
        <v>2308</v>
      </c>
      <c r="X699" s="4" t="s">
        <v>2308</v>
      </c>
      <c r="Y699" s="4" t="s">
        <v>2308</v>
      </c>
      <c r="Z699" s="4" t="s">
        <v>2308</v>
      </c>
      <c r="AA699" s="5" t="s">
        <v>1749</v>
      </c>
      <c r="AB699" s="4"/>
    </row>
    <row r="700" spans="1:28" ht="49.5" customHeight="1">
      <c r="A700" s="7" t="str">
        <f>'Reported burning'!A700</f>
        <v>84x</v>
      </c>
      <c r="B700" s="7" t="str">
        <f>'Reported burning'!B700</f>
        <v>84x.1</v>
      </c>
      <c r="C700" s="7" t="str">
        <f>'Reported burning'!C700</f>
        <v>Human, deliberate</v>
      </c>
      <c r="D700" s="7" t="str">
        <f>'Reported burning'!D700</f>
        <v>Forest clearance</v>
      </c>
      <c r="E700" s="7" t="str">
        <f>'Reported burning'!E700</f>
        <v>Forestry, Small-scale</v>
      </c>
      <c r="F700" s="7" t="str">
        <f>'Reported burning'!F700</f>
        <v>Forest</v>
      </c>
      <c r="G700" s="7">
        <f>'Reported burning'!G700</f>
        <v>0</v>
      </c>
      <c r="H700" s="7" t="str">
        <f>'Reported burning'!H700</f>
        <v>Absence</v>
      </c>
      <c r="I700" s="4"/>
      <c r="J700" s="22" t="s">
        <v>2396</v>
      </c>
      <c r="K700" s="110" t="s">
        <v>2396</v>
      </c>
      <c r="L700" s="22" t="s">
        <v>2396</v>
      </c>
      <c r="M700" s="22" t="s">
        <v>2396</v>
      </c>
      <c r="N700" s="22" t="s">
        <v>2396</v>
      </c>
      <c r="O700" s="22" t="s">
        <v>2396</v>
      </c>
      <c r="P700" s="22" t="s">
        <v>2396</v>
      </c>
      <c r="Q700" s="109" t="s">
        <v>2308</v>
      </c>
      <c r="R700" s="109" t="s">
        <v>2308</v>
      </c>
      <c r="S700" s="22" t="s">
        <v>2396</v>
      </c>
      <c r="T700" s="22" t="s">
        <v>2396</v>
      </c>
      <c r="U700" s="22" t="s">
        <v>2396</v>
      </c>
      <c r="V700" s="22" t="s">
        <v>2396</v>
      </c>
      <c r="W700" s="22" t="s">
        <v>2308</v>
      </c>
      <c r="X700" s="4" t="s">
        <v>2308</v>
      </c>
      <c r="Y700" s="4" t="s">
        <v>2308</v>
      </c>
      <c r="Z700" s="4" t="s">
        <v>2308</v>
      </c>
      <c r="AA700" s="5" t="s">
        <v>1749</v>
      </c>
      <c r="AB700" s="4"/>
    </row>
    <row r="701" spans="1:28" ht="49.5" customHeight="1">
      <c r="A701" s="7" t="str">
        <f>'Reported burning'!A701</f>
        <v>84y</v>
      </c>
      <c r="B701" s="7" t="str">
        <f>'Reported burning'!B701</f>
        <v>84y.1</v>
      </c>
      <c r="C701" s="7" t="str">
        <f>'Reported burning'!C701</f>
        <v>Human, deliberate</v>
      </c>
      <c r="D701" s="7" t="str">
        <f>'Reported burning'!D701</f>
        <v>Forest clearance</v>
      </c>
      <c r="E701" s="7" t="str">
        <f>'Reported burning'!E701</f>
        <v>Forestry, Small-scale</v>
      </c>
      <c r="F701" s="7" t="str">
        <f>'Reported burning'!F701</f>
        <v>Forest</v>
      </c>
      <c r="G701" s="7">
        <f>'Reported burning'!G701</f>
        <v>0</v>
      </c>
      <c r="H701" s="7" t="str">
        <f>'Reported burning'!H701</f>
        <v>Absence</v>
      </c>
      <c r="I701" s="4"/>
      <c r="J701" s="22" t="s">
        <v>2396</v>
      </c>
      <c r="K701" s="110" t="s">
        <v>2396</v>
      </c>
      <c r="L701" s="22" t="s">
        <v>2396</v>
      </c>
      <c r="M701" s="22" t="s">
        <v>2396</v>
      </c>
      <c r="N701" s="22" t="s">
        <v>2396</v>
      </c>
      <c r="O701" s="22" t="s">
        <v>2396</v>
      </c>
      <c r="P701" s="22" t="s">
        <v>2396</v>
      </c>
      <c r="Q701" s="109" t="s">
        <v>2308</v>
      </c>
      <c r="R701" s="109" t="s">
        <v>2308</v>
      </c>
      <c r="S701" s="22" t="s">
        <v>2396</v>
      </c>
      <c r="T701" s="22" t="s">
        <v>2396</v>
      </c>
      <c r="U701" s="22" t="s">
        <v>2396</v>
      </c>
      <c r="V701" s="22" t="s">
        <v>2396</v>
      </c>
      <c r="W701" s="22" t="s">
        <v>2308</v>
      </c>
      <c r="X701" s="4" t="s">
        <v>2308</v>
      </c>
      <c r="Y701" s="4" t="s">
        <v>2308</v>
      </c>
      <c r="Z701" s="4" t="s">
        <v>2308</v>
      </c>
      <c r="AA701" s="5" t="s">
        <v>1749</v>
      </c>
      <c r="AB701" s="4"/>
    </row>
    <row r="702" spans="1:28" ht="49.5" customHeight="1">
      <c r="A702" s="7" t="str">
        <f>'Reported burning'!A702</f>
        <v>84z</v>
      </c>
      <c r="B702" s="7" t="str">
        <f>'Reported burning'!B702</f>
        <v>84z.1</v>
      </c>
      <c r="C702" s="7" t="str">
        <f>'Reported burning'!C702</f>
        <v>Human, deliberate</v>
      </c>
      <c r="D702" s="7" t="str">
        <f>'Reported burning'!D702</f>
        <v>Forest clearance</v>
      </c>
      <c r="E702" s="7" t="str">
        <f>'Reported burning'!E702</f>
        <v>Forestry, Small-scale</v>
      </c>
      <c r="F702" s="7" t="str">
        <f>'Reported burning'!F702</f>
        <v>Forest</v>
      </c>
      <c r="G702" s="7">
        <f>'Reported burning'!G702</f>
        <v>0</v>
      </c>
      <c r="H702" s="7" t="str">
        <f>'Reported burning'!H702</f>
        <v>Absence</v>
      </c>
      <c r="I702" s="4"/>
      <c r="J702" s="22" t="s">
        <v>2396</v>
      </c>
      <c r="K702" s="110" t="s">
        <v>2396</v>
      </c>
      <c r="L702" s="22" t="s">
        <v>2396</v>
      </c>
      <c r="M702" s="22" t="s">
        <v>2396</v>
      </c>
      <c r="N702" s="22" t="s">
        <v>2396</v>
      </c>
      <c r="O702" s="22" t="s">
        <v>2396</v>
      </c>
      <c r="P702" s="22" t="s">
        <v>2396</v>
      </c>
      <c r="Q702" s="109" t="s">
        <v>2308</v>
      </c>
      <c r="R702" s="109" t="s">
        <v>2308</v>
      </c>
      <c r="S702" s="22" t="s">
        <v>2396</v>
      </c>
      <c r="T702" s="22" t="s">
        <v>2396</v>
      </c>
      <c r="U702" s="22" t="s">
        <v>2396</v>
      </c>
      <c r="V702" s="22" t="s">
        <v>2396</v>
      </c>
      <c r="W702" s="22" t="s">
        <v>2308</v>
      </c>
      <c r="X702" s="4" t="s">
        <v>2308</v>
      </c>
      <c r="Y702" s="4" t="s">
        <v>2308</v>
      </c>
      <c r="Z702" s="4" t="s">
        <v>2308</v>
      </c>
      <c r="AA702" s="5" t="s">
        <v>1749</v>
      </c>
      <c r="AB702" s="4"/>
    </row>
    <row r="703" spans="1:28" ht="49.5" customHeight="1">
      <c r="A703" s="7" t="str">
        <f>'Reported burning'!A703</f>
        <v>84aa</v>
      </c>
      <c r="B703" s="7" t="str">
        <f>'Reported burning'!B703</f>
        <v>84aa.1</v>
      </c>
      <c r="C703" s="7" t="str">
        <f>'Reported burning'!C703</f>
        <v>Human, deliberate</v>
      </c>
      <c r="D703" s="7" t="str">
        <f>'Reported burning'!D703</f>
        <v>Forest clearance</v>
      </c>
      <c r="E703" s="7" t="str">
        <f>'Reported burning'!E703</f>
        <v>Forestry, Small-scale</v>
      </c>
      <c r="F703" s="7" t="str">
        <f>'Reported burning'!F703</f>
        <v>Forest</v>
      </c>
      <c r="G703" s="7">
        <f>'Reported burning'!G703</f>
        <v>0</v>
      </c>
      <c r="H703" s="7" t="str">
        <f>'Reported burning'!H703</f>
        <v>Absence</v>
      </c>
      <c r="I703" s="4"/>
      <c r="J703" s="22" t="s">
        <v>2396</v>
      </c>
      <c r="K703" s="110" t="s">
        <v>2396</v>
      </c>
      <c r="L703" s="22" t="s">
        <v>2396</v>
      </c>
      <c r="M703" s="22" t="s">
        <v>2396</v>
      </c>
      <c r="N703" s="22" t="s">
        <v>2396</v>
      </c>
      <c r="O703" s="22" t="s">
        <v>2396</v>
      </c>
      <c r="P703" s="22" t="s">
        <v>2396</v>
      </c>
      <c r="Q703" s="109" t="s">
        <v>2308</v>
      </c>
      <c r="R703" s="109" t="s">
        <v>2308</v>
      </c>
      <c r="S703" s="22" t="s">
        <v>2396</v>
      </c>
      <c r="T703" s="22" t="s">
        <v>2396</v>
      </c>
      <c r="U703" s="22" t="s">
        <v>2396</v>
      </c>
      <c r="V703" s="22" t="s">
        <v>2396</v>
      </c>
      <c r="W703" s="22" t="s">
        <v>2308</v>
      </c>
      <c r="X703" s="4" t="s">
        <v>2308</v>
      </c>
      <c r="Y703" s="4" t="s">
        <v>2308</v>
      </c>
      <c r="Z703" s="4" t="s">
        <v>2308</v>
      </c>
      <c r="AA703" s="5" t="s">
        <v>1749</v>
      </c>
      <c r="AB703" s="4"/>
    </row>
    <row r="704" spans="1:28" ht="49.5" customHeight="1">
      <c r="A704" s="7" t="str">
        <f>'Reported burning'!A704</f>
        <v>84ab</v>
      </c>
      <c r="B704" s="7" t="str">
        <f>'Reported burning'!B704</f>
        <v>84ab.1</v>
      </c>
      <c r="C704" s="7" t="str">
        <f>'Reported burning'!C704</f>
        <v>Human, deliberate</v>
      </c>
      <c r="D704" s="7" t="str">
        <f>'Reported burning'!D704</f>
        <v>Forest clearance</v>
      </c>
      <c r="E704" s="7" t="str">
        <f>'Reported burning'!E704</f>
        <v>Forestry, Small-scale</v>
      </c>
      <c r="F704" s="7" t="str">
        <f>'Reported burning'!F704</f>
        <v>Forest</v>
      </c>
      <c r="G704" s="7">
        <f>'Reported burning'!G704</f>
        <v>0</v>
      </c>
      <c r="H704" s="7" t="str">
        <f>'Reported burning'!H704</f>
        <v>Absence</v>
      </c>
      <c r="I704" s="4"/>
      <c r="J704" s="22" t="s">
        <v>2396</v>
      </c>
      <c r="K704" s="110" t="s">
        <v>2396</v>
      </c>
      <c r="L704" s="22" t="s">
        <v>2396</v>
      </c>
      <c r="M704" s="22" t="s">
        <v>2396</v>
      </c>
      <c r="N704" s="22" t="s">
        <v>2396</v>
      </c>
      <c r="O704" s="22" t="s">
        <v>2396</v>
      </c>
      <c r="P704" s="22" t="s">
        <v>2396</v>
      </c>
      <c r="Q704" s="109" t="s">
        <v>2308</v>
      </c>
      <c r="R704" s="109" t="s">
        <v>2308</v>
      </c>
      <c r="S704" s="22" t="s">
        <v>2396</v>
      </c>
      <c r="T704" s="22" t="s">
        <v>2396</v>
      </c>
      <c r="U704" s="22" t="s">
        <v>2396</v>
      </c>
      <c r="V704" s="22" t="s">
        <v>2396</v>
      </c>
      <c r="W704" s="22" t="s">
        <v>2308</v>
      </c>
      <c r="X704" s="4" t="s">
        <v>2308</v>
      </c>
      <c r="Y704" s="4" t="s">
        <v>2308</v>
      </c>
      <c r="Z704" s="4" t="s">
        <v>2308</v>
      </c>
      <c r="AA704" s="5" t="s">
        <v>1749</v>
      </c>
      <c r="AB704" s="4"/>
    </row>
    <row r="705" spans="1:28" ht="49.5" customHeight="1">
      <c r="A705" s="7" t="str">
        <f>'Reported burning'!A705</f>
        <v>84ac</v>
      </c>
      <c r="B705" s="7" t="str">
        <f>'Reported burning'!B705</f>
        <v>84ac.1</v>
      </c>
      <c r="C705" s="7" t="str">
        <f>'Reported burning'!C705</f>
        <v>Human, deliberate</v>
      </c>
      <c r="D705" s="7" t="str">
        <f>'Reported burning'!D705</f>
        <v>Forest clearance</v>
      </c>
      <c r="E705" s="7" t="str">
        <f>'Reported burning'!E705</f>
        <v>Forestry, Small-scale</v>
      </c>
      <c r="F705" s="7" t="str">
        <f>'Reported burning'!F705</f>
        <v>Forest</v>
      </c>
      <c r="G705" s="7">
        <f>'Reported burning'!G705</f>
        <v>0</v>
      </c>
      <c r="H705" s="7" t="str">
        <f>'Reported burning'!H705</f>
        <v>Absence</v>
      </c>
      <c r="I705" s="4"/>
      <c r="J705" s="22" t="s">
        <v>2396</v>
      </c>
      <c r="K705" s="110" t="s">
        <v>2396</v>
      </c>
      <c r="L705" s="22" t="s">
        <v>2396</v>
      </c>
      <c r="M705" s="22" t="s">
        <v>2396</v>
      </c>
      <c r="N705" s="22" t="s">
        <v>2396</v>
      </c>
      <c r="O705" s="22" t="s">
        <v>2396</v>
      </c>
      <c r="P705" s="22" t="s">
        <v>2396</v>
      </c>
      <c r="Q705" s="109" t="s">
        <v>2308</v>
      </c>
      <c r="R705" s="109" t="s">
        <v>2308</v>
      </c>
      <c r="S705" s="22" t="s">
        <v>2396</v>
      </c>
      <c r="T705" s="22" t="s">
        <v>2396</v>
      </c>
      <c r="U705" s="22" t="s">
        <v>2396</v>
      </c>
      <c r="V705" s="22" t="s">
        <v>2396</v>
      </c>
      <c r="W705" s="22" t="s">
        <v>2308</v>
      </c>
      <c r="X705" s="4" t="s">
        <v>2308</v>
      </c>
      <c r="Y705" s="4" t="s">
        <v>2308</v>
      </c>
      <c r="Z705" s="4" t="s">
        <v>2308</v>
      </c>
      <c r="AA705" s="5" t="s">
        <v>1749</v>
      </c>
      <c r="AB705" s="4"/>
    </row>
    <row r="706" spans="1:28" ht="49.5" customHeight="1">
      <c r="A706" s="7" t="str">
        <f>'Reported burning'!A706</f>
        <v>84ad</v>
      </c>
      <c r="B706" s="7" t="str">
        <f>'Reported burning'!B706</f>
        <v>84ad.1</v>
      </c>
      <c r="C706" s="7" t="str">
        <f>'Reported burning'!C706</f>
        <v>Human, deliberate</v>
      </c>
      <c r="D706" s="7" t="str">
        <f>'Reported burning'!D706</f>
        <v>Forest clearance</v>
      </c>
      <c r="E706" s="7" t="str">
        <f>'Reported burning'!E706</f>
        <v>Forestry, Small-scale</v>
      </c>
      <c r="F706" s="7" t="str">
        <f>'Reported burning'!F706</f>
        <v>Forest</v>
      </c>
      <c r="G706" s="7">
        <f>'Reported burning'!G706</f>
        <v>0</v>
      </c>
      <c r="H706" s="7" t="str">
        <f>'Reported burning'!H706</f>
        <v>Absence</v>
      </c>
      <c r="I706" s="4"/>
      <c r="J706" s="22" t="s">
        <v>2396</v>
      </c>
      <c r="K706" s="110" t="s">
        <v>2396</v>
      </c>
      <c r="L706" s="22" t="s">
        <v>2396</v>
      </c>
      <c r="M706" s="22" t="s">
        <v>2396</v>
      </c>
      <c r="N706" s="22" t="s">
        <v>2396</v>
      </c>
      <c r="O706" s="22" t="s">
        <v>2396</v>
      </c>
      <c r="P706" s="22" t="s">
        <v>2396</v>
      </c>
      <c r="Q706" s="109" t="s">
        <v>2308</v>
      </c>
      <c r="R706" s="109" t="s">
        <v>2308</v>
      </c>
      <c r="S706" s="22" t="s">
        <v>2396</v>
      </c>
      <c r="T706" s="22" t="s">
        <v>2396</v>
      </c>
      <c r="U706" s="22" t="s">
        <v>2396</v>
      </c>
      <c r="V706" s="22" t="s">
        <v>2396</v>
      </c>
      <c r="W706" s="22" t="s">
        <v>2308</v>
      </c>
      <c r="X706" s="4" t="s">
        <v>2308</v>
      </c>
      <c r="Y706" s="4" t="s">
        <v>2308</v>
      </c>
      <c r="Z706" s="4" t="s">
        <v>2308</v>
      </c>
      <c r="AA706" s="5" t="s">
        <v>1749</v>
      </c>
      <c r="AB706" s="4"/>
    </row>
    <row r="707" spans="1:28" ht="49.5" customHeight="1">
      <c r="A707" s="7" t="str">
        <f>'Reported burning'!A707</f>
        <v>84ae</v>
      </c>
      <c r="B707" s="7" t="str">
        <f>'Reported burning'!B707</f>
        <v>84ae.1</v>
      </c>
      <c r="C707" s="7" t="str">
        <f>'Reported burning'!C707</f>
        <v>Human, deliberate</v>
      </c>
      <c r="D707" s="7" t="str">
        <f>'Reported burning'!D707</f>
        <v>Forest clearance</v>
      </c>
      <c r="E707" s="7" t="str">
        <f>'Reported burning'!E707</f>
        <v>Forestry, Small-scale</v>
      </c>
      <c r="F707" s="7" t="str">
        <f>'Reported burning'!F707</f>
        <v>Forest</v>
      </c>
      <c r="G707" s="7">
        <f>'Reported burning'!G707</f>
        <v>0</v>
      </c>
      <c r="H707" s="7" t="str">
        <f>'Reported burning'!H707</f>
        <v>Absence</v>
      </c>
      <c r="I707" s="4"/>
      <c r="J707" s="22" t="s">
        <v>2396</v>
      </c>
      <c r="K707" s="110" t="s">
        <v>2396</v>
      </c>
      <c r="L707" s="22" t="s">
        <v>2396</v>
      </c>
      <c r="M707" s="22" t="s">
        <v>2396</v>
      </c>
      <c r="N707" s="22" t="s">
        <v>2396</v>
      </c>
      <c r="O707" s="22" t="s">
        <v>2396</v>
      </c>
      <c r="P707" s="22" t="s">
        <v>2396</v>
      </c>
      <c r="Q707" s="109" t="s">
        <v>2308</v>
      </c>
      <c r="R707" s="109" t="s">
        <v>2308</v>
      </c>
      <c r="S707" s="22" t="s">
        <v>2396</v>
      </c>
      <c r="T707" s="22" t="s">
        <v>2396</v>
      </c>
      <c r="U707" s="22" t="s">
        <v>2396</v>
      </c>
      <c r="V707" s="22" t="s">
        <v>2396</v>
      </c>
      <c r="W707" s="22" t="s">
        <v>2308</v>
      </c>
      <c r="X707" s="4" t="s">
        <v>2308</v>
      </c>
      <c r="Y707" s="4" t="s">
        <v>2308</v>
      </c>
      <c r="Z707" s="4" t="s">
        <v>2308</v>
      </c>
      <c r="AA707" s="5" t="s">
        <v>1749</v>
      </c>
      <c r="AB707" s="4"/>
    </row>
    <row r="708" spans="1:28" ht="49.5" customHeight="1">
      <c r="A708" s="7" t="str">
        <f>'Reported burning'!A708</f>
        <v>84af</v>
      </c>
      <c r="B708" s="7" t="str">
        <f>'Reported burning'!B708</f>
        <v>84af.1</v>
      </c>
      <c r="C708" s="7" t="str">
        <f>'Reported burning'!C708</f>
        <v>Human, deliberate</v>
      </c>
      <c r="D708" s="7" t="str">
        <f>'Reported burning'!D708</f>
        <v>Forest clearance</v>
      </c>
      <c r="E708" s="7" t="str">
        <f>'Reported burning'!E708</f>
        <v>Forestry, Small-scale</v>
      </c>
      <c r="F708" s="7" t="str">
        <f>'Reported burning'!F708</f>
        <v>Forest</v>
      </c>
      <c r="G708" s="7">
        <f>'Reported burning'!G708</f>
        <v>0</v>
      </c>
      <c r="H708" s="7" t="str">
        <f>'Reported burning'!H708</f>
        <v>Absence</v>
      </c>
      <c r="I708" s="4"/>
      <c r="J708" s="22" t="s">
        <v>2396</v>
      </c>
      <c r="K708" s="110" t="s">
        <v>2396</v>
      </c>
      <c r="L708" s="22" t="s">
        <v>2396</v>
      </c>
      <c r="M708" s="22" t="s">
        <v>2396</v>
      </c>
      <c r="N708" s="22" t="s">
        <v>2396</v>
      </c>
      <c r="O708" s="22" t="s">
        <v>2396</v>
      </c>
      <c r="P708" s="22" t="s">
        <v>2396</v>
      </c>
      <c r="Q708" s="109" t="s">
        <v>2308</v>
      </c>
      <c r="R708" s="109" t="s">
        <v>2308</v>
      </c>
      <c r="S708" s="22" t="s">
        <v>2396</v>
      </c>
      <c r="T708" s="22" t="s">
        <v>2396</v>
      </c>
      <c r="U708" s="22" t="s">
        <v>2396</v>
      </c>
      <c r="V708" s="22" t="s">
        <v>2396</v>
      </c>
      <c r="W708" s="22" t="s">
        <v>2308</v>
      </c>
      <c r="X708" s="4" t="s">
        <v>2308</v>
      </c>
      <c r="Y708" s="4" t="s">
        <v>2308</v>
      </c>
      <c r="Z708" s="4" t="s">
        <v>2308</v>
      </c>
      <c r="AA708" s="5" t="s">
        <v>1749</v>
      </c>
      <c r="AB708" s="4"/>
    </row>
    <row r="709" spans="1:28" ht="49.5" customHeight="1">
      <c r="A709" s="7" t="str">
        <f>'Reported burning'!A709</f>
        <v>84ag</v>
      </c>
      <c r="B709" s="7" t="str">
        <f>'Reported burning'!B709</f>
        <v>84ag.1</v>
      </c>
      <c r="C709" s="7" t="str">
        <f>'Reported burning'!C709</f>
        <v>Human, deliberate</v>
      </c>
      <c r="D709" s="7" t="str">
        <f>'Reported burning'!D709</f>
        <v>Forest clearance</v>
      </c>
      <c r="E709" s="7" t="str">
        <f>'Reported burning'!E709</f>
        <v>Forestry, Small-scale</v>
      </c>
      <c r="F709" s="7" t="str">
        <f>'Reported burning'!F709</f>
        <v>Forest</v>
      </c>
      <c r="G709" s="7">
        <f>'Reported burning'!G709</f>
        <v>0</v>
      </c>
      <c r="H709" s="7" t="str">
        <f>'Reported burning'!H709</f>
        <v>Absence</v>
      </c>
      <c r="I709" s="4"/>
      <c r="J709" s="22" t="s">
        <v>2396</v>
      </c>
      <c r="K709" s="110" t="s">
        <v>2396</v>
      </c>
      <c r="L709" s="22" t="s">
        <v>2396</v>
      </c>
      <c r="M709" s="22" t="s">
        <v>2396</v>
      </c>
      <c r="N709" s="22" t="s">
        <v>2396</v>
      </c>
      <c r="O709" s="22" t="s">
        <v>2396</v>
      </c>
      <c r="P709" s="22" t="s">
        <v>2396</v>
      </c>
      <c r="Q709" s="109" t="s">
        <v>2308</v>
      </c>
      <c r="R709" s="109" t="s">
        <v>2308</v>
      </c>
      <c r="S709" s="22" t="s">
        <v>2396</v>
      </c>
      <c r="T709" s="22" t="s">
        <v>2396</v>
      </c>
      <c r="U709" s="22" t="s">
        <v>2396</v>
      </c>
      <c r="V709" s="22" t="s">
        <v>2396</v>
      </c>
      <c r="W709" s="22" t="s">
        <v>2308</v>
      </c>
      <c r="X709" s="4" t="s">
        <v>2308</v>
      </c>
      <c r="Y709" s="4" t="s">
        <v>2308</v>
      </c>
      <c r="Z709" s="4" t="s">
        <v>2308</v>
      </c>
      <c r="AA709" s="5" t="s">
        <v>1749</v>
      </c>
      <c r="AB709" s="4"/>
    </row>
    <row r="710" spans="1:28" ht="49.5" customHeight="1">
      <c r="A710" s="7" t="str">
        <f>'Reported burning'!A710</f>
        <v>84ah</v>
      </c>
      <c r="B710" s="7" t="str">
        <f>'Reported burning'!B710</f>
        <v>84ah.1</v>
      </c>
      <c r="C710" s="7" t="str">
        <f>'Reported burning'!C710</f>
        <v>Human, deliberate</v>
      </c>
      <c r="D710" s="7" t="str">
        <f>'Reported burning'!D710</f>
        <v>Forest clearance</v>
      </c>
      <c r="E710" s="7" t="str">
        <f>'Reported burning'!E710</f>
        <v>Forestry, Small-scale</v>
      </c>
      <c r="F710" s="7" t="str">
        <f>'Reported burning'!F710</f>
        <v>Forest</v>
      </c>
      <c r="G710" s="7">
        <f>'Reported burning'!G710</f>
        <v>0</v>
      </c>
      <c r="H710" s="7" t="str">
        <f>'Reported burning'!H710</f>
        <v>Absence</v>
      </c>
      <c r="I710" s="4"/>
      <c r="J710" s="22" t="s">
        <v>2396</v>
      </c>
      <c r="K710" s="110" t="s">
        <v>2396</v>
      </c>
      <c r="L710" s="22" t="s">
        <v>2396</v>
      </c>
      <c r="M710" s="22" t="s">
        <v>2396</v>
      </c>
      <c r="N710" s="22" t="s">
        <v>2396</v>
      </c>
      <c r="O710" s="22" t="s">
        <v>2396</v>
      </c>
      <c r="P710" s="22" t="s">
        <v>2396</v>
      </c>
      <c r="Q710" s="109" t="s">
        <v>2308</v>
      </c>
      <c r="R710" s="109" t="s">
        <v>2308</v>
      </c>
      <c r="S710" s="22" t="s">
        <v>2396</v>
      </c>
      <c r="T710" s="22" t="s">
        <v>2396</v>
      </c>
      <c r="U710" s="22" t="s">
        <v>2396</v>
      </c>
      <c r="V710" s="22" t="s">
        <v>2396</v>
      </c>
      <c r="W710" s="22" t="s">
        <v>2308</v>
      </c>
      <c r="X710" s="4" t="s">
        <v>2308</v>
      </c>
      <c r="Y710" s="4" t="s">
        <v>2308</v>
      </c>
      <c r="Z710" s="4" t="s">
        <v>2308</v>
      </c>
      <c r="AA710" s="5" t="s">
        <v>1749</v>
      </c>
      <c r="AB710" s="4"/>
    </row>
    <row r="711" spans="1:28" ht="49.5" customHeight="1">
      <c r="A711" s="7" t="str">
        <f>'Reported burning'!A711</f>
        <v>84ai</v>
      </c>
      <c r="B711" s="7" t="str">
        <f>'Reported burning'!B711</f>
        <v>84ai.1</v>
      </c>
      <c r="C711" s="7" t="str">
        <f>'Reported burning'!C711</f>
        <v>Human, deliberate</v>
      </c>
      <c r="D711" s="7" t="str">
        <f>'Reported burning'!D711</f>
        <v>Forest clearance</v>
      </c>
      <c r="E711" s="7" t="str">
        <f>'Reported burning'!E711</f>
        <v>Forestry, Small-scale</v>
      </c>
      <c r="F711" s="7" t="str">
        <f>'Reported burning'!F711</f>
        <v>Forest</v>
      </c>
      <c r="G711" s="7">
        <f>'Reported burning'!G711</f>
        <v>0</v>
      </c>
      <c r="H711" s="7" t="str">
        <f>'Reported burning'!H711</f>
        <v>Absence</v>
      </c>
      <c r="I711" s="4"/>
      <c r="J711" s="22" t="s">
        <v>2396</v>
      </c>
      <c r="K711" s="110" t="s">
        <v>2396</v>
      </c>
      <c r="L711" s="22" t="s">
        <v>2396</v>
      </c>
      <c r="M711" s="22" t="s">
        <v>2396</v>
      </c>
      <c r="N711" s="22" t="s">
        <v>2396</v>
      </c>
      <c r="O711" s="22" t="s">
        <v>2396</v>
      </c>
      <c r="P711" s="22" t="s">
        <v>2396</v>
      </c>
      <c r="Q711" s="109" t="s">
        <v>2308</v>
      </c>
      <c r="R711" s="109" t="s">
        <v>2308</v>
      </c>
      <c r="S711" s="22" t="s">
        <v>2396</v>
      </c>
      <c r="T711" s="22" t="s">
        <v>2396</v>
      </c>
      <c r="U711" s="22" t="s">
        <v>2396</v>
      </c>
      <c r="V711" s="22" t="s">
        <v>2396</v>
      </c>
      <c r="W711" s="22" t="s">
        <v>2308</v>
      </c>
      <c r="X711" s="4" t="s">
        <v>2308</v>
      </c>
      <c r="Y711" s="4" t="s">
        <v>2308</v>
      </c>
      <c r="Z711" s="4" t="s">
        <v>2308</v>
      </c>
      <c r="AA711" s="5" t="s">
        <v>1749</v>
      </c>
      <c r="AB711" s="4"/>
    </row>
    <row r="712" spans="1:28" ht="49.5" customHeight="1">
      <c r="A712" s="7" t="str">
        <f>'Reported burning'!A712</f>
        <v>84aj</v>
      </c>
      <c r="B712" s="7" t="str">
        <f>'Reported burning'!B712</f>
        <v>84aj.1</v>
      </c>
      <c r="C712" s="7" t="str">
        <f>'Reported burning'!C712</f>
        <v>Human, deliberate</v>
      </c>
      <c r="D712" s="7" t="str">
        <f>'Reported burning'!D712</f>
        <v>Forest clearance</v>
      </c>
      <c r="E712" s="7" t="str">
        <f>'Reported burning'!E712</f>
        <v>Forestry, Small-scale</v>
      </c>
      <c r="F712" s="7" t="str">
        <f>'Reported burning'!F712</f>
        <v>Forest</v>
      </c>
      <c r="G712" s="7">
        <f>'Reported burning'!G712</f>
        <v>0</v>
      </c>
      <c r="H712" s="7" t="str">
        <f>'Reported burning'!H712</f>
        <v>Absence</v>
      </c>
      <c r="I712" s="4"/>
      <c r="J712" s="22" t="s">
        <v>2396</v>
      </c>
      <c r="K712" s="110" t="s">
        <v>2396</v>
      </c>
      <c r="L712" s="22" t="s">
        <v>2396</v>
      </c>
      <c r="M712" s="22" t="s">
        <v>2396</v>
      </c>
      <c r="N712" s="22" t="s">
        <v>2396</v>
      </c>
      <c r="O712" s="22" t="s">
        <v>2396</v>
      </c>
      <c r="P712" s="22" t="s">
        <v>2396</v>
      </c>
      <c r="Q712" s="109" t="s">
        <v>2308</v>
      </c>
      <c r="R712" s="109" t="s">
        <v>2308</v>
      </c>
      <c r="S712" s="22" t="s">
        <v>2396</v>
      </c>
      <c r="T712" s="22" t="s">
        <v>2396</v>
      </c>
      <c r="U712" s="22" t="s">
        <v>2396</v>
      </c>
      <c r="V712" s="22" t="s">
        <v>2396</v>
      </c>
      <c r="W712" s="22" t="s">
        <v>2308</v>
      </c>
      <c r="X712" s="4" t="s">
        <v>2308</v>
      </c>
      <c r="Y712" s="4" t="s">
        <v>2308</v>
      </c>
      <c r="Z712" s="4" t="s">
        <v>2308</v>
      </c>
      <c r="AA712" s="5" t="s">
        <v>1749</v>
      </c>
      <c r="AB712" s="4"/>
    </row>
    <row r="713" spans="1:28" ht="49.5" customHeight="1">
      <c r="A713" s="7" t="str">
        <f>'Reported burning'!A713</f>
        <v>84ak</v>
      </c>
      <c r="B713" s="7" t="str">
        <f>'Reported burning'!B713</f>
        <v>84ak.1</v>
      </c>
      <c r="C713" s="7" t="str">
        <f>'Reported burning'!C713</f>
        <v>Human, deliberate</v>
      </c>
      <c r="D713" s="7" t="str">
        <f>'Reported burning'!D713</f>
        <v>Forest clearance</v>
      </c>
      <c r="E713" s="7" t="str">
        <f>'Reported burning'!E713</f>
        <v>Forestry, Small-scale</v>
      </c>
      <c r="F713" s="7" t="str">
        <f>'Reported burning'!F713</f>
        <v>Forest</v>
      </c>
      <c r="G713" s="7">
        <f>'Reported burning'!G713</f>
        <v>0</v>
      </c>
      <c r="H713" s="7" t="str">
        <f>'Reported burning'!H713</f>
        <v>Absence</v>
      </c>
      <c r="I713" s="4"/>
      <c r="J713" s="22" t="s">
        <v>2396</v>
      </c>
      <c r="K713" s="110" t="s">
        <v>2396</v>
      </c>
      <c r="L713" s="22" t="s">
        <v>2396</v>
      </c>
      <c r="M713" s="22" t="s">
        <v>2396</v>
      </c>
      <c r="N713" s="22" t="s">
        <v>2396</v>
      </c>
      <c r="O713" s="22" t="s">
        <v>2396</v>
      </c>
      <c r="P713" s="22" t="s">
        <v>2396</v>
      </c>
      <c r="Q713" s="109" t="s">
        <v>2308</v>
      </c>
      <c r="R713" s="109" t="s">
        <v>2308</v>
      </c>
      <c r="S713" s="22" t="s">
        <v>2396</v>
      </c>
      <c r="T713" s="22" t="s">
        <v>2396</v>
      </c>
      <c r="U713" s="22" t="s">
        <v>2396</v>
      </c>
      <c r="V713" s="22" t="s">
        <v>2396</v>
      </c>
      <c r="W713" s="22" t="s">
        <v>2308</v>
      </c>
      <c r="X713" s="4" t="s">
        <v>2308</v>
      </c>
      <c r="Y713" s="4" t="s">
        <v>2308</v>
      </c>
      <c r="Z713" s="4" t="s">
        <v>2308</v>
      </c>
      <c r="AA713" s="5" t="s">
        <v>1749</v>
      </c>
      <c r="AB713" s="4"/>
    </row>
    <row r="714" spans="1:28" ht="49.5" customHeight="1">
      <c r="A714" s="7" t="str">
        <f>'Reported burning'!A714</f>
        <v>84al</v>
      </c>
      <c r="B714" s="7" t="str">
        <f>'Reported burning'!B714</f>
        <v>84al.1</v>
      </c>
      <c r="C714" s="7" t="str">
        <f>'Reported burning'!C714</f>
        <v>Human, deliberate</v>
      </c>
      <c r="D714" s="7" t="str">
        <f>'Reported burning'!D714</f>
        <v>Forest clearance</v>
      </c>
      <c r="E714" s="7" t="str">
        <f>'Reported burning'!E714</f>
        <v>Forestry, Small-scale</v>
      </c>
      <c r="F714" s="7" t="str">
        <f>'Reported burning'!F714</f>
        <v>Forest</v>
      </c>
      <c r="G714" s="7">
        <f>'Reported burning'!G714</f>
        <v>0</v>
      </c>
      <c r="H714" s="7" t="str">
        <f>'Reported burning'!H714</f>
        <v>Absence</v>
      </c>
      <c r="I714" s="4"/>
      <c r="J714" s="22" t="s">
        <v>2396</v>
      </c>
      <c r="K714" s="110" t="s">
        <v>2396</v>
      </c>
      <c r="L714" s="22" t="s">
        <v>2396</v>
      </c>
      <c r="M714" s="22" t="s">
        <v>2396</v>
      </c>
      <c r="N714" s="22" t="s">
        <v>2396</v>
      </c>
      <c r="O714" s="22" t="s">
        <v>2396</v>
      </c>
      <c r="P714" s="22" t="s">
        <v>2396</v>
      </c>
      <c r="Q714" s="109" t="s">
        <v>2308</v>
      </c>
      <c r="R714" s="109" t="s">
        <v>2308</v>
      </c>
      <c r="S714" s="22" t="s">
        <v>2396</v>
      </c>
      <c r="T714" s="22" t="s">
        <v>2396</v>
      </c>
      <c r="U714" s="22" t="s">
        <v>2396</v>
      </c>
      <c r="V714" s="22" t="s">
        <v>2396</v>
      </c>
      <c r="W714" s="22" t="s">
        <v>2308</v>
      </c>
      <c r="X714" s="4" t="s">
        <v>2308</v>
      </c>
      <c r="Y714" s="4" t="s">
        <v>2308</v>
      </c>
      <c r="Z714" s="4" t="s">
        <v>2308</v>
      </c>
      <c r="AA714" s="5" t="s">
        <v>1749</v>
      </c>
      <c r="AB714" s="4"/>
    </row>
    <row r="715" spans="1:28" ht="49.5" customHeight="1">
      <c r="A715" s="7" t="str">
        <f>'Reported burning'!A715</f>
        <v>84am</v>
      </c>
      <c r="B715" s="7" t="str">
        <f>'Reported burning'!B715</f>
        <v>84am.1</v>
      </c>
      <c r="C715" s="7" t="str">
        <f>'Reported burning'!C715</f>
        <v>Human, deliberate</v>
      </c>
      <c r="D715" s="7" t="str">
        <f>'Reported burning'!D715</f>
        <v>Forest clearance</v>
      </c>
      <c r="E715" s="7" t="str">
        <f>'Reported burning'!E715</f>
        <v>Forestry, Small-scale</v>
      </c>
      <c r="F715" s="7" t="str">
        <f>'Reported burning'!F715</f>
        <v>Forest</v>
      </c>
      <c r="G715" s="7">
        <f>'Reported burning'!G715</f>
        <v>0</v>
      </c>
      <c r="H715" s="7" t="str">
        <f>'Reported burning'!H715</f>
        <v>Absence</v>
      </c>
      <c r="I715" s="4"/>
      <c r="J715" s="22" t="s">
        <v>2396</v>
      </c>
      <c r="K715" s="110" t="s">
        <v>2396</v>
      </c>
      <c r="L715" s="22" t="s">
        <v>2396</v>
      </c>
      <c r="M715" s="22" t="s">
        <v>2396</v>
      </c>
      <c r="N715" s="22" t="s">
        <v>2396</v>
      </c>
      <c r="O715" s="22" t="s">
        <v>2396</v>
      </c>
      <c r="P715" s="22" t="s">
        <v>2396</v>
      </c>
      <c r="Q715" s="109" t="s">
        <v>2308</v>
      </c>
      <c r="R715" s="109" t="s">
        <v>2308</v>
      </c>
      <c r="S715" s="22" t="s">
        <v>2396</v>
      </c>
      <c r="T715" s="22" t="s">
        <v>2396</v>
      </c>
      <c r="U715" s="22" t="s">
        <v>2396</v>
      </c>
      <c r="V715" s="22" t="s">
        <v>2396</v>
      </c>
      <c r="W715" s="22" t="s">
        <v>2308</v>
      </c>
      <c r="X715" s="4" t="s">
        <v>2308</v>
      </c>
      <c r="Y715" s="4" t="s">
        <v>2308</v>
      </c>
      <c r="Z715" s="4" t="s">
        <v>2308</v>
      </c>
      <c r="AA715" s="5" t="s">
        <v>1749</v>
      </c>
      <c r="AB715" s="4"/>
    </row>
    <row r="716" spans="1:28" ht="49.5" customHeight="1">
      <c r="A716" s="7" t="str">
        <f>'Reported burning'!A716</f>
        <v>84an</v>
      </c>
      <c r="B716" s="7" t="str">
        <f>'Reported burning'!B716</f>
        <v>84an.1</v>
      </c>
      <c r="C716" s="7" t="str">
        <f>'Reported burning'!C716</f>
        <v>Human, deliberate</v>
      </c>
      <c r="D716" s="7" t="str">
        <f>'Reported burning'!D716</f>
        <v>Forest clearance</v>
      </c>
      <c r="E716" s="7" t="str">
        <f>'Reported burning'!E716</f>
        <v>Forestry, Small-scale</v>
      </c>
      <c r="F716" s="7" t="str">
        <f>'Reported burning'!F716</f>
        <v>Forest</v>
      </c>
      <c r="G716" s="7">
        <f>'Reported burning'!G716</f>
        <v>0</v>
      </c>
      <c r="H716" s="7" t="str">
        <f>'Reported burning'!H716</f>
        <v>Absence</v>
      </c>
      <c r="I716" s="4"/>
      <c r="J716" s="22" t="s">
        <v>2396</v>
      </c>
      <c r="K716" s="110" t="s">
        <v>2396</v>
      </c>
      <c r="L716" s="22" t="s">
        <v>2396</v>
      </c>
      <c r="M716" s="22" t="s">
        <v>2396</v>
      </c>
      <c r="N716" s="22" t="s">
        <v>2396</v>
      </c>
      <c r="O716" s="22" t="s">
        <v>2396</v>
      </c>
      <c r="P716" s="22" t="s">
        <v>2396</v>
      </c>
      <c r="Q716" s="109" t="s">
        <v>2308</v>
      </c>
      <c r="R716" s="109" t="s">
        <v>2308</v>
      </c>
      <c r="S716" s="22" t="s">
        <v>2396</v>
      </c>
      <c r="T716" s="22" t="s">
        <v>2396</v>
      </c>
      <c r="U716" s="22" t="s">
        <v>2396</v>
      </c>
      <c r="V716" s="22" t="s">
        <v>2396</v>
      </c>
      <c r="W716" s="22" t="s">
        <v>2308</v>
      </c>
      <c r="X716" s="4" t="s">
        <v>2308</v>
      </c>
      <c r="Y716" s="4" t="s">
        <v>2308</v>
      </c>
      <c r="Z716" s="4" t="s">
        <v>2308</v>
      </c>
      <c r="AA716" s="5" t="s">
        <v>1749</v>
      </c>
      <c r="AB716" s="4"/>
    </row>
    <row r="717" spans="1:28" ht="49.5" customHeight="1">
      <c r="A717" s="7" t="str">
        <f>'Reported burning'!A717</f>
        <v>84ao</v>
      </c>
      <c r="B717" s="7" t="str">
        <f>'Reported burning'!B717</f>
        <v>84ao.1</v>
      </c>
      <c r="C717" s="7" t="str">
        <f>'Reported burning'!C717</f>
        <v>Human, deliberate</v>
      </c>
      <c r="D717" s="7" t="str">
        <f>'Reported burning'!D717</f>
        <v>Forest clearance</v>
      </c>
      <c r="E717" s="7" t="str">
        <f>'Reported burning'!E717</f>
        <v>Forestry, Small-scale</v>
      </c>
      <c r="F717" s="7" t="str">
        <f>'Reported burning'!F717</f>
        <v>Forest</v>
      </c>
      <c r="G717" s="7">
        <f>'Reported burning'!G717</f>
        <v>0</v>
      </c>
      <c r="H717" s="7" t="str">
        <f>'Reported burning'!H717</f>
        <v>Absence</v>
      </c>
      <c r="I717" s="4"/>
      <c r="J717" s="22" t="s">
        <v>2396</v>
      </c>
      <c r="K717" s="110" t="s">
        <v>2396</v>
      </c>
      <c r="L717" s="22" t="s">
        <v>2396</v>
      </c>
      <c r="M717" s="22" t="s">
        <v>2396</v>
      </c>
      <c r="N717" s="22" t="s">
        <v>2396</v>
      </c>
      <c r="O717" s="22" t="s">
        <v>2396</v>
      </c>
      <c r="P717" s="22" t="s">
        <v>2396</v>
      </c>
      <c r="Q717" s="109" t="s">
        <v>2308</v>
      </c>
      <c r="R717" s="109" t="s">
        <v>2308</v>
      </c>
      <c r="S717" s="22" t="s">
        <v>2396</v>
      </c>
      <c r="T717" s="22" t="s">
        <v>2396</v>
      </c>
      <c r="U717" s="22" t="s">
        <v>2396</v>
      </c>
      <c r="V717" s="22" t="s">
        <v>2396</v>
      </c>
      <c r="W717" s="22" t="s">
        <v>2308</v>
      </c>
      <c r="X717" s="4" t="s">
        <v>2308</v>
      </c>
      <c r="Y717" s="4" t="s">
        <v>2308</v>
      </c>
      <c r="Z717" s="4" t="s">
        <v>2308</v>
      </c>
      <c r="AA717" s="5" t="s">
        <v>1749</v>
      </c>
      <c r="AB717" s="4"/>
    </row>
    <row r="718" spans="1:28" ht="49.5" customHeight="1">
      <c r="A718" s="7" t="str">
        <f>'Reported burning'!A718</f>
        <v>84ap</v>
      </c>
      <c r="B718" s="7" t="str">
        <f>'Reported burning'!B718</f>
        <v>84ap.1</v>
      </c>
      <c r="C718" s="7" t="str">
        <f>'Reported burning'!C718</f>
        <v>Human, deliberate</v>
      </c>
      <c r="D718" s="7" t="str">
        <f>'Reported burning'!D718</f>
        <v>Forest clearance</v>
      </c>
      <c r="E718" s="7" t="str">
        <f>'Reported burning'!E718</f>
        <v>Forestry, Small-scale</v>
      </c>
      <c r="F718" s="7" t="str">
        <f>'Reported burning'!F718</f>
        <v>Forest</v>
      </c>
      <c r="G718" s="7">
        <f>'Reported burning'!G718</f>
        <v>0</v>
      </c>
      <c r="H718" s="7" t="str">
        <f>'Reported burning'!H718</f>
        <v>Absence</v>
      </c>
      <c r="I718" s="4"/>
      <c r="J718" s="22" t="s">
        <v>2396</v>
      </c>
      <c r="K718" s="110" t="s">
        <v>2396</v>
      </c>
      <c r="L718" s="22" t="s">
        <v>2396</v>
      </c>
      <c r="M718" s="22" t="s">
        <v>2396</v>
      </c>
      <c r="N718" s="22" t="s">
        <v>2396</v>
      </c>
      <c r="O718" s="22" t="s">
        <v>2396</v>
      </c>
      <c r="P718" s="22" t="s">
        <v>2396</v>
      </c>
      <c r="Q718" s="109" t="s">
        <v>2308</v>
      </c>
      <c r="R718" s="109" t="s">
        <v>2308</v>
      </c>
      <c r="S718" s="22" t="s">
        <v>2396</v>
      </c>
      <c r="T718" s="22" t="s">
        <v>2396</v>
      </c>
      <c r="U718" s="22" t="s">
        <v>2396</v>
      </c>
      <c r="V718" s="22" t="s">
        <v>2396</v>
      </c>
      <c r="W718" s="22" t="s">
        <v>2308</v>
      </c>
      <c r="X718" s="4" t="s">
        <v>2308</v>
      </c>
      <c r="Y718" s="4" t="s">
        <v>2308</v>
      </c>
      <c r="Z718" s="4" t="s">
        <v>2308</v>
      </c>
      <c r="AA718" s="5" t="s">
        <v>1749</v>
      </c>
      <c r="AB718" s="4"/>
    </row>
    <row r="719" spans="1:28" ht="49.5" customHeight="1">
      <c r="A719" s="7" t="str">
        <f>'Reported burning'!A719</f>
        <v>84aq</v>
      </c>
      <c r="B719" s="7" t="str">
        <f>'Reported burning'!B719</f>
        <v>84aq.1</v>
      </c>
      <c r="C719" s="7" t="str">
        <f>'Reported burning'!C719</f>
        <v>Human, deliberate</v>
      </c>
      <c r="D719" s="7" t="str">
        <f>'Reported burning'!D719</f>
        <v>Forest clearance</v>
      </c>
      <c r="E719" s="7" t="str">
        <f>'Reported burning'!E719</f>
        <v>Forestry, Small-scale</v>
      </c>
      <c r="F719" s="7" t="str">
        <f>'Reported burning'!F719</f>
        <v>Forest</v>
      </c>
      <c r="G719" s="7">
        <f>'Reported burning'!G719</f>
        <v>0</v>
      </c>
      <c r="H719" s="7" t="str">
        <f>'Reported burning'!H719</f>
        <v>Absence</v>
      </c>
      <c r="I719" s="4"/>
      <c r="J719" s="22" t="s">
        <v>2396</v>
      </c>
      <c r="K719" s="110" t="s">
        <v>2396</v>
      </c>
      <c r="L719" s="22" t="s">
        <v>2396</v>
      </c>
      <c r="M719" s="22" t="s">
        <v>2396</v>
      </c>
      <c r="N719" s="22" t="s">
        <v>2396</v>
      </c>
      <c r="O719" s="22" t="s">
        <v>2396</v>
      </c>
      <c r="P719" s="22" t="s">
        <v>2396</v>
      </c>
      <c r="Q719" s="109" t="s">
        <v>2308</v>
      </c>
      <c r="R719" s="109" t="s">
        <v>2308</v>
      </c>
      <c r="S719" s="22" t="s">
        <v>2396</v>
      </c>
      <c r="T719" s="22" t="s">
        <v>2396</v>
      </c>
      <c r="U719" s="22" t="s">
        <v>2396</v>
      </c>
      <c r="V719" s="22" t="s">
        <v>2396</v>
      </c>
      <c r="W719" s="22" t="s">
        <v>2308</v>
      </c>
      <c r="X719" s="4" t="s">
        <v>2308</v>
      </c>
      <c r="Y719" s="4" t="s">
        <v>2308</v>
      </c>
      <c r="Z719" s="4" t="s">
        <v>2308</v>
      </c>
      <c r="AA719" s="5" t="s">
        <v>1749</v>
      </c>
      <c r="AB719" s="4"/>
    </row>
    <row r="720" spans="1:28" ht="49.5" customHeight="1">
      <c r="A720" s="7" t="str">
        <f>'Reported burning'!A720</f>
        <v>84ar</v>
      </c>
      <c r="B720" s="7" t="str">
        <f>'Reported burning'!B720</f>
        <v>84ar.1</v>
      </c>
      <c r="C720" s="7" t="str">
        <f>'Reported burning'!C720</f>
        <v>Human, deliberate</v>
      </c>
      <c r="D720" s="7" t="str">
        <f>'Reported burning'!D720</f>
        <v>Forest clearance</v>
      </c>
      <c r="E720" s="7" t="str">
        <f>'Reported burning'!E720</f>
        <v>Forestry, Small-scale</v>
      </c>
      <c r="F720" s="7" t="str">
        <f>'Reported burning'!F720</f>
        <v>Forest</v>
      </c>
      <c r="G720" s="7">
        <f>'Reported burning'!G720</f>
        <v>0</v>
      </c>
      <c r="H720" s="7" t="str">
        <f>'Reported burning'!H720</f>
        <v>Absence</v>
      </c>
      <c r="I720" s="4"/>
      <c r="J720" s="22" t="s">
        <v>2396</v>
      </c>
      <c r="K720" s="110" t="s">
        <v>2396</v>
      </c>
      <c r="L720" s="22" t="s">
        <v>2396</v>
      </c>
      <c r="M720" s="22" t="s">
        <v>2396</v>
      </c>
      <c r="N720" s="22" t="s">
        <v>2396</v>
      </c>
      <c r="O720" s="22" t="s">
        <v>2396</v>
      </c>
      <c r="P720" s="22" t="s">
        <v>2396</v>
      </c>
      <c r="Q720" s="109" t="s">
        <v>2308</v>
      </c>
      <c r="R720" s="109" t="s">
        <v>2308</v>
      </c>
      <c r="S720" s="22" t="s">
        <v>2396</v>
      </c>
      <c r="T720" s="22" t="s">
        <v>2396</v>
      </c>
      <c r="U720" s="22" t="s">
        <v>2396</v>
      </c>
      <c r="V720" s="22" t="s">
        <v>2396</v>
      </c>
      <c r="W720" s="22" t="s">
        <v>2308</v>
      </c>
      <c r="X720" s="4" t="s">
        <v>2308</v>
      </c>
      <c r="Y720" s="4" t="s">
        <v>2308</v>
      </c>
      <c r="Z720" s="4" t="s">
        <v>2308</v>
      </c>
      <c r="AA720" s="5" t="s">
        <v>1749</v>
      </c>
      <c r="AB720" s="4"/>
    </row>
    <row r="721" spans="1:28" ht="49.5" customHeight="1">
      <c r="A721" s="7" t="str">
        <f>'Reported burning'!A721</f>
        <v>84as</v>
      </c>
      <c r="B721" s="7" t="str">
        <f>'Reported burning'!B721</f>
        <v>84as.1</v>
      </c>
      <c r="C721" s="7" t="str">
        <f>'Reported burning'!C721</f>
        <v>Human, deliberate</v>
      </c>
      <c r="D721" s="7" t="str">
        <f>'Reported burning'!D721</f>
        <v>Forest clearance</v>
      </c>
      <c r="E721" s="7" t="str">
        <f>'Reported burning'!E721</f>
        <v>Forestry, Small-scale</v>
      </c>
      <c r="F721" s="7" t="str">
        <f>'Reported burning'!F721</f>
        <v>Forest</v>
      </c>
      <c r="G721" s="7">
        <f>'Reported burning'!G721</f>
        <v>0</v>
      </c>
      <c r="H721" s="7" t="str">
        <f>'Reported burning'!H721</f>
        <v>Absence</v>
      </c>
      <c r="I721" s="4"/>
      <c r="J721" s="22" t="s">
        <v>2396</v>
      </c>
      <c r="K721" s="110" t="s">
        <v>2396</v>
      </c>
      <c r="L721" s="22" t="s">
        <v>2396</v>
      </c>
      <c r="M721" s="22" t="s">
        <v>2396</v>
      </c>
      <c r="N721" s="22" t="s">
        <v>2396</v>
      </c>
      <c r="O721" s="22" t="s">
        <v>2396</v>
      </c>
      <c r="P721" s="22" t="s">
        <v>2396</v>
      </c>
      <c r="Q721" s="109" t="s">
        <v>2308</v>
      </c>
      <c r="R721" s="109" t="s">
        <v>2308</v>
      </c>
      <c r="S721" s="22" t="s">
        <v>2396</v>
      </c>
      <c r="T721" s="22" t="s">
        <v>2396</v>
      </c>
      <c r="U721" s="22" t="s">
        <v>2396</v>
      </c>
      <c r="V721" s="22" t="s">
        <v>2396</v>
      </c>
      <c r="W721" s="22" t="s">
        <v>2308</v>
      </c>
      <c r="X721" s="4" t="s">
        <v>2308</v>
      </c>
      <c r="Y721" s="4" t="s">
        <v>2308</v>
      </c>
      <c r="Z721" s="4" t="s">
        <v>2308</v>
      </c>
      <c r="AA721" s="5" t="s">
        <v>1749</v>
      </c>
      <c r="AB721" s="4"/>
    </row>
    <row r="722" spans="1:28" ht="49.5" customHeight="1">
      <c r="A722" s="7" t="str">
        <f>'Reported burning'!A722</f>
        <v>84at</v>
      </c>
      <c r="B722" s="7" t="str">
        <f>'Reported burning'!B722</f>
        <v>84at.1</v>
      </c>
      <c r="C722" s="7" t="str">
        <f>'Reported burning'!C722</f>
        <v>Human, deliberate</v>
      </c>
      <c r="D722" s="7" t="str">
        <f>'Reported burning'!D722</f>
        <v>Forest clearance</v>
      </c>
      <c r="E722" s="7" t="str">
        <f>'Reported burning'!E722</f>
        <v>Forestry, Small-scale</v>
      </c>
      <c r="F722" s="7" t="str">
        <f>'Reported burning'!F722</f>
        <v>Forest</v>
      </c>
      <c r="G722" s="7">
        <f>'Reported burning'!G722</f>
        <v>0</v>
      </c>
      <c r="H722" s="7" t="str">
        <f>'Reported burning'!H722</f>
        <v>Absence</v>
      </c>
      <c r="I722" s="4"/>
      <c r="J722" s="22" t="s">
        <v>2396</v>
      </c>
      <c r="K722" s="110" t="s">
        <v>2396</v>
      </c>
      <c r="L722" s="22" t="s">
        <v>2396</v>
      </c>
      <c r="M722" s="22" t="s">
        <v>2396</v>
      </c>
      <c r="N722" s="22" t="s">
        <v>2396</v>
      </c>
      <c r="O722" s="22" t="s">
        <v>2396</v>
      </c>
      <c r="P722" s="22" t="s">
        <v>2396</v>
      </c>
      <c r="Q722" s="109" t="s">
        <v>2308</v>
      </c>
      <c r="R722" s="109" t="s">
        <v>2308</v>
      </c>
      <c r="S722" s="22" t="s">
        <v>2396</v>
      </c>
      <c r="T722" s="22" t="s">
        <v>2396</v>
      </c>
      <c r="U722" s="22" t="s">
        <v>2396</v>
      </c>
      <c r="V722" s="22" t="s">
        <v>2396</v>
      </c>
      <c r="W722" s="22" t="s">
        <v>2308</v>
      </c>
      <c r="X722" s="4" t="s">
        <v>2308</v>
      </c>
      <c r="Y722" s="4" t="s">
        <v>2308</v>
      </c>
      <c r="Z722" s="4" t="s">
        <v>2308</v>
      </c>
      <c r="AA722" s="5" t="s">
        <v>1749</v>
      </c>
      <c r="AB722" s="4"/>
    </row>
    <row r="723" spans="1:28" ht="49.5" customHeight="1">
      <c r="A723" s="7" t="str">
        <f>'Reported burning'!A723</f>
        <v>84au</v>
      </c>
      <c r="B723" s="7" t="str">
        <f>'Reported burning'!B723</f>
        <v>84au.1</v>
      </c>
      <c r="C723" s="7" t="str">
        <f>'Reported burning'!C723</f>
        <v>Human, deliberate</v>
      </c>
      <c r="D723" s="7" t="str">
        <f>'Reported burning'!D723</f>
        <v>Forest clearance</v>
      </c>
      <c r="E723" s="7" t="str">
        <f>'Reported burning'!E723</f>
        <v>Forestry, Small-scale</v>
      </c>
      <c r="F723" s="7" t="str">
        <f>'Reported burning'!F723</f>
        <v>Forest</v>
      </c>
      <c r="G723" s="7">
        <f>'Reported burning'!G723</f>
        <v>0</v>
      </c>
      <c r="H723" s="7" t="str">
        <f>'Reported burning'!H723</f>
        <v>Absence</v>
      </c>
      <c r="I723" s="4"/>
      <c r="J723" s="22" t="s">
        <v>2396</v>
      </c>
      <c r="K723" s="110" t="s">
        <v>2396</v>
      </c>
      <c r="L723" s="22" t="s">
        <v>2396</v>
      </c>
      <c r="M723" s="22" t="s">
        <v>2396</v>
      </c>
      <c r="N723" s="22" t="s">
        <v>2396</v>
      </c>
      <c r="O723" s="22" t="s">
        <v>2396</v>
      </c>
      <c r="P723" s="22" t="s">
        <v>2396</v>
      </c>
      <c r="Q723" s="109" t="s">
        <v>2308</v>
      </c>
      <c r="R723" s="109" t="s">
        <v>2308</v>
      </c>
      <c r="S723" s="22" t="s">
        <v>2396</v>
      </c>
      <c r="T723" s="22" t="s">
        <v>2396</v>
      </c>
      <c r="U723" s="22" t="s">
        <v>2396</v>
      </c>
      <c r="V723" s="22" t="s">
        <v>2396</v>
      </c>
      <c r="W723" s="22" t="s">
        <v>2308</v>
      </c>
      <c r="X723" s="4" t="s">
        <v>2308</v>
      </c>
      <c r="Y723" s="4" t="s">
        <v>2308</v>
      </c>
      <c r="Z723" s="4" t="s">
        <v>2308</v>
      </c>
      <c r="AA723" s="5" t="s">
        <v>1749</v>
      </c>
      <c r="AB723" s="4"/>
    </row>
    <row r="724" spans="1:28" ht="49.5" customHeight="1">
      <c r="A724" s="7" t="str">
        <f>'Reported burning'!A724</f>
        <v>84av</v>
      </c>
      <c r="B724" s="7" t="str">
        <f>'Reported burning'!B724</f>
        <v>84av.1</v>
      </c>
      <c r="C724" s="7" t="str">
        <f>'Reported burning'!C724</f>
        <v>Human, deliberate</v>
      </c>
      <c r="D724" s="7" t="str">
        <f>'Reported burning'!D724</f>
        <v>Forest clearance</v>
      </c>
      <c r="E724" s="7" t="str">
        <f>'Reported burning'!E724</f>
        <v>Forestry, Small-scale</v>
      </c>
      <c r="F724" s="7" t="str">
        <f>'Reported burning'!F724</f>
        <v>Forest</v>
      </c>
      <c r="G724" s="7">
        <f>'Reported burning'!G724</f>
        <v>0</v>
      </c>
      <c r="H724" s="7" t="str">
        <f>'Reported burning'!H724</f>
        <v>Absence</v>
      </c>
      <c r="I724" s="4"/>
      <c r="J724" s="22" t="s">
        <v>2396</v>
      </c>
      <c r="K724" s="110" t="s">
        <v>2396</v>
      </c>
      <c r="L724" s="22" t="s">
        <v>2396</v>
      </c>
      <c r="M724" s="22" t="s">
        <v>2396</v>
      </c>
      <c r="N724" s="22" t="s">
        <v>2396</v>
      </c>
      <c r="O724" s="22" t="s">
        <v>2396</v>
      </c>
      <c r="P724" s="22" t="s">
        <v>2396</v>
      </c>
      <c r="Q724" s="109" t="s">
        <v>2308</v>
      </c>
      <c r="R724" s="109" t="s">
        <v>2308</v>
      </c>
      <c r="S724" s="22" t="s">
        <v>2396</v>
      </c>
      <c r="T724" s="22" t="s">
        <v>2396</v>
      </c>
      <c r="U724" s="22" t="s">
        <v>2396</v>
      </c>
      <c r="V724" s="22" t="s">
        <v>2396</v>
      </c>
      <c r="W724" s="22" t="s">
        <v>2308</v>
      </c>
      <c r="X724" s="4" t="s">
        <v>2308</v>
      </c>
      <c r="Y724" s="4" t="s">
        <v>2308</v>
      </c>
      <c r="Z724" s="4" t="s">
        <v>2308</v>
      </c>
      <c r="AA724" s="5" t="s">
        <v>1749</v>
      </c>
      <c r="AB724" s="4"/>
    </row>
    <row r="725" spans="1:28" ht="49.5" customHeight="1">
      <c r="A725" s="7" t="str">
        <f>'Reported burning'!A725</f>
        <v>84aw</v>
      </c>
      <c r="B725" s="7" t="str">
        <f>'Reported burning'!B725</f>
        <v>84aw.1</v>
      </c>
      <c r="C725" s="7" t="str">
        <f>'Reported burning'!C725</f>
        <v>Human, deliberate</v>
      </c>
      <c r="D725" s="7" t="str">
        <f>'Reported burning'!D725</f>
        <v>Forest clearance</v>
      </c>
      <c r="E725" s="7" t="str">
        <f>'Reported burning'!E725</f>
        <v>Forestry, Small-scale</v>
      </c>
      <c r="F725" s="7" t="str">
        <f>'Reported burning'!F725</f>
        <v>Forest</v>
      </c>
      <c r="G725" s="7">
        <f>'Reported burning'!G725</f>
        <v>0</v>
      </c>
      <c r="H725" s="7" t="str">
        <f>'Reported burning'!H725</f>
        <v>Absence</v>
      </c>
      <c r="I725" s="4"/>
      <c r="J725" s="22" t="s">
        <v>2396</v>
      </c>
      <c r="K725" s="110" t="s">
        <v>2396</v>
      </c>
      <c r="L725" s="22" t="s">
        <v>2396</v>
      </c>
      <c r="M725" s="22" t="s">
        <v>2396</v>
      </c>
      <c r="N725" s="22" t="s">
        <v>2396</v>
      </c>
      <c r="O725" s="22" t="s">
        <v>2396</v>
      </c>
      <c r="P725" s="22" t="s">
        <v>2396</v>
      </c>
      <c r="Q725" s="109" t="s">
        <v>2308</v>
      </c>
      <c r="R725" s="109" t="s">
        <v>2308</v>
      </c>
      <c r="S725" s="22" t="s">
        <v>2396</v>
      </c>
      <c r="T725" s="22" t="s">
        <v>2396</v>
      </c>
      <c r="U725" s="22" t="s">
        <v>2396</v>
      </c>
      <c r="V725" s="22" t="s">
        <v>2396</v>
      </c>
      <c r="W725" s="22" t="s">
        <v>2308</v>
      </c>
      <c r="X725" s="4" t="s">
        <v>2308</v>
      </c>
      <c r="Y725" s="4" t="s">
        <v>2308</v>
      </c>
      <c r="Z725" s="4" t="s">
        <v>2308</v>
      </c>
      <c r="AA725" s="5" t="s">
        <v>1749</v>
      </c>
      <c r="AB725" s="4"/>
    </row>
    <row r="726" spans="1:28" ht="49.5" customHeight="1">
      <c r="A726" s="7" t="str">
        <f>'Reported burning'!A726</f>
        <v>84ax</v>
      </c>
      <c r="B726" s="7" t="str">
        <f>'Reported burning'!B726</f>
        <v>84ax.1</v>
      </c>
      <c r="C726" s="7" t="str">
        <f>'Reported burning'!C726</f>
        <v>Human, deliberate</v>
      </c>
      <c r="D726" s="7" t="str">
        <f>'Reported burning'!D726</f>
        <v>Forest clearance</v>
      </c>
      <c r="E726" s="7" t="str">
        <f>'Reported burning'!E726</f>
        <v>Forestry, Small-scale</v>
      </c>
      <c r="F726" s="7" t="str">
        <f>'Reported burning'!F726</f>
        <v>Forest</v>
      </c>
      <c r="G726" s="7">
        <f>'Reported burning'!G726</f>
        <v>0</v>
      </c>
      <c r="H726" s="7" t="str">
        <f>'Reported burning'!H726</f>
        <v>Absence</v>
      </c>
      <c r="I726" s="4"/>
      <c r="J726" s="22" t="s">
        <v>2396</v>
      </c>
      <c r="K726" s="110" t="s">
        <v>2396</v>
      </c>
      <c r="L726" s="22" t="s">
        <v>2396</v>
      </c>
      <c r="M726" s="22" t="s">
        <v>2396</v>
      </c>
      <c r="N726" s="22" t="s">
        <v>2396</v>
      </c>
      <c r="O726" s="22" t="s">
        <v>2396</v>
      </c>
      <c r="P726" s="22" t="s">
        <v>2396</v>
      </c>
      <c r="Q726" s="109" t="s">
        <v>2308</v>
      </c>
      <c r="R726" s="109" t="s">
        <v>2308</v>
      </c>
      <c r="S726" s="22" t="s">
        <v>2396</v>
      </c>
      <c r="T726" s="22" t="s">
        <v>2396</v>
      </c>
      <c r="U726" s="22" t="s">
        <v>2396</v>
      </c>
      <c r="V726" s="22" t="s">
        <v>2396</v>
      </c>
      <c r="W726" s="22" t="s">
        <v>2308</v>
      </c>
      <c r="X726" s="4" t="s">
        <v>2308</v>
      </c>
      <c r="Y726" s="4" t="s">
        <v>2308</v>
      </c>
      <c r="Z726" s="4" t="s">
        <v>2308</v>
      </c>
      <c r="AA726" s="5" t="s">
        <v>1749</v>
      </c>
      <c r="AB726" s="4"/>
    </row>
    <row r="727" spans="1:28" ht="49.5" customHeight="1">
      <c r="A727" s="7" t="str">
        <f>'Reported burning'!A727</f>
        <v>84ay</v>
      </c>
      <c r="B727" s="7" t="str">
        <f>'Reported burning'!B727</f>
        <v>84ay.1</v>
      </c>
      <c r="C727" s="7" t="str">
        <f>'Reported burning'!C727</f>
        <v>Human, deliberate</v>
      </c>
      <c r="D727" s="7" t="str">
        <f>'Reported burning'!D727</f>
        <v>Forest clearance</v>
      </c>
      <c r="E727" s="7" t="str">
        <f>'Reported burning'!E727</f>
        <v>Forestry, Small-scale</v>
      </c>
      <c r="F727" s="7" t="str">
        <f>'Reported burning'!F727</f>
        <v>Forest</v>
      </c>
      <c r="G727" s="7">
        <f>'Reported burning'!G727</f>
        <v>0</v>
      </c>
      <c r="H727" s="7" t="str">
        <f>'Reported burning'!H727</f>
        <v>Absence</v>
      </c>
      <c r="I727" s="4"/>
      <c r="J727" s="22" t="s">
        <v>2396</v>
      </c>
      <c r="K727" s="110" t="s">
        <v>2396</v>
      </c>
      <c r="L727" s="22" t="s">
        <v>2396</v>
      </c>
      <c r="M727" s="22" t="s">
        <v>2396</v>
      </c>
      <c r="N727" s="22" t="s">
        <v>2396</v>
      </c>
      <c r="O727" s="22" t="s">
        <v>2396</v>
      </c>
      <c r="P727" s="22" t="s">
        <v>2396</v>
      </c>
      <c r="Q727" s="109" t="s">
        <v>2308</v>
      </c>
      <c r="R727" s="109" t="s">
        <v>2308</v>
      </c>
      <c r="S727" s="22" t="s">
        <v>2396</v>
      </c>
      <c r="T727" s="22" t="s">
        <v>2396</v>
      </c>
      <c r="U727" s="22" t="s">
        <v>2396</v>
      </c>
      <c r="V727" s="22" t="s">
        <v>2396</v>
      </c>
      <c r="W727" s="22" t="s">
        <v>2308</v>
      </c>
      <c r="X727" s="4" t="s">
        <v>2308</v>
      </c>
      <c r="Y727" s="4" t="s">
        <v>2308</v>
      </c>
      <c r="Z727" s="4" t="s">
        <v>2308</v>
      </c>
      <c r="AA727" s="5" t="s">
        <v>1749</v>
      </c>
      <c r="AB727" s="4"/>
    </row>
    <row r="728" spans="1:28" ht="49.5" customHeight="1">
      <c r="A728" s="7" t="str">
        <f>'Reported burning'!A728</f>
        <v>84az</v>
      </c>
      <c r="B728" s="7" t="str">
        <f>'Reported burning'!B728</f>
        <v>84az.1</v>
      </c>
      <c r="C728" s="7" t="str">
        <f>'Reported burning'!C728</f>
        <v>Human, deliberate</v>
      </c>
      <c r="D728" s="7" t="str">
        <f>'Reported burning'!D728</f>
        <v>Forest clearance</v>
      </c>
      <c r="E728" s="7" t="str">
        <f>'Reported burning'!E728</f>
        <v>Forestry, Small-scale</v>
      </c>
      <c r="F728" s="7" t="str">
        <f>'Reported burning'!F728</f>
        <v>Forest</v>
      </c>
      <c r="G728" s="7">
        <f>'Reported burning'!G728</f>
        <v>0</v>
      </c>
      <c r="H728" s="7" t="str">
        <f>'Reported burning'!H728</f>
        <v>Absence</v>
      </c>
      <c r="I728" s="4"/>
      <c r="J728" s="22" t="s">
        <v>2396</v>
      </c>
      <c r="K728" s="110" t="s">
        <v>2396</v>
      </c>
      <c r="L728" s="22" t="s">
        <v>2396</v>
      </c>
      <c r="M728" s="22" t="s">
        <v>2396</v>
      </c>
      <c r="N728" s="22" t="s">
        <v>2396</v>
      </c>
      <c r="O728" s="22" t="s">
        <v>2396</v>
      </c>
      <c r="P728" s="22" t="s">
        <v>2396</v>
      </c>
      <c r="Q728" s="109" t="s">
        <v>2308</v>
      </c>
      <c r="R728" s="109" t="s">
        <v>2308</v>
      </c>
      <c r="S728" s="22" t="s">
        <v>2396</v>
      </c>
      <c r="T728" s="22" t="s">
        <v>2396</v>
      </c>
      <c r="U728" s="22" t="s">
        <v>2396</v>
      </c>
      <c r="V728" s="22" t="s">
        <v>2396</v>
      </c>
      <c r="W728" s="22" t="s">
        <v>2308</v>
      </c>
      <c r="X728" s="4" t="s">
        <v>2308</v>
      </c>
      <c r="Y728" s="4" t="s">
        <v>2308</v>
      </c>
      <c r="Z728" s="4" t="s">
        <v>2308</v>
      </c>
      <c r="AA728" s="5" t="s">
        <v>1749</v>
      </c>
      <c r="AB728" s="4"/>
    </row>
    <row r="729" spans="1:28" ht="49.5" customHeight="1">
      <c r="A729" s="7" t="str">
        <f>'Reported burning'!A729</f>
        <v>84ba</v>
      </c>
      <c r="B729" s="7" t="str">
        <f>'Reported burning'!B729</f>
        <v>84ba.1</v>
      </c>
      <c r="C729" s="7" t="str">
        <f>'Reported burning'!C729</f>
        <v>Human, deliberate</v>
      </c>
      <c r="D729" s="7" t="str">
        <f>'Reported burning'!D729</f>
        <v>Forest clearance</v>
      </c>
      <c r="E729" s="7" t="str">
        <f>'Reported burning'!E729</f>
        <v>Forestry, Small-scale</v>
      </c>
      <c r="F729" s="7" t="str">
        <f>'Reported burning'!F729</f>
        <v>Forest</v>
      </c>
      <c r="G729" s="7">
        <f>'Reported burning'!G729</f>
        <v>0</v>
      </c>
      <c r="H729" s="7" t="str">
        <f>'Reported burning'!H729</f>
        <v>Absence</v>
      </c>
      <c r="I729" s="4"/>
      <c r="J729" s="22" t="s">
        <v>2396</v>
      </c>
      <c r="K729" s="110" t="s">
        <v>2396</v>
      </c>
      <c r="L729" s="22" t="s">
        <v>2396</v>
      </c>
      <c r="M729" s="22" t="s">
        <v>2396</v>
      </c>
      <c r="N729" s="22" t="s">
        <v>2396</v>
      </c>
      <c r="O729" s="22" t="s">
        <v>2396</v>
      </c>
      <c r="P729" s="22" t="s">
        <v>2396</v>
      </c>
      <c r="Q729" s="109" t="s">
        <v>2308</v>
      </c>
      <c r="R729" s="109" t="s">
        <v>2308</v>
      </c>
      <c r="S729" s="22" t="s">
        <v>2396</v>
      </c>
      <c r="T729" s="22" t="s">
        <v>2396</v>
      </c>
      <c r="U729" s="22" t="s">
        <v>2396</v>
      </c>
      <c r="V729" s="22" t="s">
        <v>2396</v>
      </c>
      <c r="W729" s="22" t="s">
        <v>2308</v>
      </c>
      <c r="X729" s="4" t="s">
        <v>2308</v>
      </c>
      <c r="Y729" s="4" t="s">
        <v>2308</v>
      </c>
      <c r="Z729" s="4" t="s">
        <v>2308</v>
      </c>
      <c r="AA729" s="5" t="s">
        <v>1749</v>
      </c>
      <c r="AB729" s="4"/>
    </row>
    <row r="730" spans="1:28" ht="49.5" customHeight="1">
      <c r="A730" s="7" t="str">
        <f>'Reported burning'!A730</f>
        <v>84bb</v>
      </c>
      <c r="B730" s="7" t="str">
        <f>'Reported burning'!B730</f>
        <v>84bb.1</v>
      </c>
      <c r="C730" s="7" t="str">
        <f>'Reported burning'!C730</f>
        <v>Human, deliberate</v>
      </c>
      <c r="D730" s="7" t="str">
        <f>'Reported burning'!D730</f>
        <v>Forest clearance</v>
      </c>
      <c r="E730" s="7" t="str">
        <f>'Reported burning'!E730</f>
        <v>Forestry, Small-scale</v>
      </c>
      <c r="F730" s="7" t="str">
        <f>'Reported burning'!F730</f>
        <v>Forest</v>
      </c>
      <c r="G730" s="7">
        <f>'Reported burning'!G730</f>
        <v>0</v>
      </c>
      <c r="H730" s="7" t="str">
        <f>'Reported burning'!H730</f>
        <v>Absence</v>
      </c>
      <c r="I730" s="4"/>
      <c r="J730" s="22" t="s">
        <v>2396</v>
      </c>
      <c r="K730" s="110" t="s">
        <v>2396</v>
      </c>
      <c r="L730" s="22" t="s">
        <v>2396</v>
      </c>
      <c r="M730" s="22" t="s">
        <v>2396</v>
      </c>
      <c r="N730" s="22" t="s">
        <v>2396</v>
      </c>
      <c r="O730" s="22" t="s">
        <v>2396</v>
      </c>
      <c r="P730" s="22" t="s">
        <v>2396</v>
      </c>
      <c r="Q730" s="109" t="s">
        <v>2308</v>
      </c>
      <c r="R730" s="109" t="s">
        <v>2308</v>
      </c>
      <c r="S730" s="22" t="s">
        <v>2396</v>
      </c>
      <c r="T730" s="22" t="s">
        <v>2396</v>
      </c>
      <c r="U730" s="22" t="s">
        <v>2396</v>
      </c>
      <c r="V730" s="22" t="s">
        <v>2396</v>
      </c>
      <c r="W730" s="22" t="s">
        <v>2308</v>
      </c>
      <c r="X730" s="4" t="s">
        <v>2308</v>
      </c>
      <c r="Y730" s="4" t="s">
        <v>2308</v>
      </c>
      <c r="Z730" s="4" t="s">
        <v>2308</v>
      </c>
      <c r="AA730" s="5" t="s">
        <v>1749</v>
      </c>
      <c r="AB730" s="4"/>
    </row>
    <row r="731" spans="1:28" ht="49.5" customHeight="1">
      <c r="A731" s="7" t="str">
        <f>'Reported burning'!A731</f>
        <v>84bc</v>
      </c>
      <c r="B731" s="7" t="str">
        <f>'Reported burning'!B731</f>
        <v>84bc.1</v>
      </c>
      <c r="C731" s="7" t="str">
        <f>'Reported burning'!C731</f>
        <v>Human, deliberate</v>
      </c>
      <c r="D731" s="7" t="str">
        <f>'Reported burning'!D731</f>
        <v>Forest clearance</v>
      </c>
      <c r="E731" s="7" t="str">
        <f>'Reported burning'!E731</f>
        <v>Forestry, Small-scale</v>
      </c>
      <c r="F731" s="7" t="str">
        <f>'Reported burning'!F731</f>
        <v>Forest</v>
      </c>
      <c r="G731" s="7">
        <f>'Reported burning'!G731</f>
        <v>0</v>
      </c>
      <c r="H731" s="7" t="str">
        <f>'Reported burning'!H731</f>
        <v>Absence</v>
      </c>
      <c r="I731" s="4"/>
      <c r="J731" s="22" t="s">
        <v>2396</v>
      </c>
      <c r="K731" s="110" t="s">
        <v>2396</v>
      </c>
      <c r="L731" s="22" t="s">
        <v>2396</v>
      </c>
      <c r="M731" s="22" t="s">
        <v>2396</v>
      </c>
      <c r="N731" s="22" t="s">
        <v>2396</v>
      </c>
      <c r="O731" s="22" t="s">
        <v>2396</v>
      </c>
      <c r="P731" s="22" t="s">
        <v>2396</v>
      </c>
      <c r="Q731" s="109" t="s">
        <v>2308</v>
      </c>
      <c r="R731" s="109" t="s">
        <v>2308</v>
      </c>
      <c r="S731" s="22" t="s">
        <v>2396</v>
      </c>
      <c r="T731" s="22" t="s">
        <v>2396</v>
      </c>
      <c r="U731" s="22" t="s">
        <v>2396</v>
      </c>
      <c r="V731" s="22" t="s">
        <v>2396</v>
      </c>
      <c r="W731" s="22" t="s">
        <v>2308</v>
      </c>
      <c r="X731" s="4" t="s">
        <v>2308</v>
      </c>
      <c r="Y731" s="4" t="s">
        <v>2308</v>
      </c>
      <c r="Z731" s="4" t="s">
        <v>2308</v>
      </c>
      <c r="AA731" s="5" t="s">
        <v>1749</v>
      </c>
      <c r="AB731" s="4"/>
    </row>
    <row r="732" spans="1:28" ht="49.5" customHeight="1">
      <c r="A732" s="7" t="str">
        <f>'Reported burning'!A732</f>
        <v>84bd</v>
      </c>
      <c r="B732" s="7" t="str">
        <f>'Reported burning'!B732</f>
        <v>84bd.1</v>
      </c>
      <c r="C732" s="7" t="str">
        <f>'Reported burning'!C732</f>
        <v>Human, deliberate</v>
      </c>
      <c r="D732" s="7" t="str">
        <f>'Reported burning'!D732</f>
        <v>Forest clearance</v>
      </c>
      <c r="E732" s="7" t="str">
        <f>'Reported burning'!E732</f>
        <v>Forestry, Small-scale</v>
      </c>
      <c r="F732" s="7" t="str">
        <f>'Reported burning'!F732</f>
        <v>Forest</v>
      </c>
      <c r="G732" s="7">
        <f>'Reported burning'!G732</f>
        <v>0</v>
      </c>
      <c r="H732" s="7" t="str">
        <f>'Reported burning'!H732</f>
        <v>Absence</v>
      </c>
      <c r="I732" s="4"/>
      <c r="J732" s="22" t="s">
        <v>2396</v>
      </c>
      <c r="K732" s="110" t="s">
        <v>2396</v>
      </c>
      <c r="L732" s="22" t="s">
        <v>2396</v>
      </c>
      <c r="M732" s="22" t="s">
        <v>2396</v>
      </c>
      <c r="N732" s="22" t="s">
        <v>2396</v>
      </c>
      <c r="O732" s="22" t="s">
        <v>2396</v>
      </c>
      <c r="P732" s="22" t="s">
        <v>2396</v>
      </c>
      <c r="Q732" s="109" t="s">
        <v>2308</v>
      </c>
      <c r="R732" s="109" t="s">
        <v>2308</v>
      </c>
      <c r="S732" s="22" t="s">
        <v>2396</v>
      </c>
      <c r="T732" s="22" t="s">
        <v>2396</v>
      </c>
      <c r="U732" s="22" t="s">
        <v>2396</v>
      </c>
      <c r="V732" s="22" t="s">
        <v>2396</v>
      </c>
      <c r="W732" s="22" t="s">
        <v>2308</v>
      </c>
      <c r="X732" s="4" t="s">
        <v>2308</v>
      </c>
      <c r="Y732" s="4" t="s">
        <v>2308</v>
      </c>
      <c r="Z732" s="4" t="s">
        <v>2308</v>
      </c>
      <c r="AA732" s="5" t="s">
        <v>1749</v>
      </c>
      <c r="AB732" s="4"/>
    </row>
    <row r="733" spans="1:28" ht="49.5" customHeight="1">
      <c r="A733" s="7" t="str">
        <f>'Reported burning'!A733</f>
        <v>84be</v>
      </c>
      <c r="B733" s="7" t="str">
        <f>'Reported burning'!B733</f>
        <v>84be.1</v>
      </c>
      <c r="C733" s="7" t="str">
        <f>'Reported burning'!C733</f>
        <v>Human, deliberate</v>
      </c>
      <c r="D733" s="7" t="str">
        <f>'Reported burning'!D733</f>
        <v>Forest clearance</v>
      </c>
      <c r="E733" s="7" t="str">
        <f>'Reported burning'!E733</f>
        <v>Forestry, Small-scale</v>
      </c>
      <c r="F733" s="7" t="str">
        <f>'Reported burning'!F733</f>
        <v>Forest</v>
      </c>
      <c r="G733" s="7">
        <f>'Reported burning'!G733</f>
        <v>0</v>
      </c>
      <c r="H733" s="7" t="str">
        <f>'Reported burning'!H733</f>
        <v>Absence</v>
      </c>
      <c r="I733" s="4"/>
      <c r="J733" s="22" t="s">
        <v>2396</v>
      </c>
      <c r="K733" s="110" t="s">
        <v>2396</v>
      </c>
      <c r="L733" s="22" t="s">
        <v>2396</v>
      </c>
      <c r="M733" s="22" t="s">
        <v>2396</v>
      </c>
      <c r="N733" s="22" t="s">
        <v>2396</v>
      </c>
      <c r="O733" s="22" t="s">
        <v>2396</v>
      </c>
      <c r="P733" s="22" t="s">
        <v>2396</v>
      </c>
      <c r="Q733" s="109" t="s">
        <v>2308</v>
      </c>
      <c r="R733" s="109" t="s">
        <v>2308</v>
      </c>
      <c r="S733" s="22" t="s">
        <v>2396</v>
      </c>
      <c r="T733" s="22" t="s">
        <v>2396</v>
      </c>
      <c r="U733" s="22" t="s">
        <v>2396</v>
      </c>
      <c r="V733" s="22" t="s">
        <v>2396</v>
      </c>
      <c r="W733" s="22" t="s">
        <v>2308</v>
      </c>
      <c r="X733" s="4" t="s">
        <v>2308</v>
      </c>
      <c r="Y733" s="4" t="s">
        <v>2308</v>
      </c>
      <c r="Z733" s="4" t="s">
        <v>2308</v>
      </c>
      <c r="AA733" s="5" t="s">
        <v>1749</v>
      </c>
      <c r="AB733" s="4"/>
    </row>
    <row r="734" spans="1:28" ht="49.5" customHeight="1">
      <c r="A734" s="7" t="str">
        <f>'Reported burning'!A734</f>
        <v>84bf</v>
      </c>
      <c r="B734" s="7" t="str">
        <f>'Reported burning'!B734</f>
        <v>84bf.1</v>
      </c>
      <c r="C734" s="7" t="str">
        <f>'Reported burning'!C734</f>
        <v>Human, deliberate</v>
      </c>
      <c r="D734" s="7" t="str">
        <f>'Reported burning'!D734</f>
        <v>Forest clearance</v>
      </c>
      <c r="E734" s="7" t="str">
        <f>'Reported burning'!E734</f>
        <v>Forestry, Small-scale</v>
      </c>
      <c r="F734" s="7" t="str">
        <f>'Reported burning'!F734</f>
        <v>Forest</v>
      </c>
      <c r="G734" s="7">
        <f>'Reported burning'!G734</f>
        <v>0</v>
      </c>
      <c r="H734" s="7" t="str">
        <f>'Reported burning'!H734</f>
        <v>Absence</v>
      </c>
      <c r="I734" s="4"/>
      <c r="J734" s="22" t="s">
        <v>2396</v>
      </c>
      <c r="K734" s="110" t="s">
        <v>2396</v>
      </c>
      <c r="L734" s="22" t="s">
        <v>2396</v>
      </c>
      <c r="M734" s="22" t="s">
        <v>2396</v>
      </c>
      <c r="N734" s="22" t="s">
        <v>2396</v>
      </c>
      <c r="O734" s="22" t="s">
        <v>2396</v>
      </c>
      <c r="P734" s="22" t="s">
        <v>2396</v>
      </c>
      <c r="Q734" s="109" t="s">
        <v>2308</v>
      </c>
      <c r="R734" s="109" t="s">
        <v>2308</v>
      </c>
      <c r="S734" s="22" t="s">
        <v>2396</v>
      </c>
      <c r="T734" s="22" t="s">
        <v>2396</v>
      </c>
      <c r="U734" s="22" t="s">
        <v>2396</v>
      </c>
      <c r="V734" s="22" t="s">
        <v>2396</v>
      </c>
      <c r="W734" s="22" t="s">
        <v>2308</v>
      </c>
      <c r="X734" s="4" t="s">
        <v>2308</v>
      </c>
      <c r="Y734" s="4" t="s">
        <v>2308</v>
      </c>
      <c r="Z734" s="4" t="s">
        <v>2308</v>
      </c>
      <c r="AA734" s="5" t="s">
        <v>1749</v>
      </c>
      <c r="AB734" s="4"/>
    </row>
    <row r="735" spans="1:28" ht="49.5" customHeight="1">
      <c r="A735" s="7" t="str">
        <f>'Reported burning'!A735</f>
        <v>84bg</v>
      </c>
      <c r="B735" s="7" t="str">
        <f>'Reported burning'!B735</f>
        <v>84bg.1</v>
      </c>
      <c r="C735" s="7" t="str">
        <f>'Reported burning'!C735</f>
        <v>Human, deliberate</v>
      </c>
      <c r="D735" s="7" t="str">
        <f>'Reported burning'!D735</f>
        <v>Forest clearance</v>
      </c>
      <c r="E735" s="7" t="str">
        <f>'Reported burning'!E735</f>
        <v>Forestry, Small-scale</v>
      </c>
      <c r="F735" s="7" t="str">
        <f>'Reported burning'!F735</f>
        <v>Forest</v>
      </c>
      <c r="G735" s="7">
        <f>'Reported burning'!G735</f>
        <v>0</v>
      </c>
      <c r="H735" s="7" t="str">
        <f>'Reported burning'!H735</f>
        <v>Absence</v>
      </c>
      <c r="I735" s="4"/>
      <c r="J735" s="22" t="s">
        <v>2396</v>
      </c>
      <c r="K735" s="110" t="s">
        <v>2396</v>
      </c>
      <c r="L735" s="22" t="s">
        <v>2396</v>
      </c>
      <c r="M735" s="22" t="s">
        <v>2396</v>
      </c>
      <c r="N735" s="22" t="s">
        <v>2396</v>
      </c>
      <c r="O735" s="22" t="s">
        <v>2396</v>
      </c>
      <c r="P735" s="22" t="s">
        <v>2396</v>
      </c>
      <c r="Q735" s="109" t="s">
        <v>2308</v>
      </c>
      <c r="R735" s="109" t="s">
        <v>2308</v>
      </c>
      <c r="S735" s="22" t="s">
        <v>2396</v>
      </c>
      <c r="T735" s="22" t="s">
        <v>2396</v>
      </c>
      <c r="U735" s="22" t="s">
        <v>2396</v>
      </c>
      <c r="V735" s="22" t="s">
        <v>2396</v>
      </c>
      <c r="W735" s="22" t="s">
        <v>2308</v>
      </c>
      <c r="X735" s="4" t="s">
        <v>2308</v>
      </c>
      <c r="Y735" s="4" t="s">
        <v>2308</v>
      </c>
      <c r="Z735" s="4" t="s">
        <v>2308</v>
      </c>
      <c r="AA735" s="5" t="s">
        <v>1749</v>
      </c>
      <c r="AB735" s="4"/>
    </row>
    <row r="736" spans="1:28" ht="49.5" customHeight="1">
      <c r="A736" s="7" t="str">
        <f>'Reported burning'!A736</f>
        <v>84bh</v>
      </c>
      <c r="B736" s="7" t="str">
        <f>'Reported burning'!B736</f>
        <v>84bh.1</v>
      </c>
      <c r="C736" s="7" t="str">
        <f>'Reported burning'!C736</f>
        <v>Human, deliberate</v>
      </c>
      <c r="D736" s="7" t="str">
        <f>'Reported burning'!D736</f>
        <v>Forest clearance</v>
      </c>
      <c r="E736" s="7" t="str">
        <f>'Reported burning'!E736</f>
        <v>Forestry, Small-scale</v>
      </c>
      <c r="F736" s="7" t="str">
        <f>'Reported burning'!F736</f>
        <v>Forest</v>
      </c>
      <c r="G736" s="7">
        <f>'Reported burning'!G736</f>
        <v>0</v>
      </c>
      <c r="H736" s="7" t="str">
        <f>'Reported burning'!H736</f>
        <v>Absence</v>
      </c>
      <c r="I736" s="4"/>
      <c r="J736" s="22" t="s">
        <v>2396</v>
      </c>
      <c r="K736" s="110" t="s">
        <v>2396</v>
      </c>
      <c r="L736" s="22" t="s">
        <v>2396</v>
      </c>
      <c r="M736" s="22" t="s">
        <v>2396</v>
      </c>
      <c r="N736" s="22" t="s">
        <v>2396</v>
      </c>
      <c r="O736" s="22" t="s">
        <v>2396</v>
      </c>
      <c r="P736" s="22" t="s">
        <v>2396</v>
      </c>
      <c r="Q736" s="109" t="s">
        <v>2308</v>
      </c>
      <c r="R736" s="109" t="s">
        <v>2308</v>
      </c>
      <c r="S736" s="22" t="s">
        <v>2396</v>
      </c>
      <c r="T736" s="22" t="s">
        <v>2396</v>
      </c>
      <c r="U736" s="22" t="s">
        <v>2396</v>
      </c>
      <c r="V736" s="22" t="s">
        <v>2396</v>
      </c>
      <c r="W736" s="22" t="s">
        <v>2308</v>
      </c>
      <c r="X736" s="4" t="s">
        <v>2308</v>
      </c>
      <c r="Y736" s="4" t="s">
        <v>2308</v>
      </c>
      <c r="Z736" s="4" t="s">
        <v>2308</v>
      </c>
      <c r="AA736" s="5" t="s">
        <v>1749</v>
      </c>
      <c r="AB736" s="4"/>
    </row>
    <row r="737" spans="1:28" ht="49.5" customHeight="1">
      <c r="A737" s="7" t="str">
        <f>'Reported burning'!A737</f>
        <v>84bi</v>
      </c>
      <c r="B737" s="7" t="str">
        <f>'Reported burning'!B737</f>
        <v>84bi.1</v>
      </c>
      <c r="C737" s="7" t="str">
        <f>'Reported burning'!C737</f>
        <v>Human, deliberate</v>
      </c>
      <c r="D737" s="7" t="str">
        <f>'Reported burning'!D737</f>
        <v>Forest clearance</v>
      </c>
      <c r="E737" s="7" t="str">
        <f>'Reported burning'!E737</f>
        <v>Forestry, Small-scale</v>
      </c>
      <c r="F737" s="7" t="str">
        <f>'Reported burning'!F737</f>
        <v>Forest</v>
      </c>
      <c r="G737" s="7">
        <f>'Reported burning'!G737</f>
        <v>0</v>
      </c>
      <c r="H737" s="7" t="str">
        <f>'Reported burning'!H737</f>
        <v>Absence</v>
      </c>
      <c r="I737" s="4"/>
      <c r="J737" s="22" t="s">
        <v>2396</v>
      </c>
      <c r="K737" s="110" t="s">
        <v>2396</v>
      </c>
      <c r="L737" s="22" t="s">
        <v>2396</v>
      </c>
      <c r="M737" s="22" t="s">
        <v>2396</v>
      </c>
      <c r="N737" s="22" t="s">
        <v>2396</v>
      </c>
      <c r="O737" s="22" t="s">
        <v>2396</v>
      </c>
      <c r="P737" s="22" t="s">
        <v>2396</v>
      </c>
      <c r="Q737" s="109" t="s">
        <v>2308</v>
      </c>
      <c r="R737" s="109" t="s">
        <v>2308</v>
      </c>
      <c r="S737" s="22" t="s">
        <v>2396</v>
      </c>
      <c r="T737" s="22" t="s">
        <v>2396</v>
      </c>
      <c r="U737" s="22" t="s">
        <v>2396</v>
      </c>
      <c r="V737" s="22" t="s">
        <v>2396</v>
      </c>
      <c r="W737" s="22" t="s">
        <v>2308</v>
      </c>
      <c r="X737" s="4" t="s">
        <v>2308</v>
      </c>
      <c r="Y737" s="4" t="s">
        <v>2308</v>
      </c>
      <c r="Z737" s="4" t="s">
        <v>2308</v>
      </c>
      <c r="AA737" s="5" t="s">
        <v>1749</v>
      </c>
      <c r="AB737" s="4"/>
    </row>
    <row r="738" spans="1:28" ht="49.5" customHeight="1">
      <c r="A738" s="7" t="str">
        <f>'Reported burning'!A738</f>
        <v>84bj</v>
      </c>
      <c r="B738" s="7" t="str">
        <f>'Reported burning'!B738</f>
        <v>84bj.1</v>
      </c>
      <c r="C738" s="7" t="str">
        <f>'Reported burning'!C738</f>
        <v>Human, deliberate</v>
      </c>
      <c r="D738" s="7" t="str">
        <f>'Reported burning'!D738</f>
        <v>Forest clearance</v>
      </c>
      <c r="E738" s="7" t="str">
        <f>'Reported burning'!E738</f>
        <v>Forestry, Small-scale</v>
      </c>
      <c r="F738" s="7" t="str">
        <f>'Reported burning'!F738</f>
        <v>Forest</v>
      </c>
      <c r="G738" s="7">
        <f>'Reported burning'!G738</f>
        <v>0</v>
      </c>
      <c r="H738" s="7" t="str">
        <f>'Reported burning'!H738</f>
        <v>Absence</v>
      </c>
      <c r="I738" s="4"/>
      <c r="J738" s="22" t="s">
        <v>2396</v>
      </c>
      <c r="K738" s="110" t="s">
        <v>2396</v>
      </c>
      <c r="L738" s="22" t="s">
        <v>2396</v>
      </c>
      <c r="M738" s="22" t="s">
        <v>2396</v>
      </c>
      <c r="N738" s="22" t="s">
        <v>2396</v>
      </c>
      <c r="O738" s="22" t="s">
        <v>2396</v>
      </c>
      <c r="P738" s="22" t="s">
        <v>2396</v>
      </c>
      <c r="Q738" s="109" t="s">
        <v>2308</v>
      </c>
      <c r="R738" s="109" t="s">
        <v>2308</v>
      </c>
      <c r="S738" s="22" t="s">
        <v>2396</v>
      </c>
      <c r="T738" s="22" t="s">
        <v>2396</v>
      </c>
      <c r="U738" s="22" t="s">
        <v>2396</v>
      </c>
      <c r="V738" s="22" t="s">
        <v>2396</v>
      </c>
      <c r="W738" s="22" t="s">
        <v>2308</v>
      </c>
      <c r="X738" s="4" t="s">
        <v>2308</v>
      </c>
      <c r="Y738" s="4" t="s">
        <v>2308</v>
      </c>
      <c r="Z738" s="4" t="s">
        <v>2308</v>
      </c>
      <c r="AA738" s="5" t="s">
        <v>1749</v>
      </c>
      <c r="AB738" s="4"/>
    </row>
    <row r="739" spans="1:28" ht="49.5" customHeight="1">
      <c r="A739" s="7" t="str">
        <f>'Reported burning'!A739</f>
        <v>84bk</v>
      </c>
      <c r="B739" s="7" t="str">
        <f>'Reported burning'!B739</f>
        <v>84bk.1</v>
      </c>
      <c r="C739" s="7" t="str">
        <f>'Reported burning'!C739</f>
        <v>Human, deliberate</v>
      </c>
      <c r="D739" s="7" t="str">
        <f>'Reported burning'!D739</f>
        <v>Forest clearance</v>
      </c>
      <c r="E739" s="7" t="str">
        <f>'Reported burning'!E739</f>
        <v>Forestry, Small-scale</v>
      </c>
      <c r="F739" s="7" t="str">
        <f>'Reported burning'!F739</f>
        <v>Forest</v>
      </c>
      <c r="G739" s="7">
        <f>'Reported burning'!G739</f>
        <v>0</v>
      </c>
      <c r="H739" s="7" t="str">
        <f>'Reported burning'!H739</f>
        <v>Absence</v>
      </c>
      <c r="I739" s="4"/>
      <c r="J739" s="22" t="s">
        <v>2396</v>
      </c>
      <c r="K739" s="110" t="s">
        <v>2396</v>
      </c>
      <c r="L739" s="22" t="s">
        <v>2396</v>
      </c>
      <c r="M739" s="22" t="s">
        <v>2396</v>
      </c>
      <c r="N739" s="22" t="s">
        <v>2396</v>
      </c>
      <c r="O739" s="22" t="s">
        <v>2396</v>
      </c>
      <c r="P739" s="22" t="s">
        <v>2396</v>
      </c>
      <c r="Q739" s="109" t="s">
        <v>2308</v>
      </c>
      <c r="R739" s="109" t="s">
        <v>2308</v>
      </c>
      <c r="S739" s="22" t="s">
        <v>2396</v>
      </c>
      <c r="T739" s="22" t="s">
        <v>2396</v>
      </c>
      <c r="U739" s="22" t="s">
        <v>2396</v>
      </c>
      <c r="V739" s="22" t="s">
        <v>2396</v>
      </c>
      <c r="W739" s="22" t="s">
        <v>2308</v>
      </c>
      <c r="X739" s="4" t="s">
        <v>2308</v>
      </c>
      <c r="Y739" s="4" t="s">
        <v>2308</v>
      </c>
      <c r="Z739" s="4" t="s">
        <v>2308</v>
      </c>
      <c r="AA739" s="5" t="s">
        <v>1749</v>
      </c>
      <c r="AB739" s="4"/>
    </row>
    <row r="740" spans="1:28" ht="49.5" customHeight="1">
      <c r="A740" s="7" t="str">
        <f>'Reported burning'!A740</f>
        <v>84bl</v>
      </c>
      <c r="B740" s="7" t="str">
        <f>'Reported burning'!B740</f>
        <v>84bl.1</v>
      </c>
      <c r="C740" s="7" t="str">
        <f>'Reported burning'!C740</f>
        <v>Human, deliberate</v>
      </c>
      <c r="D740" s="7" t="str">
        <f>'Reported burning'!D740</f>
        <v>Forest clearance</v>
      </c>
      <c r="E740" s="7" t="str">
        <f>'Reported burning'!E740</f>
        <v>Forestry, Small-scale</v>
      </c>
      <c r="F740" s="7" t="str">
        <f>'Reported burning'!F740</f>
        <v>Forest</v>
      </c>
      <c r="G740" s="7">
        <f>'Reported burning'!G740</f>
        <v>0</v>
      </c>
      <c r="H740" s="7" t="str">
        <f>'Reported burning'!H740</f>
        <v>Absence</v>
      </c>
      <c r="I740" s="4"/>
      <c r="J740" s="22" t="s">
        <v>2396</v>
      </c>
      <c r="K740" s="110" t="s">
        <v>2396</v>
      </c>
      <c r="L740" s="22" t="s">
        <v>2396</v>
      </c>
      <c r="M740" s="22" t="s">
        <v>2396</v>
      </c>
      <c r="N740" s="22" t="s">
        <v>2396</v>
      </c>
      <c r="O740" s="22" t="s">
        <v>2396</v>
      </c>
      <c r="P740" s="22" t="s">
        <v>2396</v>
      </c>
      <c r="Q740" s="109" t="s">
        <v>2308</v>
      </c>
      <c r="R740" s="109" t="s">
        <v>2308</v>
      </c>
      <c r="S740" s="22" t="s">
        <v>2396</v>
      </c>
      <c r="T740" s="22" t="s">
        <v>2396</v>
      </c>
      <c r="U740" s="22" t="s">
        <v>2396</v>
      </c>
      <c r="V740" s="22" t="s">
        <v>2396</v>
      </c>
      <c r="W740" s="22" t="s">
        <v>2308</v>
      </c>
      <c r="X740" s="4" t="s">
        <v>2308</v>
      </c>
      <c r="Y740" s="4" t="s">
        <v>2308</v>
      </c>
      <c r="Z740" s="4" t="s">
        <v>2308</v>
      </c>
      <c r="AA740" s="5" t="s">
        <v>1749</v>
      </c>
      <c r="AB740" s="4"/>
    </row>
    <row r="741" spans="1:28" ht="49.5" customHeight="1">
      <c r="A741" s="7" t="str">
        <f>'Reported burning'!A741</f>
        <v>84bm</v>
      </c>
      <c r="B741" s="7" t="str">
        <f>'Reported burning'!B741</f>
        <v>84bm.1</v>
      </c>
      <c r="C741" s="7" t="str">
        <f>'Reported burning'!C741</f>
        <v>Human, deliberate</v>
      </c>
      <c r="D741" s="7" t="str">
        <f>'Reported burning'!D741</f>
        <v>Forest clearance</v>
      </c>
      <c r="E741" s="7" t="str">
        <f>'Reported burning'!E741</f>
        <v>Forestry, Small-scale</v>
      </c>
      <c r="F741" s="7" t="str">
        <f>'Reported burning'!F741</f>
        <v>Forest</v>
      </c>
      <c r="G741" s="7">
        <f>'Reported burning'!G741</f>
        <v>0</v>
      </c>
      <c r="H741" s="7" t="str">
        <f>'Reported burning'!H741</f>
        <v>Absence</v>
      </c>
      <c r="I741" s="4"/>
      <c r="J741" s="22" t="s">
        <v>2396</v>
      </c>
      <c r="K741" s="110" t="s">
        <v>2396</v>
      </c>
      <c r="L741" s="22" t="s">
        <v>2396</v>
      </c>
      <c r="M741" s="22" t="s">
        <v>2396</v>
      </c>
      <c r="N741" s="22" t="s">
        <v>2396</v>
      </c>
      <c r="O741" s="22" t="s">
        <v>2396</v>
      </c>
      <c r="P741" s="22" t="s">
        <v>2396</v>
      </c>
      <c r="Q741" s="109" t="s">
        <v>2308</v>
      </c>
      <c r="R741" s="109" t="s">
        <v>2308</v>
      </c>
      <c r="S741" s="22" t="s">
        <v>2396</v>
      </c>
      <c r="T741" s="22" t="s">
        <v>2396</v>
      </c>
      <c r="U741" s="22" t="s">
        <v>2396</v>
      </c>
      <c r="V741" s="22" t="s">
        <v>2396</v>
      </c>
      <c r="W741" s="22" t="s">
        <v>2308</v>
      </c>
      <c r="X741" s="4" t="s">
        <v>2308</v>
      </c>
      <c r="Y741" s="4" t="s">
        <v>2308</v>
      </c>
      <c r="Z741" s="4" t="s">
        <v>2308</v>
      </c>
      <c r="AA741" s="5" t="s">
        <v>1749</v>
      </c>
      <c r="AB741" s="4"/>
    </row>
    <row r="742" spans="1:28" ht="49.5" customHeight="1">
      <c r="A742" s="7" t="str">
        <f>'Reported burning'!A742</f>
        <v>84bn</v>
      </c>
      <c r="B742" s="7" t="str">
        <f>'Reported burning'!B742</f>
        <v>84bn.1</v>
      </c>
      <c r="C742" s="7" t="str">
        <f>'Reported burning'!C742</f>
        <v>Human, deliberate</v>
      </c>
      <c r="D742" s="7" t="str">
        <f>'Reported burning'!D742</f>
        <v>Forest clearance</v>
      </c>
      <c r="E742" s="7" t="str">
        <f>'Reported burning'!E742</f>
        <v>Forestry, Small-scale</v>
      </c>
      <c r="F742" s="7" t="str">
        <f>'Reported burning'!F742</f>
        <v>Forest</v>
      </c>
      <c r="G742" s="7">
        <f>'Reported burning'!G742</f>
        <v>0</v>
      </c>
      <c r="H742" s="7" t="str">
        <f>'Reported burning'!H742</f>
        <v>Absence</v>
      </c>
      <c r="I742" s="4"/>
      <c r="J742" s="22" t="s">
        <v>2396</v>
      </c>
      <c r="K742" s="110" t="s">
        <v>2396</v>
      </c>
      <c r="L742" s="22" t="s">
        <v>2396</v>
      </c>
      <c r="M742" s="22" t="s">
        <v>2396</v>
      </c>
      <c r="N742" s="22" t="s">
        <v>2396</v>
      </c>
      <c r="O742" s="22" t="s">
        <v>2396</v>
      </c>
      <c r="P742" s="22" t="s">
        <v>2396</v>
      </c>
      <c r="Q742" s="109" t="s">
        <v>2308</v>
      </c>
      <c r="R742" s="109" t="s">
        <v>2308</v>
      </c>
      <c r="S742" s="22" t="s">
        <v>2396</v>
      </c>
      <c r="T742" s="22" t="s">
        <v>2396</v>
      </c>
      <c r="U742" s="22" t="s">
        <v>2396</v>
      </c>
      <c r="V742" s="22" t="s">
        <v>2396</v>
      </c>
      <c r="W742" s="22" t="s">
        <v>2308</v>
      </c>
      <c r="X742" s="4" t="s">
        <v>2308</v>
      </c>
      <c r="Y742" s="4" t="s">
        <v>2308</v>
      </c>
      <c r="Z742" s="4" t="s">
        <v>2308</v>
      </c>
      <c r="AA742" s="5" t="s">
        <v>1749</v>
      </c>
      <c r="AB742" s="4"/>
    </row>
    <row r="743" spans="1:28" ht="49.5" customHeight="1">
      <c r="A743" s="7" t="str">
        <f>'Reported burning'!A743</f>
        <v>84bo</v>
      </c>
      <c r="B743" s="7" t="str">
        <f>'Reported burning'!B743</f>
        <v>84bo.1</v>
      </c>
      <c r="C743" s="7" t="str">
        <f>'Reported burning'!C743</f>
        <v>Human, deliberate</v>
      </c>
      <c r="D743" s="7" t="str">
        <f>'Reported burning'!D743</f>
        <v>Forest clearance</v>
      </c>
      <c r="E743" s="7" t="str">
        <f>'Reported burning'!E743</f>
        <v>Forestry, Small-scale</v>
      </c>
      <c r="F743" s="7" t="str">
        <f>'Reported burning'!F743</f>
        <v>Forest</v>
      </c>
      <c r="G743" s="7">
        <f>'Reported burning'!G743</f>
        <v>0</v>
      </c>
      <c r="H743" s="7" t="str">
        <f>'Reported burning'!H743</f>
        <v>Absence</v>
      </c>
      <c r="I743" s="4"/>
      <c r="J743" s="22" t="s">
        <v>2396</v>
      </c>
      <c r="K743" s="110" t="s">
        <v>2396</v>
      </c>
      <c r="L743" s="22" t="s">
        <v>2396</v>
      </c>
      <c r="M743" s="22" t="s">
        <v>2396</v>
      </c>
      <c r="N743" s="22" t="s">
        <v>2396</v>
      </c>
      <c r="O743" s="22" t="s">
        <v>2396</v>
      </c>
      <c r="P743" s="22" t="s">
        <v>2396</v>
      </c>
      <c r="Q743" s="109" t="s">
        <v>2308</v>
      </c>
      <c r="R743" s="109" t="s">
        <v>2308</v>
      </c>
      <c r="S743" s="22" t="s">
        <v>2396</v>
      </c>
      <c r="T743" s="22" t="s">
        <v>2396</v>
      </c>
      <c r="U743" s="22" t="s">
        <v>2396</v>
      </c>
      <c r="V743" s="22" t="s">
        <v>2396</v>
      </c>
      <c r="W743" s="22" t="s">
        <v>2308</v>
      </c>
      <c r="X743" s="4" t="s">
        <v>2308</v>
      </c>
      <c r="Y743" s="4" t="s">
        <v>2308</v>
      </c>
      <c r="Z743" s="4" t="s">
        <v>2308</v>
      </c>
      <c r="AA743" s="5" t="s">
        <v>1749</v>
      </c>
      <c r="AB743" s="4"/>
    </row>
    <row r="744" spans="1:28" ht="49.5" customHeight="1">
      <c r="A744" s="7" t="str">
        <f>'Reported burning'!A744</f>
        <v>84bp</v>
      </c>
      <c r="B744" s="7" t="str">
        <f>'Reported burning'!B744</f>
        <v>84bp.1</v>
      </c>
      <c r="C744" s="7" t="str">
        <f>'Reported burning'!C744</f>
        <v>Human, deliberate</v>
      </c>
      <c r="D744" s="7" t="str">
        <f>'Reported burning'!D744</f>
        <v>Forest clearance</v>
      </c>
      <c r="E744" s="7" t="str">
        <f>'Reported burning'!E744</f>
        <v>Forestry, Small-scale</v>
      </c>
      <c r="F744" s="7" t="str">
        <f>'Reported burning'!F744</f>
        <v>Forest</v>
      </c>
      <c r="G744" s="7">
        <f>'Reported burning'!G744</f>
        <v>0</v>
      </c>
      <c r="H744" s="7" t="str">
        <f>'Reported burning'!H744</f>
        <v>Absence</v>
      </c>
      <c r="I744" s="4"/>
      <c r="J744" s="22" t="s">
        <v>2396</v>
      </c>
      <c r="K744" s="110" t="s">
        <v>2396</v>
      </c>
      <c r="L744" s="22" t="s">
        <v>2396</v>
      </c>
      <c r="M744" s="22" t="s">
        <v>2396</v>
      </c>
      <c r="N744" s="22" t="s">
        <v>2396</v>
      </c>
      <c r="O744" s="22" t="s">
        <v>2396</v>
      </c>
      <c r="P744" s="22" t="s">
        <v>2396</v>
      </c>
      <c r="Q744" s="109" t="s">
        <v>2308</v>
      </c>
      <c r="R744" s="109" t="s">
        <v>2308</v>
      </c>
      <c r="S744" s="22" t="s">
        <v>2396</v>
      </c>
      <c r="T744" s="22" t="s">
        <v>2396</v>
      </c>
      <c r="U744" s="22" t="s">
        <v>2396</v>
      </c>
      <c r="V744" s="22" t="s">
        <v>2396</v>
      </c>
      <c r="W744" s="22" t="s">
        <v>2308</v>
      </c>
      <c r="X744" s="4" t="s">
        <v>2308</v>
      </c>
      <c r="Y744" s="4" t="s">
        <v>2308</v>
      </c>
      <c r="Z744" s="4" t="s">
        <v>2308</v>
      </c>
      <c r="AA744" s="5" t="s">
        <v>1749</v>
      </c>
      <c r="AB744" s="4"/>
    </row>
    <row r="745" spans="1:28" ht="49.5" customHeight="1">
      <c r="A745" s="7" t="str">
        <f>'Reported burning'!A745</f>
        <v>84bq</v>
      </c>
      <c r="B745" s="7" t="str">
        <f>'Reported burning'!B745</f>
        <v>84bq.1</v>
      </c>
      <c r="C745" s="7" t="str">
        <f>'Reported burning'!C745</f>
        <v>Human, deliberate</v>
      </c>
      <c r="D745" s="7" t="str">
        <f>'Reported burning'!D745</f>
        <v>Forest clearance</v>
      </c>
      <c r="E745" s="7" t="str">
        <f>'Reported burning'!E745</f>
        <v>Forestry, Small-scale</v>
      </c>
      <c r="F745" s="7" t="str">
        <f>'Reported burning'!F745</f>
        <v>Forest</v>
      </c>
      <c r="G745" s="7">
        <f>'Reported burning'!G745</f>
        <v>0</v>
      </c>
      <c r="H745" s="7" t="str">
        <f>'Reported burning'!H745</f>
        <v>Absence</v>
      </c>
      <c r="I745" s="4"/>
      <c r="J745" s="22" t="s">
        <v>2396</v>
      </c>
      <c r="K745" s="110" t="s">
        <v>2396</v>
      </c>
      <c r="L745" s="22" t="s">
        <v>2396</v>
      </c>
      <c r="M745" s="22" t="s">
        <v>2396</v>
      </c>
      <c r="N745" s="22" t="s">
        <v>2396</v>
      </c>
      <c r="O745" s="22" t="s">
        <v>2396</v>
      </c>
      <c r="P745" s="22" t="s">
        <v>2396</v>
      </c>
      <c r="Q745" s="109" t="s">
        <v>2308</v>
      </c>
      <c r="R745" s="109" t="s">
        <v>2308</v>
      </c>
      <c r="S745" s="22" t="s">
        <v>2396</v>
      </c>
      <c r="T745" s="22" t="s">
        <v>2396</v>
      </c>
      <c r="U745" s="22" t="s">
        <v>2396</v>
      </c>
      <c r="V745" s="22" t="s">
        <v>2396</v>
      </c>
      <c r="W745" s="22" t="s">
        <v>2308</v>
      </c>
      <c r="X745" s="4" t="s">
        <v>2308</v>
      </c>
      <c r="Y745" s="4" t="s">
        <v>2308</v>
      </c>
      <c r="Z745" s="4" t="s">
        <v>2308</v>
      </c>
      <c r="AA745" s="5" t="s">
        <v>1749</v>
      </c>
      <c r="AB745" s="4"/>
    </row>
    <row r="746" spans="1:28" ht="49.5" customHeight="1">
      <c r="A746" s="7" t="str">
        <f>'Reported burning'!A746</f>
        <v>84br</v>
      </c>
      <c r="B746" s="7" t="str">
        <f>'Reported burning'!B746</f>
        <v>84br.1</v>
      </c>
      <c r="C746" s="7" t="str">
        <f>'Reported burning'!C746</f>
        <v>Human, deliberate</v>
      </c>
      <c r="D746" s="7" t="str">
        <f>'Reported burning'!D746</f>
        <v>Forest clearance</v>
      </c>
      <c r="E746" s="7" t="str">
        <f>'Reported burning'!E746</f>
        <v>Forestry, Small-scale</v>
      </c>
      <c r="F746" s="7" t="str">
        <f>'Reported burning'!F746</f>
        <v>Forest</v>
      </c>
      <c r="G746" s="7">
        <f>'Reported burning'!G746</f>
        <v>0</v>
      </c>
      <c r="H746" s="7" t="str">
        <f>'Reported burning'!H746</f>
        <v>Absence</v>
      </c>
      <c r="I746" s="4"/>
      <c r="J746" s="22" t="s">
        <v>2396</v>
      </c>
      <c r="K746" s="110" t="s">
        <v>2396</v>
      </c>
      <c r="L746" s="22" t="s">
        <v>2396</v>
      </c>
      <c r="M746" s="22" t="s">
        <v>2396</v>
      </c>
      <c r="N746" s="22" t="s">
        <v>2396</v>
      </c>
      <c r="O746" s="22" t="s">
        <v>2396</v>
      </c>
      <c r="P746" s="22" t="s">
        <v>2396</v>
      </c>
      <c r="Q746" s="109" t="s">
        <v>2308</v>
      </c>
      <c r="R746" s="109" t="s">
        <v>2308</v>
      </c>
      <c r="S746" s="22" t="s">
        <v>2396</v>
      </c>
      <c r="T746" s="22" t="s">
        <v>2396</v>
      </c>
      <c r="U746" s="22" t="s">
        <v>2396</v>
      </c>
      <c r="V746" s="22" t="s">
        <v>2396</v>
      </c>
      <c r="W746" s="22" t="s">
        <v>2308</v>
      </c>
      <c r="X746" s="4" t="s">
        <v>2308</v>
      </c>
      <c r="Y746" s="4" t="s">
        <v>2308</v>
      </c>
      <c r="Z746" s="4" t="s">
        <v>2308</v>
      </c>
      <c r="AA746" s="5" t="s">
        <v>1749</v>
      </c>
      <c r="AB746" s="4"/>
    </row>
    <row r="747" spans="1:28" ht="49.5" customHeight="1">
      <c r="A747" s="7" t="str">
        <f>'Reported burning'!A747</f>
        <v>84bs</v>
      </c>
      <c r="B747" s="7" t="str">
        <f>'Reported burning'!B747</f>
        <v>84bs.1</v>
      </c>
      <c r="C747" s="7" t="str">
        <f>'Reported burning'!C747</f>
        <v>Human, deliberate</v>
      </c>
      <c r="D747" s="7" t="str">
        <f>'Reported burning'!D747</f>
        <v>Forest clearance</v>
      </c>
      <c r="E747" s="7" t="str">
        <f>'Reported burning'!E747</f>
        <v>Forestry, Small-scale</v>
      </c>
      <c r="F747" s="7" t="str">
        <f>'Reported burning'!F747</f>
        <v>Forest</v>
      </c>
      <c r="G747" s="7">
        <f>'Reported burning'!G747</f>
        <v>0</v>
      </c>
      <c r="H747" s="7" t="str">
        <f>'Reported burning'!H747</f>
        <v>Absence</v>
      </c>
      <c r="I747" s="4"/>
      <c r="J747" s="22" t="s">
        <v>2396</v>
      </c>
      <c r="K747" s="110" t="s">
        <v>2396</v>
      </c>
      <c r="L747" s="22" t="s">
        <v>2396</v>
      </c>
      <c r="M747" s="22" t="s">
        <v>2396</v>
      </c>
      <c r="N747" s="22" t="s">
        <v>2396</v>
      </c>
      <c r="O747" s="22" t="s">
        <v>2396</v>
      </c>
      <c r="P747" s="22" t="s">
        <v>2396</v>
      </c>
      <c r="Q747" s="109" t="s">
        <v>2308</v>
      </c>
      <c r="R747" s="109" t="s">
        <v>2308</v>
      </c>
      <c r="S747" s="22" t="s">
        <v>2396</v>
      </c>
      <c r="T747" s="22" t="s">
        <v>2396</v>
      </c>
      <c r="U747" s="22" t="s">
        <v>2396</v>
      </c>
      <c r="V747" s="22" t="s">
        <v>2396</v>
      </c>
      <c r="W747" s="22" t="s">
        <v>2308</v>
      </c>
      <c r="X747" s="4" t="s">
        <v>2308</v>
      </c>
      <c r="Y747" s="4" t="s">
        <v>2308</v>
      </c>
      <c r="Z747" s="4" t="s">
        <v>2308</v>
      </c>
      <c r="AA747" s="5" t="s">
        <v>1749</v>
      </c>
      <c r="AB747" s="4"/>
    </row>
    <row r="748" spans="1:28" ht="49.5" customHeight="1">
      <c r="A748" s="7" t="str">
        <f>'Reported burning'!A748</f>
        <v>84bt</v>
      </c>
      <c r="B748" s="7" t="str">
        <f>'Reported burning'!B748</f>
        <v>84bt.1</v>
      </c>
      <c r="C748" s="7" t="str">
        <f>'Reported burning'!C748</f>
        <v>Human, deliberate</v>
      </c>
      <c r="D748" s="7" t="str">
        <f>'Reported burning'!D748</f>
        <v>Forest clearance</v>
      </c>
      <c r="E748" s="7" t="str">
        <f>'Reported burning'!E748</f>
        <v>Forestry, Small-scale</v>
      </c>
      <c r="F748" s="7" t="str">
        <f>'Reported burning'!F748</f>
        <v>Forest</v>
      </c>
      <c r="G748" s="7">
        <f>'Reported burning'!G748</f>
        <v>0</v>
      </c>
      <c r="H748" s="7" t="str">
        <f>'Reported burning'!H748</f>
        <v>Absence</v>
      </c>
      <c r="I748" s="4"/>
      <c r="J748" s="22" t="s">
        <v>2396</v>
      </c>
      <c r="K748" s="110" t="s">
        <v>2396</v>
      </c>
      <c r="L748" s="22" t="s">
        <v>2396</v>
      </c>
      <c r="M748" s="22" t="s">
        <v>2396</v>
      </c>
      <c r="N748" s="22" t="s">
        <v>2396</v>
      </c>
      <c r="O748" s="22" t="s">
        <v>2396</v>
      </c>
      <c r="P748" s="22" t="s">
        <v>2396</v>
      </c>
      <c r="Q748" s="109" t="s">
        <v>2308</v>
      </c>
      <c r="R748" s="109" t="s">
        <v>2308</v>
      </c>
      <c r="S748" s="22" t="s">
        <v>2396</v>
      </c>
      <c r="T748" s="22" t="s">
        <v>2396</v>
      </c>
      <c r="U748" s="22" t="s">
        <v>2396</v>
      </c>
      <c r="V748" s="22" t="s">
        <v>2396</v>
      </c>
      <c r="W748" s="22" t="s">
        <v>2308</v>
      </c>
      <c r="X748" s="4" t="s">
        <v>2308</v>
      </c>
      <c r="Y748" s="4" t="s">
        <v>2308</v>
      </c>
      <c r="Z748" s="4" t="s">
        <v>2308</v>
      </c>
      <c r="AA748" s="5" t="s">
        <v>1749</v>
      </c>
      <c r="AB748" s="4"/>
    </row>
    <row r="749" spans="1:28" ht="49.5" customHeight="1">
      <c r="A749" s="7" t="str">
        <f>'Reported burning'!A749</f>
        <v>84bu</v>
      </c>
      <c r="B749" s="7" t="str">
        <f>'Reported burning'!B749</f>
        <v>84bu.1</v>
      </c>
      <c r="C749" s="7" t="str">
        <f>'Reported burning'!C749</f>
        <v>Human, deliberate</v>
      </c>
      <c r="D749" s="7" t="str">
        <f>'Reported burning'!D749</f>
        <v>Forest clearance</v>
      </c>
      <c r="E749" s="7" t="str">
        <f>'Reported burning'!E749</f>
        <v>Forestry, Small-scale</v>
      </c>
      <c r="F749" s="7" t="str">
        <f>'Reported burning'!F749</f>
        <v>Forest</v>
      </c>
      <c r="G749" s="7">
        <f>'Reported burning'!G749</f>
        <v>0</v>
      </c>
      <c r="H749" s="7" t="str">
        <f>'Reported burning'!H749</f>
        <v>Absence</v>
      </c>
      <c r="I749" s="4"/>
      <c r="J749" s="22" t="s">
        <v>2396</v>
      </c>
      <c r="K749" s="110" t="s">
        <v>2396</v>
      </c>
      <c r="L749" s="22" t="s">
        <v>2396</v>
      </c>
      <c r="M749" s="22" t="s">
        <v>2396</v>
      </c>
      <c r="N749" s="22" t="s">
        <v>2396</v>
      </c>
      <c r="O749" s="22" t="s">
        <v>2396</v>
      </c>
      <c r="P749" s="22" t="s">
        <v>2396</v>
      </c>
      <c r="Q749" s="109" t="s">
        <v>2308</v>
      </c>
      <c r="R749" s="109" t="s">
        <v>2308</v>
      </c>
      <c r="S749" s="22" t="s">
        <v>2396</v>
      </c>
      <c r="T749" s="22" t="s">
        <v>2396</v>
      </c>
      <c r="U749" s="22" t="s">
        <v>2396</v>
      </c>
      <c r="V749" s="22" t="s">
        <v>2396</v>
      </c>
      <c r="W749" s="22" t="s">
        <v>2308</v>
      </c>
      <c r="X749" s="4" t="s">
        <v>2308</v>
      </c>
      <c r="Y749" s="4" t="s">
        <v>2308</v>
      </c>
      <c r="Z749" s="4" t="s">
        <v>2308</v>
      </c>
      <c r="AA749" s="5" t="s">
        <v>1749</v>
      </c>
      <c r="AB749" s="4"/>
    </row>
    <row r="750" spans="1:28" ht="49.5" customHeight="1">
      <c r="A750" s="7" t="str">
        <f>'Reported burning'!A750</f>
        <v>84bv</v>
      </c>
      <c r="B750" s="7" t="str">
        <f>'Reported burning'!B750</f>
        <v>84bv.1</v>
      </c>
      <c r="C750" s="7" t="str">
        <f>'Reported burning'!C750</f>
        <v>Human, deliberate</v>
      </c>
      <c r="D750" s="7" t="str">
        <f>'Reported burning'!D750</f>
        <v>Forest clearance</v>
      </c>
      <c r="E750" s="7" t="str">
        <f>'Reported burning'!E750</f>
        <v>Forestry, Small-scale</v>
      </c>
      <c r="F750" s="7" t="str">
        <f>'Reported burning'!F750</f>
        <v>Forest</v>
      </c>
      <c r="G750" s="7">
        <f>'Reported burning'!G750</f>
        <v>0</v>
      </c>
      <c r="H750" s="7" t="str">
        <f>'Reported burning'!H750</f>
        <v>Absence</v>
      </c>
      <c r="I750" s="4"/>
      <c r="J750" s="22" t="s">
        <v>2396</v>
      </c>
      <c r="K750" s="110" t="s">
        <v>2396</v>
      </c>
      <c r="L750" s="22" t="s">
        <v>2396</v>
      </c>
      <c r="M750" s="22" t="s">
        <v>2396</v>
      </c>
      <c r="N750" s="22" t="s">
        <v>2396</v>
      </c>
      <c r="O750" s="22" t="s">
        <v>2396</v>
      </c>
      <c r="P750" s="22" t="s">
        <v>2396</v>
      </c>
      <c r="Q750" s="109" t="s">
        <v>2308</v>
      </c>
      <c r="R750" s="109" t="s">
        <v>2308</v>
      </c>
      <c r="S750" s="22" t="s">
        <v>2396</v>
      </c>
      <c r="T750" s="22" t="s">
        <v>2396</v>
      </c>
      <c r="U750" s="22" t="s">
        <v>2396</v>
      </c>
      <c r="V750" s="22" t="s">
        <v>2396</v>
      </c>
      <c r="W750" s="22" t="s">
        <v>2308</v>
      </c>
      <c r="X750" s="4" t="s">
        <v>2308</v>
      </c>
      <c r="Y750" s="4" t="s">
        <v>2308</v>
      </c>
      <c r="Z750" s="4" t="s">
        <v>2308</v>
      </c>
      <c r="AA750" s="5" t="s">
        <v>1749</v>
      </c>
      <c r="AB750" s="4"/>
    </row>
    <row r="751" spans="1:28" ht="40" customHeight="1">
      <c r="A751" s="7" t="str">
        <f>'Reported burning'!A751</f>
        <v>85a</v>
      </c>
      <c r="B751" s="7" t="str">
        <f>'Reported burning'!B751</f>
        <v>85a.1</v>
      </c>
      <c r="C751" s="7" t="str">
        <f>'Reported burning'!C751</f>
        <v>Human, deliberate</v>
      </c>
      <c r="D751" s="7" t="str">
        <f>'Reported burning'!D751</f>
        <v>Forest clearance</v>
      </c>
      <c r="E751" s="7" t="str">
        <f>'Reported burning'!E751</f>
        <v>Cropping, Monoculture, Market-oriented</v>
      </c>
      <c r="F751" s="7" t="str">
        <f>'Reported burning'!F751</f>
        <v>Forest</v>
      </c>
      <c r="G751" s="7">
        <f>'Reported burning'!G751</f>
        <v>0</v>
      </c>
      <c r="H751" s="7" t="str">
        <f>'Reported burning'!H751</f>
        <v>Presence</v>
      </c>
      <c r="I751" s="4"/>
      <c r="J751" s="22" t="s">
        <v>2308</v>
      </c>
      <c r="K751" s="110" t="s">
        <v>2308</v>
      </c>
      <c r="L751" s="22" t="s">
        <v>2308</v>
      </c>
      <c r="M751" s="22" t="s">
        <v>2308</v>
      </c>
      <c r="N751" s="22" t="s">
        <v>2308</v>
      </c>
      <c r="O751" s="22" t="s">
        <v>2308</v>
      </c>
      <c r="P751" s="22" t="s">
        <v>2308</v>
      </c>
      <c r="Q751" s="109" t="s">
        <v>2308</v>
      </c>
      <c r="R751" s="109" t="s">
        <v>2308</v>
      </c>
      <c r="S751" s="22" t="s">
        <v>2308</v>
      </c>
      <c r="T751" s="22" t="s">
        <v>2308</v>
      </c>
      <c r="U751" s="22" t="s">
        <v>2308</v>
      </c>
      <c r="V751" s="22" t="s">
        <v>2308</v>
      </c>
      <c r="W751" s="22" t="s">
        <v>2308</v>
      </c>
      <c r="X751" s="4" t="s">
        <v>2308</v>
      </c>
      <c r="Y751" s="4" t="s">
        <v>2308</v>
      </c>
      <c r="Z751" s="4" t="s">
        <v>2308</v>
      </c>
      <c r="AA751" s="4" t="s">
        <v>1197</v>
      </c>
      <c r="AB751" s="4"/>
    </row>
    <row r="752" spans="1:28" ht="37" customHeight="1">
      <c r="A752" s="7" t="str">
        <f>'Reported burning'!A752</f>
        <v>85b</v>
      </c>
      <c r="B752" s="7" t="str">
        <f>'Reported burning'!B752</f>
        <v>85b.1</v>
      </c>
      <c r="C752" s="7" t="str">
        <f>'Reported burning'!C752</f>
        <v>Human, deliberate</v>
      </c>
      <c r="D752" s="7" t="str">
        <f>'Reported burning'!D752</f>
        <v>Forest clearance</v>
      </c>
      <c r="E752" s="7" t="str">
        <f>'Reported burning'!E752</f>
        <v>Cropping, Monoculture, Market-oriented</v>
      </c>
      <c r="F752" s="7" t="str">
        <f>'Reported burning'!F752</f>
        <v>Forest</v>
      </c>
      <c r="G752" s="7">
        <f>'Reported burning'!G752</f>
        <v>0</v>
      </c>
      <c r="H752" s="7" t="str">
        <f>'Reported burning'!H752</f>
        <v>Presence</v>
      </c>
      <c r="I752" s="4"/>
      <c r="J752" s="22" t="s">
        <v>2308</v>
      </c>
      <c r="K752" s="110" t="s">
        <v>2308</v>
      </c>
      <c r="L752" s="22" t="s">
        <v>2308</v>
      </c>
      <c r="M752" s="22" t="s">
        <v>2308</v>
      </c>
      <c r="N752" s="22" t="s">
        <v>2308</v>
      </c>
      <c r="O752" s="22" t="s">
        <v>2308</v>
      </c>
      <c r="P752" s="22" t="s">
        <v>2308</v>
      </c>
      <c r="Q752" s="109" t="s">
        <v>2308</v>
      </c>
      <c r="R752" s="109" t="s">
        <v>2308</v>
      </c>
      <c r="S752" s="22" t="s">
        <v>2308</v>
      </c>
      <c r="T752" s="22" t="s">
        <v>2308</v>
      </c>
      <c r="U752" s="22" t="s">
        <v>2308</v>
      </c>
      <c r="V752" s="22" t="s">
        <v>2308</v>
      </c>
      <c r="W752" s="22" t="s">
        <v>2308</v>
      </c>
      <c r="X752" s="4" t="s">
        <v>2308</v>
      </c>
      <c r="Y752" s="4" t="s">
        <v>2308</v>
      </c>
      <c r="Z752" s="4" t="s">
        <v>2308</v>
      </c>
      <c r="AA752" s="4" t="s">
        <v>1197</v>
      </c>
      <c r="AB752" s="4"/>
    </row>
    <row r="753" spans="1:28" ht="38.5" customHeight="1">
      <c r="A753" s="7" t="str">
        <f>'Reported burning'!A753</f>
        <v>85c</v>
      </c>
      <c r="B753" s="7" t="str">
        <f>'Reported burning'!B753</f>
        <v>85c.1</v>
      </c>
      <c r="C753" s="7" t="str">
        <f>'Reported burning'!C753</f>
        <v>Human, deliberate</v>
      </c>
      <c r="D753" s="7" t="str">
        <f>'Reported burning'!D753</f>
        <v>Forest clearance</v>
      </c>
      <c r="E753" s="7" t="str">
        <f>'Reported burning'!E753</f>
        <v>Cropping, Monoculture, Market-oriented</v>
      </c>
      <c r="F753" s="7" t="str">
        <f>'Reported burning'!F753</f>
        <v>Forest</v>
      </c>
      <c r="G753" s="7">
        <f>'Reported burning'!G753</f>
        <v>0</v>
      </c>
      <c r="H753" s="7" t="str">
        <f>'Reported burning'!H753</f>
        <v>Presence</v>
      </c>
      <c r="I753" s="4"/>
      <c r="J753" s="22" t="s">
        <v>2308</v>
      </c>
      <c r="K753" s="110" t="s">
        <v>2308</v>
      </c>
      <c r="L753" s="22" t="s">
        <v>2308</v>
      </c>
      <c r="M753" s="22" t="s">
        <v>2308</v>
      </c>
      <c r="N753" s="22" t="s">
        <v>2308</v>
      </c>
      <c r="O753" s="22" t="s">
        <v>2308</v>
      </c>
      <c r="P753" s="22" t="s">
        <v>2308</v>
      </c>
      <c r="Q753" s="109" t="s">
        <v>2308</v>
      </c>
      <c r="R753" s="109" t="s">
        <v>2308</v>
      </c>
      <c r="S753" s="22" t="s">
        <v>2308</v>
      </c>
      <c r="T753" s="22" t="s">
        <v>2308</v>
      </c>
      <c r="U753" s="22" t="s">
        <v>2308</v>
      </c>
      <c r="V753" s="22" t="s">
        <v>2308</v>
      </c>
      <c r="W753" s="22" t="s">
        <v>2308</v>
      </c>
      <c r="X753" s="4" t="s">
        <v>2308</v>
      </c>
      <c r="Y753" s="4" t="s">
        <v>2308</v>
      </c>
      <c r="Z753" s="4" t="s">
        <v>2308</v>
      </c>
      <c r="AA753" s="4" t="s">
        <v>1197</v>
      </c>
      <c r="AB753" s="4"/>
    </row>
    <row r="754" spans="1:28" ht="38.5" customHeight="1">
      <c r="A754" s="7" t="str">
        <f>'Reported burning'!A754</f>
        <v>86a</v>
      </c>
      <c r="B754" s="7" t="str">
        <f>'Reported burning'!B754</f>
        <v>86a.1</v>
      </c>
      <c r="C754" s="7" t="str">
        <f>'Reported burning'!C754</f>
        <v>Human, deliberate</v>
      </c>
      <c r="D754" s="7" t="str">
        <f>'Reported burning'!D754</f>
        <v>Crop field preparation</v>
      </c>
      <c r="E754" s="7" t="str">
        <f>'Reported burning'!E754</f>
        <v>Cropping, Swidden</v>
      </c>
      <c r="F754" s="7" t="str">
        <f>'Reported burning'!F754</f>
        <v>Secondary Vegetation</v>
      </c>
      <c r="G754" s="7">
        <f>'Reported burning'!G754</f>
        <v>0</v>
      </c>
      <c r="H754" s="7" t="str">
        <f>'Reported burning'!H754</f>
        <v>Presence</v>
      </c>
      <c r="I754" s="4"/>
      <c r="J754" s="22" t="s">
        <v>2308</v>
      </c>
      <c r="K754" s="110" t="s">
        <v>2308</v>
      </c>
      <c r="L754" s="22" t="s">
        <v>2308</v>
      </c>
      <c r="M754" s="22" t="s">
        <v>2308</v>
      </c>
      <c r="N754" s="22" t="s">
        <v>2308</v>
      </c>
      <c r="O754" s="22" t="s">
        <v>2308</v>
      </c>
      <c r="P754" s="22" t="s">
        <v>2308</v>
      </c>
      <c r="Q754" s="109" t="s">
        <v>2308</v>
      </c>
      <c r="R754" s="109" t="s">
        <v>2308</v>
      </c>
      <c r="S754" s="22" t="s">
        <v>2308</v>
      </c>
      <c r="T754" s="22" t="s">
        <v>2308</v>
      </c>
      <c r="U754" s="22" t="s">
        <v>2308</v>
      </c>
      <c r="V754" s="22" t="s">
        <v>2308</v>
      </c>
      <c r="W754" s="22" t="s">
        <v>2308</v>
      </c>
      <c r="X754" s="4" t="s">
        <v>195</v>
      </c>
      <c r="Y754" s="4" t="s">
        <v>195</v>
      </c>
      <c r="Z754" s="4" t="s">
        <v>64</v>
      </c>
      <c r="AA754" s="4"/>
      <c r="AB754" s="4"/>
    </row>
    <row r="755" spans="1:28" ht="37" customHeight="1">
      <c r="A755" s="7" t="str">
        <f>'Reported burning'!A755</f>
        <v>86a</v>
      </c>
      <c r="B755" s="7" t="str">
        <f>'Reported burning'!B755</f>
        <v>86a.2</v>
      </c>
      <c r="C755" s="7" t="str">
        <f>'Reported burning'!C755</f>
        <v>Human, deliberate</v>
      </c>
      <c r="D755" s="7" t="str">
        <f>'Reported burning'!D755</f>
        <v>Crop field preparation</v>
      </c>
      <c r="E755" s="7" t="str">
        <f>'Reported burning'!E755</f>
        <v>Cropping, Swidden</v>
      </c>
      <c r="F755" s="7" t="str">
        <f>'Reported burning'!F755</f>
        <v>Forest</v>
      </c>
      <c r="G755" s="7">
        <f>'Reported burning'!G755</f>
        <v>0</v>
      </c>
      <c r="H755" s="7" t="str">
        <f>'Reported burning'!H755</f>
        <v>Presence</v>
      </c>
      <c r="I755" s="4"/>
      <c r="J755" s="22" t="s">
        <v>2308</v>
      </c>
      <c r="K755" s="110" t="s">
        <v>2308</v>
      </c>
      <c r="L755" s="22" t="s">
        <v>2308</v>
      </c>
      <c r="M755" s="22" t="s">
        <v>2308</v>
      </c>
      <c r="N755" s="22" t="s">
        <v>2308</v>
      </c>
      <c r="O755" s="22" t="s">
        <v>2308</v>
      </c>
      <c r="P755" s="22" t="s">
        <v>2308</v>
      </c>
      <c r="Q755" s="109" t="s">
        <v>2308</v>
      </c>
      <c r="R755" s="109" t="s">
        <v>2308</v>
      </c>
      <c r="S755" s="22" t="s">
        <v>2308</v>
      </c>
      <c r="T755" s="22" t="s">
        <v>2308</v>
      </c>
      <c r="U755" s="22" t="s">
        <v>2308</v>
      </c>
      <c r="V755" s="22" t="s">
        <v>2308</v>
      </c>
      <c r="W755" s="22" t="s">
        <v>2308</v>
      </c>
      <c r="X755" s="4" t="s">
        <v>195</v>
      </c>
      <c r="Y755" s="4" t="s">
        <v>195</v>
      </c>
      <c r="Z755" s="4" t="s">
        <v>64</v>
      </c>
      <c r="AA755" s="4"/>
      <c r="AB755" s="4"/>
    </row>
    <row r="756" spans="1:28" ht="36.5" customHeight="1">
      <c r="A756" s="7" t="str">
        <f>'Reported burning'!A756</f>
        <v>86a</v>
      </c>
      <c r="B756" s="7" t="str">
        <f>'Reported burning'!B756</f>
        <v>86a.3</v>
      </c>
      <c r="C756" s="7" t="str">
        <f>'Reported burning'!C756</f>
        <v>Human, deliberate</v>
      </c>
      <c r="D756" s="7" t="str">
        <f>'Reported burning'!D756</f>
        <v>Forest clearance</v>
      </c>
      <c r="E756" s="7" t="str">
        <f>'Reported burning'!E756</f>
        <v>Cattle, Extensive</v>
      </c>
      <c r="F756" s="7" t="str">
        <f>'Reported burning'!F756</f>
        <v>Forest</v>
      </c>
      <c r="G756" s="7">
        <f>'Reported burning'!G756</f>
        <v>0</v>
      </c>
      <c r="H756" s="7" t="str">
        <f>'Reported burning'!H756</f>
        <v>Presence</v>
      </c>
      <c r="I756" s="4"/>
      <c r="J756" s="22" t="s">
        <v>2308</v>
      </c>
      <c r="K756" s="110" t="s">
        <v>2308</v>
      </c>
      <c r="L756" s="22" t="s">
        <v>2308</v>
      </c>
      <c r="M756" s="22" t="s">
        <v>2308</v>
      </c>
      <c r="N756" s="22" t="s">
        <v>2308</v>
      </c>
      <c r="O756" s="22" t="s">
        <v>2308</v>
      </c>
      <c r="P756" s="22" t="s">
        <v>2308</v>
      </c>
      <c r="Q756" s="109" t="s">
        <v>2308</v>
      </c>
      <c r="R756" s="109" t="s">
        <v>2308</v>
      </c>
      <c r="S756" s="22" t="s">
        <v>2308</v>
      </c>
      <c r="T756" s="22" t="s">
        <v>2308</v>
      </c>
      <c r="U756" s="22" t="s">
        <v>2308</v>
      </c>
      <c r="V756" s="22" t="s">
        <v>2308</v>
      </c>
      <c r="W756" s="22" t="s">
        <v>2308</v>
      </c>
      <c r="X756" s="4" t="s">
        <v>195</v>
      </c>
      <c r="Y756" s="4" t="s">
        <v>195</v>
      </c>
      <c r="Z756" s="4" t="s">
        <v>64</v>
      </c>
      <c r="AA756" s="4"/>
      <c r="AB756" s="4"/>
    </row>
    <row r="757" spans="1:28" ht="36" customHeight="1">
      <c r="A757" s="7" t="str">
        <f>'Reported burning'!A757</f>
        <v>86a</v>
      </c>
      <c r="B757" s="7" t="str">
        <f>'Reported burning'!B757</f>
        <v>86a.4</v>
      </c>
      <c r="C757" s="7" t="str">
        <f>'Reported burning'!C757</f>
        <v>Human, deliberate</v>
      </c>
      <c r="D757" s="7" t="str">
        <f>'Reported burning'!D757</f>
        <v>Pasture renewal</v>
      </c>
      <c r="E757" s="7" t="str">
        <f>'Reported burning'!E757</f>
        <v>Cattle, Extensive</v>
      </c>
      <c r="F757" s="7" t="str">
        <f>'Reported burning'!F757</f>
        <v>Forest</v>
      </c>
      <c r="G757" s="7">
        <f>'Reported burning'!G757</f>
        <v>0</v>
      </c>
      <c r="H757" s="7" t="str">
        <f>'Reported burning'!H757</f>
        <v>Presence</v>
      </c>
      <c r="I757" s="4"/>
      <c r="J757" s="22" t="s">
        <v>2308</v>
      </c>
      <c r="K757" s="110" t="s">
        <v>2308</v>
      </c>
      <c r="L757" s="22" t="s">
        <v>2308</v>
      </c>
      <c r="M757" s="22" t="s">
        <v>2308</v>
      </c>
      <c r="N757" s="22" t="s">
        <v>2308</v>
      </c>
      <c r="O757" s="22" t="s">
        <v>2308</v>
      </c>
      <c r="P757" s="22" t="s">
        <v>2308</v>
      </c>
      <c r="Q757" s="109" t="s">
        <v>2308</v>
      </c>
      <c r="R757" s="109" t="s">
        <v>2308</v>
      </c>
      <c r="S757" s="22" t="s">
        <v>2308</v>
      </c>
      <c r="T757" s="22" t="s">
        <v>2308</v>
      </c>
      <c r="U757" s="22" t="s">
        <v>2308</v>
      </c>
      <c r="V757" s="22" t="s">
        <v>2308</v>
      </c>
      <c r="W757" s="22" t="s">
        <v>2308</v>
      </c>
      <c r="X757" s="4" t="s">
        <v>195</v>
      </c>
      <c r="Y757" s="4" t="s">
        <v>195</v>
      </c>
      <c r="Z757" s="4" t="s">
        <v>64</v>
      </c>
      <c r="AA757" s="4"/>
      <c r="AB757" s="4"/>
    </row>
    <row r="758" spans="1:28" ht="63.5" customHeight="1">
      <c r="A758" s="7" t="str">
        <f>'Reported burning'!A758</f>
        <v>86a</v>
      </c>
      <c r="B758" s="7" t="str">
        <f>'Reported burning'!B758</f>
        <v>86a.5</v>
      </c>
      <c r="C758" s="7" t="str">
        <f>'Reported burning'!C758</f>
        <v>Human, deliberate</v>
      </c>
      <c r="D758" s="7" t="str">
        <f>'Reported burning'!D758</f>
        <v>Arson</v>
      </c>
      <c r="E758" s="7" t="str">
        <f>'Reported burning'!E758</f>
        <v>ND</v>
      </c>
      <c r="F758" s="7" t="str">
        <f>'Reported burning'!F758</f>
        <v>Forest</v>
      </c>
      <c r="G758" s="7">
        <f>'Reported burning'!G758</f>
        <v>0</v>
      </c>
      <c r="H758" s="7" t="str">
        <f>'Reported burning'!H758</f>
        <v>Presence</v>
      </c>
      <c r="I758" s="4"/>
      <c r="J758" s="22" t="s">
        <v>2308</v>
      </c>
      <c r="K758" s="110" t="s">
        <v>2308</v>
      </c>
      <c r="L758" s="22" t="s">
        <v>2308</v>
      </c>
      <c r="M758" s="22" t="s">
        <v>2308</v>
      </c>
      <c r="N758" s="22" t="s">
        <v>2308</v>
      </c>
      <c r="O758" s="22" t="s">
        <v>2308</v>
      </c>
      <c r="P758" s="22" t="s">
        <v>2308</v>
      </c>
      <c r="Q758" s="109" t="s">
        <v>2308</v>
      </c>
      <c r="R758" s="109" t="s">
        <v>2308</v>
      </c>
      <c r="S758" s="22" t="s">
        <v>2308</v>
      </c>
      <c r="T758" s="22" t="s">
        <v>2308</v>
      </c>
      <c r="U758" s="22" t="s">
        <v>2308</v>
      </c>
      <c r="V758" s="22" t="s">
        <v>2308</v>
      </c>
      <c r="W758" s="22" t="s">
        <v>2308</v>
      </c>
      <c r="X758" s="4" t="s">
        <v>2308</v>
      </c>
      <c r="Y758" s="4" t="s">
        <v>2308</v>
      </c>
      <c r="Z758" s="12" t="s">
        <v>1209</v>
      </c>
      <c r="AA758" s="5" t="s">
        <v>1210</v>
      </c>
      <c r="AB758" s="4"/>
    </row>
    <row r="759" spans="1:28" ht="53" customHeight="1">
      <c r="A759" s="7" t="str">
        <f>'Reported burning'!A759</f>
        <v>87a</v>
      </c>
      <c r="B759" s="7" t="str">
        <f>'Reported burning'!B759</f>
        <v>87a.1</v>
      </c>
      <c r="C759" s="7" t="str">
        <f>'Reported burning'!C759</f>
        <v>Human, deliberate</v>
      </c>
      <c r="D759" s="7" t="str">
        <f>'Reported burning'!D759</f>
        <v>Crop field preparation</v>
      </c>
      <c r="E759" s="7" t="str">
        <f>'Reported burning'!E759</f>
        <v>Cropping, Swidden</v>
      </c>
      <c r="F759" s="7" t="str">
        <f>'Reported burning'!F759</f>
        <v>Secondary Vegetation</v>
      </c>
      <c r="G759" s="7">
        <f>'Reported burning'!G759</f>
        <v>0</v>
      </c>
      <c r="H759" s="7" t="str">
        <f>'Reported burning'!H759</f>
        <v>Presence</v>
      </c>
      <c r="I759" s="4"/>
      <c r="J759" s="22" t="s">
        <v>2308</v>
      </c>
      <c r="K759" s="110" t="s">
        <v>2308</v>
      </c>
      <c r="L759" s="22" t="s">
        <v>2308</v>
      </c>
      <c r="M759" s="22" t="s">
        <v>2308</v>
      </c>
      <c r="N759" s="22" t="s">
        <v>2394</v>
      </c>
      <c r="O759" s="22" t="s">
        <v>2308</v>
      </c>
      <c r="P759" s="22" t="s">
        <v>2308</v>
      </c>
      <c r="Q759" s="109" t="s">
        <v>2308</v>
      </c>
      <c r="R759" s="109" t="s">
        <v>2308</v>
      </c>
      <c r="S759" s="22" t="s">
        <v>2308</v>
      </c>
      <c r="T759" s="22" t="s">
        <v>2308</v>
      </c>
      <c r="U759" s="22" t="s">
        <v>2308</v>
      </c>
      <c r="V759" s="22" t="s">
        <v>2308</v>
      </c>
      <c r="W759" s="22" t="s">
        <v>2308</v>
      </c>
      <c r="X759" s="4" t="s">
        <v>2308</v>
      </c>
      <c r="Y759" s="4" t="s">
        <v>2308</v>
      </c>
      <c r="Z759" s="4" t="s">
        <v>2308</v>
      </c>
      <c r="AA759" s="4" t="s">
        <v>1223</v>
      </c>
      <c r="AB759" s="5" t="s">
        <v>1236</v>
      </c>
    </row>
    <row r="760" spans="1:28" ht="49.5" customHeight="1">
      <c r="A760" s="7" t="str">
        <f>'Reported burning'!A760</f>
        <v>87b</v>
      </c>
      <c r="B760" s="7" t="str">
        <f>'Reported burning'!B760</f>
        <v>87b.1</v>
      </c>
      <c r="C760" s="7" t="str">
        <f>'Reported burning'!C760</f>
        <v>Human, deliberate</v>
      </c>
      <c r="D760" s="7" t="str">
        <f>'Reported burning'!D760</f>
        <v>Crop field preparation</v>
      </c>
      <c r="E760" s="7" t="str">
        <f>'Reported burning'!E760</f>
        <v>Cropping, Swidden</v>
      </c>
      <c r="F760" s="7" t="str">
        <f>'Reported burning'!F760</f>
        <v>Secondary Vegetation</v>
      </c>
      <c r="G760" s="7">
        <f>'Reported burning'!G760</f>
        <v>0</v>
      </c>
      <c r="H760" s="7" t="str">
        <f>'Reported burning'!H760</f>
        <v>Presence</v>
      </c>
      <c r="I760" s="4"/>
      <c r="J760" s="22" t="s">
        <v>2308</v>
      </c>
      <c r="K760" s="110" t="s">
        <v>2308</v>
      </c>
      <c r="L760" s="22" t="s">
        <v>2308</v>
      </c>
      <c r="M760" s="22" t="s">
        <v>2308</v>
      </c>
      <c r="N760" s="22" t="s">
        <v>2394</v>
      </c>
      <c r="O760" s="22" t="s">
        <v>2308</v>
      </c>
      <c r="P760" s="22" t="s">
        <v>2308</v>
      </c>
      <c r="Q760" s="109" t="s">
        <v>2308</v>
      </c>
      <c r="R760" s="109" t="s">
        <v>2308</v>
      </c>
      <c r="S760" s="22" t="s">
        <v>2408</v>
      </c>
      <c r="T760" s="22" t="s">
        <v>2308</v>
      </c>
      <c r="U760" s="22" t="s">
        <v>2560</v>
      </c>
      <c r="V760" s="22" t="s">
        <v>2308</v>
      </c>
      <c r="W760" s="22" t="s">
        <v>2308</v>
      </c>
      <c r="X760" s="4" t="s">
        <v>2308</v>
      </c>
      <c r="Y760" s="4" t="s">
        <v>2308</v>
      </c>
      <c r="Z760" s="4" t="s">
        <v>2308</v>
      </c>
      <c r="AA760" s="4" t="s">
        <v>1223</v>
      </c>
      <c r="AB760" s="5" t="s">
        <v>1236</v>
      </c>
    </row>
    <row r="761" spans="1:28" ht="54" customHeight="1">
      <c r="A761" s="7" t="str">
        <f>'Reported burning'!A761</f>
        <v>87c</v>
      </c>
      <c r="B761" s="7" t="str">
        <f>'Reported burning'!B761</f>
        <v>87c.1</v>
      </c>
      <c r="C761" s="7" t="str">
        <f>'Reported burning'!C761</f>
        <v>Human, deliberate</v>
      </c>
      <c r="D761" s="7" t="str">
        <f>'Reported burning'!D761</f>
        <v>Crop field preparation</v>
      </c>
      <c r="E761" s="7" t="str">
        <f>'Reported burning'!E761</f>
        <v>Cropping, Swidden</v>
      </c>
      <c r="F761" s="7" t="str">
        <f>'Reported burning'!F761</f>
        <v>Secondary Vegetation</v>
      </c>
      <c r="G761" s="7">
        <f>'Reported burning'!G761</f>
        <v>0</v>
      </c>
      <c r="H761" s="7" t="str">
        <f>'Reported burning'!H761</f>
        <v>Presence</v>
      </c>
      <c r="I761" s="4"/>
      <c r="J761" s="22" t="s">
        <v>2308</v>
      </c>
      <c r="K761" s="110" t="s">
        <v>2308</v>
      </c>
      <c r="L761" s="22" t="s">
        <v>2308</v>
      </c>
      <c r="M761" s="22" t="s">
        <v>2308</v>
      </c>
      <c r="N761" s="22" t="s">
        <v>2394</v>
      </c>
      <c r="O761" s="22" t="s">
        <v>2308</v>
      </c>
      <c r="P761" s="22" t="s">
        <v>2308</v>
      </c>
      <c r="Q761" s="109" t="s">
        <v>2308</v>
      </c>
      <c r="R761" s="109" t="s">
        <v>2308</v>
      </c>
      <c r="S761" s="22" t="s">
        <v>2408</v>
      </c>
      <c r="T761" s="22" t="s">
        <v>2308</v>
      </c>
      <c r="U761" s="22" t="s">
        <v>2560</v>
      </c>
      <c r="V761" s="22" t="s">
        <v>2308</v>
      </c>
      <c r="W761" s="22" t="s">
        <v>2308</v>
      </c>
      <c r="X761" s="4" t="s">
        <v>2308</v>
      </c>
      <c r="Y761" s="4" t="s">
        <v>2308</v>
      </c>
      <c r="Z761" s="4" t="s">
        <v>2308</v>
      </c>
      <c r="AA761" s="5" t="s">
        <v>1224</v>
      </c>
      <c r="AB761" s="5" t="s">
        <v>1236</v>
      </c>
    </row>
    <row r="762" spans="1:28" ht="37" customHeight="1">
      <c r="A762" s="7" t="str">
        <f>'Reported burning'!A762</f>
        <v>88a</v>
      </c>
      <c r="B762" s="7" t="str">
        <f>'Reported burning'!B762</f>
        <v>88a.1</v>
      </c>
      <c r="C762" s="7" t="str">
        <f>'Reported burning'!C762</f>
        <v>Human, deliberate</v>
      </c>
      <c r="D762" s="7" t="str">
        <f>'Reported burning'!D762</f>
        <v>Crop field preparation</v>
      </c>
      <c r="E762" s="7" t="str">
        <f>'Reported burning'!E762</f>
        <v>Cropping, Swidden</v>
      </c>
      <c r="F762" s="7" t="str">
        <f>'Reported burning'!F762</f>
        <v>Secondary Vegetation</v>
      </c>
      <c r="G762" s="7">
        <f>'Reported burning'!G762</f>
        <v>0</v>
      </c>
      <c r="H762" s="7" t="str">
        <f>'Reported burning'!H762</f>
        <v>Presence</v>
      </c>
      <c r="I762" s="4"/>
      <c r="J762" s="22" t="s">
        <v>2308</v>
      </c>
      <c r="K762" s="110" t="s">
        <v>2308</v>
      </c>
      <c r="L762" s="22" t="s">
        <v>2308</v>
      </c>
      <c r="M762" s="22" t="s">
        <v>2308</v>
      </c>
      <c r="N762" s="22" t="s">
        <v>2308</v>
      </c>
      <c r="O762" s="22" t="s">
        <v>2308</v>
      </c>
      <c r="P762" s="22" t="s">
        <v>2308</v>
      </c>
      <c r="Q762" s="109" t="s">
        <v>2308</v>
      </c>
      <c r="R762" s="109" t="s">
        <v>2308</v>
      </c>
      <c r="S762" s="22" t="s">
        <v>2308</v>
      </c>
      <c r="T762" s="22" t="s">
        <v>2308</v>
      </c>
      <c r="U762" s="22" t="s">
        <v>2308</v>
      </c>
      <c r="V762" s="22" t="s">
        <v>2308</v>
      </c>
      <c r="W762" s="22" t="s">
        <v>2308</v>
      </c>
      <c r="X762" s="4" t="s">
        <v>2308</v>
      </c>
      <c r="Y762" s="4" t="s">
        <v>2308</v>
      </c>
      <c r="Z762" s="4" t="s">
        <v>2308</v>
      </c>
      <c r="AA762" s="4" t="s">
        <v>1234</v>
      </c>
      <c r="AB762" s="5" t="s">
        <v>1237</v>
      </c>
    </row>
    <row r="763" spans="1:28" ht="37" customHeight="1">
      <c r="A763" s="7" t="str">
        <f>'Reported burning'!A763</f>
        <v>88a</v>
      </c>
      <c r="B763" s="7" t="str">
        <f>'Reported burning'!B763</f>
        <v>88a.2</v>
      </c>
      <c r="C763" s="7" t="str">
        <f>'Reported burning'!C763</f>
        <v>Human, deliberate</v>
      </c>
      <c r="D763" s="7" t="str">
        <f>'Reported burning'!D763</f>
        <v>Crop residue burning</v>
      </c>
      <c r="E763" s="7" t="str">
        <f>'Reported burning'!E763</f>
        <v>Cropping, Swidden</v>
      </c>
      <c r="F763" s="7" t="str">
        <f>'Reported burning'!F763</f>
        <v>Secondary Vegetation</v>
      </c>
      <c r="G763" s="7">
        <f>'Reported burning'!G763</f>
        <v>0</v>
      </c>
      <c r="H763" s="7" t="str">
        <f>'Reported burning'!H763</f>
        <v>Presence</v>
      </c>
      <c r="I763" s="4"/>
      <c r="J763" s="22" t="s">
        <v>2308</v>
      </c>
      <c r="K763" s="110" t="s">
        <v>2308</v>
      </c>
      <c r="L763" s="22" t="s">
        <v>2308</v>
      </c>
      <c r="M763" s="22" t="s">
        <v>2308</v>
      </c>
      <c r="N763" s="22" t="s">
        <v>2308</v>
      </c>
      <c r="O763" s="22" t="s">
        <v>2308</v>
      </c>
      <c r="P763" s="22" t="s">
        <v>2308</v>
      </c>
      <c r="Q763" s="109" t="s">
        <v>2308</v>
      </c>
      <c r="R763" s="109" t="s">
        <v>2308</v>
      </c>
      <c r="S763" s="22" t="s">
        <v>2308</v>
      </c>
      <c r="T763" s="22" t="s">
        <v>2308</v>
      </c>
      <c r="U763" s="22" t="s">
        <v>2308</v>
      </c>
      <c r="V763" s="22" t="s">
        <v>2308</v>
      </c>
      <c r="W763" s="22" t="s">
        <v>2308</v>
      </c>
      <c r="X763" s="4" t="s">
        <v>2308</v>
      </c>
      <c r="Y763" s="4" t="s">
        <v>2308</v>
      </c>
      <c r="Z763" s="4" t="s">
        <v>2308</v>
      </c>
      <c r="AA763" s="4"/>
      <c r="AB763" s="5" t="s">
        <v>1242</v>
      </c>
    </row>
    <row r="764" spans="1:28" ht="41.5" customHeight="1">
      <c r="A764" s="7" t="str">
        <f>'Reported burning'!A764</f>
        <v>88b</v>
      </c>
      <c r="B764" s="7" t="str">
        <f>'Reported burning'!B764</f>
        <v>88b.1</v>
      </c>
      <c r="C764" s="7" t="str">
        <f>'Reported burning'!C764</f>
        <v>Human, deliberate</v>
      </c>
      <c r="D764" s="7" t="str">
        <f>'Reported burning'!D764</f>
        <v>Crop field preparation</v>
      </c>
      <c r="E764" s="7" t="str">
        <f>'Reported burning'!E764</f>
        <v>Cropping, Swidden</v>
      </c>
      <c r="F764" s="7" t="str">
        <f>'Reported burning'!F764</f>
        <v>Secondary Vegetation</v>
      </c>
      <c r="G764" s="7">
        <f>'Reported burning'!G764</f>
        <v>0</v>
      </c>
      <c r="H764" s="7" t="str">
        <f>'Reported burning'!H764</f>
        <v>Absence</v>
      </c>
      <c r="I764" s="4"/>
      <c r="J764" s="22" t="s">
        <v>2396</v>
      </c>
      <c r="K764" s="110" t="s">
        <v>2396</v>
      </c>
      <c r="L764" s="22" t="s">
        <v>2396</v>
      </c>
      <c r="M764" s="22" t="s">
        <v>2396</v>
      </c>
      <c r="N764" s="22" t="s">
        <v>2396</v>
      </c>
      <c r="O764" s="22" t="s">
        <v>2396</v>
      </c>
      <c r="P764" s="22" t="s">
        <v>2396</v>
      </c>
      <c r="Q764" s="109" t="s">
        <v>2308</v>
      </c>
      <c r="R764" s="109" t="s">
        <v>2308</v>
      </c>
      <c r="S764" s="22" t="s">
        <v>2396</v>
      </c>
      <c r="T764" s="22" t="s">
        <v>2396</v>
      </c>
      <c r="U764" s="22" t="s">
        <v>2308</v>
      </c>
      <c r="V764" s="22" t="s">
        <v>2396</v>
      </c>
      <c r="W764" s="22" t="s">
        <v>2308</v>
      </c>
      <c r="X764" s="4" t="s">
        <v>2308</v>
      </c>
      <c r="Y764" s="4" t="s">
        <v>2308</v>
      </c>
      <c r="Z764" s="4" t="s">
        <v>2308</v>
      </c>
      <c r="AA764" s="5" t="s">
        <v>1235</v>
      </c>
      <c r="AB764" s="4"/>
    </row>
    <row r="765" spans="1:28" ht="41.5" customHeight="1">
      <c r="A765" s="7" t="str">
        <f>'Reported burning'!A765</f>
        <v>88b</v>
      </c>
      <c r="B765" s="7" t="str">
        <f>'Reported burning'!B765</f>
        <v>88b.2</v>
      </c>
      <c r="C765" s="7" t="str">
        <f>'Reported burning'!C765</f>
        <v>Human, deliberate</v>
      </c>
      <c r="D765" s="7" t="str">
        <f>'Reported burning'!D765</f>
        <v>Crop residue burning</v>
      </c>
      <c r="E765" s="7" t="str">
        <f>'Reported burning'!E765</f>
        <v>Cropping, Swidden</v>
      </c>
      <c r="F765" s="7" t="str">
        <f>'Reported burning'!F765</f>
        <v>Secondary Vegetation</v>
      </c>
      <c r="G765" s="7">
        <f>'Reported burning'!G765</f>
        <v>0</v>
      </c>
      <c r="H765" s="7" t="str">
        <f>'Reported burning'!H765</f>
        <v>Absence</v>
      </c>
      <c r="I765" s="4"/>
      <c r="J765" s="22" t="s">
        <v>2396</v>
      </c>
      <c r="K765" s="110" t="s">
        <v>2396</v>
      </c>
      <c r="L765" s="22" t="s">
        <v>2396</v>
      </c>
      <c r="M765" s="22" t="s">
        <v>2396</v>
      </c>
      <c r="N765" s="22" t="s">
        <v>2396</v>
      </c>
      <c r="O765" s="22" t="s">
        <v>2396</v>
      </c>
      <c r="P765" s="22" t="s">
        <v>2396</v>
      </c>
      <c r="Q765" s="109" t="s">
        <v>2308</v>
      </c>
      <c r="R765" s="109" t="s">
        <v>2308</v>
      </c>
      <c r="S765" s="22" t="s">
        <v>2396</v>
      </c>
      <c r="T765" s="22" t="s">
        <v>2396</v>
      </c>
      <c r="U765" s="22" t="s">
        <v>2308</v>
      </c>
      <c r="V765" s="22" t="s">
        <v>2396</v>
      </c>
      <c r="W765" s="22" t="s">
        <v>2308</v>
      </c>
      <c r="X765" s="4" t="s">
        <v>2308</v>
      </c>
      <c r="Y765" s="4" t="s">
        <v>2308</v>
      </c>
      <c r="Z765" s="4" t="s">
        <v>2308</v>
      </c>
      <c r="AA765" s="5" t="s">
        <v>1235</v>
      </c>
      <c r="AB765" s="4"/>
    </row>
    <row r="766" spans="1:28" ht="39.5" customHeight="1">
      <c r="A766" s="7" t="str">
        <f>'Reported burning'!A766</f>
        <v>88c</v>
      </c>
      <c r="B766" s="7" t="str">
        <f>'Reported burning'!B766</f>
        <v>88c.1</v>
      </c>
      <c r="C766" s="7" t="str">
        <f>'Reported burning'!C766</f>
        <v>Human, deliberate</v>
      </c>
      <c r="D766" s="7" t="str">
        <f>'Reported burning'!D766</f>
        <v>Crop field preparation</v>
      </c>
      <c r="E766" s="7" t="str">
        <f>'Reported burning'!E766</f>
        <v>Cropping, Swidden</v>
      </c>
      <c r="F766" s="7" t="str">
        <f>'Reported burning'!F766</f>
        <v>Secondary Vegetation</v>
      </c>
      <c r="G766" s="7">
        <f>'Reported burning'!G766</f>
        <v>0</v>
      </c>
      <c r="H766" s="7" t="str">
        <f>'Reported burning'!H766</f>
        <v>Presence</v>
      </c>
      <c r="I766" s="4"/>
      <c r="J766" s="22" t="s">
        <v>2308</v>
      </c>
      <c r="K766" s="110" t="s">
        <v>2308</v>
      </c>
      <c r="L766" s="22" t="s">
        <v>2308</v>
      </c>
      <c r="M766" s="22" t="s">
        <v>2308</v>
      </c>
      <c r="N766" s="22" t="s">
        <v>2308</v>
      </c>
      <c r="O766" s="22" t="s">
        <v>2308</v>
      </c>
      <c r="P766" s="22" t="s">
        <v>2308</v>
      </c>
      <c r="Q766" s="109" t="s">
        <v>2308</v>
      </c>
      <c r="R766" s="109" t="s">
        <v>2308</v>
      </c>
      <c r="S766" s="22" t="s">
        <v>2308</v>
      </c>
      <c r="T766" s="22" t="s">
        <v>2308</v>
      </c>
      <c r="U766" s="22" t="s">
        <v>2308</v>
      </c>
      <c r="V766" s="22" t="s">
        <v>2308</v>
      </c>
      <c r="W766" s="22" t="s">
        <v>2308</v>
      </c>
      <c r="X766" s="4" t="s">
        <v>2308</v>
      </c>
      <c r="Y766" s="4" t="s">
        <v>2308</v>
      </c>
      <c r="Z766" s="4" t="s">
        <v>2308</v>
      </c>
      <c r="AA766" s="4" t="s">
        <v>1234</v>
      </c>
      <c r="AB766" s="5" t="s">
        <v>1237</v>
      </c>
    </row>
    <row r="767" spans="1:28" ht="39.5" customHeight="1">
      <c r="A767" s="7" t="str">
        <f>'Reported burning'!A767</f>
        <v>88c</v>
      </c>
      <c r="B767" s="7" t="str">
        <f>'Reported burning'!B767</f>
        <v>88c.2</v>
      </c>
      <c r="C767" s="7" t="str">
        <f>'Reported burning'!C767</f>
        <v>Human, deliberate</v>
      </c>
      <c r="D767" s="7" t="str">
        <f>'Reported burning'!D767</f>
        <v>Crop residue burning</v>
      </c>
      <c r="E767" s="7" t="str">
        <f>'Reported burning'!E767</f>
        <v>Cropping, Swidden</v>
      </c>
      <c r="F767" s="7" t="str">
        <f>'Reported burning'!F767</f>
        <v>Secondary Vegetation</v>
      </c>
      <c r="G767" s="7">
        <f>'Reported burning'!G767</f>
        <v>0</v>
      </c>
      <c r="H767" s="7" t="str">
        <f>'Reported burning'!H767</f>
        <v>Presence</v>
      </c>
      <c r="I767" s="4"/>
      <c r="J767" s="22" t="s">
        <v>2308</v>
      </c>
      <c r="K767" s="110" t="s">
        <v>2308</v>
      </c>
      <c r="L767" s="22" t="s">
        <v>2308</v>
      </c>
      <c r="M767" s="22" t="s">
        <v>2308</v>
      </c>
      <c r="N767" s="22" t="s">
        <v>2308</v>
      </c>
      <c r="O767" s="22" t="s">
        <v>2308</v>
      </c>
      <c r="P767" s="22" t="s">
        <v>2308</v>
      </c>
      <c r="Q767" s="109" t="s">
        <v>2308</v>
      </c>
      <c r="R767" s="109" t="s">
        <v>2308</v>
      </c>
      <c r="S767" s="22" t="s">
        <v>2308</v>
      </c>
      <c r="T767" s="22" t="s">
        <v>2308</v>
      </c>
      <c r="U767" s="22" t="s">
        <v>2308</v>
      </c>
      <c r="V767" s="22" t="s">
        <v>2308</v>
      </c>
      <c r="W767" s="22" t="s">
        <v>2308</v>
      </c>
      <c r="X767" s="4" t="s">
        <v>2308</v>
      </c>
      <c r="Y767" s="4" t="s">
        <v>2308</v>
      </c>
      <c r="Z767" s="4" t="s">
        <v>2308</v>
      </c>
      <c r="AA767" s="4"/>
      <c r="AB767" s="5" t="s">
        <v>1242</v>
      </c>
    </row>
    <row r="768" spans="1:28" ht="37" customHeight="1">
      <c r="A768" s="7" t="str">
        <f>'Reported burning'!A768</f>
        <v>88d</v>
      </c>
      <c r="B768" s="7" t="str">
        <f>'Reported burning'!B768</f>
        <v>88d.1</v>
      </c>
      <c r="C768" s="7" t="str">
        <f>'Reported burning'!C768</f>
        <v>Human, deliberate</v>
      </c>
      <c r="D768" s="7" t="str">
        <f>'Reported burning'!D768</f>
        <v>Crop field preparation</v>
      </c>
      <c r="E768" s="7" t="str">
        <f>'Reported burning'!E768</f>
        <v>Cropping, Swidden</v>
      </c>
      <c r="F768" s="7" t="str">
        <f>'Reported burning'!F768</f>
        <v>Secondary Vegetation</v>
      </c>
      <c r="G768" s="7">
        <f>'Reported burning'!G768</f>
        <v>0</v>
      </c>
      <c r="H768" s="7" t="str">
        <f>'Reported burning'!H768</f>
        <v>Absence</v>
      </c>
      <c r="I768" s="4"/>
      <c r="J768" s="22" t="s">
        <v>2396</v>
      </c>
      <c r="K768" s="110" t="s">
        <v>2396</v>
      </c>
      <c r="L768" s="22" t="s">
        <v>2396</v>
      </c>
      <c r="M768" s="22" t="s">
        <v>2396</v>
      </c>
      <c r="N768" s="22" t="s">
        <v>2396</v>
      </c>
      <c r="O768" s="22" t="s">
        <v>2396</v>
      </c>
      <c r="P768" s="22" t="s">
        <v>2396</v>
      </c>
      <c r="Q768" s="109" t="s">
        <v>2308</v>
      </c>
      <c r="R768" s="109" t="s">
        <v>2308</v>
      </c>
      <c r="S768" s="22" t="s">
        <v>2396</v>
      </c>
      <c r="T768" s="22" t="s">
        <v>2396</v>
      </c>
      <c r="U768" s="22" t="s">
        <v>2308</v>
      </c>
      <c r="V768" s="22" t="s">
        <v>2396</v>
      </c>
      <c r="W768" s="22" t="s">
        <v>2308</v>
      </c>
      <c r="X768" s="4" t="s">
        <v>2308</v>
      </c>
      <c r="Y768" s="4" t="s">
        <v>2308</v>
      </c>
      <c r="Z768" s="4" t="s">
        <v>2308</v>
      </c>
      <c r="AA768" s="5" t="s">
        <v>1235</v>
      </c>
      <c r="AB768" s="4"/>
    </row>
    <row r="769" spans="1:28" ht="37" customHeight="1">
      <c r="A769" s="7" t="str">
        <f>'Reported burning'!A769</f>
        <v>88d</v>
      </c>
      <c r="B769" s="7" t="str">
        <f>'Reported burning'!B769</f>
        <v>88d.2</v>
      </c>
      <c r="C769" s="7" t="str">
        <f>'Reported burning'!C769</f>
        <v>Human, deliberate</v>
      </c>
      <c r="D769" s="7" t="str">
        <f>'Reported burning'!D769</f>
        <v>Crop residue burning</v>
      </c>
      <c r="E769" s="7" t="str">
        <f>'Reported burning'!E769</f>
        <v>Cropping, Swidden</v>
      </c>
      <c r="F769" s="7" t="str">
        <f>'Reported burning'!F769</f>
        <v>Secondary Vegetation</v>
      </c>
      <c r="G769" s="7">
        <f>'Reported burning'!G769</f>
        <v>0</v>
      </c>
      <c r="H769" s="7" t="str">
        <f>'Reported burning'!H769</f>
        <v>Absence</v>
      </c>
      <c r="I769" s="4"/>
      <c r="J769" s="22" t="s">
        <v>2396</v>
      </c>
      <c r="K769" s="110" t="s">
        <v>2396</v>
      </c>
      <c r="L769" s="22" t="s">
        <v>2396</v>
      </c>
      <c r="M769" s="22" t="s">
        <v>2396</v>
      </c>
      <c r="N769" s="22" t="s">
        <v>2396</v>
      </c>
      <c r="O769" s="22" t="s">
        <v>2396</v>
      </c>
      <c r="P769" s="22" t="s">
        <v>2396</v>
      </c>
      <c r="Q769" s="109" t="s">
        <v>2308</v>
      </c>
      <c r="R769" s="109" t="s">
        <v>2308</v>
      </c>
      <c r="S769" s="22" t="s">
        <v>2396</v>
      </c>
      <c r="T769" s="22" t="s">
        <v>2396</v>
      </c>
      <c r="U769" s="22" t="s">
        <v>2308</v>
      </c>
      <c r="V769" s="22" t="s">
        <v>2396</v>
      </c>
      <c r="W769" s="22" t="s">
        <v>2308</v>
      </c>
      <c r="X769" s="4" t="s">
        <v>2308</v>
      </c>
      <c r="Y769" s="4" t="s">
        <v>2308</v>
      </c>
      <c r="Z769" s="4" t="s">
        <v>2308</v>
      </c>
      <c r="AA769" s="5" t="s">
        <v>1235</v>
      </c>
      <c r="AB769" s="4"/>
    </row>
    <row r="770" spans="1:28" ht="41" customHeight="1">
      <c r="A770" s="7" t="str">
        <f>'Reported burning'!A770</f>
        <v>89a</v>
      </c>
      <c r="B770" s="7" t="str">
        <f>'Reported burning'!B770</f>
        <v>89a.1</v>
      </c>
      <c r="C770" s="7" t="str">
        <f>'Reported burning'!C770</f>
        <v>Human, deliberate</v>
      </c>
      <c r="D770" s="7" t="str">
        <f>'Reported burning'!D770</f>
        <v>Pyrome management</v>
      </c>
      <c r="E770" s="7" t="str">
        <f>'Reported burning'!E770</f>
        <v>Pastoralism, Migratory</v>
      </c>
      <c r="F770" s="7" t="str">
        <f>'Reported burning'!F770</f>
        <v>Shrubland (Mixed forest &amp; grassland)</v>
      </c>
      <c r="G770" s="7">
        <f>'Reported burning'!G770</f>
        <v>0</v>
      </c>
      <c r="H770" s="7" t="str">
        <f>'Reported burning'!H770</f>
        <v>Presence</v>
      </c>
      <c r="I770" s="4"/>
      <c r="J770" s="22" t="s">
        <v>2308</v>
      </c>
      <c r="K770" s="110" t="s">
        <v>2308</v>
      </c>
      <c r="L770" s="22" t="s">
        <v>2308</v>
      </c>
      <c r="M770" s="22" t="s">
        <v>2308</v>
      </c>
      <c r="N770" s="22" t="s">
        <v>2308</v>
      </c>
      <c r="O770" s="22" t="s">
        <v>2308</v>
      </c>
      <c r="P770" s="22" t="s">
        <v>2308</v>
      </c>
      <c r="Q770" s="109" t="s">
        <v>2308</v>
      </c>
      <c r="R770" s="109" t="s">
        <v>2308</v>
      </c>
      <c r="S770" s="22" t="s">
        <v>2308</v>
      </c>
      <c r="T770" s="22" t="s">
        <v>2308</v>
      </c>
      <c r="U770" s="22" t="s">
        <v>2308</v>
      </c>
      <c r="V770" s="22" t="s">
        <v>2308</v>
      </c>
      <c r="W770" s="22" t="s">
        <v>2308</v>
      </c>
      <c r="X770" s="4" t="s">
        <v>411</v>
      </c>
      <c r="Y770" s="4" t="s">
        <v>35</v>
      </c>
      <c r="Z770" s="4" t="s">
        <v>64</v>
      </c>
      <c r="AA770" s="5" t="s">
        <v>1256</v>
      </c>
      <c r="AB770" s="4"/>
    </row>
    <row r="771" spans="1:28" ht="39" customHeight="1">
      <c r="A771" s="7" t="str">
        <f>'Reported burning'!A771</f>
        <v>89a</v>
      </c>
      <c r="B771" s="7" t="str">
        <f>'Reported burning'!B771</f>
        <v>89a.2</v>
      </c>
      <c r="C771" s="7" t="str">
        <f>'Reported burning'!C771</f>
        <v>Human, deliberate</v>
      </c>
      <c r="D771" s="7" t="str">
        <f>'Reported burning'!D771</f>
        <v>Conservation</v>
      </c>
      <c r="E771" s="7" t="str">
        <f>'Reported burning'!E771</f>
        <v>Biodiversity conservation</v>
      </c>
      <c r="F771" s="7" t="str">
        <f>'Reported burning'!F771</f>
        <v>Shrubland (Mixed forest &amp; grassland)</v>
      </c>
      <c r="G771" s="7">
        <f>'Reported burning'!G771</f>
        <v>0</v>
      </c>
      <c r="H771" s="7" t="str">
        <f>'Reported burning'!H771</f>
        <v>Absence</v>
      </c>
      <c r="I771" s="4"/>
      <c r="J771" s="22" t="s">
        <v>2396</v>
      </c>
      <c r="K771" s="110" t="s">
        <v>2396</v>
      </c>
      <c r="L771" s="22" t="s">
        <v>2396</v>
      </c>
      <c r="M771" s="22" t="s">
        <v>2396</v>
      </c>
      <c r="N771" s="22" t="s">
        <v>2396</v>
      </c>
      <c r="O771" s="22" t="s">
        <v>2396</v>
      </c>
      <c r="P771" s="22" t="s">
        <v>2396</v>
      </c>
      <c r="Q771" s="109" t="s">
        <v>2308</v>
      </c>
      <c r="R771" s="109" t="s">
        <v>2308</v>
      </c>
      <c r="S771" s="22" t="s">
        <v>2396</v>
      </c>
      <c r="T771" s="22" t="s">
        <v>2396</v>
      </c>
      <c r="U771" s="22" t="s">
        <v>2308</v>
      </c>
      <c r="V771" s="22" t="s">
        <v>2396</v>
      </c>
      <c r="W771" s="22" t="s">
        <v>2308</v>
      </c>
      <c r="X771" s="4" t="s">
        <v>2308</v>
      </c>
      <c r="Y771" s="4" t="s">
        <v>2308</v>
      </c>
      <c r="Z771" s="4" t="s">
        <v>2308</v>
      </c>
      <c r="AA771" s="5" t="s">
        <v>1258</v>
      </c>
      <c r="AB771" s="4"/>
    </row>
    <row r="772" spans="1:28" ht="39" customHeight="1">
      <c r="A772" s="7" t="str">
        <f>'Reported burning'!A772</f>
        <v>89a</v>
      </c>
      <c r="B772" s="7" t="str">
        <f>'Reported burning'!B772</f>
        <v>89a.3</v>
      </c>
      <c r="C772" s="7" t="str">
        <f>'Reported burning'!C772</f>
        <v>Human, deliberate</v>
      </c>
      <c r="D772" s="7" t="str">
        <f>'Reported burning'!D772</f>
        <v>Pest management</v>
      </c>
      <c r="E772" s="7" t="str">
        <f>'Reported burning'!E772</f>
        <v>Pastoralism, Migratory</v>
      </c>
      <c r="F772" s="7" t="str">
        <f>'Reported burning'!F772</f>
        <v>Shrubland (Mixed forest &amp; grassland)</v>
      </c>
      <c r="G772" s="7">
        <f>'Reported burning'!G772</f>
        <v>0</v>
      </c>
      <c r="H772" s="7" t="str">
        <f>'Reported burning'!H772</f>
        <v>Presence</v>
      </c>
      <c r="I772" s="4"/>
      <c r="J772" s="22" t="s">
        <v>2308</v>
      </c>
      <c r="K772" s="110" t="s">
        <v>2308</v>
      </c>
      <c r="L772" s="22" t="s">
        <v>2308</v>
      </c>
      <c r="M772" s="22" t="s">
        <v>2308</v>
      </c>
      <c r="N772" s="22" t="s">
        <v>2308</v>
      </c>
      <c r="O772" s="22" t="s">
        <v>2308</v>
      </c>
      <c r="P772" s="22" t="s">
        <v>2308</v>
      </c>
      <c r="Q772" s="109" t="s">
        <v>2308</v>
      </c>
      <c r="R772" s="109" t="s">
        <v>2308</v>
      </c>
      <c r="S772" s="22" t="s">
        <v>2308</v>
      </c>
      <c r="T772" s="22" t="s">
        <v>2308</v>
      </c>
      <c r="U772" s="22" t="s">
        <v>2308</v>
      </c>
      <c r="V772" s="22" t="s">
        <v>2308</v>
      </c>
      <c r="W772" s="22" t="s">
        <v>2308</v>
      </c>
      <c r="X772" s="4" t="s">
        <v>2308</v>
      </c>
      <c r="Y772" s="4" t="s">
        <v>2308</v>
      </c>
      <c r="Z772" s="4" t="s">
        <v>2308</v>
      </c>
      <c r="AA772" s="5"/>
      <c r="AB772" s="4"/>
    </row>
    <row r="773" spans="1:28" ht="43.5" customHeight="1">
      <c r="A773" s="7" t="str">
        <f>'Reported burning'!A773</f>
        <v>89b</v>
      </c>
      <c r="B773" s="7" t="str">
        <f>'Reported burning'!B773</f>
        <v>89b.1</v>
      </c>
      <c r="C773" s="7" t="str">
        <f>'Reported burning'!C773</f>
        <v>Human, deliberate</v>
      </c>
      <c r="D773" s="7" t="str">
        <f>'Reported burning'!D773</f>
        <v>Pyrome management</v>
      </c>
      <c r="E773" s="7" t="str">
        <f>'Reported burning'!E773</f>
        <v>Biodiversity conservation</v>
      </c>
      <c r="F773" s="7" t="str">
        <f>'Reported burning'!F773</f>
        <v>Shrubland (Mixed forest &amp; grassland)</v>
      </c>
      <c r="G773" s="7">
        <f>'Reported burning'!G773</f>
        <v>0</v>
      </c>
      <c r="H773" s="7" t="str">
        <f>'Reported burning'!H773</f>
        <v>Presence</v>
      </c>
      <c r="I773" s="4"/>
      <c r="J773" s="22" t="s">
        <v>2308</v>
      </c>
      <c r="K773" s="110" t="s">
        <v>2308</v>
      </c>
      <c r="L773" s="22" t="s">
        <v>2308</v>
      </c>
      <c r="M773" s="22" t="s">
        <v>2308</v>
      </c>
      <c r="N773" s="22" t="s">
        <v>2308</v>
      </c>
      <c r="O773" s="22" t="s">
        <v>2308</v>
      </c>
      <c r="P773" s="22" t="s">
        <v>2308</v>
      </c>
      <c r="Q773" s="109" t="s">
        <v>2308</v>
      </c>
      <c r="R773" s="109" t="s">
        <v>2308</v>
      </c>
      <c r="S773" s="22" t="s">
        <v>2422</v>
      </c>
      <c r="T773" s="22" t="s">
        <v>2308</v>
      </c>
      <c r="U773" s="22" t="s">
        <v>2308</v>
      </c>
      <c r="V773" s="22" t="s">
        <v>2308</v>
      </c>
      <c r="W773" s="22" t="s">
        <v>2308</v>
      </c>
      <c r="X773" s="4" t="s">
        <v>86</v>
      </c>
      <c r="Y773" s="4" t="s">
        <v>411</v>
      </c>
      <c r="Z773" s="4" t="s">
        <v>64</v>
      </c>
      <c r="AA773" s="5" t="s">
        <v>1265</v>
      </c>
      <c r="AB773" s="4"/>
    </row>
    <row r="774" spans="1:28" ht="36.5" customHeight="1">
      <c r="A774" s="7" t="str">
        <f>'Reported burning'!A774</f>
        <v>89b</v>
      </c>
      <c r="B774" s="7" t="str">
        <f>'Reported burning'!B774</f>
        <v>89b.2</v>
      </c>
      <c r="C774" s="7" t="str">
        <f>'Reported burning'!C774</f>
        <v>Human, deliberate</v>
      </c>
      <c r="D774" s="7" t="str">
        <f>'Reported burning'!D774</f>
        <v>Hunting</v>
      </c>
      <c r="E774" s="7" t="str">
        <f>'Reported burning'!E774</f>
        <v>Forestry, Traditional</v>
      </c>
      <c r="F774" s="7" t="str">
        <f>'Reported burning'!F774</f>
        <v>Shrubland (Mixed forest &amp; grassland)</v>
      </c>
      <c r="G774" s="7">
        <f>'Reported burning'!G774</f>
        <v>0</v>
      </c>
      <c r="H774" s="7" t="str">
        <f>'Reported burning'!H774</f>
        <v>Presence</v>
      </c>
      <c r="I774" s="4"/>
      <c r="J774" s="22" t="s">
        <v>2308</v>
      </c>
      <c r="K774" s="110" t="s">
        <v>2308</v>
      </c>
      <c r="L774" s="22" t="s">
        <v>2308</v>
      </c>
      <c r="M774" s="22" t="s">
        <v>2308</v>
      </c>
      <c r="N774" s="22" t="s">
        <v>2308</v>
      </c>
      <c r="O774" s="22" t="s">
        <v>2308</v>
      </c>
      <c r="P774" s="22" t="s">
        <v>2308</v>
      </c>
      <c r="Q774" s="109" t="s">
        <v>2308</v>
      </c>
      <c r="R774" s="109" t="s">
        <v>2308</v>
      </c>
      <c r="S774" s="22" t="s">
        <v>2308</v>
      </c>
      <c r="T774" s="22" t="s">
        <v>2308</v>
      </c>
      <c r="U774" s="22" t="s">
        <v>2308</v>
      </c>
      <c r="V774" s="22" t="s">
        <v>2308</v>
      </c>
      <c r="W774" s="22" t="s">
        <v>2308</v>
      </c>
      <c r="X774" s="4" t="s">
        <v>1268</v>
      </c>
      <c r="Y774" s="4" t="s">
        <v>412</v>
      </c>
      <c r="Z774" s="4" t="s">
        <v>64</v>
      </c>
      <c r="AA774" s="4"/>
      <c r="AB774" s="4"/>
    </row>
    <row r="775" spans="1:28" ht="58.5" customHeight="1">
      <c r="A775" s="7" t="str">
        <f>'Reported burning'!A775</f>
        <v>90a</v>
      </c>
      <c r="B775" s="7" t="str">
        <f>'Reported burning'!B775</f>
        <v>90a.1</v>
      </c>
      <c r="C775" s="7" t="str">
        <f>'Reported burning'!C775</f>
        <v>Human, deliberate</v>
      </c>
      <c r="D775" s="7" t="str">
        <f>'Reported burning'!D775</f>
        <v>Crop field preparation</v>
      </c>
      <c r="E775" s="7" t="str">
        <f>'Reported burning'!E775</f>
        <v>Cropping, Swidden</v>
      </c>
      <c r="F775" s="7" t="str">
        <f>'Reported burning'!F775</f>
        <v>Forest</v>
      </c>
      <c r="G775" s="7" t="str">
        <f>'Reported burning'!G775</f>
        <v>Forest</v>
      </c>
      <c r="H775" s="7" t="str">
        <f>'Reported burning'!H775</f>
        <v>Presence</v>
      </c>
      <c r="I775" s="4"/>
      <c r="J775" s="22" t="s">
        <v>2308</v>
      </c>
      <c r="K775" s="110" t="s">
        <v>2308</v>
      </c>
      <c r="L775" s="22" t="s">
        <v>2308</v>
      </c>
      <c r="M775" s="22" t="s">
        <v>2308</v>
      </c>
      <c r="N775" s="22" t="s">
        <v>2308</v>
      </c>
      <c r="O775" s="22" t="s">
        <v>2308</v>
      </c>
      <c r="P775" s="22" t="s">
        <v>2308</v>
      </c>
      <c r="Q775" s="22" t="s">
        <v>2308</v>
      </c>
      <c r="R775" s="22" t="s">
        <v>2308</v>
      </c>
      <c r="S775" s="22" t="s">
        <v>2308</v>
      </c>
      <c r="T775" s="22" t="s">
        <v>2308</v>
      </c>
      <c r="U775" s="22" t="s">
        <v>2308</v>
      </c>
      <c r="V775" s="22" t="s">
        <v>2308</v>
      </c>
      <c r="W775" s="110" t="s">
        <v>2434</v>
      </c>
      <c r="X775" s="22" t="s">
        <v>2308</v>
      </c>
      <c r="Y775" s="22" t="s">
        <v>2308</v>
      </c>
      <c r="Z775" s="22" t="s">
        <v>2308</v>
      </c>
      <c r="AA775" s="4"/>
      <c r="AB775" s="5" t="s">
        <v>2490</v>
      </c>
    </row>
    <row r="776" spans="1:28" ht="49.5" customHeight="1">
      <c r="A776" s="7" t="str">
        <f>'Reported burning'!A776</f>
        <v>90a</v>
      </c>
      <c r="B776" s="7" t="str">
        <f>'Reported burning'!B776</f>
        <v>90a.2</v>
      </c>
      <c r="C776" s="7" t="str">
        <f>'Reported burning'!C776</f>
        <v>Human, escaped</v>
      </c>
      <c r="D776" s="7" t="str">
        <f>'Reported burning'!D776</f>
        <v>Crop field preparation</v>
      </c>
      <c r="E776" s="7" t="str">
        <f>'Reported burning'!E776</f>
        <v>Cropping, Swidden</v>
      </c>
      <c r="F776" s="7" t="str">
        <f>'Reported burning'!F776</f>
        <v>ND</v>
      </c>
      <c r="G776" s="7" t="str">
        <f>'Reported burning'!G776</f>
        <v>Forest</v>
      </c>
      <c r="H776" s="7" t="str">
        <f>'Reported burning'!H776</f>
        <v>Presence</v>
      </c>
      <c r="I776" s="4"/>
      <c r="J776" s="22" t="s">
        <v>2308</v>
      </c>
      <c r="K776" s="110" t="s">
        <v>2308</v>
      </c>
      <c r="L776" s="22" t="s">
        <v>2308</v>
      </c>
      <c r="M776" s="22" t="s">
        <v>2308</v>
      </c>
      <c r="N776" s="22" t="s">
        <v>2308</v>
      </c>
      <c r="O776" s="22" t="s">
        <v>2308</v>
      </c>
      <c r="P776" s="22" t="s">
        <v>2308</v>
      </c>
      <c r="Q776" s="22" t="s">
        <v>2308</v>
      </c>
      <c r="R776" s="22" t="s">
        <v>2308</v>
      </c>
      <c r="S776" s="22" t="s">
        <v>2308</v>
      </c>
      <c r="T776" s="22" t="s">
        <v>2308</v>
      </c>
      <c r="U776" s="22" t="s">
        <v>2308</v>
      </c>
      <c r="V776" s="22" t="s">
        <v>2308</v>
      </c>
      <c r="W776" s="110" t="s">
        <v>2434</v>
      </c>
      <c r="X776" s="22" t="s">
        <v>2308</v>
      </c>
      <c r="Y776" s="22" t="s">
        <v>2308</v>
      </c>
      <c r="Z776" s="22" t="s">
        <v>2308</v>
      </c>
      <c r="AA776" s="4" t="s">
        <v>2489</v>
      </c>
      <c r="AB776" s="4"/>
    </row>
    <row r="777" spans="1:28" ht="43.5" customHeight="1">
      <c r="A777" s="7" t="str">
        <f>'Reported burning'!A777</f>
        <v>90b</v>
      </c>
      <c r="B777" s="7" t="str">
        <f>'Reported burning'!B777</f>
        <v>90b.1</v>
      </c>
      <c r="C777" s="7" t="str">
        <f>'Reported burning'!C777</f>
        <v>Human, deliberate</v>
      </c>
      <c r="D777" s="7" t="str">
        <f>'Reported burning'!D777</f>
        <v>Crop field preparation</v>
      </c>
      <c r="E777" s="7" t="str">
        <f>'Reported burning'!E777</f>
        <v>Cropping, Swidden</v>
      </c>
      <c r="F777" s="7" t="str">
        <f>'Reported burning'!F777</f>
        <v>Secondary Vegetation</v>
      </c>
      <c r="G777" s="7" t="str">
        <f>'Reported burning'!G777</f>
        <v>Secondary Vegetation</v>
      </c>
      <c r="H777" s="7" t="str">
        <f>'Reported burning'!H777</f>
        <v>Presence</v>
      </c>
      <c r="I777" s="4"/>
      <c r="J777" s="22" t="s">
        <v>2308</v>
      </c>
      <c r="K777" s="110" t="s">
        <v>2308</v>
      </c>
      <c r="L777" s="22" t="s">
        <v>2308</v>
      </c>
      <c r="M777" s="22" t="s">
        <v>2308</v>
      </c>
      <c r="N777" s="22" t="s">
        <v>2308</v>
      </c>
      <c r="O777" s="22" t="s">
        <v>2308</v>
      </c>
      <c r="P777" s="22" t="s">
        <v>2308</v>
      </c>
      <c r="Q777" s="22" t="s">
        <v>2308</v>
      </c>
      <c r="R777" s="22" t="s">
        <v>2308</v>
      </c>
      <c r="S777" s="22" t="s">
        <v>2308</v>
      </c>
      <c r="T777" s="22" t="s">
        <v>2308</v>
      </c>
      <c r="U777" s="22" t="s">
        <v>2308</v>
      </c>
      <c r="V777" s="22" t="s">
        <v>2308</v>
      </c>
      <c r="W777" s="110" t="s">
        <v>2434</v>
      </c>
      <c r="X777" s="22" t="s">
        <v>2308</v>
      </c>
      <c r="Y777" s="22" t="s">
        <v>2308</v>
      </c>
      <c r="Z777" s="22" t="s">
        <v>2308</v>
      </c>
      <c r="AA777" s="4"/>
      <c r="AB777" s="4"/>
    </row>
    <row r="778" spans="1:28" ht="42.5" customHeight="1">
      <c r="A778" s="7" t="str">
        <f>'Reported burning'!A778</f>
        <v>90b</v>
      </c>
      <c r="B778" s="7" t="str">
        <f>'Reported burning'!B778</f>
        <v>90b.2</v>
      </c>
      <c r="C778" s="7" t="str">
        <f>'Reported burning'!C778</f>
        <v>Human, deliberate</v>
      </c>
      <c r="D778" s="7" t="str">
        <f>'Reported burning'!D778</f>
        <v>Crop field preparation</v>
      </c>
      <c r="E778" s="7" t="str">
        <f>'Reported burning'!E778</f>
        <v>Cropping, Swidden</v>
      </c>
      <c r="F778" s="7" t="str">
        <f>'Reported burning'!F778</f>
        <v>Cropland</v>
      </c>
      <c r="G778" s="7" t="str">
        <f>'Reported burning'!G778</f>
        <v>Cropland</v>
      </c>
      <c r="H778" s="7" t="str">
        <f>'Reported burning'!H778</f>
        <v>Presence</v>
      </c>
      <c r="I778" s="4"/>
      <c r="J778" s="22" t="s">
        <v>2308</v>
      </c>
      <c r="K778" s="110" t="s">
        <v>2308</v>
      </c>
      <c r="L778" s="22" t="s">
        <v>2308</v>
      </c>
      <c r="M778" s="22" t="s">
        <v>2308</v>
      </c>
      <c r="N778" s="22" t="s">
        <v>2308</v>
      </c>
      <c r="O778" s="22" t="s">
        <v>2308</v>
      </c>
      <c r="P778" s="22" t="s">
        <v>2308</v>
      </c>
      <c r="Q778" s="22" t="s">
        <v>2308</v>
      </c>
      <c r="R778" s="22" t="s">
        <v>2308</v>
      </c>
      <c r="S778" s="22" t="s">
        <v>2308</v>
      </c>
      <c r="T778" s="22" t="s">
        <v>2308</v>
      </c>
      <c r="U778" s="22" t="s">
        <v>2308</v>
      </c>
      <c r="V778" s="22" t="s">
        <v>2308</v>
      </c>
      <c r="W778" s="110" t="s">
        <v>2434</v>
      </c>
      <c r="X778" s="22" t="s">
        <v>2308</v>
      </c>
      <c r="Y778" s="22" t="s">
        <v>2308</v>
      </c>
      <c r="Z778" s="22" t="s">
        <v>2308</v>
      </c>
      <c r="AA778" s="4"/>
      <c r="AB778" s="4"/>
    </row>
    <row r="779" spans="1:28">
      <c r="A779" s="7" t="str">
        <f>'Reported burning'!A779</f>
        <v>91a</v>
      </c>
      <c r="B779" s="7" t="str">
        <f>'Reported burning'!B779</f>
        <v>91a.1</v>
      </c>
      <c r="C779" s="7" t="str">
        <f>'Reported burning'!C779</f>
        <v>Human, deliberate</v>
      </c>
      <c r="D779" s="7" t="str">
        <f>'Reported burning'!D779</f>
        <v>Crop field preparation</v>
      </c>
      <c r="E779" s="7" t="str">
        <f>'Reported burning'!E779</f>
        <v>Cropping, Swidden</v>
      </c>
      <c r="F779" s="7" t="str">
        <f>'Reported burning'!F779</f>
        <v>Secondary Vegetation</v>
      </c>
      <c r="G779" s="7" t="str">
        <f>'Reported burning'!G779</f>
        <v>ND</v>
      </c>
      <c r="H779" s="7" t="str">
        <f>'Reported burning'!H779</f>
        <v>Presence</v>
      </c>
      <c r="I779" s="4"/>
      <c r="J779" s="22" t="s">
        <v>2308</v>
      </c>
      <c r="K779" s="110" t="s">
        <v>2394</v>
      </c>
      <c r="L779" s="22" t="s">
        <v>2308</v>
      </c>
      <c r="M779" s="110" t="s">
        <v>2394</v>
      </c>
      <c r="N779" s="22" t="s">
        <v>2308</v>
      </c>
      <c r="O779" s="110" t="s">
        <v>2394</v>
      </c>
      <c r="P779" s="22" t="s">
        <v>2308</v>
      </c>
      <c r="Q779" s="110" t="s">
        <v>2394</v>
      </c>
      <c r="R779" s="22" t="s">
        <v>2308</v>
      </c>
      <c r="S779" s="22" t="s">
        <v>2308</v>
      </c>
      <c r="T779" s="22" t="s">
        <v>2308</v>
      </c>
      <c r="U779" s="22" t="s">
        <v>2308</v>
      </c>
      <c r="V779" s="22" t="s">
        <v>2308</v>
      </c>
      <c r="W779" s="110" t="s">
        <v>2434</v>
      </c>
      <c r="X779" s="22" t="s">
        <v>194</v>
      </c>
      <c r="Y779" s="22" t="s">
        <v>195</v>
      </c>
      <c r="Z779" s="80" t="s">
        <v>64</v>
      </c>
      <c r="AA779" s="5" t="s">
        <v>2549</v>
      </c>
      <c r="AB779" s="4"/>
    </row>
    <row r="780" spans="1:28">
      <c r="A780" s="7" t="str">
        <f>'Reported burning'!A780</f>
        <v>91b</v>
      </c>
      <c r="B780" s="7" t="str">
        <f>'Reported burning'!B780</f>
        <v>91b.1</v>
      </c>
      <c r="C780" s="7" t="str">
        <f>'Reported burning'!C780</f>
        <v>Human, deliberate</v>
      </c>
      <c r="D780" s="7" t="str">
        <f>'Reported burning'!D780</f>
        <v>Crop field preparation</v>
      </c>
      <c r="E780" s="7" t="str">
        <f>'Reported burning'!E780</f>
        <v>Cropping, Swidden</v>
      </c>
      <c r="F780" s="7" t="str">
        <f>'Reported burning'!F780</f>
        <v>Secondary Vegetation</v>
      </c>
      <c r="G780" s="7" t="str">
        <f>'Reported burning'!G780</f>
        <v>ND</v>
      </c>
      <c r="H780" s="7" t="str">
        <f>'Reported burning'!H780</f>
        <v>Presence</v>
      </c>
      <c r="I780" s="4"/>
      <c r="J780" s="22" t="s">
        <v>2308</v>
      </c>
      <c r="K780" s="110" t="s">
        <v>2394</v>
      </c>
      <c r="L780" s="22" t="s">
        <v>2308</v>
      </c>
      <c r="M780" s="110" t="s">
        <v>2394</v>
      </c>
      <c r="N780" s="22" t="s">
        <v>2308</v>
      </c>
      <c r="O780" s="110" t="s">
        <v>2394</v>
      </c>
      <c r="P780" s="22" t="s">
        <v>2308</v>
      </c>
      <c r="Q780" s="110" t="s">
        <v>2394</v>
      </c>
      <c r="R780" s="22" t="s">
        <v>2308</v>
      </c>
      <c r="S780" s="22" t="s">
        <v>2308</v>
      </c>
      <c r="T780" s="22" t="s">
        <v>2308</v>
      </c>
      <c r="U780" s="22" t="s">
        <v>2308</v>
      </c>
      <c r="V780" s="22" t="s">
        <v>2308</v>
      </c>
      <c r="W780" s="110" t="s">
        <v>2434</v>
      </c>
      <c r="X780" s="22" t="s">
        <v>194</v>
      </c>
      <c r="Y780" s="22" t="s">
        <v>195</v>
      </c>
      <c r="Z780" s="80" t="s">
        <v>64</v>
      </c>
      <c r="AA780" s="5" t="s">
        <v>2549</v>
      </c>
      <c r="AB780" s="4"/>
    </row>
    <row r="781" spans="1:28">
      <c r="A781" s="7" t="str">
        <f>'Reported burning'!A781</f>
        <v>91c</v>
      </c>
      <c r="B781" s="7" t="str">
        <f>'Reported burning'!B781</f>
        <v>91c.1</v>
      </c>
      <c r="C781" s="7" t="str">
        <f>'Reported burning'!C781</f>
        <v>Human, deliberate</v>
      </c>
      <c r="D781" s="7" t="str">
        <f>'Reported burning'!D781</f>
        <v>Crop field preparation</v>
      </c>
      <c r="E781" s="7" t="str">
        <f>'Reported burning'!E781</f>
        <v>Cropping, Swidden</v>
      </c>
      <c r="F781" s="7" t="str">
        <f>'Reported burning'!F781</f>
        <v>Secondary Vegetation</v>
      </c>
      <c r="G781" s="7" t="str">
        <f>'Reported burning'!G781</f>
        <v>ND</v>
      </c>
      <c r="H781" s="7" t="str">
        <f>'Reported burning'!H781</f>
        <v>Presence</v>
      </c>
      <c r="I781" s="4"/>
      <c r="J781" s="22" t="s">
        <v>2308</v>
      </c>
      <c r="K781" s="110" t="s">
        <v>2394</v>
      </c>
      <c r="L781" s="22" t="s">
        <v>2308</v>
      </c>
      <c r="M781" s="110" t="s">
        <v>2394</v>
      </c>
      <c r="N781" s="22" t="s">
        <v>2308</v>
      </c>
      <c r="O781" s="110" t="s">
        <v>2394</v>
      </c>
      <c r="P781" s="22" t="s">
        <v>2308</v>
      </c>
      <c r="Q781" s="110" t="s">
        <v>2394</v>
      </c>
      <c r="R781" s="22" t="s">
        <v>2308</v>
      </c>
      <c r="S781" s="22" t="s">
        <v>2308</v>
      </c>
      <c r="T781" s="22" t="s">
        <v>2308</v>
      </c>
      <c r="U781" s="22" t="s">
        <v>2308</v>
      </c>
      <c r="V781" s="22" t="s">
        <v>2308</v>
      </c>
      <c r="W781" s="110" t="s">
        <v>2434</v>
      </c>
      <c r="X781" s="22" t="s">
        <v>194</v>
      </c>
      <c r="Y781" s="22" t="s">
        <v>195</v>
      </c>
      <c r="Z781" s="80" t="s">
        <v>64</v>
      </c>
      <c r="AA781" s="5" t="s">
        <v>2549</v>
      </c>
      <c r="AB781" s="4"/>
    </row>
    <row r="782" spans="1:28">
      <c r="A782" s="7" t="str">
        <f>'Reported burning'!A782</f>
        <v>91d</v>
      </c>
      <c r="B782" s="7" t="str">
        <f>'Reported burning'!B782</f>
        <v>91d.1</v>
      </c>
      <c r="C782" s="7" t="str">
        <f>'Reported burning'!C782</f>
        <v>Human, deliberate</v>
      </c>
      <c r="D782" s="7" t="str">
        <f>'Reported burning'!D782</f>
        <v>Crop field preparation</v>
      </c>
      <c r="E782" s="7" t="str">
        <f>'Reported burning'!E782</f>
        <v>Cropping, Swidden</v>
      </c>
      <c r="F782" s="7" t="str">
        <f>'Reported burning'!F782</f>
        <v>Secondary Vegetation</v>
      </c>
      <c r="G782" s="7" t="str">
        <f>'Reported burning'!G782</f>
        <v>ND</v>
      </c>
      <c r="H782" s="7" t="str">
        <f>'Reported burning'!H782</f>
        <v>Presence</v>
      </c>
      <c r="I782" s="4"/>
      <c r="J782" s="22" t="s">
        <v>2308</v>
      </c>
      <c r="K782" s="110" t="s">
        <v>2394</v>
      </c>
      <c r="L782" s="22" t="s">
        <v>2308</v>
      </c>
      <c r="M782" s="110" t="s">
        <v>2394</v>
      </c>
      <c r="N782" s="22" t="s">
        <v>2308</v>
      </c>
      <c r="O782" s="110" t="s">
        <v>2394</v>
      </c>
      <c r="P782" s="22" t="s">
        <v>2308</v>
      </c>
      <c r="Q782" s="110" t="s">
        <v>2394</v>
      </c>
      <c r="R782" s="22" t="s">
        <v>2308</v>
      </c>
      <c r="S782" s="22" t="s">
        <v>2308</v>
      </c>
      <c r="T782" s="22" t="s">
        <v>2308</v>
      </c>
      <c r="U782" s="22" t="s">
        <v>2308</v>
      </c>
      <c r="V782" s="22" t="s">
        <v>2308</v>
      </c>
      <c r="W782" s="110" t="s">
        <v>2434</v>
      </c>
      <c r="X782" s="22" t="s">
        <v>194</v>
      </c>
      <c r="Y782" s="22" t="s">
        <v>195</v>
      </c>
      <c r="Z782" s="80" t="s">
        <v>64</v>
      </c>
      <c r="AA782" s="5" t="s">
        <v>2549</v>
      </c>
      <c r="AB782" s="4"/>
    </row>
    <row r="783" spans="1:28">
      <c r="A783" s="7" t="str">
        <f>'Reported burning'!A783</f>
        <v>91e</v>
      </c>
      <c r="B783" s="7" t="str">
        <f>'Reported burning'!B783</f>
        <v>91e.1</v>
      </c>
      <c r="C783" s="7" t="str">
        <f>'Reported burning'!C783</f>
        <v>Human, deliberate</v>
      </c>
      <c r="D783" s="7" t="str">
        <f>'Reported burning'!D783</f>
        <v>Crop field preparation</v>
      </c>
      <c r="E783" s="7" t="str">
        <f>'Reported burning'!E783</f>
        <v>Cropping, Swidden</v>
      </c>
      <c r="F783" s="7" t="str">
        <f>'Reported burning'!F783</f>
        <v>Secondary Vegetation</v>
      </c>
      <c r="G783" s="7" t="str">
        <f>'Reported burning'!G783</f>
        <v>ND</v>
      </c>
      <c r="H783" s="7" t="str">
        <f>'Reported burning'!H783</f>
        <v>Presence</v>
      </c>
      <c r="I783" s="4"/>
      <c r="J783" s="22" t="s">
        <v>2308</v>
      </c>
      <c r="K783" s="110" t="s">
        <v>2394</v>
      </c>
      <c r="L783" s="22" t="s">
        <v>2308</v>
      </c>
      <c r="M783" s="110" t="s">
        <v>2394</v>
      </c>
      <c r="N783" s="22" t="s">
        <v>2308</v>
      </c>
      <c r="O783" s="110" t="s">
        <v>2394</v>
      </c>
      <c r="P783" s="22" t="s">
        <v>2308</v>
      </c>
      <c r="Q783" s="110" t="s">
        <v>2394</v>
      </c>
      <c r="R783" s="22" t="s">
        <v>2308</v>
      </c>
      <c r="S783" s="22" t="s">
        <v>2308</v>
      </c>
      <c r="T783" s="22" t="s">
        <v>2308</v>
      </c>
      <c r="U783" s="22" t="s">
        <v>2308</v>
      </c>
      <c r="V783" s="22" t="s">
        <v>2308</v>
      </c>
      <c r="W783" s="110" t="s">
        <v>2434</v>
      </c>
      <c r="X783" s="22" t="s">
        <v>194</v>
      </c>
      <c r="Y783" s="22" t="s">
        <v>195</v>
      </c>
      <c r="Z783" s="80" t="s">
        <v>64</v>
      </c>
      <c r="AA783" s="5" t="s">
        <v>2549</v>
      </c>
      <c r="AB783" s="4"/>
    </row>
    <row r="784" spans="1:28">
      <c r="A784" s="7" t="str">
        <f>'Reported burning'!A784</f>
        <v>91f</v>
      </c>
      <c r="B784" s="7" t="str">
        <f>'Reported burning'!B784</f>
        <v>91f.1</v>
      </c>
      <c r="C784" s="7" t="str">
        <f>'Reported burning'!C784</f>
        <v>Human, deliberate</v>
      </c>
      <c r="D784" s="7" t="str">
        <f>'Reported burning'!D784</f>
        <v>Crop field preparation</v>
      </c>
      <c r="E784" s="7" t="str">
        <f>'Reported burning'!E784</f>
        <v>Cropping, Swidden</v>
      </c>
      <c r="F784" s="7" t="str">
        <f>'Reported burning'!F784</f>
        <v>Secondary Vegetation</v>
      </c>
      <c r="G784" s="7" t="str">
        <f>'Reported burning'!G784</f>
        <v>ND</v>
      </c>
      <c r="H784" s="7" t="str">
        <f>'Reported burning'!H784</f>
        <v>Presence</v>
      </c>
      <c r="I784" s="4"/>
      <c r="J784" s="22" t="s">
        <v>2308</v>
      </c>
      <c r="K784" s="110" t="s">
        <v>2394</v>
      </c>
      <c r="L784" s="22" t="s">
        <v>2308</v>
      </c>
      <c r="M784" s="110" t="s">
        <v>2394</v>
      </c>
      <c r="N784" s="22" t="s">
        <v>2308</v>
      </c>
      <c r="O784" s="110" t="s">
        <v>2394</v>
      </c>
      <c r="P784" s="22" t="s">
        <v>2308</v>
      </c>
      <c r="Q784" s="110" t="s">
        <v>2394</v>
      </c>
      <c r="R784" s="22" t="s">
        <v>2308</v>
      </c>
      <c r="S784" s="22" t="s">
        <v>2308</v>
      </c>
      <c r="T784" s="22" t="s">
        <v>2308</v>
      </c>
      <c r="U784" s="22" t="s">
        <v>2308</v>
      </c>
      <c r="V784" s="22" t="s">
        <v>2308</v>
      </c>
      <c r="W784" s="110" t="s">
        <v>2434</v>
      </c>
      <c r="X784" s="22" t="s">
        <v>194</v>
      </c>
      <c r="Y784" s="22" t="s">
        <v>195</v>
      </c>
      <c r="Z784" s="80" t="s">
        <v>64</v>
      </c>
      <c r="AA784" s="5" t="s">
        <v>2549</v>
      </c>
      <c r="AB784" s="4"/>
    </row>
    <row r="785" spans="1:28">
      <c r="A785" s="7" t="str">
        <f>'Reported burning'!A785</f>
        <v>91g</v>
      </c>
      <c r="B785" s="7" t="str">
        <f>'Reported burning'!B785</f>
        <v>91g.1</v>
      </c>
      <c r="C785" s="7" t="str">
        <f>'Reported burning'!C785</f>
        <v>Human, deliberate</v>
      </c>
      <c r="D785" s="7" t="str">
        <f>'Reported burning'!D785</f>
        <v>Crop field preparation</v>
      </c>
      <c r="E785" s="7" t="str">
        <f>'Reported burning'!E785</f>
        <v>Cropping, Swidden</v>
      </c>
      <c r="F785" s="7" t="str">
        <f>'Reported burning'!F785</f>
        <v>Secondary Vegetation</v>
      </c>
      <c r="G785" s="7" t="str">
        <f>'Reported burning'!G785</f>
        <v>ND</v>
      </c>
      <c r="H785" s="7" t="str">
        <f>'Reported burning'!H785</f>
        <v>Presence</v>
      </c>
      <c r="I785" s="4"/>
      <c r="J785" s="22" t="s">
        <v>2308</v>
      </c>
      <c r="K785" s="110" t="s">
        <v>2394</v>
      </c>
      <c r="L785" s="22" t="s">
        <v>2308</v>
      </c>
      <c r="M785" s="110" t="s">
        <v>2394</v>
      </c>
      <c r="N785" s="22" t="s">
        <v>2308</v>
      </c>
      <c r="O785" s="110" t="s">
        <v>2394</v>
      </c>
      <c r="P785" s="22" t="s">
        <v>2308</v>
      </c>
      <c r="Q785" s="110" t="s">
        <v>2394</v>
      </c>
      <c r="R785" s="22" t="s">
        <v>2308</v>
      </c>
      <c r="S785" s="22" t="s">
        <v>2308</v>
      </c>
      <c r="T785" s="22" t="s">
        <v>2308</v>
      </c>
      <c r="U785" s="22" t="s">
        <v>2308</v>
      </c>
      <c r="V785" s="22" t="s">
        <v>2308</v>
      </c>
      <c r="W785" s="110" t="s">
        <v>2434</v>
      </c>
      <c r="X785" s="22" t="s">
        <v>194</v>
      </c>
      <c r="Y785" s="22" t="s">
        <v>195</v>
      </c>
      <c r="Z785" s="80" t="s">
        <v>64</v>
      </c>
      <c r="AA785" s="5" t="s">
        <v>2549</v>
      </c>
      <c r="AB785" s="4"/>
    </row>
    <row r="786" spans="1:28">
      <c r="A786" s="7" t="str">
        <f>'Reported burning'!A786</f>
        <v>91h</v>
      </c>
      <c r="B786" s="7" t="str">
        <f>'Reported burning'!B786</f>
        <v>91h.1</v>
      </c>
      <c r="C786" s="7" t="str">
        <f>'Reported burning'!C786</f>
        <v>Human, deliberate</v>
      </c>
      <c r="D786" s="7" t="str">
        <f>'Reported burning'!D786</f>
        <v>Crop field preparation</v>
      </c>
      <c r="E786" s="7" t="str">
        <f>'Reported burning'!E786</f>
        <v>Cropping, Swidden</v>
      </c>
      <c r="F786" s="7" t="str">
        <f>'Reported burning'!F786</f>
        <v>Secondary Vegetation</v>
      </c>
      <c r="G786" s="7" t="str">
        <f>'Reported burning'!G786</f>
        <v>ND</v>
      </c>
      <c r="H786" s="7" t="str">
        <f>'Reported burning'!H786</f>
        <v>Presence</v>
      </c>
      <c r="I786" s="4"/>
      <c r="J786" s="22" t="s">
        <v>2308</v>
      </c>
      <c r="K786" s="110" t="s">
        <v>2394</v>
      </c>
      <c r="L786" s="22" t="s">
        <v>2308</v>
      </c>
      <c r="M786" s="110" t="s">
        <v>2394</v>
      </c>
      <c r="N786" s="22" t="s">
        <v>2308</v>
      </c>
      <c r="O786" s="110" t="s">
        <v>2394</v>
      </c>
      <c r="P786" s="22" t="s">
        <v>2308</v>
      </c>
      <c r="Q786" s="110" t="s">
        <v>2394</v>
      </c>
      <c r="R786" s="22" t="s">
        <v>2308</v>
      </c>
      <c r="S786" s="22" t="s">
        <v>2308</v>
      </c>
      <c r="T786" s="22" t="s">
        <v>2308</v>
      </c>
      <c r="U786" s="22" t="s">
        <v>2308</v>
      </c>
      <c r="V786" s="22" t="s">
        <v>2308</v>
      </c>
      <c r="W786" s="110" t="s">
        <v>2434</v>
      </c>
      <c r="X786" s="22" t="s">
        <v>194</v>
      </c>
      <c r="Y786" s="22" t="s">
        <v>195</v>
      </c>
      <c r="Z786" s="80" t="s">
        <v>64</v>
      </c>
      <c r="AA786" s="5" t="s">
        <v>2549</v>
      </c>
      <c r="AB786" s="4"/>
    </row>
    <row r="787" spans="1:28">
      <c r="A787" s="7" t="str">
        <f>'Reported burning'!A787</f>
        <v>91i</v>
      </c>
      <c r="B787" s="7" t="str">
        <f>'Reported burning'!B787</f>
        <v>91i.1</v>
      </c>
      <c r="C787" s="7" t="str">
        <f>'Reported burning'!C787</f>
        <v>Human, deliberate</v>
      </c>
      <c r="D787" s="7" t="str">
        <f>'Reported burning'!D787</f>
        <v>Crop field preparation</v>
      </c>
      <c r="E787" s="7" t="str">
        <f>'Reported burning'!E787</f>
        <v>Cropping, Swidden</v>
      </c>
      <c r="F787" s="7" t="str">
        <f>'Reported burning'!F787</f>
        <v>Secondary Vegetation</v>
      </c>
      <c r="G787" s="7" t="str">
        <f>'Reported burning'!G787</f>
        <v>ND</v>
      </c>
      <c r="H787" s="7" t="str">
        <f>'Reported burning'!H787</f>
        <v>Presence</v>
      </c>
      <c r="I787" s="4"/>
      <c r="J787" s="22" t="s">
        <v>2308</v>
      </c>
      <c r="K787" s="110" t="s">
        <v>2394</v>
      </c>
      <c r="L787" s="22" t="s">
        <v>2308</v>
      </c>
      <c r="M787" s="110" t="s">
        <v>2394</v>
      </c>
      <c r="N787" s="22" t="s">
        <v>2308</v>
      </c>
      <c r="O787" s="110" t="s">
        <v>2394</v>
      </c>
      <c r="P787" s="22" t="s">
        <v>2308</v>
      </c>
      <c r="Q787" s="110" t="s">
        <v>2394</v>
      </c>
      <c r="R787" s="22" t="s">
        <v>2308</v>
      </c>
      <c r="S787" s="22" t="s">
        <v>2308</v>
      </c>
      <c r="T787" s="22" t="s">
        <v>2308</v>
      </c>
      <c r="U787" s="22" t="s">
        <v>2308</v>
      </c>
      <c r="V787" s="22" t="s">
        <v>2308</v>
      </c>
      <c r="W787" s="110" t="s">
        <v>2434</v>
      </c>
      <c r="X787" s="22" t="s">
        <v>194</v>
      </c>
      <c r="Y787" s="22" t="s">
        <v>195</v>
      </c>
      <c r="Z787" s="80" t="s">
        <v>64</v>
      </c>
      <c r="AA787" s="5" t="s">
        <v>2549</v>
      </c>
      <c r="AB787" s="4"/>
    </row>
    <row r="788" spans="1:28">
      <c r="A788" s="7" t="str">
        <f>'Reported burning'!A788</f>
        <v>91j</v>
      </c>
      <c r="B788" s="7" t="str">
        <f>'Reported burning'!B788</f>
        <v>91j.1</v>
      </c>
      <c r="C788" s="7" t="str">
        <f>'Reported burning'!C788</f>
        <v>Human, deliberate</v>
      </c>
      <c r="D788" s="7" t="str">
        <f>'Reported burning'!D788</f>
        <v>Crop field preparation</v>
      </c>
      <c r="E788" s="7" t="str">
        <f>'Reported burning'!E788</f>
        <v>Cropping, Swidden</v>
      </c>
      <c r="F788" s="7" t="str">
        <f>'Reported burning'!F788</f>
        <v>Secondary Vegetation</v>
      </c>
      <c r="G788" s="7" t="str">
        <f>'Reported burning'!G788</f>
        <v>ND</v>
      </c>
      <c r="H788" s="7" t="str">
        <f>'Reported burning'!H788</f>
        <v>Presence</v>
      </c>
      <c r="I788" s="4"/>
      <c r="J788" s="22" t="s">
        <v>2308</v>
      </c>
      <c r="K788" s="110" t="s">
        <v>2394</v>
      </c>
      <c r="L788" s="22" t="s">
        <v>2308</v>
      </c>
      <c r="M788" s="110" t="s">
        <v>2394</v>
      </c>
      <c r="N788" s="22" t="s">
        <v>2308</v>
      </c>
      <c r="O788" s="110" t="s">
        <v>2394</v>
      </c>
      <c r="P788" s="22" t="s">
        <v>2308</v>
      </c>
      <c r="Q788" s="110" t="s">
        <v>2394</v>
      </c>
      <c r="R788" s="22" t="s">
        <v>2308</v>
      </c>
      <c r="S788" s="22" t="s">
        <v>2308</v>
      </c>
      <c r="T788" s="22" t="s">
        <v>2308</v>
      </c>
      <c r="U788" s="22" t="s">
        <v>2308</v>
      </c>
      <c r="V788" s="22" t="s">
        <v>2308</v>
      </c>
      <c r="W788" s="110" t="s">
        <v>2434</v>
      </c>
      <c r="X788" s="22" t="s">
        <v>194</v>
      </c>
      <c r="Y788" s="22" t="s">
        <v>195</v>
      </c>
      <c r="Z788" s="80" t="s">
        <v>64</v>
      </c>
      <c r="AA788" s="5" t="s">
        <v>2549</v>
      </c>
      <c r="AB788" s="4"/>
    </row>
    <row r="789" spans="1:28">
      <c r="A789" s="7" t="str">
        <f>'Reported burning'!A789</f>
        <v>91k</v>
      </c>
      <c r="B789" s="7" t="str">
        <f>'Reported burning'!B789</f>
        <v>91k.1</v>
      </c>
      <c r="C789" s="7" t="str">
        <f>'Reported burning'!C789</f>
        <v>Human, deliberate</v>
      </c>
      <c r="D789" s="7" t="str">
        <f>'Reported burning'!D789</f>
        <v>Crop field preparation</v>
      </c>
      <c r="E789" s="7" t="str">
        <f>'Reported burning'!E789</f>
        <v>Cropping, Swidden</v>
      </c>
      <c r="F789" s="7" t="str">
        <f>'Reported burning'!F789</f>
        <v>Secondary Vegetation</v>
      </c>
      <c r="G789" s="7" t="str">
        <f>'Reported burning'!G789</f>
        <v>ND</v>
      </c>
      <c r="H789" s="7" t="str">
        <f>'Reported burning'!H789</f>
        <v>Presence</v>
      </c>
      <c r="I789" s="4"/>
      <c r="J789" s="22" t="s">
        <v>2308</v>
      </c>
      <c r="K789" s="110" t="s">
        <v>2394</v>
      </c>
      <c r="L789" s="22" t="s">
        <v>2308</v>
      </c>
      <c r="M789" s="110" t="s">
        <v>2394</v>
      </c>
      <c r="N789" s="22" t="s">
        <v>2308</v>
      </c>
      <c r="O789" s="110" t="s">
        <v>2394</v>
      </c>
      <c r="P789" s="22" t="s">
        <v>2308</v>
      </c>
      <c r="Q789" s="110" t="s">
        <v>2394</v>
      </c>
      <c r="R789" s="22" t="s">
        <v>2308</v>
      </c>
      <c r="S789" s="22" t="s">
        <v>2308</v>
      </c>
      <c r="T789" s="22" t="s">
        <v>2308</v>
      </c>
      <c r="U789" s="22" t="s">
        <v>2308</v>
      </c>
      <c r="V789" s="22" t="s">
        <v>2308</v>
      </c>
      <c r="W789" s="110" t="s">
        <v>2434</v>
      </c>
      <c r="X789" s="22" t="s">
        <v>194</v>
      </c>
      <c r="Y789" s="22" t="s">
        <v>195</v>
      </c>
      <c r="Z789" s="80" t="s">
        <v>64</v>
      </c>
      <c r="AA789" s="5" t="s">
        <v>2549</v>
      </c>
      <c r="AB789" s="4"/>
    </row>
    <row r="790" spans="1:28">
      <c r="A790" s="7" t="str">
        <f>'Reported burning'!A790</f>
        <v>91l</v>
      </c>
      <c r="B790" s="7" t="str">
        <f>'Reported burning'!B790</f>
        <v>91l.1</v>
      </c>
      <c r="C790" s="7" t="str">
        <f>'Reported burning'!C790</f>
        <v>Human, deliberate</v>
      </c>
      <c r="D790" s="7" t="str">
        <f>'Reported burning'!D790</f>
        <v>Crop field preparation</v>
      </c>
      <c r="E790" s="7" t="str">
        <f>'Reported burning'!E790</f>
        <v>Cropping, Swidden</v>
      </c>
      <c r="F790" s="7" t="str">
        <f>'Reported burning'!F790</f>
        <v>Secondary Vegetation</v>
      </c>
      <c r="G790" s="7" t="str">
        <f>'Reported burning'!G790</f>
        <v>ND</v>
      </c>
      <c r="H790" s="7" t="str">
        <f>'Reported burning'!H790</f>
        <v>Presence</v>
      </c>
      <c r="I790" s="4"/>
      <c r="J790" s="22" t="s">
        <v>2308</v>
      </c>
      <c r="K790" s="110" t="s">
        <v>2394</v>
      </c>
      <c r="L790" s="22" t="s">
        <v>2308</v>
      </c>
      <c r="M790" s="110" t="s">
        <v>2394</v>
      </c>
      <c r="N790" s="22" t="s">
        <v>2308</v>
      </c>
      <c r="O790" s="110" t="s">
        <v>2394</v>
      </c>
      <c r="P790" s="22" t="s">
        <v>2308</v>
      </c>
      <c r="Q790" s="110" t="s">
        <v>2394</v>
      </c>
      <c r="R790" s="22" t="s">
        <v>2308</v>
      </c>
      <c r="S790" s="22" t="s">
        <v>2308</v>
      </c>
      <c r="T790" s="22" t="s">
        <v>2308</v>
      </c>
      <c r="U790" s="22" t="s">
        <v>2308</v>
      </c>
      <c r="V790" s="22" t="s">
        <v>2308</v>
      </c>
      <c r="W790" s="110" t="s">
        <v>2434</v>
      </c>
      <c r="X790" s="22" t="s">
        <v>194</v>
      </c>
      <c r="Y790" s="22" t="s">
        <v>195</v>
      </c>
      <c r="Z790" s="80" t="s">
        <v>64</v>
      </c>
      <c r="AA790" s="5" t="s">
        <v>2549</v>
      </c>
      <c r="AB790" s="4"/>
    </row>
    <row r="791" spans="1:28">
      <c r="A791" s="7" t="str">
        <f>'Reported burning'!A791</f>
        <v>91m</v>
      </c>
      <c r="B791" s="7" t="str">
        <f>'Reported burning'!B791</f>
        <v>91m.1</v>
      </c>
      <c r="C791" s="7" t="str">
        <f>'Reported burning'!C791</f>
        <v>Human, deliberate</v>
      </c>
      <c r="D791" s="7" t="str">
        <f>'Reported burning'!D791</f>
        <v>Crop field preparation</v>
      </c>
      <c r="E791" s="7" t="str">
        <f>'Reported burning'!E791</f>
        <v>Cropping, Swidden</v>
      </c>
      <c r="F791" s="7" t="str">
        <f>'Reported burning'!F791</f>
        <v>Secondary Vegetation</v>
      </c>
      <c r="G791" s="7" t="str">
        <f>'Reported burning'!G791</f>
        <v>ND</v>
      </c>
      <c r="H791" s="7" t="str">
        <f>'Reported burning'!H791</f>
        <v>Presence</v>
      </c>
      <c r="I791" s="4"/>
      <c r="J791" s="22" t="s">
        <v>2308</v>
      </c>
      <c r="K791" s="110" t="s">
        <v>2394</v>
      </c>
      <c r="L791" s="22" t="s">
        <v>2308</v>
      </c>
      <c r="M791" s="110" t="s">
        <v>2394</v>
      </c>
      <c r="N791" s="22" t="s">
        <v>2308</v>
      </c>
      <c r="O791" s="110" t="s">
        <v>2394</v>
      </c>
      <c r="P791" s="22" t="s">
        <v>2308</v>
      </c>
      <c r="Q791" s="110" t="s">
        <v>2394</v>
      </c>
      <c r="R791" s="22" t="s">
        <v>2308</v>
      </c>
      <c r="S791" s="22" t="s">
        <v>2308</v>
      </c>
      <c r="T791" s="22" t="s">
        <v>2308</v>
      </c>
      <c r="U791" s="22" t="s">
        <v>2308</v>
      </c>
      <c r="V791" s="22" t="s">
        <v>2308</v>
      </c>
      <c r="W791" s="110" t="s">
        <v>2434</v>
      </c>
      <c r="X791" s="22" t="s">
        <v>194</v>
      </c>
      <c r="Y791" s="22" t="s">
        <v>195</v>
      </c>
      <c r="Z791" s="80" t="s">
        <v>64</v>
      </c>
      <c r="AA791" s="5" t="s">
        <v>2549</v>
      </c>
      <c r="AB791" s="4"/>
    </row>
    <row r="792" spans="1:28">
      <c r="A792" s="7" t="str">
        <f>'Reported burning'!A792</f>
        <v>91n</v>
      </c>
      <c r="B792" s="7" t="str">
        <f>'Reported burning'!B792</f>
        <v>91n.1</v>
      </c>
      <c r="C792" s="7" t="str">
        <f>'Reported burning'!C792</f>
        <v>Human, deliberate</v>
      </c>
      <c r="D792" s="7" t="str">
        <f>'Reported burning'!D792</f>
        <v>Crop field preparation</v>
      </c>
      <c r="E792" s="7" t="str">
        <f>'Reported burning'!E792</f>
        <v>Cropping, Swidden</v>
      </c>
      <c r="F792" s="7" t="str">
        <f>'Reported burning'!F792</f>
        <v>Secondary Vegetation</v>
      </c>
      <c r="G792" s="7" t="str">
        <f>'Reported burning'!G792</f>
        <v>ND</v>
      </c>
      <c r="H792" s="7" t="str">
        <f>'Reported burning'!H792</f>
        <v>Presence</v>
      </c>
      <c r="I792" s="4"/>
      <c r="J792" s="22" t="s">
        <v>2308</v>
      </c>
      <c r="K792" s="110" t="s">
        <v>2394</v>
      </c>
      <c r="L792" s="22" t="s">
        <v>2308</v>
      </c>
      <c r="M792" s="110" t="s">
        <v>2394</v>
      </c>
      <c r="N792" s="22" t="s">
        <v>2308</v>
      </c>
      <c r="O792" s="110" t="s">
        <v>2394</v>
      </c>
      <c r="P792" s="22" t="s">
        <v>2308</v>
      </c>
      <c r="Q792" s="110" t="s">
        <v>2394</v>
      </c>
      <c r="R792" s="22" t="s">
        <v>2308</v>
      </c>
      <c r="S792" s="22" t="s">
        <v>2308</v>
      </c>
      <c r="T792" s="22" t="s">
        <v>2308</v>
      </c>
      <c r="U792" s="22" t="s">
        <v>2308</v>
      </c>
      <c r="V792" s="22" t="s">
        <v>2308</v>
      </c>
      <c r="W792" s="110" t="s">
        <v>2434</v>
      </c>
      <c r="X792" s="22" t="s">
        <v>194</v>
      </c>
      <c r="Y792" s="22" t="s">
        <v>195</v>
      </c>
      <c r="Z792" s="80" t="s">
        <v>64</v>
      </c>
      <c r="AA792" s="5" t="s">
        <v>2549</v>
      </c>
      <c r="AB792" s="4"/>
    </row>
    <row r="793" spans="1:28">
      <c r="A793" s="7" t="str">
        <f>'Reported burning'!A793</f>
        <v>91o</v>
      </c>
      <c r="B793" s="7" t="str">
        <f>'Reported burning'!B793</f>
        <v>91o.1</v>
      </c>
      <c r="C793" s="7" t="str">
        <f>'Reported burning'!C793</f>
        <v>Human, deliberate</v>
      </c>
      <c r="D793" s="7" t="str">
        <f>'Reported burning'!D793</f>
        <v>Crop field preparation</v>
      </c>
      <c r="E793" s="7" t="str">
        <f>'Reported burning'!E793</f>
        <v>Cropping, Swidden</v>
      </c>
      <c r="F793" s="7" t="str">
        <f>'Reported burning'!F793</f>
        <v>Secondary Vegetation</v>
      </c>
      <c r="G793" s="7" t="str">
        <f>'Reported burning'!G793</f>
        <v>ND</v>
      </c>
      <c r="H793" s="7" t="str">
        <f>'Reported burning'!H793</f>
        <v>Presence</v>
      </c>
      <c r="I793" s="4"/>
      <c r="J793" s="22" t="s">
        <v>2308</v>
      </c>
      <c r="K793" s="110" t="s">
        <v>2394</v>
      </c>
      <c r="L793" s="22" t="s">
        <v>2308</v>
      </c>
      <c r="M793" s="110" t="s">
        <v>2394</v>
      </c>
      <c r="N793" s="22" t="s">
        <v>2308</v>
      </c>
      <c r="O793" s="110" t="s">
        <v>2394</v>
      </c>
      <c r="P793" s="22" t="s">
        <v>2308</v>
      </c>
      <c r="Q793" s="110" t="s">
        <v>2394</v>
      </c>
      <c r="R793" s="22" t="s">
        <v>2308</v>
      </c>
      <c r="S793" s="22" t="s">
        <v>2308</v>
      </c>
      <c r="T793" s="22" t="s">
        <v>2308</v>
      </c>
      <c r="U793" s="22" t="s">
        <v>2308</v>
      </c>
      <c r="V793" s="22" t="s">
        <v>2308</v>
      </c>
      <c r="W793" s="110" t="s">
        <v>2434</v>
      </c>
      <c r="X793" s="22" t="s">
        <v>194</v>
      </c>
      <c r="Y793" s="22" t="s">
        <v>195</v>
      </c>
      <c r="Z793" s="80" t="s">
        <v>64</v>
      </c>
      <c r="AA793" s="5" t="s">
        <v>2549</v>
      </c>
      <c r="AB793" s="4"/>
    </row>
    <row r="794" spans="1:28">
      <c r="A794" s="7" t="str">
        <f>'Reported burning'!A794</f>
        <v>91p</v>
      </c>
      <c r="B794" s="7" t="str">
        <f>'Reported burning'!B794</f>
        <v>91p.1</v>
      </c>
      <c r="C794" s="7" t="str">
        <f>'Reported burning'!C794</f>
        <v>Human, deliberate</v>
      </c>
      <c r="D794" s="7" t="str">
        <f>'Reported burning'!D794</f>
        <v>Crop field preparation</v>
      </c>
      <c r="E794" s="7" t="str">
        <f>'Reported burning'!E794</f>
        <v>Cropping, Swidden</v>
      </c>
      <c r="F794" s="7" t="str">
        <f>'Reported burning'!F794</f>
        <v>Secondary Vegetation</v>
      </c>
      <c r="G794" s="7" t="str">
        <f>'Reported burning'!G794</f>
        <v>ND</v>
      </c>
      <c r="H794" s="7" t="str">
        <f>'Reported burning'!H794</f>
        <v>Presence</v>
      </c>
      <c r="I794" s="4"/>
      <c r="J794" s="22" t="s">
        <v>2308</v>
      </c>
      <c r="K794" s="110" t="s">
        <v>2394</v>
      </c>
      <c r="L794" s="22" t="s">
        <v>2308</v>
      </c>
      <c r="M794" s="110" t="s">
        <v>2394</v>
      </c>
      <c r="N794" s="22" t="s">
        <v>2308</v>
      </c>
      <c r="O794" s="110" t="s">
        <v>2394</v>
      </c>
      <c r="P794" s="22" t="s">
        <v>2308</v>
      </c>
      <c r="Q794" s="110" t="s">
        <v>2394</v>
      </c>
      <c r="R794" s="22" t="s">
        <v>2308</v>
      </c>
      <c r="S794" s="22" t="s">
        <v>2308</v>
      </c>
      <c r="T794" s="22" t="s">
        <v>2308</v>
      </c>
      <c r="U794" s="22" t="s">
        <v>2308</v>
      </c>
      <c r="V794" s="22" t="s">
        <v>2308</v>
      </c>
      <c r="W794" s="110" t="s">
        <v>2434</v>
      </c>
      <c r="X794" s="22" t="s">
        <v>194</v>
      </c>
      <c r="Y794" s="22" t="s">
        <v>195</v>
      </c>
      <c r="Z794" s="80" t="s">
        <v>64</v>
      </c>
      <c r="AA794" s="5" t="s">
        <v>2549</v>
      </c>
      <c r="AB794" s="4"/>
    </row>
    <row r="795" spans="1:28" ht="69" customHeight="1">
      <c r="A795" s="7" t="str">
        <f>'Reported burning'!A795</f>
        <v>92a</v>
      </c>
      <c r="B795" s="7" t="str">
        <f>'Reported burning'!B795</f>
        <v>92a.1</v>
      </c>
      <c r="C795" s="7" t="str">
        <f>'Reported burning'!C795</f>
        <v>Human, deliberate</v>
      </c>
      <c r="D795" s="7" t="str">
        <f>'Reported burning'!D795</f>
        <v>Crop field preparation</v>
      </c>
      <c r="E795" s="7" t="str">
        <f>'Reported burning'!E795</f>
        <v>Cropping, Swidden</v>
      </c>
      <c r="F795" s="7" t="str">
        <f>'Reported burning'!F795</f>
        <v>Secondary Vegetation</v>
      </c>
      <c r="G795" s="7" t="str">
        <f>'Reported burning'!G795</f>
        <v>ND</v>
      </c>
      <c r="H795" s="7" t="str">
        <f>'Reported burning'!H795</f>
        <v>Presence</v>
      </c>
      <c r="I795" s="4"/>
      <c r="J795" s="22" t="s">
        <v>2308</v>
      </c>
      <c r="K795" s="22" t="s">
        <v>2394</v>
      </c>
      <c r="L795" s="22" t="s">
        <v>2308</v>
      </c>
      <c r="M795" s="22" t="s">
        <v>2308</v>
      </c>
      <c r="N795" s="22" t="s">
        <v>2308</v>
      </c>
      <c r="O795" s="22" t="s">
        <v>2394</v>
      </c>
      <c r="P795" s="22" t="s">
        <v>2308</v>
      </c>
      <c r="Q795" s="22" t="s">
        <v>2308</v>
      </c>
      <c r="R795" s="22" t="s">
        <v>2308</v>
      </c>
      <c r="S795" s="22" t="s">
        <v>2308</v>
      </c>
      <c r="T795" s="22" t="s">
        <v>2308</v>
      </c>
      <c r="U795" s="22" t="s">
        <v>2308</v>
      </c>
      <c r="V795" s="110" t="s">
        <v>2406</v>
      </c>
      <c r="W795" s="110" t="s">
        <v>2435</v>
      </c>
      <c r="X795" s="22" t="s">
        <v>2308</v>
      </c>
      <c r="Y795" s="22" t="s">
        <v>2308</v>
      </c>
      <c r="Z795" s="22" t="s">
        <v>2308</v>
      </c>
      <c r="AA795" s="4"/>
      <c r="AB795" s="5" t="s">
        <v>2562</v>
      </c>
    </row>
    <row r="796" spans="1:28" ht="65" customHeight="1">
      <c r="A796" s="7" t="str">
        <f>'Reported burning'!A796</f>
        <v>92a</v>
      </c>
      <c r="B796" s="7" t="str">
        <f>'Reported burning'!B796</f>
        <v>92a.2</v>
      </c>
      <c r="C796" s="7" t="str">
        <f>'Reported burning'!C796</f>
        <v>Human, deliberate</v>
      </c>
      <c r="D796" s="7" t="str">
        <f>'Reported burning'!D796</f>
        <v>Crop field preparation</v>
      </c>
      <c r="E796" s="7" t="str">
        <f>'Reported burning'!E796</f>
        <v>Cropping, Swidden</v>
      </c>
      <c r="F796" s="7" t="str">
        <f>'Reported burning'!F796</f>
        <v>Forest</v>
      </c>
      <c r="G796" s="7" t="str">
        <f>'Reported burning'!G796</f>
        <v>ND</v>
      </c>
      <c r="H796" s="7" t="str">
        <f>'Reported burning'!H796</f>
        <v>Presence</v>
      </c>
      <c r="I796" s="4"/>
      <c r="J796" s="22" t="s">
        <v>2308</v>
      </c>
      <c r="K796" s="22" t="s">
        <v>2394</v>
      </c>
      <c r="L796" s="22" t="s">
        <v>2308</v>
      </c>
      <c r="M796" s="22" t="s">
        <v>2308</v>
      </c>
      <c r="N796" s="22" t="s">
        <v>2308</v>
      </c>
      <c r="O796" s="22" t="s">
        <v>2394</v>
      </c>
      <c r="P796" s="22" t="s">
        <v>2308</v>
      </c>
      <c r="Q796" s="22" t="s">
        <v>2308</v>
      </c>
      <c r="R796" s="22" t="s">
        <v>2308</v>
      </c>
      <c r="S796" s="22" t="s">
        <v>2308</v>
      </c>
      <c r="T796" s="22" t="s">
        <v>2308</v>
      </c>
      <c r="U796" s="22" t="s">
        <v>2308</v>
      </c>
      <c r="V796" s="110" t="s">
        <v>2560</v>
      </c>
      <c r="W796" s="110" t="s">
        <v>2308</v>
      </c>
      <c r="X796" s="22" t="s">
        <v>2308</v>
      </c>
      <c r="Y796" s="22" t="s">
        <v>2308</v>
      </c>
      <c r="Z796" s="22" t="s">
        <v>2308</v>
      </c>
      <c r="AA796" s="4"/>
      <c r="AB796" s="5" t="s">
        <v>2562</v>
      </c>
    </row>
    <row r="797" spans="1:28" ht="66" customHeight="1">
      <c r="A797" s="7" t="str">
        <f>'Reported burning'!A797</f>
        <v>92b</v>
      </c>
      <c r="B797" s="7" t="str">
        <f>'Reported burning'!B797</f>
        <v>92b.1</v>
      </c>
      <c r="C797" s="7" t="str">
        <f>'Reported burning'!C797</f>
        <v>Human, deliberate</v>
      </c>
      <c r="D797" s="7" t="str">
        <f>'Reported burning'!D797</f>
        <v>Crop field preparation</v>
      </c>
      <c r="E797" s="7" t="str">
        <f>'Reported burning'!E797</f>
        <v>Cropping, Swidden</v>
      </c>
      <c r="F797" s="7" t="str">
        <f>'Reported burning'!F797</f>
        <v>Secondary Vegetation</v>
      </c>
      <c r="G797" s="7" t="str">
        <f>'Reported burning'!G797</f>
        <v>ND</v>
      </c>
      <c r="H797" s="7" t="str">
        <f>'Reported burning'!H797</f>
        <v>Presence</v>
      </c>
      <c r="I797" s="4"/>
      <c r="J797" s="22" t="s">
        <v>2308</v>
      </c>
      <c r="K797" s="22" t="s">
        <v>2394</v>
      </c>
      <c r="L797" s="22" t="s">
        <v>2308</v>
      </c>
      <c r="M797" s="22" t="s">
        <v>2308</v>
      </c>
      <c r="N797" s="22" t="s">
        <v>2308</v>
      </c>
      <c r="O797" s="22" t="s">
        <v>2394</v>
      </c>
      <c r="P797" s="22" t="s">
        <v>2308</v>
      </c>
      <c r="Q797" s="22" t="s">
        <v>2308</v>
      </c>
      <c r="R797" s="22" t="s">
        <v>2308</v>
      </c>
      <c r="S797" s="22" t="s">
        <v>2308</v>
      </c>
      <c r="T797" s="22" t="s">
        <v>2308</v>
      </c>
      <c r="U797" s="22" t="s">
        <v>2308</v>
      </c>
      <c r="V797" s="110" t="s">
        <v>2406</v>
      </c>
      <c r="W797" s="110" t="s">
        <v>2435</v>
      </c>
      <c r="X797" s="22" t="s">
        <v>2308</v>
      </c>
      <c r="Y797" s="22" t="s">
        <v>2308</v>
      </c>
      <c r="Z797" s="22" t="s">
        <v>2308</v>
      </c>
      <c r="AA797" s="4"/>
      <c r="AB797" s="5" t="s">
        <v>2562</v>
      </c>
    </row>
    <row r="798" spans="1:28" ht="68.5" customHeight="1">
      <c r="A798" s="7" t="str">
        <f>'Reported burning'!A798</f>
        <v>92b</v>
      </c>
      <c r="B798" s="7" t="str">
        <f>'Reported burning'!B798</f>
        <v>92b.2</v>
      </c>
      <c r="C798" s="7" t="str">
        <f>'Reported burning'!C798</f>
        <v>Human, deliberate</v>
      </c>
      <c r="D798" s="7" t="str">
        <f>'Reported burning'!D798</f>
        <v>Crop field preparation</v>
      </c>
      <c r="E798" s="7" t="str">
        <f>'Reported burning'!E798</f>
        <v>Cropping, Swidden</v>
      </c>
      <c r="F798" s="7" t="str">
        <f>'Reported burning'!F798</f>
        <v>Forest</v>
      </c>
      <c r="G798" s="7" t="str">
        <f>'Reported burning'!G798</f>
        <v>ND</v>
      </c>
      <c r="H798" s="7" t="str">
        <f>'Reported burning'!H798</f>
        <v>Presence</v>
      </c>
      <c r="I798" s="4"/>
      <c r="J798" s="22" t="s">
        <v>2308</v>
      </c>
      <c r="K798" s="22" t="s">
        <v>2394</v>
      </c>
      <c r="L798" s="22" t="s">
        <v>2308</v>
      </c>
      <c r="M798" s="22" t="s">
        <v>2308</v>
      </c>
      <c r="N798" s="22" t="s">
        <v>2308</v>
      </c>
      <c r="O798" s="22" t="s">
        <v>2394</v>
      </c>
      <c r="P798" s="22" t="s">
        <v>2308</v>
      </c>
      <c r="Q798" s="22" t="s">
        <v>2308</v>
      </c>
      <c r="R798" s="22" t="s">
        <v>2308</v>
      </c>
      <c r="S798" s="22" t="s">
        <v>2308</v>
      </c>
      <c r="T798" s="22" t="s">
        <v>2308</v>
      </c>
      <c r="U798" s="22" t="s">
        <v>2308</v>
      </c>
      <c r="V798" s="110" t="s">
        <v>2560</v>
      </c>
      <c r="W798" s="110" t="s">
        <v>2308</v>
      </c>
      <c r="X798" s="22" t="s">
        <v>2308</v>
      </c>
      <c r="Y798" s="22" t="s">
        <v>2308</v>
      </c>
      <c r="Z798" s="22" t="s">
        <v>2308</v>
      </c>
      <c r="AA798" s="4"/>
      <c r="AB798" s="5" t="s">
        <v>2562</v>
      </c>
    </row>
    <row r="799" spans="1:28" ht="68.5" customHeight="1">
      <c r="A799" s="7" t="str">
        <f>'Reported burning'!A799</f>
        <v>92b</v>
      </c>
      <c r="B799" s="7" t="str">
        <f>'Reported burning'!B799</f>
        <v>92b.3</v>
      </c>
      <c r="C799" s="7" t="str">
        <f>'Reported burning'!C799</f>
        <v>Human, deliberate</v>
      </c>
      <c r="D799" s="7" t="str">
        <f>'Reported burning'!D799</f>
        <v>Crop field preparation</v>
      </c>
      <c r="E799" s="7" t="str">
        <f>'Reported burning'!E799</f>
        <v>Cropping, Intensive</v>
      </c>
      <c r="F799" s="7" t="str">
        <f>'Reported burning'!F799</f>
        <v>Forest</v>
      </c>
      <c r="G799" s="7" t="str">
        <f>'Reported burning'!G799</f>
        <v>ND</v>
      </c>
      <c r="H799" s="7" t="str">
        <f>'Reported burning'!H799</f>
        <v>Absence</v>
      </c>
      <c r="I799" s="13"/>
      <c r="J799" s="95">
        <v>0</v>
      </c>
      <c r="K799" s="95">
        <v>0</v>
      </c>
      <c r="L799" s="95">
        <v>0</v>
      </c>
      <c r="M799" s="95">
        <v>0</v>
      </c>
      <c r="N799" s="95">
        <v>0</v>
      </c>
      <c r="O799" s="95">
        <v>0</v>
      </c>
      <c r="P799" s="95">
        <v>0</v>
      </c>
      <c r="Q799" s="95">
        <v>0</v>
      </c>
      <c r="R799" s="95">
        <v>0</v>
      </c>
      <c r="S799" s="95">
        <v>0</v>
      </c>
      <c r="T799" s="95">
        <v>0</v>
      </c>
      <c r="U799" s="95">
        <v>0</v>
      </c>
      <c r="V799" s="95">
        <v>0</v>
      </c>
      <c r="W799" s="95">
        <v>0</v>
      </c>
      <c r="X799" s="95" t="s">
        <v>2308</v>
      </c>
      <c r="Y799" s="95" t="s">
        <v>2308</v>
      </c>
      <c r="Z799" s="95" t="s">
        <v>2308</v>
      </c>
      <c r="AA799" s="95"/>
      <c r="AB799" s="95"/>
    </row>
    <row r="800" spans="1:28" ht="68.5" customHeight="1">
      <c r="A800" s="7" t="str">
        <f>'Reported burning'!A800</f>
        <v>92b</v>
      </c>
      <c r="B800" s="7" t="str">
        <f>'Reported burning'!B800</f>
        <v>92b.4</v>
      </c>
      <c r="C800" s="7" t="str">
        <f>'Reported burning'!C800</f>
        <v>Human, deliberate</v>
      </c>
      <c r="D800" s="7" t="str">
        <f>'Reported burning'!D800</f>
        <v>Forest clearance</v>
      </c>
      <c r="E800" s="7" t="str">
        <f>'Reported burning'!E800</f>
        <v>Cropping, Intensive</v>
      </c>
      <c r="F800" s="7" t="str">
        <f>'Reported burning'!F800</f>
        <v>Forest</v>
      </c>
      <c r="G800" s="7" t="str">
        <f>'Reported burning'!G800</f>
        <v>ND</v>
      </c>
      <c r="H800" s="7" t="str">
        <f>'Reported burning'!H800</f>
        <v>Absence</v>
      </c>
      <c r="I800" s="13"/>
      <c r="J800" s="95">
        <v>0</v>
      </c>
      <c r="K800" s="95">
        <v>0</v>
      </c>
      <c r="L800" s="95">
        <v>0</v>
      </c>
      <c r="M800" s="95">
        <v>0</v>
      </c>
      <c r="N800" s="95">
        <v>0</v>
      </c>
      <c r="O800" s="95">
        <v>0</v>
      </c>
      <c r="P800" s="95">
        <v>0</v>
      </c>
      <c r="Q800" s="95">
        <v>0</v>
      </c>
      <c r="R800" s="95">
        <v>0</v>
      </c>
      <c r="S800" s="95">
        <v>0</v>
      </c>
      <c r="T800" s="95">
        <v>0</v>
      </c>
      <c r="U800" s="95">
        <v>0</v>
      </c>
      <c r="V800" s="95">
        <v>0</v>
      </c>
      <c r="W800" s="95">
        <v>0</v>
      </c>
      <c r="X800" s="95" t="s">
        <v>2308</v>
      </c>
      <c r="Y800" s="95" t="s">
        <v>2308</v>
      </c>
      <c r="Z800" s="95" t="s">
        <v>2308</v>
      </c>
      <c r="AA800" s="95"/>
      <c r="AB800" s="95"/>
    </row>
    <row r="801" spans="1:28" ht="72.5" customHeight="1">
      <c r="A801" s="7" t="str">
        <f>'Reported burning'!A801</f>
        <v>93a</v>
      </c>
      <c r="B801" s="7" t="str">
        <f>'Reported burning'!B801</f>
        <v>93a.1</v>
      </c>
      <c r="C801" s="7" t="str">
        <f>'Reported burning'!C801</f>
        <v>Human, deliberate</v>
      </c>
      <c r="D801" s="7" t="str">
        <f>'Reported burning'!D801</f>
        <v>Crop field preparation</v>
      </c>
      <c r="E801" s="7" t="str">
        <f>'Reported burning'!E801</f>
        <v>Cropping, Swidden</v>
      </c>
      <c r="F801" s="7" t="str">
        <f>'Reported burning'!F801</f>
        <v>Secondary Vegetation</v>
      </c>
      <c r="G801" s="7" t="str">
        <f>'Reported burning'!G801</f>
        <v>ND</v>
      </c>
      <c r="H801" s="7" t="str">
        <f>'Reported burning'!H801</f>
        <v>Presence</v>
      </c>
      <c r="I801" s="4"/>
      <c r="J801" s="22" t="s">
        <v>2308</v>
      </c>
      <c r="K801" s="22" t="s">
        <v>2308</v>
      </c>
      <c r="L801" s="22" t="s">
        <v>2308</v>
      </c>
      <c r="M801" s="22" t="s">
        <v>2308</v>
      </c>
      <c r="N801" s="22" t="s">
        <v>2308</v>
      </c>
      <c r="O801" s="22" t="s">
        <v>2308</v>
      </c>
      <c r="P801" s="110" t="s">
        <v>2407</v>
      </c>
      <c r="Q801" s="22" t="s">
        <v>2308</v>
      </c>
      <c r="R801" s="22" t="s">
        <v>2308</v>
      </c>
      <c r="S801" s="22" t="s">
        <v>2308</v>
      </c>
      <c r="T801" s="22" t="s">
        <v>2308</v>
      </c>
      <c r="U801" s="22" t="s">
        <v>2308</v>
      </c>
      <c r="V801" s="22" t="s">
        <v>2308</v>
      </c>
      <c r="W801" s="110" t="s">
        <v>2435</v>
      </c>
      <c r="X801" s="22" t="s">
        <v>34</v>
      </c>
      <c r="Y801" s="22" t="s">
        <v>412</v>
      </c>
      <c r="Z801" s="22" t="s">
        <v>76</v>
      </c>
      <c r="AA801" s="5" t="s">
        <v>2569</v>
      </c>
      <c r="AB801" s="5"/>
    </row>
    <row r="802" spans="1:28" ht="67.5" customHeight="1">
      <c r="A802" s="7" t="str">
        <f>'Reported burning'!A802</f>
        <v>93b</v>
      </c>
      <c r="B802" s="7" t="str">
        <f>'Reported burning'!B802</f>
        <v>93b.1</v>
      </c>
      <c r="C802" s="7" t="str">
        <f>'Reported burning'!C802</f>
        <v>Human, deliberate</v>
      </c>
      <c r="D802" s="7" t="str">
        <f>'Reported burning'!D802</f>
        <v>Crop field preparation</v>
      </c>
      <c r="E802" s="7" t="str">
        <f>'Reported burning'!E802</f>
        <v>Cropping, Swidden</v>
      </c>
      <c r="F802" s="7" t="str">
        <f>'Reported burning'!F802</f>
        <v>Forest</v>
      </c>
      <c r="G802" s="7" t="str">
        <f>'Reported burning'!G802</f>
        <v>ND</v>
      </c>
      <c r="H802" s="7" t="str">
        <f>'Reported burning'!H802</f>
        <v>Presence</v>
      </c>
      <c r="I802" s="4"/>
      <c r="J802" s="22" t="s">
        <v>2308</v>
      </c>
      <c r="K802" s="22" t="s">
        <v>2308</v>
      </c>
      <c r="L802" s="22" t="s">
        <v>2308</v>
      </c>
      <c r="M802" s="22" t="s">
        <v>2308</v>
      </c>
      <c r="N802" s="22" t="s">
        <v>2308</v>
      </c>
      <c r="O802" s="22" t="s">
        <v>2308</v>
      </c>
      <c r="P802" s="110" t="s">
        <v>2407</v>
      </c>
      <c r="Q802" s="22" t="s">
        <v>2308</v>
      </c>
      <c r="R802" s="22" t="s">
        <v>2308</v>
      </c>
      <c r="S802" s="22" t="s">
        <v>2308</v>
      </c>
      <c r="T802" s="22" t="s">
        <v>2308</v>
      </c>
      <c r="U802" s="22" t="s">
        <v>2308</v>
      </c>
      <c r="V802" s="110" t="s">
        <v>2560</v>
      </c>
      <c r="W802" s="110" t="s">
        <v>2308</v>
      </c>
      <c r="X802" s="22" t="s">
        <v>34</v>
      </c>
      <c r="Y802" s="22" t="s">
        <v>412</v>
      </c>
      <c r="Z802" s="22" t="s">
        <v>76</v>
      </c>
      <c r="AA802" s="5" t="s">
        <v>2569</v>
      </c>
      <c r="AB802" s="5" t="s">
        <v>2571</v>
      </c>
    </row>
    <row r="803" spans="1:28" ht="32.5" customHeight="1">
      <c r="A803" s="7" t="str">
        <f>'Reported burning'!A803</f>
        <v>94a</v>
      </c>
      <c r="B803" s="7" t="str">
        <f>'Reported burning'!B803</f>
        <v>94a.1</v>
      </c>
      <c r="C803" s="7" t="str">
        <f>'Reported burning'!C803</f>
        <v>Human, deliberate</v>
      </c>
      <c r="D803" s="7" t="str">
        <f>'Reported burning'!D803</f>
        <v>Crop field preparation</v>
      </c>
      <c r="E803" s="7" t="str">
        <f>'Reported burning'!E803</f>
        <v>Cropping, Swidden</v>
      </c>
      <c r="F803" s="7" t="str">
        <f>'Reported burning'!F803</f>
        <v>Forest</v>
      </c>
      <c r="G803" s="7" t="str">
        <f>'Reported burning'!G803</f>
        <v>ND</v>
      </c>
      <c r="H803" s="7" t="str">
        <f>'Reported burning'!H803</f>
        <v>Presence</v>
      </c>
      <c r="I803" s="4"/>
      <c r="J803" s="22" t="s">
        <v>2308</v>
      </c>
      <c r="K803" s="22" t="s">
        <v>2308</v>
      </c>
      <c r="L803" s="22" t="s">
        <v>2308</v>
      </c>
      <c r="M803" s="22" t="s">
        <v>2308</v>
      </c>
      <c r="N803" s="22" t="s">
        <v>2308</v>
      </c>
      <c r="O803" s="22" t="s">
        <v>2308</v>
      </c>
      <c r="P803" s="22" t="s">
        <v>2308</v>
      </c>
      <c r="Q803" s="22" t="s">
        <v>2308</v>
      </c>
      <c r="R803" s="22" t="s">
        <v>2308</v>
      </c>
      <c r="S803" s="22" t="s">
        <v>2308</v>
      </c>
      <c r="T803" s="22" t="s">
        <v>2308</v>
      </c>
      <c r="U803" s="22" t="s">
        <v>2308</v>
      </c>
      <c r="V803" s="22" t="s">
        <v>2308</v>
      </c>
      <c r="W803" s="22" t="s">
        <v>2308</v>
      </c>
      <c r="X803" s="22" t="s">
        <v>2308</v>
      </c>
      <c r="Y803" s="22" t="s">
        <v>2308</v>
      </c>
      <c r="Z803" s="22" t="s">
        <v>2308</v>
      </c>
      <c r="AA803" s="4"/>
      <c r="AB803" s="4"/>
    </row>
    <row r="804" spans="1:28" ht="31" customHeight="1">
      <c r="A804" s="7" t="str">
        <f>'Reported burning'!A804</f>
        <v>94a</v>
      </c>
      <c r="B804" s="7" t="str">
        <f>'Reported burning'!B804</f>
        <v>94a.2</v>
      </c>
      <c r="C804" s="7" t="str">
        <f>'Reported burning'!C804</f>
        <v>Human, deliberate</v>
      </c>
      <c r="D804" s="7" t="str">
        <f>'Reported burning'!D804</f>
        <v>Crop field preparation</v>
      </c>
      <c r="E804" s="7" t="str">
        <f>'Reported burning'!E804</f>
        <v>Cropping, Swidden</v>
      </c>
      <c r="F804" s="7" t="str">
        <f>'Reported burning'!F804</f>
        <v>Secondary Vegetation</v>
      </c>
      <c r="G804" s="7" t="str">
        <f>'Reported burning'!G804</f>
        <v>ND</v>
      </c>
      <c r="H804" s="7" t="str">
        <f>'Reported burning'!H804</f>
        <v>Presence</v>
      </c>
      <c r="I804" s="4"/>
      <c r="J804" s="22" t="s">
        <v>2308</v>
      </c>
      <c r="K804" s="22" t="s">
        <v>2308</v>
      </c>
      <c r="L804" s="22" t="s">
        <v>2308</v>
      </c>
      <c r="M804" s="22" t="s">
        <v>2308</v>
      </c>
      <c r="N804" s="22" t="s">
        <v>2308</v>
      </c>
      <c r="O804" s="22" t="s">
        <v>2308</v>
      </c>
      <c r="P804" s="22" t="s">
        <v>2308</v>
      </c>
      <c r="Q804" s="22" t="s">
        <v>2308</v>
      </c>
      <c r="R804" s="22" t="s">
        <v>2308</v>
      </c>
      <c r="S804" s="22" t="s">
        <v>2308</v>
      </c>
      <c r="T804" s="22" t="s">
        <v>2308</v>
      </c>
      <c r="U804" s="22" t="s">
        <v>2308</v>
      </c>
      <c r="V804" s="22" t="s">
        <v>2308</v>
      </c>
      <c r="W804" s="22" t="s">
        <v>2308</v>
      </c>
      <c r="X804" s="22" t="s">
        <v>2308</v>
      </c>
      <c r="Y804" s="22" t="s">
        <v>2308</v>
      </c>
      <c r="Z804" s="22" t="s">
        <v>2308</v>
      </c>
      <c r="AA804" s="4"/>
      <c r="AB804" s="4"/>
    </row>
    <row r="805" spans="1:28" ht="36" customHeight="1">
      <c r="A805" s="7" t="str">
        <f>'Reported burning'!A805</f>
        <v>95a</v>
      </c>
      <c r="B805" s="7" t="str">
        <f>'Reported burning'!B805</f>
        <v>95a.1</v>
      </c>
      <c r="C805" s="7" t="str">
        <f>'Reported burning'!C805</f>
        <v>Human, deliberate</v>
      </c>
      <c r="D805" s="7" t="str">
        <f>'Reported burning'!D805</f>
        <v>Crop field preparation</v>
      </c>
      <c r="E805" s="7" t="str">
        <f>'Reported burning'!E805</f>
        <v>Cropping, Swidden</v>
      </c>
      <c r="F805" s="7" t="str">
        <f>'Reported burning'!F805</f>
        <v>Secondary Vegetation</v>
      </c>
      <c r="G805" s="7" t="str">
        <f>'Reported burning'!G805</f>
        <v>ND</v>
      </c>
      <c r="H805" s="7" t="str">
        <f>'Reported burning'!H805</f>
        <v>Presence</v>
      </c>
      <c r="I805" s="4">
        <v>2002</v>
      </c>
      <c r="J805" s="22" t="s">
        <v>2308</v>
      </c>
      <c r="K805" s="22" t="s">
        <v>2308</v>
      </c>
      <c r="L805" s="22" t="s">
        <v>2308</v>
      </c>
      <c r="M805" s="22" t="s">
        <v>2308</v>
      </c>
      <c r="N805" s="22" t="s">
        <v>2308</v>
      </c>
      <c r="O805" s="22" t="s">
        <v>2308</v>
      </c>
      <c r="P805" s="22" t="s">
        <v>2308</v>
      </c>
      <c r="Q805" s="22" t="s">
        <v>2308</v>
      </c>
      <c r="R805" s="22" t="s">
        <v>2308</v>
      </c>
      <c r="S805" s="22" t="s">
        <v>2308</v>
      </c>
      <c r="T805" s="22" t="s">
        <v>2308</v>
      </c>
      <c r="U805" s="22" t="s">
        <v>2308</v>
      </c>
      <c r="V805" s="22" t="s">
        <v>2308</v>
      </c>
      <c r="W805" s="22" t="s">
        <v>2308</v>
      </c>
      <c r="X805" s="4" t="s">
        <v>194</v>
      </c>
      <c r="Y805" s="4" t="s">
        <v>194</v>
      </c>
      <c r="Z805" s="4" t="s">
        <v>64</v>
      </c>
      <c r="AA805" s="4"/>
      <c r="AB805" s="4"/>
    </row>
    <row r="806" spans="1:28" ht="103.5" customHeight="1">
      <c r="A806" s="7" t="str">
        <f>'Reported burning'!A806</f>
        <v>95a</v>
      </c>
      <c r="B806" s="7" t="str">
        <f>'Reported burning'!B806</f>
        <v>95a.2</v>
      </c>
      <c r="C806" s="7" t="str">
        <f>'Reported burning'!C806</f>
        <v>Human, deliberate</v>
      </c>
      <c r="D806" s="7" t="str">
        <f>'Reported burning'!D806</f>
        <v>Crop field preparation</v>
      </c>
      <c r="E806" s="7" t="str">
        <f>'Reported burning'!E806</f>
        <v>Cropping, Monoculture, Subsistence-oriented</v>
      </c>
      <c r="F806" s="7" t="str">
        <f>'Reported burning'!F806</f>
        <v>Cropland</v>
      </c>
      <c r="G806" s="7" t="str">
        <f>'Reported burning'!G806</f>
        <v>ND</v>
      </c>
      <c r="H806" s="7" t="str">
        <f>'Reported burning'!H806</f>
        <v>Presence</v>
      </c>
      <c r="I806" s="4">
        <v>2002</v>
      </c>
      <c r="J806" s="22" t="s">
        <v>2308</v>
      </c>
      <c r="K806" s="22" t="s">
        <v>2308</v>
      </c>
      <c r="L806" s="22" t="s">
        <v>2308</v>
      </c>
      <c r="M806" s="22" t="s">
        <v>2308</v>
      </c>
      <c r="N806" s="22" t="s">
        <v>2308</v>
      </c>
      <c r="O806" s="22" t="s">
        <v>2308</v>
      </c>
      <c r="P806" s="22" t="s">
        <v>2308</v>
      </c>
      <c r="Q806" s="22" t="s">
        <v>2308</v>
      </c>
      <c r="R806" s="22" t="s">
        <v>2308</v>
      </c>
      <c r="S806" s="22" t="s">
        <v>2308</v>
      </c>
      <c r="T806" s="22" t="s">
        <v>2308</v>
      </c>
      <c r="U806" s="22" t="s">
        <v>2308</v>
      </c>
      <c r="V806" s="22" t="s">
        <v>2308</v>
      </c>
      <c r="W806" s="110" t="s">
        <v>2407</v>
      </c>
      <c r="X806" s="4" t="s">
        <v>406</v>
      </c>
      <c r="Y806" s="4" t="s">
        <v>406</v>
      </c>
      <c r="Z806" s="4" t="s">
        <v>76</v>
      </c>
      <c r="AA806" s="5" t="s">
        <v>2605</v>
      </c>
      <c r="AB806" s="5" t="s">
        <v>2606</v>
      </c>
    </row>
    <row r="807" spans="1:28">
      <c r="A807" s="7" t="str">
        <f>'Reported burning'!A807</f>
        <v>95b</v>
      </c>
      <c r="B807" s="7" t="str">
        <f>'Reported burning'!B807</f>
        <v>95b.1</v>
      </c>
      <c r="C807" s="7" t="str">
        <f>'Reported burning'!C807</f>
        <v>Human, deliberate</v>
      </c>
      <c r="D807" s="7" t="str">
        <f>'Reported burning'!D807</f>
        <v>Crop field preparation</v>
      </c>
      <c r="E807" s="7" t="str">
        <f>'Reported burning'!E807</f>
        <v>Cropping, Swidden</v>
      </c>
      <c r="F807" s="7" t="str">
        <f>'Reported burning'!F807</f>
        <v>Secondary Vegetation</v>
      </c>
      <c r="G807" s="7" t="str">
        <f>'Reported burning'!G807</f>
        <v>ND</v>
      </c>
      <c r="H807" s="7" t="str">
        <f>'Reported burning'!H807</f>
        <v>Presence</v>
      </c>
      <c r="I807" s="4">
        <v>1997</v>
      </c>
      <c r="J807" s="22" t="s">
        <v>2308</v>
      </c>
      <c r="K807" s="22" t="s">
        <v>2308</v>
      </c>
      <c r="L807" s="22" t="s">
        <v>2308</v>
      </c>
      <c r="M807" s="22" t="s">
        <v>2308</v>
      </c>
      <c r="N807" s="22" t="s">
        <v>2308</v>
      </c>
      <c r="O807" s="22" t="s">
        <v>2308</v>
      </c>
      <c r="P807" s="22" t="s">
        <v>2308</v>
      </c>
      <c r="Q807" s="22" t="s">
        <v>2308</v>
      </c>
      <c r="R807" s="22" t="s">
        <v>2308</v>
      </c>
      <c r="S807" s="22" t="s">
        <v>2308</v>
      </c>
      <c r="T807" s="22" t="s">
        <v>2308</v>
      </c>
      <c r="U807" s="22" t="s">
        <v>2308</v>
      </c>
      <c r="V807" s="22" t="s">
        <v>2308</v>
      </c>
      <c r="W807" s="110" t="s">
        <v>2434</v>
      </c>
      <c r="X807" s="4" t="s">
        <v>194</v>
      </c>
      <c r="Y807" s="4" t="s">
        <v>194</v>
      </c>
      <c r="Z807" s="4" t="s">
        <v>64</v>
      </c>
      <c r="AA807" s="4"/>
      <c r="AB807" s="4"/>
    </row>
    <row r="808" spans="1:28">
      <c r="A808" s="7" t="str">
        <f>'Reported burning'!A808</f>
        <v>95b</v>
      </c>
      <c r="B808" s="7" t="str">
        <f>'Reported burning'!B808</f>
        <v>95b.2</v>
      </c>
      <c r="C808" s="7" t="str">
        <f>'Reported burning'!C808</f>
        <v>Human, deliberate</v>
      </c>
      <c r="D808" s="7" t="str">
        <f>'Reported burning'!D808</f>
        <v>Crop field preparation</v>
      </c>
      <c r="E808" s="7" t="str">
        <f>'Reported burning'!E808</f>
        <v>Cropping, Swidden</v>
      </c>
      <c r="F808" s="7" t="str">
        <f>'Reported burning'!F808</f>
        <v>Secondary Vegetation</v>
      </c>
      <c r="G808" s="7" t="str">
        <f>'Reported burning'!G808</f>
        <v>ND</v>
      </c>
      <c r="H808" s="7" t="str">
        <f>'Reported burning'!H808</f>
        <v>Presence</v>
      </c>
      <c r="I808" s="4">
        <v>1992</v>
      </c>
      <c r="J808" s="22" t="s">
        <v>2308</v>
      </c>
      <c r="K808" s="22" t="s">
        <v>2308</v>
      </c>
      <c r="L808" s="22" t="s">
        <v>2308</v>
      </c>
      <c r="M808" s="22" t="s">
        <v>2308</v>
      </c>
      <c r="N808" s="22" t="s">
        <v>2308</v>
      </c>
      <c r="O808" s="22" t="s">
        <v>2308</v>
      </c>
      <c r="P808" s="22" t="s">
        <v>2308</v>
      </c>
      <c r="Q808" s="22" t="s">
        <v>2308</v>
      </c>
      <c r="R808" s="22" t="s">
        <v>2308</v>
      </c>
      <c r="S808" s="22" t="s">
        <v>2308</v>
      </c>
      <c r="T808" s="22" t="s">
        <v>2308</v>
      </c>
      <c r="U808" s="22" t="s">
        <v>2308</v>
      </c>
      <c r="V808" s="22" t="s">
        <v>2308</v>
      </c>
      <c r="W808" s="110" t="s">
        <v>2435</v>
      </c>
      <c r="X808" s="4" t="s">
        <v>194</v>
      </c>
      <c r="Y808" s="4" t="s">
        <v>194</v>
      </c>
      <c r="Z808" s="4" t="s">
        <v>64</v>
      </c>
      <c r="AA808" s="4"/>
      <c r="AB808" s="4"/>
    </row>
    <row r="809" spans="1:28">
      <c r="A809" s="7" t="str">
        <f>'Reported burning'!A809</f>
        <v>95b</v>
      </c>
      <c r="B809" s="7" t="str">
        <f>'Reported burning'!B809</f>
        <v>95b.3</v>
      </c>
      <c r="C809" s="7" t="str">
        <f>'Reported burning'!C809</f>
        <v>Human, deliberate</v>
      </c>
      <c r="D809" s="7" t="str">
        <f>'Reported burning'!D809</f>
        <v>Crop field preparation</v>
      </c>
      <c r="E809" s="7" t="str">
        <f>'Reported burning'!E809</f>
        <v>Cropping, Swidden</v>
      </c>
      <c r="F809" s="7" t="str">
        <f>'Reported burning'!F809</f>
        <v>Secondary Vegetation</v>
      </c>
      <c r="G809" s="7" t="str">
        <f>'Reported burning'!G809</f>
        <v>ND</v>
      </c>
      <c r="H809" s="7" t="str">
        <f>'Reported burning'!H809</f>
        <v>Presence</v>
      </c>
      <c r="I809" s="4">
        <v>1987</v>
      </c>
      <c r="J809" s="22" t="s">
        <v>2308</v>
      </c>
      <c r="K809" s="22" t="s">
        <v>2308</v>
      </c>
      <c r="L809" s="22" t="s">
        <v>2308</v>
      </c>
      <c r="M809" s="22" t="s">
        <v>2308</v>
      </c>
      <c r="N809" s="22" t="s">
        <v>2308</v>
      </c>
      <c r="O809" s="22" t="s">
        <v>2308</v>
      </c>
      <c r="P809" s="22" t="s">
        <v>2308</v>
      </c>
      <c r="Q809" s="22" t="s">
        <v>2308</v>
      </c>
      <c r="R809" s="22" t="s">
        <v>2308</v>
      </c>
      <c r="S809" s="22" t="s">
        <v>2308</v>
      </c>
      <c r="T809" s="22" t="s">
        <v>2308</v>
      </c>
      <c r="U809" s="22" t="s">
        <v>2308</v>
      </c>
      <c r="V809" s="22" t="s">
        <v>2308</v>
      </c>
      <c r="W809" s="110" t="s">
        <v>2435</v>
      </c>
      <c r="X809" s="4" t="s">
        <v>194</v>
      </c>
      <c r="Y809" s="4" t="s">
        <v>194</v>
      </c>
      <c r="Z809" s="4" t="s">
        <v>64</v>
      </c>
      <c r="AA809" s="4"/>
      <c r="AB809" s="4"/>
    </row>
    <row r="810" spans="1:28">
      <c r="A810" s="7" t="str">
        <f>'Reported burning'!A810</f>
        <v>95b</v>
      </c>
      <c r="B810" s="7" t="str">
        <f>'Reported burning'!B810</f>
        <v>95b.4</v>
      </c>
      <c r="C810" s="7" t="str">
        <f>'Reported burning'!C810</f>
        <v>Human, deliberate</v>
      </c>
      <c r="D810" s="7" t="str">
        <f>'Reported burning'!D810</f>
        <v>Crop field preparation</v>
      </c>
      <c r="E810" s="7" t="str">
        <f>'Reported burning'!E810</f>
        <v>Cropping, Swidden</v>
      </c>
      <c r="F810" s="7" t="str">
        <f>'Reported burning'!F810</f>
        <v>Secondary Vegetation</v>
      </c>
      <c r="G810" s="7" t="str">
        <f>'Reported burning'!G810</f>
        <v>ND</v>
      </c>
      <c r="H810" s="7" t="str">
        <f>'Reported burning'!H810</f>
        <v>Presence</v>
      </c>
      <c r="I810" s="4">
        <v>1982</v>
      </c>
      <c r="J810" s="22" t="s">
        <v>2308</v>
      </c>
      <c r="K810" s="22" t="s">
        <v>2308</v>
      </c>
      <c r="L810" s="22" t="s">
        <v>2308</v>
      </c>
      <c r="M810" s="22" t="s">
        <v>2308</v>
      </c>
      <c r="N810" s="22" t="s">
        <v>2308</v>
      </c>
      <c r="O810" s="22" t="s">
        <v>2308</v>
      </c>
      <c r="P810" s="22" t="s">
        <v>2308</v>
      </c>
      <c r="Q810" s="22" t="s">
        <v>2308</v>
      </c>
      <c r="R810" s="22" t="s">
        <v>2308</v>
      </c>
      <c r="S810" s="22" t="s">
        <v>2308</v>
      </c>
      <c r="T810" s="22" t="s">
        <v>2308</v>
      </c>
      <c r="U810" s="22" t="s">
        <v>2308</v>
      </c>
      <c r="V810" s="22" t="s">
        <v>2308</v>
      </c>
      <c r="W810" s="110" t="s">
        <v>2435</v>
      </c>
      <c r="X810" s="4" t="s">
        <v>194</v>
      </c>
      <c r="Y810" s="4" t="s">
        <v>194</v>
      </c>
      <c r="Z810" s="4" t="s">
        <v>64</v>
      </c>
      <c r="AA810" s="4"/>
      <c r="AB810" s="4"/>
    </row>
    <row r="811" spans="1:28">
      <c r="A811" s="7" t="str">
        <f>'Reported burning'!A811</f>
        <v>95b</v>
      </c>
      <c r="B811" s="7" t="str">
        <f>'Reported burning'!B811</f>
        <v>95b.5</v>
      </c>
      <c r="C811" s="7" t="str">
        <f>'Reported burning'!C811</f>
        <v>Human, deliberate</v>
      </c>
      <c r="D811" s="7" t="str">
        <f>'Reported burning'!D811</f>
        <v>Crop field preparation</v>
      </c>
      <c r="E811" s="7" t="str">
        <f>'Reported burning'!E811</f>
        <v>Cropping, Swidden</v>
      </c>
      <c r="F811" s="7" t="str">
        <f>'Reported burning'!F811</f>
        <v>Secondary Vegetation</v>
      </c>
      <c r="G811" s="7" t="str">
        <f>'Reported burning'!G811</f>
        <v>ND</v>
      </c>
      <c r="H811" s="7" t="str">
        <f>'Reported burning'!H811</f>
        <v>Presence</v>
      </c>
      <c r="I811" s="4">
        <v>1977</v>
      </c>
      <c r="J811" s="22" t="s">
        <v>2308</v>
      </c>
      <c r="K811" s="22" t="s">
        <v>2308</v>
      </c>
      <c r="L811" s="22" t="s">
        <v>2308</v>
      </c>
      <c r="M811" s="22" t="s">
        <v>2308</v>
      </c>
      <c r="N811" s="22" t="s">
        <v>2308</v>
      </c>
      <c r="O811" s="22" t="s">
        <v>2308</v>
      </c>
      <c r="P811" s="22" t="s">
        <v>2308</v>
      </c>
      <c r="Q811" s="22" t="s">
        <v>2308</v>
      </c>
      <c r="R811" s="22" t="s">
        <v>2308</v>
      </c>
      <c r="S811" s="22" t="s">
        <v>2308</v>
      </c>
      <c r="T811" s="22" t="s">
        <v>2308</v>
      </c>
      <c r="U811" s="22" t="s">
        <v>2308</v>
      </c>
      <c r="V811" s="22" t="s">
        <v>2308</v>
      </c>
      <c r="W811" s="110" t="s">
        <v>2437</v>
      </c>
      <c r="X811" s="4" t="s">
        <v>194</v>
      </c>
      <c r="Y811" s="4" t="s">
        <v>194</v>
      </c>
      <c r="Z811" s="4" t="s">
        <v>64</v>
      </c>
      <c r="AA811" s="4"/>
      <c r="AB811" s="4"/>
    </row>
    <row r="812" spans="1:28" ht="98.5" customHeight="1">
      <c r="A812" s="7" t="str">
        <f>'Reported burning'!A812</f>
        <v>96a</v>
      </c>
      <c r="B812" s="7" t="str">
        <f>'Reported burning'!B812</f>
        <v>96a.1</v>
      </c>
      <c r="C812" s="7" t="str">
        <f>'Reported burning'!C812</f>
        <v>Human, deliberate</v>
      </c>
      <c r="D812" s="7" t="str">
        <f>'Reported burning'!D812</f>
        <v>Crop field preparation</v>
      </c>
      <c r="E812" s="7" t="str">
        <f>'Reported burning'!E812</f>
        <v>Cropping, Monoculture, Subsistence-oriented</v>
      </c>
      <c r="F812" s="7" t="str">
        <f>'Reported burning'!F812</f>
        <v>Cropland</v>
      </c>
      <c r="G812" s="7" t="str">
        <f>'Reported burning'!G812</f>
        <v>ND</v>
      </c>
      <c r="H812" s="7" t="str">
        <f>'Reported burning'!H812</f>
        <v>Presence</v>
      </c>
      <c r="I812" s="4"/>
      <c r="J812" s="22" t="s">
        <v>2308</v>
      </c>
      <c r="K812" s="22" t="s">
        <v>2308</v>
      </c>
      <c r="L812" s="22" t="s">
        <v>2308</v>
      </c>
      <c r="M812" s="22" t="s">
        <v>2308</v>
      </c>
      <c r="N812" s="22" t="s">
        <v>2308</v>
      </c>
      <c r="O812" s="22" t="s">
        <v>2308</v>
      </c>
      <c r="P812" s="22" t="s">
        <v>2308</v>
      </c>
      <c r="Q812" s="22" t="s">
        <v>2308</v>
      </c>
      <c r="R812" s="22" t="s">
        <v>2308</v>
      </c>
      <c r="S812" s="22" t="s">
        <v>2308</v>
      </c>
      <c r="T812" s="22" t="s">
        <v>2308</v>
      </c>
      <c r="U812" s="22" t="s">
        <v>2308</v>
      </c>
      <c r="V812" s="22" t="s">
        <v>2308</v>
      </c>
      <c r="W812" s="110" t="s">
        <v>2407</v>
      </c>
      <c r="X812" s="4" t="s">
        <v>406</v>
      </c>
      <c r="Y812" s="4" t="s">
        <v>406</v>
      </c>
      <c r="Z812" s="4" t="s">
        <v>76</v>
      </c>
      <c r="AA812" s="5" t="s">
        <v>2605</v>
      </c>
      <c r="AB812" s="5" t="s">
        <v>2606</v>
      </c>
    </row>
    <row r="813" spans="1:28" ht="43.5" customHeight="1">
      <c r="A813" s="7" t="str">
        <f>'Reported burning'!A813</f>
        <v>97a</v>
      </c>
      <c r="B813" s="7" t="str">
        <f>'Reported burning'!B813</f>
        <v>97a.1</v>
      </c>
      <c r="C813" s="7" t="str">
        <f>'Reported burning'!C813</f>
        <v>Human, deliberate</v>
      </c>
      <c r="D813" s="7" t="str">
        <f>'Reported burning'!D813</f>
        <v>Crop field preparation</v>
      </c>
      <c r="E813" s="7" t="str">
        <f>'Reported burning'!E813</f>
        <v>Cropping, Swidden</v>
      </c>
      <c r="F813" s="7" t="str">
        <f>'Reported burning'!F813</f>
        <v>Secondary Vegetation</v>
      </c>
      <c r="G813" s="7" t="str">
        <f>'Reported burning'!G813</f>
        <v>ND</v>
      </c>
      <c r="H813" s="7" t="str">
        <f>'Reported burning'!H813</f>
        <v>Presence</v>
      </c>
      <c r="I813" s="4"/>
      <c r="J813" s="22" t="s">
        <v>2308</v>
      </c>
      <c r="K813" s="22" t="s">
        <v>2308</v>
      </c>
      <c r="L813" s="22" t="s">
        <v>2308</v>
      </c>
      <c r="M813" s="22" t="s">
        <v>2308</v>
      </c>
      <c r="N813" s="22" t="s">
        <v>2308</v>
      </c>
      <c r="O813" s="22" t="s">
        <v>2308</v>
      </c>
      <c r="P813" s="22" t="s">
        <v>2308</v>
      </c>
      <c r="Q813" s="22" t="s">
        <v>2308</v>
      </c>
      <c r="R813" s="22" t="s">
        <v>2308</v>
      </c>
      <c r="S813" s="22" t="s">
        <v>2308</v>
      </c>
      <c r="T813" s="22" t="s">
        <v>2308</v>
      </c>
      <c r="U813" s="22" t="s">
        <v>2308</v>
      </c>
      <c r="V813" s="22" t="s">
        <v>2308</v>
      </c>
      <c r="W813" s="22" t="s">
        <v>2308</v>
      </c>
      <c r="X813" s="22" t="s">
        <v>2308</v>
      </c>
      <c r="Y813" s="22" t="s">
        <v>2308</v>
      </c>
      <c r="Z813" s="22" t="s">
        <v>2308</v>
      </c>
      <c r="AA813" s="4"/>
      <c r="AB813" s="4"/>
    </row>
    <row r="814" spans="1:28" ht="51" customHeight="1">
      <c r="A814" s="7" t="str">
        <f>'Reported burning'!A814</f>
        <v>97a</v>
      </c>
      <c r="B814" s="7" t="str">
        <f>'Reported burning'!B814</f>
        <v>97a.2</v>
      </c>
      <c r="C814" s="7" t="str">
        <f>'Reported burning'!C814</f>
        <v>Human, deliberate</v>
      </c>
      <c r="D814" s="7" t="str">
        <f>'Reported burning'!D814</f>
        <v>Crop field preparation</v>
      </c>
      <c r="E814" s="7" t="str">
        <f>'Reported burning'!E814</f>
        <v>Cropping, Swidden</v>
      </c>
      <c r="F814" s="7" t="str">
        <f>'Reported burning'!F814</f>
        <v>Forest</v>
      </c>
      <c r="G814" s="7" t="str">
        <f>'Reported burning'!G814</f>
        <v>ND</v>
      </c>
      <c r="H814" s="7" t="str">
        <f>'Reported burning'!H814</f>
        <v>Presence</v>
      </c>
      <c r="I814" s="4"/>
      <c r="J814" s="22" t="s">
        <v>2308</v>
      </c>
      <c r="K814" s="22" t="s">
        <v>2308</v>
      </c>
      <c r="L814" s="22" t="s">
        <v>2308</v>
      </c>
      <c r="M814" s="22" t="s">
        <v>2308</v>
      </c>
      <c r="N814" s="22" t="s">
        <v>2308</v>
      </c>
      <c r="O814" s="22" t="s">
        <v>2308</v>
      </c>
      <c r="P814" s="22" t="s">
        <v>2308</v>
      </c>
      <c r="Q814" s="22" t="s">
        <v>2308</v>
      </c>
      <c r="R814" s="22" t="s">
        <v>2308</v>
      </c>
      <c r="S814" s="22" t="s">
        <v>2308</v>
      </c>
      <c r="T814" s="22" t="s">
        <v>2308</v>
      </c>
      <c r="U814" s="22" t="s">
        <v>2308</v>
      </c>
      <c r="V814" s="22" t="s">
        <v>2308</v>
      </c>
      <c r="W814" s="22" t="s">
        <v>2308</v>
      </c>
      <c r="X814" s="22" t="s">
        <v>2308</v>
      </c>
      <c r="Y814" s="22" t="s">
        <v>2308</v>
      </c>
      <c r="Z814" s="22" t="s">
        <v>2308</v>
      </c>
      <c r="AA814" s="4"/>
      <c r="AB814" s="4"/>
    </row>
    <row r="815" spans="1:28">
      <c r="A815" s="7" t="str">
        <f>'Reported burning'!A815</f>
        <v>97b</v>
      </c>
      <c r="B815" s="7" t="str">
        <f>'Reported burning'!B815</f>
        <v>97b.1</v>
      </c>
      <c r="C815" s="7" t="str">
        <f>'Reported burning'!C815</f>
        <v>Human, deliberate</v>
      </c>
      <c r="D815" s="7" t="str">
        <f>'Reported burning'!D815</f>
        <v>Crop field preparation</v>
      </c>
      <c r="E815" s="7" t="str">
        <f>'Reported burning'!E815</f>
        <v>Cropping, Swidden</v>
      </c>
      <c r="F815" s="7" t="str">
        <f>'Reported burning'!F815</f>
        <v>Secondary Vegetation</v>
      </c>
      <c r="G815" s="7" t="str">
        <f>'Reported burning'!G815</f>
        <v>ND</v>
      </c>
      <c r="H815" s="7" t="str">
        <f>'Reported burning'!H815</f>
        <v>Presence</v>
      </c>
      <c r="I815" s="4"/>
      <c r="J815" s="22" t="s">
        <v>2308</v>
      </c>
      <c r="K815" s="22" t="s">
        <v>2308</v>
      </c>
      <c r="L815" s="22" t="s">
        <v>2308</v>
      </c>
      <c r="M815" s="22" t="s">
        <v>2308</v>
      </c>
      <c r="N815" s="22" t="s">
        <v>2308</v>
      </c>
      <c r="O815" s="22" t="s">
        <v>2308</v>
      </c>
      <c r="P815" s="22" t="s">
        <v>2308</v>
      </c>
      <c r="Q815" s="22" t="s">
        <v>2308</v>
      </c>
      <c r="R815" s="22" t="s">
        <v>2308</v>
      </c>
      <c r="S815" s="22" t="s">
        <v>2308</v>
      </c>
      <c r="T815" s="22" t="s">
        <v>2308</v>
      </c>
      <c r="U815" s="22" t="s">
        <v>2308</v>
      </c>
      <c r="V815" s="22" t="s">
        <v>2308</v>
      </c>
      <c r="W815" s="22" t="s">
        <v>2308</v>
      </c>
      <c r="X815" s="22" t="s">
        <v>2308</v>
      </c>
      <c r="Y815" s="22" t="s">
        <v>2308</v>
      </c>
      <c r="Z815" s="22" t="s">
        <v>2308</v>
      </c>
      <c r="AA815" s="4"/>
      <c r="AB815" s="4"/>
    </row>
    <row r="816" spans="1:28">
      <c r="A816" s="7" t="str">
        <f>'Reported burning'!A816</f>
        <v>97b</v>
      </c>
      <c r="B816" s="7" t="str">
        <f>'Reported burning'!B816</f>
        <v>97b.2</v>
      </c>
      <c r="C816" s="7" t="str">
        <f>'Reported burning'!C816</f>
        <v>Human, deliberate</v>
      </c>
      <c r="D816" s="7" t="str">
        <f>'Reported burning'!D816</f>
        <v>Crop field preparation</v>
      </c>
      <c r="E816" s="7" t="str">
        <f>'Reported burning'!E816</f>
        <v>Cropping, Swidden</v>
      </c>
      <c r="F816" s="7" t="str">
        <f>'Reported burning'!F816</f>
        <v>Forest</v>
      </c>
      <c r="G816" s="7" t="str">
        <f>'Reported burning'!G816</f>
        <v>ND</v>
      </c>
      <c r="H816" s="7" t="str">
        <f>'Reported burning'!H816</f>
        <v>Presence</v>
      </c>
      <c r="I816" s="4"/>
      <c r="J816" s="22" t="s">
        <v>2308</v>
      </c>
      <c r="K816" s="22" t="s">
        <v>2308</v>
      </c>
      <c r="L816" s="22" t="s">
        <v>2308</v>
      </c>
      <c r="M816" s="22" t="s">
        <v>2308</v>
      </c>
      <c r="N816" s="22" t="s">
        <v>2308</v>
      </c>
      <c r="O816" s="22" t="s">
        <v>2308</v>
      </c>
      <c r="P816" s="22" t="s">
        <v>2308</v>
      </c>
      <c r="Q816" s="22" t="s">
        <v>2308</v>
      </c>
      <c r="R816" s="22" t="s">
        <v>2308</v>
      </c>
      <c r="S816" s="22" t="s">
        <v>2308</v>
      </c>
      <c r="T816" s="22" t="s">
        <v>2308</v>
      </c>
      <c r="U816" s="22" t="s">
        <v>2308</v>
      </c>
      <c r="V816" s="22" t="s">
        <v>2308</v>
      </c>
      <c r="W816" s="22" t="s">
        <v>2308</v>
      </c>
      <c r="X816" s="22" t="s">
        <v>2308</v>
      </c>
      <c r="Y816" s="22" t="s">
        <v>2308</v>
      </c>
      <c r="Z816" s="22" t="s">
        <v>2308</v>
      </c>
      <c r="AA816" s="4"/>
      <c r="AB816" s="4"/>
    </row>
    <row r="817" spans="1:28">
      <c r="A817" s="7" t="str">
        <f>'Reported burning'!A817</f>
        <v>97c</v>
      </c>
      <c r="B817" s="7" t="str">
        <f>'Reported burning'!B817</f>
        <v>97c.1</v>
      </c>
      <c r="C817" s="7" t="str">
        <f>'Reported burning'!C817</f>
        <v>Human, deliberate</v>
      </c>
      <c r="D817" s="7" t="str">
        <f>'Reported burning'!D817</f>
        <v>Crop field preparation</v>
      </c>
      <c r="E817" s="7" t="str">
        <f>'Reported burning'!E817</f>
        <v>Cropping, Swidden</v>
      </c>
      <c r="F817" s="7" t="str">
        <f>'Reported burning'!F817</f>
        <v>Secondary Vegetation</v>
      </c>
      <c r="G817" s="7" t="str">
        <f>'Reported burning'!G817</f>
        <v>ND</v>
      </c>
      <c r="H817" s="7" t="str">
        <f>'Reported burning'!H817</f>
        <v>Presence</v>
      </c>
      <c r="I817" s="4"/>
      <c r="J817" s="22" t="s">
        <v>2308</v>
      </c>
      <c r="K817" s="22" t="s">
        <v>2308</v>
      </c>
      <c r="L817" s="22" t="s">
        <v>2308</v>
      </c>
      <c r="M817" s="22" t="s">
        <v>2308</v>
      </c>
      <c r="N817" s="22" t="s">
        <v>2308</v>
      </c>
      <c r="O817" s="22" t="s">
        <v>2308</v>
      </c>
      <c r="P817" s="22" t="s">
        <v>2308</v>
      </c>
      <c r="Q817" s="22" t="s">
        <v>2308</v>
      </c>
      <c r="R817" s="22" t="s">
        <v>2308</v>
      </c>
      <c r="S817" s="22" t="s">
        <v>2308</v>
      </c>
      <c r="T817" s="22" t="s">
        <v>2308</v>
      </c>
      <c r="U817" s="22" t="s">
        <v>2308</v>
      </c>
      <c r="V817" s="22" t="s">
        <v>2308</v>
      </c>
      <c r="W817" s="22" t="s">
        <v>2308</v>
      </c>
      <c r="X817" s="22" t="s">
        <v>2308</v>
      </c>
      <c r="Y817" s="22" t="s">
        <v>2308</v>
      </c>
      <c r="Z817" s="22" t="s">
        <v>2308</v>
      </c>
      <c r="AA817" s="4"/>
      <c r="AB817" s="4"/>
    </row>
    <row r="818" spans="1:28">
      <c r="A818" s="7" t="str">
        <f>'Reported burning'!A818</f>
        <v>97c</v>
      </c>
      <c r="B818" s="7" t="str">
        <f>'Reported burning'!B818</f>
        <v>97c.2</v>
      </c>
      <c r="C818" s="7" t="str">
        <f>'Reported burning'!C818</f>
        <v>Human, deliberate</v>
      </c>
      <c r="D818" s="7" t="str">
        <f>'Reported burning'!D818</f>
        <v>Crop field preparation</v>
      </c>
      <c r="E818" s="7" t="str">
        <f>'Reported burning'!E818</f>
        <v>Cropping, Swidden</v>
      </c>
      <c r="F818" s="7" t="str">
        <f>'Reported burning'!F818</f>
        <v>Forest</v>
      </c>
      <c r="G818" s="7" t="str">
        <f>'Reported burning'!G818</f>
        <v>ND</v>
      </c>
      <c r="H818" s="7" t="str">
        <f>'Reported burning'!H818</f>
        <v>Presence</v>
      </c>
      <c r="I818" s="4"/>
      <c r="J818" s="22" t="s">
        <v>2308</v>
      </c>
      <c r="K818" s="22" t="s">
        <v>2308</v>
      </c>
      <c r="L818" s="22" t="s">
        <v>2308</v>
      </c>
      <c r="M818" s="22" t="s">
        <v>2308</v>
      </c>
      <c r="N818" s="22" t="s">
        <v>2308</v>
      </c>
      <c r="O818" s="22" t="s">
        <v>2308</v>
      </c>
      <c r="P818" s="22" t="s">
        <v>2308</v>
      </c>
      <c r="Q818" s="22" t="s">
        <v>2308</v>
      </c>
      <c r="R818" s="22" t="s">
        <v>2308</v>
      </c>
      <c r="S818" s="22" t="s">
        <v>2308</v>
      </c>
      <c r="T818" s="22" t="s">
        <v>2308</v>
      </c>
      <c r="U818" s="22" t="s">
        <v>2308</v>
      </c>
      <c r="V818" s="22" t="s">
        <v>2308</v>
      </c>
      <c r="W818" s="22" t="s">
        <v>2308</v>
      </c>
      <c r="X818" s="22" t="s">
        <v>2308</v>
      </c>
      <c r="Y818" s="22" t="s">
        <v>2308</v>
      </c>
      <c r="Z818" s="22" t="s">
        <v>2308</v>
      </c>
      <c r="AA818" s="4"/>
      <c r="AB818" s="4"/>
    </row>
    <row r="819" spans="1:28">
      <c r="A819" s="7" t="str">
        <f>'Reported burning'!A819</f>
        <v>97d</v>
      </c>
      <c r="B819" s="7" t="str">
        <f>'Reported burning'!B819</f>
        <v>97d.1</v>
      </c>
      <c r="C819" s="7" t="str">
        <f>'Reported burning'!C819</f>
        <v>Human, deliberate</v>
      </c>
      <c r="D819" s="7" t="str">
        <f>'Reported burning'!D819</f>
        <v>Crop field preparation</v>
      </c>
      <c r="E819" s="7" t="str">
        <f>'Reported burning'!E819</f>
        <v>Cropping, Swidden</v>
      </c>
      <c r="F819" s="7" t="str">
        <f>'Reported burning'!F819</f>
        <v>Secondary Vegetation</v>
      </c>
      <c r="G819" s="7" t="str">
        <f>'Reported burning'!G819</f>
        <v>ND</v>
      </c>
      <c r="H819" s="7" t="str">
        <f>'Reported burning'!H819</f>
        <v>Presence</v>
      </c>
      <c r="I819" s="4"/>
      <c r="J819" s="22" t="s">
        <v>2308</v>
      </c>
      <c r="K819" s="22" t="s">
        <v>2308</v>
      </c>
      <c r="L819" s="22" t="s">
        <v>2308</v>
      </c>
      <c r="M819" s="22" t="s">
        <v>2308</v>
      </c>
      <c r="N819" s="22" t="s">
        <v>2308</v>
      </c>
      <c r="O819" s="22" t="s">
        <v>2308</v>
      </c>
      <c r="P819" s="22" t="s">
        <v>2308</v>
      </c>
      <c r="Q819" s="22" t="s">
        <v>2308</v>
      </c>
      <c r="R819" s="22" t="s">
        <v>2308</v>
      </c>
      <c r="S819" s="22" t="s">
        <v>2308</v>
      </c>
      <c r="T819" s="22" t="s">
        <v>2308</v>
      </c>
      <c r="U819" s="22" t="s">
        <v>2308</v>
      </c>
      <c r="V819" s="22" t="s">
        <v>2308</v>
      </c>
      <c r="W819" s="22" t="s">
        <v>2308</v>
      </c>
      <c r="X819" s="22" t="s">
        <v>2308</v>
      </c>
      <c r="Y819" s="22" t="s">
        <v>2308</v>
      </c>
      <c r="Z819" s="22" t="s">
        <v>2308</v>
      </c>
      <c r="AA819" s="4"/>
      <c r="AB819" s="4"/>
    </row>
    <row r="820" spans="1:28">
      <c r="A820" s="7" t="str">
        <f>'Reported burning'!A820</f>
        <v>97d</v>
      </c>
      <c r="B820" s="7" t="str">
        <f>'Reported burning'!B820</f>
        <v>97d.2</v>
      </c>
      <c r="C820" s="7" t="str">
        <f>'Reported burning'!C820</f>
        <v>Human, deliberate</v>
      </c>
      <c r="D820" s="7" t="str">
        <f>'Reported burning'!D820</f>
        <v>Crop field preparation</v>
      </c>
      <c r="E820" s="7" t="str">
        <f>'Reported burning'!E820</f>
        <v>Cropping, Swidden</v>
      </c>
      <c r="F820" s="7" t="str">
        <f>'Reported burning'!F820</f>
        <v>Forest</v>
      </c>
      <c r="G820" s="7" t="str">
        <f>'Reported burning'!G820</f>
        <v>ND</v>
      </c>
      <c r="H820" s="7" t="str">
        <f>'Reported burning'!H820</f>
        <v>Presence</v>
      </c>
      <c r="I820" s="4"/>
      <c r="J820" s="22" t="s">
        <v>2308</v>
      </c>
      <c r="K820" s="22" t="s">
        <v>2308</v>
      </c>
      <c r="L820" s="22" t="s">
        <v>2308</v>
      </c>
      <c r="M820" s="22" t="s">
        <v>2308</v>
      </c>
      <c r="N820" s="22" t="s">
        <v>2308</v>
      </c>
      <c r="O820" s="22" t="s">
        <v>2308</v>
      </c>
      <c r="P820" s="22" t="s">
        <v>2308</v>
      </c>
      <c r="Q820" s="22" t="s">
        <v>2308</v>
      </c>
      <c r="R820" s="22" t="s">
        <v>2308</v>
      </c>
      <c r="S820" s="22" t="s">
        <v>2308</v>
      </c>
      <c r="T820" s="22" t="s">
        <v>2308</v>
      </c>
      <c r="U820" s="22" t="s">
        <v>2308</v>
      </c>
      <c r="V820" s="22" t="s">
        <v>2308</v>
      </c>
      <c r="W820" s="22" t="s">
        <v>2308</v>
      </c>
      <c r="X820" s="22" t="s">
        <v>2308</v>
      </c>
      <c r="Y820" s="22" t="s">
        <v>2308</v>
      </c>
      <c r="Z820" s="22" t="s">
        <v>2308</v>
      </c>
      <c r="AA820" s="4"/>
      <c r="AB820" s="4"/>
    </row>
    <row r="821" spans="1:28">
      <c r="A821" s="7" t="str">
        <f>'Reported burning'!A821</f>
        <v>97e</v>
      </c>
      <c r="B821" s="7" t="str">
        <f>'Reported burning'!B821</f>
        <v>97e.1</v>
      </c>
      <c r="C821" s="7" t="str">
        <f>'Reported burning'!C821</f>
        <v>Human, deliberate</v>
      </c>
      <c r="D821" s="7" t="str">
        <f>'Reported burning'!D821</f>
        <v>Crop field preparation</v>
      </c>
      <c r="E821" s="7" t="str">
        <f>'Reported burning'!E821</f>
        <v>Cropping, Swidden</v>
      </c>
      <c r="F821" s="7" t="str">
        <f>'Reported burning'!F821</f>
        <v>Secondary Vegetation</v>
      </c>
      <c r="G821" s="7" t="str">
        <f>'Reported burning'!G821</f>
        <v>ND</v>
      </c>
      <c r="H821" s="7" t="str">
        <f>'Reported burning'!H821</f>
        <v>Presence</v>
      </c>
      <c r="I821" s="4"/>
      <c r="J821" s="22" t="s">
        <v>2308</v>
      </c>
      <c r="K821" s="22" t="s">
        <v>2308</v>
      </c>
      <c r="L821" s="22" t="s">
        <v>2308</v>
      </c>
      <c r="M821" s="22" t="s">
        <v>2308</v>
      </c>
      <c r="N821" s="22" t="s">
        <v>2308</v>
      </c>
      <c r="O821" s="22" t="s">
        <v>2308</v>
      </c>
      <c r="P821" s="22" t="s">
        <v>2308</v>
      </c>
      <c r="Q821" s="22" t="s">
        <v>2308</v>
      </c>
      <c r="R821" s="22" t="s">
        <v>2308</v>
      </c>
      <c r="S821" s="22" t="s">
        <v>2308</v>
      </c>
      <c r="T821" s="22" t="s">
        <v>2308</v>
      </c>
      <c r="U821" s="22" t="s">
        <v>2308</v>
      </c>
      <c r="V821" s="22" t="s">
        <v>2308</v>
      </c>
      <c r="W821" s="22" t="s">
        <v>2308</v>
      </c>
      <c r="X821" s="22" t="s">
        <v>2308</v>
      </c>
      <c r="Y821" s="22" t="s">
        <v>2308</v>
      </c>
      <c r="Z821" s="22" t="s">
        <v>2308</v>
      </c>
      <c r="AA821" s="4"/>
      <c r="AB821" s="4"/>
    </row>
    <row r="822" spans="1:28">
      <c r="A822" s="7" t="str">
        <f>'Reported burning'!A822</f>
        <v>97e</v>
      </c>
      <c r="B822" s="7" t="str">
        <f>'Reported burning'!B822</f>
        <v>97e.2</v>
      </c>
      <c r="C822" s="7" t="str">
        <f>'Reported burning'!C822</f>
        <v>Human, deliberate</v>
      </c>
      <c r="D822" s="7" t="str">
        <f>'Reported burning'!D822</f>
        <v>Crop field preparation</v>
      </c>
      <c r="E822" s="7" t="str">
        <f>'Reported burning'!E822</f>
        <v>Cropping, Swidden</v>
      </c>
      <c r="F822" s="7" t="str">
        <f>'Reported burning'!F822</f>
        <v>Forest</v>
      </c>
      <c r="G822" s="7" t="str">
        <f>'Reported burning'!G822</f>
        <v>ND</v>
      </c>
      <c r="H822" s="7" t="str">
        <f>'Reported burning'!H822</f>
        <v>Presence</v>
      </c>
      <c r="I822" s="4"/>
      <c r="J822" s="22" t="s">
        <v>2308</v>
      </c>
      <c r="K822" s="22" t="s">
        <v>2308</v>
      </c>
      <c r="L822" s="22" t="s">
        <v>2308</v>
      </c>
      <c r="M822" s="22" t="s">
        <v>2308</v>
      </c>
      <c r="N822" s="22" t="s">
        <v>2308</v>
      </c>
      <c r="O822" s="22" t="s">
        <v>2308</v>
      </c>
      <c r="P822" s="22" t="s">
        <v>2308</v>
      </c>
      <c r="Q822" s="22" t="s">
        <v>2308</v>
      </c>
      <c r="R822" s="22" t="s">
        <v>2308</v>
      </c>
      <c r="S822" s="22" t="s">
        <v>2308</v>
      </c>
      <c r="T822" s="22" t="s">
        <v>2308</v>
      </c>
      <c r="U822" s="22" t="s">
        <v>2308</v>
      </c>
      <c r="V822" s="22" t="s">
        <v>2308</v>
      </c>
      <c r="W822" s="22" t="s">
        <v>2308</v>
      </c>
      <c r="X822" s="22" t="s">
        <v>2308</v>
      </c>
      <c r="Y822" s="22" t="s">
        <v>2308</v>
      </c>
      <c r="Z822" s="22" t="s">
        <v>2308</v>
      </c>
      <c r="AA822" s="4"/>
      <c r="AB822" s="4"/>
    </row>
    <row r="823" spans="1:28">
      <c r="A823" s="7" t="str">
        <f>'Reported burning'!A823</f>
        <v>97f</v>
      </c>
      <c r="B823" s="7" t="str">
        <f>'Reported burning'!B823</f>
        <v>97f.1</v>
      </c>
      <c r="C823" s="7" t="str">
        <f>'Reported burning'!C823</f>
        <v>Human, deliberate</v>
      </c>
      <c r="D823" s="7" t="str">
        <f>'Reported burning'!D823</f>
        <v>Crop field preparation</v>
      </c>
      <c r="E823" s="7" t="str">
        <f>'Reported burning'!E823</f>
        <v>Cropping, Swidden</v>
      </c>
      <c r="F823" s="7" t="str">
        <f>'Reported burning'!F823</f>
        <v>Secondary Vegetation</v>
      </c>
      <c r="G823" s="7" t="str">
        <f>'Reported burning'!G823</f>
        <v>ND</v>
      </c>
      <c r="H823" s="7" t="str">
        <f>'Reported burning'!H823</f>
        <v>Presence</v>
      </c>
      <c r="I823" s="4"/>
      <c r="J823" s="22" t="s">
        <v>2308</v>
      </c>
      <c r="K823" s="22" t="s">
        <v>2308</v>
      </c>
      <c r="L823" s="22" t="s">
        <v>2308</v>
      </c>
      <c r="M823" s="22" t="s">
        <v>2308</v>
      </c>
      <c r="N823" s="22" t="s">
        <v>2308</v>
      </c>
      <c r="O823" s="22" t="s">
        <v>2308</v>
      </c>
      <c r="P823" s="22" t="s">
        <v>2308</v>
      </c>
      <c r="Q823" s="22" t="s">
        <v>2308</v>
      </c>
      <c r="R823" s="22" t="s">
        <v>2308</v>
      </c>
      <c r="S823" s="22" t="s">
        <v>2308</v>
      </c>
      <c r="T823" s="22" t="s">
        <v>2308</v>
      </c>
      <c r="U823" s="22" t="s">
        <v>2308</v>
      </c>
      <c r="V823" s="22" t="s">
        <v>2308</v>
      </c>
      <c r="W823" s="22" t="s">
        <v>2308</v>
      </c>
      <c r="X823" s="22" t="s">
        <v>2308</v>
      </c>
      <c r="Y823" s="22" t="s">
        <v>2308</v>
      </c>
      <c r="Z823" s="22" t="s">
        <v>2308</v>
      </c>
      <c r="AA823" s="4"/>
      <c r="AB823" s="4"/>
    </row>
    <row r="824" spans="1:28">
      <c r="A824" s="7" t="str">
        <f>'Reported burning'!A824</f>
        <v>97f</v>
      </c>
      <c r="B824" s="7" t="str">
        <f>'Reported burning'!B824</f>
        <v>97f.2</v>
      </c>
      <c r="C824" s="7" t="str">
        <f>'Reported burning'!C824</f>
        <v>Human, deliberate</v>
      </c>
      <c r="D824" s="7" t="str">
        <f>'Reported burning'!D824</f>
        <v>Crop field preparation</v>
      </c>
      <c r="E824" s="7" t="str">
        <f>'Reported burning'!E824</f>
        <v>Cropping, Swidden</v>
      </c>
      <c r="F824" s="7" t="str">
        <f>'Reported burning'!F824</f>
        <v>Forest</v>
      </c>
      <c r="G824" s="7" t="str">
        <f>'Reported burning'!G824</f>
        <v>ND</v>
      </c>
      <c r="H824" s="7" t="str">
        <f>'Reported burning'!H824</f>
        <v>Presence</v>
      </c>
      <c r="I824" s="4"/>
      <c r="J824" s="22" t="s">
        <v>2308</v>
      </c>
      <c r="K824" s="22" t="s">
        <v>2308</v>
      </c>
      <c r="L824" s="22" t="s">
        <v>2308</v>
      </c>
      <c r="M824" s="22" t="s">
        <v>2308</v>
      </c>
      <c r="N824" s="22" t="s">
        <v>2308</v>
      </c>
      <c r="O824" s="22" t="s">
        <v>2308</v>
      </c>
      <c r="P824" s="22" t="s">
        <v>2308</v>
      </c>
      <c r="Q824" s="22" t="s">
        <v>2308</v>
      </c>
      <c r="R824" s="22" t="s">
        <v>2308</v>
      </c>
      <c r="S824" s="22" t="s">
        <v>2308</v>
      </c>
      <c r="T824" s="22" t="s">
        <v>2308</v>
      </c>
      <c r="U824" s="22" t="s">
        <v>2308</v>
      </c>
      <c r="V824" s="22" t="s">
        <v>2308</v>
      </c>
      <c r="W824" s="22" t="s">
        <v>2308</v>
      </c>
      <c r="X824" s="22" t="s">
        <v>2308</v>
      </c>
      <c r="Y824" s="22" t="s">
        <v>2308</v>
      </c>
      <c r="Z824" s="22" t="s">
        <v>2308</v>
      </c>
      <c r="AA824" s="4"/>
      <c r="AB824" s="4"/>
    </row>
    <row r="825" spans="1:28" ht="43.5">
      <c r="A825" s="7" t="str">
        <f>'Reported burning'!A825</f>
        <v>97g</v>
      </c>
      <c r="B825" s="7" t="str">
        <f>'Reported burning'!B825</f>
        <v>97g.1</v>
      </c>
      <c r="C825" s="7" t="str">
        <f>'Reported burning'!C825</f>
        <v>Human, deliberate</v>
      </c>
      <c r="D825" s="7" t="str">
        <f>'Reported burning'!D825</f>
        <v>Crop field preparation</v>
      </c>
      <c r="E825" s="7" t="str">
        <f>'Reported burning'!E825</f>
        <v>Cropping, Swidden</v>
      </c>
      <c r="F825" s="7" t="str">
        <f>'Reported burning'!F825</f>
        <v>Secondary Vegetation</v>
      </c>
      <c r="G825" s="7" t="str">
        <f>'Reported burning'!G825</f>
        <v>ND</v>
      </c>
      <c r="H825" s="7" t="str">
        <f>'Reported burning'!H825</f>
        <v>Presence</v>
      </c>
      <c r="I825" s="4"/>
      <c r="J825" s="22" t="s">
        <v>2308</v>
      </c>
      <c r="K825" s="110" t="s">
        <v>2407</v>
      </c>
      <c r="L825" s="22" t="s">
        <v>2308</v>
      </c>
      <c r="M825" s="110" t="s">
        <v>2407</v>
      </c>
      <c r="N825" s="22" t="s">
        <v>2308</v>
      </c>
      <c r="O825" s="110" t="s">
        <v>2407</v>
      </c>
      <c r="P825" s="22" t="s">
        <v>2308</v>
      </c>
      <c r="Q825" s="110" t="s">
        <v>2407</v>
      </c>
      <c r="R825" s="22" t="s">
        <v>2308</v>
      </c>
      <c r="S825" s="22" t="s">
        <v>2308</v>
      </c>
      <c r="T825" s="22" t="s">
        <v>2308</v>
      </c>
      <c r="U825" s="22" t="s">
        <v>2308</v>
      </c>
      <c r="V825" s="22" t="s">
        <v>2308</v>
      </c>
      <c r="W825" s="22" t="s">
        <v>2308</v>
      </c>
      <c r="X825" s="22" t="s">
        <v>2308</v>
      </c>
      <c r="Y825" s="22" t="s">
        <v>2308</v>
      </c>
      <c r="Z825" s="22" t="s">
        <v>2308</v>
      </c>
      <c r="AA825" s="5" t="s">
        <v>2655</v>
      </c>
      <c r="AB825" s="4"/>
    </row>
    <row r="826" spans="1:28" ht="43.5">
      <c r="A826" s="7" t="str">
        <f>'Reported burning'!A826</f>
        <v>97g</v>
      </c>
      <c r="B826" s="7" t="str">
        <f>'Reported burning'!B826</f>
        <v>97g.2</v>
      </c>
      <c r="C826" s="7" t="str">
        <f>'Reported burning'!C826</f>
        <v>Human, deliberate</v>
      </c>
      <c r="D826" s="7" t="str">
        <f>'Reported burning'!D826</f>
        <v>Crop field preparation</v>
      </c>
      <c r="E826" s="7" t="str">
        <f>'Reported burning'!E826</f>
        <v>Cropping, Swidden</v>
      </c>
      <c r="F826" s="7" t="str">
        <f>'Reported burning'!F826</f>
        <v>Forest</v>
      </c>
      <c r="G826" s="7" t="str">
        <f>'Reported burning'!G826</f>
        <v>ND</v>
      </c>
      <c r="H826" s="7" t="str">
        <f>'Reported burning'!H826</f>
        <v>Presence</v>
      </c>
      <c r="I826" s="4"/>
      <c r="J826" s="22" t="s">
        <v>2308</v>
      </c>
      <c r="K826" s="110" t="s">
        <v>2407</v>
      </c>
      <c r="L826" s="22" t="s">
        <v>2308</v>
      </c>
      <c r="M826" s="110" t="s">
        <v>2407</v>
      </c>
      <c r="N826" s="22" t="s">
        <v>2308</v>
      </c>
      <c r="O826" s="110" t="s">
        <v>2407</v>
      </c>
      <c r="P826" s="22" t="s">
        <v>2308</v>
      </c>
      <c r="Q826" s="110" t="s">
        <v>2407</v>
      </c>
      <c r="R826" s="22" t="s">
        <v>2308</v>
      </c>
      <c r="S826" s="22" t="s">
        <v>2308</v>
      </c>
      <c r="T826" s="22" t="s">
        <v>2308</v>
      </c>
      <c r="U826" s="22" t="s">
        <v>2308</v>
      </c>
      <c r="V826" s="22" t="s">
        <v>2308</v>
      </c>
      <c r="W826" s="22" t="s">
        <v>2308</v>
      </c>
      <c r="X826" s="22" t="s">
        <v>2308</v>
      </c>
      <c r="Y826" s="22" t="s">
        <v>2308</v>
      </c>
      <c r="Z826" s="22" t="s">
        <v>2308</v>
      </c>
      <c r="AA826" s="5" t="s">
        <v>2655</v>
      </c>
      <c r="AB826" s="4"/>
    </row>
    <row r="827" spans="1:28" ht="43.5">
      <c r="A827" s="7" t="str">
        <f>'Reported burning'!A827</f>
        <v>97h</v>
      </c>
      <c r="B827" s="7" t="str">
        <f>'Reported burning'!B827</f>
        <v>97h.1</v>
      </c>
      <c r="C827" s="7" t="str">
        <f>'Reported burning'!C827</f>
        <v>Human, deliberate</v>
      </c>
      <c r="D827" s="7" t="str">
        <f>'Reported burning'!D827</f>
        <v>Crop field preparation</v>
      </c>
      <c r="E827" s="7" t="str">
        <f>'Reported burning'!E827</f>
        <v>Cropping, Swidden</v>
      </c>
      <c r="F827" s="7" t="str">
        <f>'Reported burning'!F827</f>
        <v>Secondary Vegetation</v>
      </c>
      <c r="G827" s="7" t="str">
        <f>'Reported burning'!G827</f>
        <v>ND</v>
      </c>
      <c r="H827" s="7" t="str">
        <f>'Reported burning'!H827</f>
        <v>Presence</v>
      </c>
      <c r="I827" s="4"/>
      <c r="J827" s="22" t="s">
        <v>2308</v>
      </c>
      <c r="K827" s="110" t="s">
        <v>2407</v>
      </c>
      <c r="L827" s="22" t="s">
        <v>2308</v>
      </c>
      <c r="M827" s="110" t="s">
        <v>2407</v>
      </c>
      <c r="N827" s="22" t="s">
        <v>2308</v>
      </c>
      <c r="O827" s="110" t="s">
        <v>2407</v>
      </c>
      <c r="P827" s="22" t="s">
        <v>2308</v>
      </c>
      <c r="Q827" s="110" t="s">
        <v>2407</v>
      </c>
      <c r="R827" s="22" t="s">
        <v>2308</v>
      </c>
      <c r="S827" s="22" t="s">
        <v>2308</v>
      </c>
      <c r="T827" s="22" t="s">
        <v>2308</v>
      </c>
      <c r="U827" s="22" t="s">
        <v>2308</v>
      </c>
      <c r="V827" s="22" t="s">
        <v>2308</v>
      </c>
      <c r="W827" s="22" t="s">
        <v>2308</v>
      </c>
      <c r="X827" s="22" t="s">
        <v>2308</v>
      </c>
      <c r="Y827" s="22" t="s">
        <v>2308</v>
      </c>
      <c r="Z827" s="22" t="s">
        <v>2308</v>
      </c>
      <c r="AA827" s="5" t="s">
        <v>2655</v>
      </c>
      <c r="AB827" s="4"/>
    </row>
    <row r="828" spans="1:28" ht="43.5">
      <c r="A828" s="7" t="str">
        <f>'Reported burning'!A828</f>
        <v>97h</v>
      </c>
      <c r="B828" s="7" t="str">
        <f>'Reported burning'!B828</f>
        <v>97h.2</v>
      </c>
      <c r="C828" s="7" t="str">
        <f>'Reported burning'!C828</f>
        <v>Human, deliberate</v>
      </c>
      <c r="D828" s="7" t="str">
        <f>'Reported burning'!D828</f>
        <v>Crop field preparation</v>
      </c>
      <c r="E828" s="7" t="str">
        <f>'Reported burning'!E828</f>
        <v>Cropping, Swidden</v>
      </c>
      <c r="F828" s="7" t="str">
        <f>'Reported burning'!F828</f>
        <v>Forest</v>
      </c>
      <c r="G828" s="7" t="str">
        <f>'Reported burning'!G828</f>
        <v>ND</v>
      </c>
      <c r="H828" s="7" t="str">
        <f>'Reported burning'!H828</f>
        <v>Presence</v>
      </c>
      <c r="I828" s="4"/>
      <c r="J828" s="22" t="s">
        <v>2308</v>
      </c>
      <c r="K828" s="110" t="s">
        <v>2407</v>
      </c>
      <c r="L828" s="22" t="s">
        <v>2308</v>
      </c>
      <c r="M828" s="110" t="s">
        <v>2407</v>
      </c>
      <c r="N828" s="22" t="s">
        <v>2308</v>
      </c>
      <c r="O828" s="110" t="s">
        <v>2407</v>
      </c>
      <c r="P828" s="22" t="s">
        <v>2308</v>
      </c>
      <c r="Q828" s="110" t="s">
        <v>2407</v>
      </c>
      <c r="R828" s="22" t="s">
        <v>2308</v>
      </c>
      <c r="S828" s="22" t="s">
        <v>2308</v>
      </c>
      <c r="T828" s="22" t="s">
        <v>2308</v>
      </c>
      <c r="U828" s="22" t="s">
        <v>2308</v>
      </c>
      <c r="V828" s="22" t="s">
        <v>2308</v>
      </c>
      <c r="W828" s="22" t="s">
        <v>2308</v>
      </c>
      <c r="X828" s="22" t="s">
        <v>2308</v>
      </c>
      <c r="Y828" s="22" t="s">
        <v>2308</v>
      </c>
      <c r="Z828" s="22" t="s">
        <v>2308</v>
      </c>
      <c r="AA828" s="5" t="s">
        <v>2655</v>
      </c>
      <c r="AB828" s="4"/>
    </row>
    <row r="829" spans="1:28" ht="43.5">
      <c r="A829" s="7" t="str">
        <f>'Reported burning'!A829</f>
        <v>97i</v>
      </c>
      <c r="B829" s="7" t="str">
        <f>'Reported burning'!B829</f>
        <v>97i.1</v>
      </c>
      <c r="C829" s="7" t="str">
        <f>'Reported burning'!C829</f>
        <v>Human, deliberate</v>
      </c>
      <c r="D829" s="7" t="str">
        <f>'Reported burning'!D829</f>
        <v>Crop field preparation</v>
      </c>
      <c r="E829" s="7" t="str">
        <f>'Reported burning'!E829</f>
        <v>Cropping, Swidden</v>
      </c>
      <c r="F829" s="7" t="str">
        <f>'Reported burning'!F829</f>
        <v>Secondary Vegetation</v>
      </c>
      <c r="G829" s="7" t="str">
        <f>'Reported burning'!G829</f>
        <v>ND</v>
      </c>
      <c r="H829" s="7" t="str">
        <f>'Reported burning'!H829</f>
        <v>Presence</v>
      </c>
      <c r="I829" s="4"/>
      <c r="J829" s="22" t="s">
        <v>2308</v>
      </c>
      <c r="K829" s="110" t="s">
        <v>2407</v>
      </c>
      <c r="L829" s="22" t="s">
        <v>2308</v>
      </c>
      <c r="M829" s="110" t="s">
        <v>2407</v>
      </c>
      <c r="N829" s="22" t="s">
        <v>2308</v>
      </c>
      <c r="O829" s="110" t="s">
        <v>2407</v>
      </c>
      <c r="P829" s="22" t="s">
        <v>2308</v>
      </c>
      <c r="Q829" s="110" t="s">
        <v>2407</v>
      </c>
      <c r="R829" s="22" t="s">
        <v>2308</v>
      </c>
      <c r="S829" s="22" t="s">
        <v>2308</v>
      </c>
      <c r="T829" s="22" t="s">
        <v>2308</v>
      </c>
      <c r="U829" s="22" t="s">
        <v>2308</v>
      </c>
      <c r="V829" s="22" t="s">
        <v>2308</v>
      </c>
      <c r="W829" s="22" t="s">
        <v>2308</v>
      </c>
      <c r="X829" s="22" t="s">
        <v>2308</v>
      </c>
      <c r="Y829" s="22" t="s">
        <v>2308</v>
      </c>
      <c r="Z829" s="22" t="s">
        <v>2308</v>
      </c>
      <c r="AA829" s="5" t="s">
        <v>2655</v>
      </c>
      <c r="AB829" s="4"/>
    </row>
    <row r="830" spans="1:28" ht="43.5">
      <c r="A830" s="7" t="str">
        <f>'Reported burning'!A830</f>
        <v>97i</v>
      </c>
      <c r="B830" s="7" t="str">
        <f>'Reported burning'!B830</f>
        <v>97i.2</v>
      </c>
      <c r="C830" s="7" t="str">
        <f>'Reported burning'!C830</f>
        <v>Human, deliberate</v>
      </c>
      <c r="D830" s="7" t="str">
        <f>'Reported burning'!D830</f>
        <v>Crop field preparation</v>
      </c>
      <c r="E830" s="7" t="str">
        <f>'Reported burning'!E830</f>
        <v>Cropping, Swidden</v>
      </c>
      <c r="F830" s="7" t="str">
        <f>'Reported burning'!F830</f>
        <v>Forest</v>
      </c>
      <c r="G830" s="7" t="str">
        <f>'Reported burning'!G830</f>
        <v>ND</v>
      </c>
      <c r="H830" s="7" t="str">
        <f>'Reported burning'!H830</f>
        <v>Presence</v>
      </c>
      <c r="I830" s="4"/>
      <c r="J830" s="22" t="s">
        <v>2308</v>
      </c>
      <c r="K830" s="110" t="s">
        <v>2407</v>
      </c>
      <c r="L830" s="22" t="s">
        <v>2308</v>
      </c>
      <c r="M830" s="110" t="s">
        <v>2407</v>
      </c>
      <c r="N830" s="22" t="s">
        <v>2308</v>
      </c>
      <c r="O830" s="110" t="s">
        <v>2407</v>
      </c>
      <c r="P830" s="22" t="s">
        <v>2308</v>
      </c>
      <c r="Q830" s="110" t="s">
        <v>2407</v>
      </c>
      <c r="R830" s="22" t="s">
        <v>2308</v>
      </c>
      <c r="S830" s="22" t="s">
        <v>2308</v>
      </c>
      <c r="T830" s="22" t="s">
        <v>2308</v>
      </c>
      <c r="U830" s="22" t="s">
        <v>2308</v>
      </c>
      <c r="V830" s="22" t="s">
        <v>2308</v>
      </c>
      <c r="W830" s="22" t="s">
        <v>2308</v>
      </c>
      <c r="X830" s="22" t="s">
        <v>2308</v>
      </c>
      <c r="Y830" s="22" t="s">
        <v>2308</v>
      </c>
      <c r="Z830" s="22" t="s">
        <v>2308</v>
      </c>
      <c r="AA830" s="5" t="s">
        <v>2655</v>
      </c>
      <c r="AB830" s="4"/>
    </row>
    <row r="831" spans="1:28" ht="43.5">
      <c r="A831" s="7" t="str">
        <f>'Reported burning'!A831</f>
        <v>97j</v>
      </c>
      <c r="B831" s="7" t="str">
        <f>'Reported burning'!B831</f>
        <v>97j.1</v>
      </c>
      <c r="C831" s="7" t="str">
        <f>'Reported burning'!C831</f>
        <v>Human, deliberate</v>
      </c>
      <c r="D831" s="7" t="str">
        <f>'Reported burning'!D831</f>
        <v>Crop field preparation</v>
      </c>
      <c r="E831" s="7" t="str">
        <f>'Reported burning'!E831</f>
        <v>Cropping, Swidden</v>
      </c>
      <c r="F831" s="7" t="str">
        <f>'Reported burning'!F831</f>
        <v>Secondary Vegetation</v>
      </c>
      <c r="G831" s="7" t="str">
        <f>'Reported burning'!G831</f>
        <v>ND</v>
      </c>
      <c r="H831" s="7" t="str">
        <f>'Reported burning'!H831</f>
        <v>Presence</v>
      </c>
      <c r="I831" s="4"/>
      <c r="J831" s="22" t="s">
        <v>2308</v>
      </c>
      <c r="K831" s="110" t="s">
        <v>2407</v>
      </c>
      <c r="L831" s="22" t="s">
        <v>2308</v>
      </c>
      <c r="M831" s="110" t="s">
        <v>2407</v>
      </c>
      <c r="N831" s="22" t="s">
        <v>2308</v>
      </c>
      <c r="O831" s="110" t="s">
        <v>2407</v>
      </c>
      <c r="P831" s="22" t="s">
        <v>2308</v>
      </c>
      <c r="Q831" s="110" t="s">
        <v>2407</v>
      </c>
      <c r="R831" s="22" t="s">
        <v>2308</v>
      </c>
      <c r="S831" s="22" t="s">
        <v>2308</v>
      </c>
      <c r="T831" s="22" t="s">
        <v>2308</v>
      </c>
      <c r="U831" s="22" t="s">
        <v>2308</v>
      </c>
      <c r="V831" s="22" t="s">
        <v>2308</v>
      </c>
      <c r="W831" s="22" t="s">
        <v>2308</v>
      </c>
      <c r="X831" s="22" t="s">
        <v>2308</v>
      </c>
      <c r="Y831" s="22" t="s">
        <v>2308</v>
      </c>
      <c r="Z831" s="22" t="s">
        <v>2308</v>
      </c>
      <c r="AA831" s="5" t="s">
        <v>2655</v>
      </c>
      <c r="AB831" s="4"/>
    </row>
    <row r="832" spans="1:28" ht="43.5">
      <c r="A832" s="7" t="str">
        <f>'Reported burning'!A832</f>
        <v>97j</v>
      </c>
      <c r="B832" s="7" t="str">
        <f>'Reported burning'!B832</f>
        <v>97j.2</v>
      </c>
      <c r="C832" s="7" t="str">
        <f>'Reported burning'!C832</f>
        <v>Human, deliberate</v>
      </c>
      <c r="D832" s="7" t="str">
        <f>'Reported burning'!D832</f>
        <v>Crop field preparation</v>
      </c>
      <c r="E832" s="7" t="str">
        <f>'Reported burning'!E832</f>
        <v>Cropping, Swidden</v>
      </c>
      <c r="F832" s="7" t="str">
        <f>'Reported burning'!F832</f>
        <v>Forest</v>
      </c>
      <c r="G832" s="7" t="str">
        <f>'Reported burning'!G832</f>
        <v>ND</v>
      </c>
      <c r="H832" s="7" t="str">
        <f>'Reported burning'!H832</f>
        <v>Presence</v>
      </c>
      <c r="I832" s="4"/>
      <c r="J832" s="22" t="s">
        <v>2308</v>
      </c>
      <c r="K832" s="110" t="s">
        <v>2407</v>
      </c>
      <c r="L832" s="22" t="s">
        <v>2308</v>
      </c>
      <c r="M832" s="110" t="s">
        <v>2407</v>
      </c>
      <c r="N832" s="22" t="s">
        <v>2308</v>
      </c>
      <c r="O832" s="110" t="s">
        <v>2407</v>
      </c>
      <c r="P832" s="22" t="s">
        <v>2308</v>
      </c>
      <c r="Q832" s="110" t="s">
        <v>2407</v>
      </c>
      <c r="R832" s="22" t="s">
        <v>2308</v>
      </c>
      <c r="S832" s="22" t="s">
        <v>2308</v>
      </c>
      <c r="T832" s="22" t="s">
        <v>2308</v>
      </c>
      <c r="U832" s="22" t="s">
        <v>2308</v>
      </c>
      <c r="V832" s="22" t="s">
        <v>2308</v>
      </c>
      <c r="W832" s="22" t="s">
        <v>2308</v>
      </c>
      <c r="X832" s="22" t="s">
        <v>2308</v>
      </c>
      <c r="Y832" s="22" t="s">
        <v>2308</v>
      </c>
      <c r="Z832" s="22" t="s">
        <v>2308</v>
      </c>
      <c r="AA832" s="5" t="s">
        <v>2655</v>
      </c>
      <c r="AB832" s="4"/>
    </row>
    <row r="833" spans="1:30" ht="43.5">
      <c r="A833" s="7" t="str">
        <f>'Reported burning'!A833</f>
        <v>97k</v>
      </c>
      <c r="B833" s="7" t="str">
        <f>'Reported burning'!B833</f>
        <v>97k.1</v>
      </c>
      <c r="C833" s="7" t="str">
        <f>'Reported burning'!C833</f>
        <v>Human, deliberate</v>
      </c>
      <c r="D833" s="7" t="str">
        <f>'Reported burning'!D833</f>
        <v>Crop field preparation</v>
      </c>
      <c r="E833" s="7" t="str">
        <f>'Reported burning'!E833</f>
        <v>Cropping, Swidden</v>
      </c>
      <c r="F833" s="7" t="str">
        <f>'Reported burning'!F833</f>
        <v>Secondary Vegetation</v>
      </c>
      <c r="G833" s="7" t="str">
        <f>'Reported burning'!G833</f>
        <v>ND</v>
      </c>
      <c r="H833" s="7" t="str">
        <f>'Reported burning'!H833</f>
        <v>Presence</v>
      </c>
      <c r="I833" s="4"/>
      <c r="J833" s="22" t="s">
        <v>2308</v>
      </c>
      <c r="K833" s="110" t="s">
        <v>2407</v>
      </c>
      <c r="L833" s="22" t="s">
        <v>2308</v>
      </c>
      <c r="M833" s="110" t="s">
        <v>2407</v>
      </c>
      <c r="N833" s="22" t="s">
        <v>2308</v>
      </c>
      <c r="O833" s="110" t="s">
        <v>2407</v>
      </c>
      <c r="P833" s="22" t="s">
        <v>2308</v>
      </c>
      <c r="Q833" s="110" t="s">
        <v>2407</v>
      </c>
      <c r="R833" s="22" t="s">
        <v>2308</v>
      </c>
      <c r="S833" s="22" t="s">
        <v>2308</v>
      </c>
      <c r="T833" s="22" t="s">
        <v>2308</v>
      </c>
      <c r="U833" s="22" t="s">
        <v>2308</v>
      </c>
      <c r="V833" s="22" t="s">
        <v>2308</v>
      </c>
      <c r="W833" s="22" t="s">
        <v>2308</v>
      </c>
      <c r="X833" s="22" t="s">
        <v>2308</v>
      </c>
      <c r="Y833" s="22" t="s">
        <v>2308</v>
      </c>
      <c r="Z833" s="22" t="s">
        <v>2308</v>
      </c>
      <c r="AA833" s="5" t="s">
        <v>2655</v>
      </c>
      <c r="AB833" s="4"/>
    </row>
    <row r="834" spans="1:30" ht="43.5">
      <c r="A834" s="7" t="str">
        <f>'Reported burning'!A834</f>
        <v>97k</v>
      </c>
      <c r="B834" s="7" t="str">
        <f>'Reported burning'!B834</f>
        <v>97k.2</v>
      </c>
      <c r="C834" s="7" t="str">
        <f>'Reported burning'!C834</f>
        <v>Human, deliberate</v>
      </c>
      <c r="D834" s="7" t="str">
        <f>'Reported burning'!D834</f>
        <v>Crop field preparation</v>
      </c>
      <c r="E834" s="7" t="str">
        <f>'Reported burning'!E834</f>
        <v>Cropping, Swidden</v>
      </c>
      <c r="F834" s="7" t="str">
        <f>'Reported burning'!F834</f>
        <v>Secondary Vegetation</v>
      </c>
      <c r="G834" s="7" t="str">
        <f>'Reported burning'!G834</f>
        <v>ND</v>
      </c>
      <c r="H834" s="7" t="str">
        <f>'Reported burning'!H834</f>
        <v>Presence</v>
      </c>
      <c r="I834" s="4"/>
      <c r="J834" s="22" t="s">
        <v>2308</v>
      </c>
      <c r="K834" s="110" t="s">
        <v>2407</v>
      </c>
      <c r="L834" s="22" t="s">
        <v>2308</v>
      </c>
      <c r="M834" s="110" t="s">
        <v>2407</v>
      </c>
      <c r="N834" s="22" t="s">
        <v>2308</v>
      </c>
      <c r="O834" s="110" t="s">
        <v>2407</v>
      </c>
      <c r="P834" s="22" t="s">
        <v>2308</v>
      </c>
      <c r="Q834" s="110" t="s">
        <v>2407</v>
      </c>
      <c r="R834" s="22" t="s">
        <v>2308</v>
      </c>
      <c r="S834" s="22" t="s">
        <v>2308</v>
      </c>
      <c r="T834" s="22" t="s">
        <v>2308</v>
      </c>
      <c r="U834" s="22" t="s">
        <v>2308</v>
      </c>
      <c r="V834" s="22" t="s">
        <v>2308</v>
      </c>
      <c r="W834" s="22" t="s">
        <v>2308</v>
      </c>
      <c r="X834" s="22" t="s">
        <v>2308</v>
      </c>
      <c r="Y834" s="22" t="s">
        <v>2308</v>
      </c>
      <c r="Z834" s="22" t="s">
        <v>2308</v>
      </c>
      <c r="AA834" s="5" t="s">
        <v>2655</v>
      </c>
      <c r="AB834" s="4"/>
    </row>
    <row r="835" spans="1:30" ht="52.5" customHeight="1">
      <c r="A835" s="7" t="str">
        <f>'Reported burning'!A835</f>
        <v>98a</v>
      </c>
      <c r="B835" s="7" t="str">
        <f>'Reported burning'!B835</f>
        <v>98a.1</v>
      </c>
      <c r="C835" s="7" t="str">
        <f>'Reported burning'!C835</f>
        <v>Human, deliberate</v>
      </c>
      <c r="D835" s="7" t="str">
        <f>'Reported burning'!D835</f>
        <v>Crop field preparation</v>
      </c>
      <c r="E835" s="7" t="str">
        <f>'Reported burning'!E835</f>
        <v>Cropping, Swidden</v>
      </c>
      <c r="F835" s="7" t="str">
        <f>'Reported burning'!F835</f>
        <v>Forest</v>
      </c>
      <c r="G835" s="7" t="str">
        <f>'Reported burning'!G835</f>
        <v>ND</v>
      </c>
      <c r="H835" s="7" t="str">
        <f>'Reported burning'!H835</f>
        <v>Presence</v>
      </c>
      <c r="I835" s="4"/>
      <c r="J835" s="22" t="s">
        <v>2308</v>
      </c>
      <c r="K835" s="22" t="s">
        <v>2394</v>
      </c>
      <c r="L835" s="22" t="s">
        <v>2394</v>
      </c>
      <c r="M835" s="22" t="s">
        <v>2308</v>
      </c>
      <c r="N835" s="22" t="s">
        <v>2308</v>
      </c>
      <c r="O835" s="22" t="s">
        <v>2308</v>
      </c>
      <c r="P835" s="22" t="s">
        <v>2308</v>
      </c>
      <c r="Q835" s="22" t="s">
        <v>2394</v>
      </c>
      <c r="R835" s="22" t="s">
        <v>2394</v>
      </c>
      <c r="S835" s="22" t="s">
        <v>2308</v>
      </c>
      <c r="T835" s="22" t="s">
        <v>2308</v>
      </c>
      <c r="U835" s="22" t="s">
        <v>2308</v>
      </c>
      <c r="V835" s="22" t="s">
        <v>2308</v>
      </c>
      <c r="W835" s="22" t="s">
        <v>2308</v>
      </c>
      <c r="X835" s="22" t="s">
        <v>2308</v>
      </c>
      <c r="Y835" s="22" t="s">
        <v>2308</v>
      </c>
      <c r="Z835" s="22" t="s">
        <v>2308</v>
      </c>
      <c r="AA835" s="5" t="s">
        <v>2725</v>
      </c>
      <c r="AB835" s="4"/>
      <c r="AC835" s="131"/>
      <c r="AD835" s="131"/>
    </row>
    <row r="836" spans="1:30" ht="77" customHeight="1">
      <c r="A836" s="7" t="str">
        <f>'Reported burning'!A836</f>
        <v>98b</v>
      </c>
      <c r="B836" s="7" t="str">
        <f>'Reported burning'!B836</f>
        <v>98b.1</v>
      </c>
      <c r="C836" s="7" t="str">
        <f>'Reported burning'!C836</f>
        <v>Human, deliberate</v>
      </c>
      <c r="D836" s="7" t="str">
        <f>'Reported burning'!D836</f>
        <v>Crop field preparation</v>
      </c>
      <c r="E836" s="7" t="str">
        <f>'Reported burning'!E836</f>
        <v>Cropping, Swidden</v>
      </c>
      <c r="F836" s="7" t="str">
        <f>'Reported burning'!F836</f>
        <v>Forest</v>
      </c>
      <c r="G836" s="7" t="str">
        <f>'Reported burning'!G836</f>
        <v>ND</v>
      </c>
      <c r="H836" s="7" t="str">
        <f>'Reported burning'!H836</f>
        <v>Presence</v>
      </c>
      <c r="I836" s="4"/>
      <c r="J836" s="22" t="s">
        <v>2308</v>
      </c>
      <c r="K836" s="22" t="s">
        <v>2394</v>
      </c>
      <c r="L836" s="22" t="s">
        <v>2394</v>
      </c>
      <c r="M836" s="22" t="s">
        <v>2308</v>
      </c>
      <c r="N836" s="22" t="s">
        <v>2308</v>
      </c>
      <c r="O836" s="22" t="s">
        <v>2308</v>
      </c>
      <c r="P836" s="22" t="s">
        <v>2308</v>
      </c>
      <c r="Q836" s="22" t="s">
        <v>2394</v>
      </c>
      <c r="R836" s="22" t="s">
        <v>2394</v>
      </c>
      <c r="S836" s="22" t="s">
        <v>2308</v>
      </c>
      <c r="T836" s="22" t="s">
        <v>2308</v>
      </c>
      <c r="U836" s="22" t="s">
        <v>2560</v>
      </c>
      <c r="V836" s="22" t="s">
        <v>2308</v>
      </c>
      <c r="W836" s="22" t="s">
        <v>2308</v>
      </c>
      <c r="X836" s="22" t="s">
        <v>2308</v>
      </c>
      <c r="Y836" s="22" t="s">
        <v>2308</v>
      </c>
      <c r="Z836" s="22" t="s">
        <v>2308</v>
      </c>
      <c r="AA836" s="5" t="s">
        <v>2721</v>
      </c>
      <c r="AB836" s="4"/>
      <c r="AC836" s="131"/>
      <c r="AD836" s="131"/>
    </row>
    <row r="837" spans="1:30" ht="58" customHeight="1">
      <c r="A837" s="7" t="str">
        <f>'Reported burning'!A837</f>
        <v>98b</v>
      </c>
      <c r="B837" s="7" t="str">
        <f>'Reported burning'!B837</f>
        <v>98b.2</v>
      </c>
      <c r="C837" s="7" t="str">
        <f>'Reported burning'!C837</f>
        <v>Human, deliberate</v>
      </c>
      <c r="D837" s="7" t="str">
        <f>'Reported burning'!D837</f>
        <v>Crop field preparation</v>
      </c>
      <c r="E837" s="7" t="str">
        <f>'Reported burning'!E837</f>
        <v>Cropping, Swidden</v>
      </c>
      <c r="F837" s="7" t="str">
        <f>'Reported burning'!F837</f>
        <v>Secondary Vegetation</v>
      </c>
      <c r="G837" s="7" t="str">
        <f>'Reported burning'!G837</f>
        <v>ND</v>
      </c>
      <c r="H837" s="7" t="str">
        <f>'Reported burning'!H837</f>
        <v>Absence</v>
      </c>
      <c r="I837" s="4"/>
      <c r="J837" s="22" t="s">
        <v>2308</v>
      </c>
      <c r="K837" s="22" t="s">
        <v>2394</v>
      </c>
      <c r="L837" s="22" t="s">
        <v>2394</v>
      </c>
      <c r="M837" s="22" t="s">
        <v>2308</v>
      </c>
      <c r="N837" s="22" t="s">
        <v>2308</v>
      </c>
      <c r="O837" s="22" t="s">
        <v>2308</v>
      </c>
      <c r="P837" s="22" t="s">
        <v>2308</v>
      </c>
      <c r="Q837" s="22" t="s">
        <v>2394</v>
      </c>
      <c r="R837" s="22" t="s">
        <v>2394</v>
      </c>
      <c r="S837" s="22" t="s">
        <v>2308</v>
      </c>
      <c r="T837" s="22" t="s">
        <v>2308</v>
      </c>
      <c r="U837" s="22" t="s">
        <v>2308</v>
      </c>
      <c r="V837" s="22" t="s">
        <v>2308</v>
      </c>
      <c r="W837" s="22" t="s">
        <v>2308</v>
      </c>
      <c r="X837" s="22" t="s">
        <v>2308</v>
      </c>
      <c r="Y837" s="22" t="s">
        <v>2308</v>
      </c>
      <c r="Z837" s="22" t="s">
        <v>2308</v>
      </c>
      <c r="AA837" s="5" t="s">
        <v>2726</v>
      </c>
      <c r="AB837" s="4"/>
      <c r="AC837" s="131"/>
      <c r="AD837" s="131"/>
    </row>
    <row r="838" spans="1:30" ht="52.5" customHeight="1">
      <c r="A838" s="7" t="str">
        <f>'Reported burning'!A838</f>
        <v>98b</v>
      </c>
      <c r="B838" s="7" t="str">
        <f>'Reported burning'!B838</f>
        <v>98b.3</v>
      </c>
      <c r="C838" s="7" t="str">
        <f>'Reported burning'!C838</f>
        <v>Human, deliberate</v>
      </c>
      <c r="D838" s="7" t="str">
        <f>'Reported burning'!D838</f>
        <v>Land clearance</v>
      </c>
      <c r="E838" s="7" t="str">
        <f>'Reported burning'!E838</f>
        <v>Cropping, Swidden</v>
      </c>
      <c r="F838" s="7" t="str">
        <f>'Reported burning'!F838</f>
        <v>Forest</v>
      </c>
      <c r="G838" s="7" t="str">
        <f>'Reported burning'!G838</f>
        <v>ND</v>
      </c>
      <c r="H838" s="7" t="str">
        <f>'Reported burning'!H838</f>
        <v>Presence</v>
      </c>
      <c r="I838" s="4"/>
      <c r="J838" s="22" t="s">
        <v>2308</v>
      </c>
      <c r="K838" s="22" t="s">
        <v>2394</v>
      </c>
      <c r="L838" s="22" t="s">
        <v>2394</v>
      </c>
      <c r="M838" s="22" t="s">
        <v>2308</v>
      </c>
      <c r="N838" s="22" t="s">
        <v>2308</v>
      </c>
      <c r="O838" s="22" t="s">
        <v>2308</v>
      </c>
      <c r="P838" s="22" t="s">
        <v>2308</v>
      </c>
      <c r="Q838" s="22" t="s">
        <v>2394</v>
      </c>
      <c r="R838" s="22" t="s">
        <v>2394</v>
      </c>
      <c r="S838" s="22" t="s">
        <v>2308</v>
      </c>
      <c r="T838" s="22" t="s">
        <v>2308</v>
      </c>
      <c r="U838" s="22" t="s">
        <v>2560</v>
      </c>
      <c r="V838" s="22" t="s">
        <v>2308</v>
      </c>
      <c r="W838" s="22" t="s">
        <v>2308</v>
      </c>
      <c r="X838" s="22" t="s">
        <v>2308</v>
      </c>
      <c r="Y838" s="22" t="s">
        <v>2308</v>
      </c>
      <c r="Z838" s="22" t="s">
        <v>2308</v>
      </c>
      <c r="AA838" s="5" t="s">
        <v>2728</v>
      </c>
      <c r="AB838" s="4"/>
      <c r="AC838" s="131"/>
      <c r="AD838" s="131"/>
    </row>
    <row r="839" spans="1:30" ht="65.5" customHeight="1">
      <c r="A839" s="7" t="str">
        <f>'Reported burning'!A839</f>
        <v>98c</v>
      </c>
      <c r="B839" s="7" t="str">
        <f>'Reported burning'!B839</f>
        <v>98c.1</v>
      </c>
      <c r="C839" s="7" t="str">
        <f>'Reported burning'!C839</f>
        <v>Human, deliberate</v>
      </c>
      <c r="D839" s="7" t="str">
        <f>'Reported burning'!D839</f>
        <v>Crop field preparation</v>
      </c>
      <c r="E839" s="7" t="str">
        <f>'Reported burning'!E839</f>
        <v>Cropping, Swidden</v>
      </c>
      <c r="F839" s="7" t="str">
        <f>'Reported burning'!F839</f>
        <v>Forest</v>
      </c>
      <c r="G839" s="7" t="str">
        <f>'Reported burning'!G839</f>
        <v>ND</v>
      </c>
      <c r="H839" s="7" t="str">
        <f>'Reported burning'!H839</f>
        <v>Presence</v>
      </c>
      <c r="I839" s="4"/>
      <c r="J839" s="22" t="s">
        <v>2308</v>
      </c>
      <c r="K839" s="22" t="s">
        <v>2394</v>
      </c>
      <c r="L839" s="22" t="s">
        <v>2394</v>
      </c>
      <c r="M839" s="22" t="s">
        <v>2308</v>
      </c>
      <c r="N839" s="22" t="s">
        <v>2308</v>
      </c>
      <c r="O839" s="22" t="s">
        <v>2308</v>
      </c>
      <c r="P839" s="22" t="s">
        <v>2308</v>
      </c>
      <c r="Q839" s="22" t="s">
        <v>2394</v>
      </c>
      <c r="R839" s="22" t="s">
        <v>2394</v>
      </c>
      <c r="S839" s="22" t="s">
        <v>2308</v>
      </c>
      <c r="T839" s="22" t="s">
        <v>2308</v>
      </c>
      <c r="U839" s="22" t="s">
        <v>2308</v>
      </c>
      <c r="V839" s="22" t="s">
        <v>2308</v>
      </c>
      <c r="W839" s="22" t="s">
        <v>2434</v>
      </c>
      <c r="X839" s="22" t="s">
        <v>2308</v>
      </c>
      <c r="Y839" s="22" t="s">
        <v>2308</v>
      </c>
      <c r="Z839" s="22" t="s">
        <v>2308</v>
      </c>
      <c r="AA839" s="5" t="s">
        <v>2710</v>
      </c>
      <c r="AB839" s="4" t="s">
        <v>2709</v>
      </c>
      <c r="AC839" s="131"/>
      <c r="AD839" s="131"/>
    </row>
    <row r="840" spans="1:30" ht="64.5" customHeight="1">
      <c r="A840" s="7" t="str">
        <f>'Reported burning'!A840</f>
        <v>98d</v>
      </c>
      <c r="B840" s="7" t="str">
        <f>'Reported burning'!B840</f>
        <v>98d.1</v>
      </c>
      <c r="C840" s="7" t="str">
        <f>'Reported burning'!C840</f>
        <v>Human, deliberate</v>
      </c>
      <c r="D840" s="7" t="str">
        <f>'Reported burning'!D840</f>
        <v>Crop field preparation</v>
      </c>
      <c r="E840" s="7" t="str">
        <f>'Reported burning'!E840</f>
        <v>Cropping, Swidden</v>
      </c>
      <c r="F840" s="7" t="str">
        <f>'Reported burning'!F840</f>
        <v>Forest</v>
      </c>
      <c r="G840" s="7" t="str">
        <f>'Reported burning'!G840</f>
        <v>ND</v>
      </c>
      <c r="H840" s="7" t="str">
        <f>'Reported burning'!H840</f>
        <v>Presence</v>
      </c>
      <c r="I840" s="4"/>
      <c r="J840" s="22" t="s">
        <v>2308</v>
      </c>
      <c r="K840" s="22" t="s">
        <v>2394</v>
      </c>
      <c r="L840" s="22" t="s">
        <v>2394</v>
      </c>
      <c r="M840" s="22" t="s">
        <v>2308</v>
      </c>
      <c r="N840" s="22" t="s">
        <v>2308</v>
      </c>
      <c r="O840" s="22" t="s">
        <v>2308</v>
      </c>
      <c r="P840" s="22" t="s">
        <v>2308</v>
      </c>
      <c r="Q840" s="22" t="s">
        <v>2394</v>
      </c>
      <c r="R840" s="22" t="s">
        <v>2394</v>
      </c>
      <c r="S840" s="22" t="s">
        <v>2308</v>
      </c>
      <c r="T840" s="22" t="s">
        <v>2308</v>
      </c>
      <c r="U840" s="22" t="s">
        <v>2308</v>
      </c>
      <c r="V840" s="22" t="s">
        <v>2308</v>
      </c>
      <c r="W840" s="22" t="s">
        <v>2434</v>
      </c>
      <c r="X840" s="22" t="s">
        <v>2308</v>
      </c>
      <c r="Y840" s="22" t="s">
        <v>2308</v>
      </c>
      <c r="Z840" s="22" t="s">
        <v>2308</v>
      </c>
      <c r="AA840" s="5" t="s">
        <v>2710</v>
      </c>
      <c r="AB840" s="4" t="s">
        <v>2709</v>
      </c>
    </row>
    <row r="841" spans="1:30">
      <c r="A841" s="7" t="str">
        <f>'Reported burning'!A841</f>
        <v>99a</v>
      </c>
      <c r="B841" s="7" t="str">
        <f>'Reported burning'!B841</f>
        <v>99a.1</v>
      </c>
      <c r="C841" s="7" t="str">
        <f>'Reported burning'!C841</f>
        <v>Human, deliberate</v>
      </c>
      <c r="D841" s="7" t="str">
        <f>'Reported burning'!D841</f>
        <v>Crop field preparation</v>
      </c>
      <c r="E841" s="7" t="str">
        <f>'Reported burning'!E841</f>
        <v>Cropping, Swidden</v>
      </c>
      <c r="F841" s="7" t="str">
        <f>'Reported burning'!F841</f>
        <v>Forest</v>
      </c>
      <c r="G841" s="7" t="str">
        <f>'Reported burning'!G841</f>
        <v>ND</v>
      </c>
      <c r="H841" s="7" t="str">
        <f>'Reported burning'!H841</f>
        <v>Presence</v>
      </c>
      <c r="I841" s="4"/>
      <c r="J841" s="22" t="s">
        <v>2308</v>
      </c>
      <c r="K841" s="110" t="s">
        <v>2394</v>
      </c>
      <c r="L841" s="22" t="s">
        <v>2308</v>
      </c>
      <c r="M841" s="22" t="s">
        <v>2405</v>
      </c>
      <c r="N841" s="22" t="s">
        <v>2308</v>
      </c>
      <c r="O841" s="22" t="s">
        <v>2407</v>
      </c>
      <c r="P841" s="22" t="s">
        <v>2308</v>
      </c>
      <c r="Q841" s="22" t="s">
        <v>2308</v>
      </c>
      <c r="R841" s="22" t="s">
        <v>2308</v>
      </c>
      <c r="S841" s="22" t="s">
        <v>2308</v>
      </c>
      <c r="T841" s="22" t="s">
        <v>2308</v>
      </c>
      <c r="U841" s="22" t="s">
        <v>2308</v>
      </c>
      <c r="V841" s="22" t="s">
        <v>2308</v>
      </c>
      <c r="W841" s="22" t="s">
        <v>2308</v>
      </c>
      <c r="X841" s="22" t="s">
        <v>2308</v>
      </c>
      <c r="Y841" s="22" t="s">
        <v>2308</v>
      </c>
      <c r="Z841" s="22" t="s">
        <v>2308</v>
      </c>
      <c r="AA841" s="4"/>
      <c r="AB841" s="4" t="s">
        <v>2766</v>
      </c>
    </row>
    <row r="842" spans="1:30" ht="29">
      <c r="A842" s="7" t="str">
        <f>'Reported burning'!A842</f>
        <v>99a</v>
      </c>
      <c r="B842" s="7" t="str">
        <f>'Reported burning'!B842</f>
        <v>99a.2</v>
      </c>
      <c r="C842" s="7" t="str">
        <f>'Reported burning'!C842</f>
        <v>Human, escaped</v>
      </c>
      <c r="D842" s="7" t="str">
        <f>'Reported burning'!D842</f>
        <v>Crop field preparation</v>
      </c>
      <c r="E842" s="7" t="str">
        <f>'Reported burning'!E842</f>
        <v>Cropping, Swidden</v>
      </c>
      <c r="F842" s="7" t="str">
        <f>'Reported burning'!F842</f>
        <v>Forest</v>
      </c>
      <c r="G842" s="7" t="str">
        <f>'Reported burning'!G842</f>
        <v>Secondary Vegetation</v>
      </c>
      <c r="H842" s="7" t="str">
        <f>'Reported burning'!H842</f>
        <v>Presence</v>
      </c>
      <c r="I842" s="4"/>
      <c r="J842" s="22" t="s">
        <v>2308</v>
      </c>
      <c r="K842" s="22" t="s">
        <v>2308</v>
      </c>
      <c r="L842" s="22" t="s">
        <v>2308</v>
      </c>
      <c r="M842" s="22" t="s">
        <v>2308</v>
      </c>
      <c r="N842" s="22" t="s">
        <v>2308</v>
      </c>
      <c r="O842" s="22" t="s">
        <v>2308</v>
      </c>
      <c r="P842" s="22" t="s">
        <v>2308</v>
      </c>
      <c r="Q842" s="22" t="s">
        <v>2308</v>
      </c>
      <c r="R842" s="22" t="s">
        <v>2308</v>
      </c>
      <c r="S842" s="22" t="s">
        <v>2308</v>
      </c>
      <c r="T842" s="22" t="s">
        <v>2308</v>
      </c>
      <c r="U842" s="22" t="s">
        <v>2308</v>
      </c>
      <c r="V842" s="22" t="s">
        <v>2308</v>
      </c>
      <c r="W842" s="22" t="s">
        <v>2308</v>
      </c>
      <c r="X842" s="22" t="s">
        <v>2308</v>
      </c>
      <c r="Y842" s="22" t="s">
        <v>2308</v>
      </c>
      <c r="Z842" s="22" t="s">
        <v>2308</v>
      </c>
      <c r="AA842" s="5" t="s">
        <v>2765</v>
      </c>
      <c r="AB842" s="4"/>
    </row>
    <row r="843" spans="1:30" ht="29">
      <c r="A843" s="7" t="str">
        <f>'Reported burning'!A843</f>
        <v>99b</v>
      </c>
      <c r="B843" s="7" t="str">
        <f>'Reported burning'!B843</f>
        <v>99b.1</v>
      </c>
      <c r="C843" s="7" t="str">
        <f>'Reported burning'!C843</f>
        <v>Human, deliberate</v>
      </c>
      <c r="D843" s="7" t="str">
        <f>'Reported burning'!D843</f>
        <v>Crop field preparation</v>
      </c>
      <c r="E843" s="7" t="str">
        <f>'Reported burning'!E843</f>
        <v>Cropping, Swidden</v>
      </c>
      <c r="F843" s="7" t="str">
        <f>'Reported burning'!F843</f>
        <v>Forest</v>
      </c>
      <c r="G843" s="7" t="str">
        <f>'Reported burning'!G843</f>
        <v>ND</v>
      </c>
      <c r="H843" s="7" t="str">
        <f>'Reported burning'!H843</f>
        <v>Presence</v>
      </c>
      <c r="I843" s="4"/>
      <c r="J843" s="22" t="s">
        <v>2308</v>
      </c>
      <c r="K843" s="110" t="s">
        <v>2394</v>
      </c>
      <c r="L843" s="22" t="s">
        <v>2308</v>
      </c>
      <c r="M843" s="22" t="s">
        <v>2407</v>
      </c>
      <c r="N843" s="22" t="s">
        <v>2308</v>
      </c>
      <c r="O843" s="22" t="s">
        <v>2407</v>
      </c>
      <c r="P843" s="22" t="s">
        <v>2308</v>
      </c>
      <c r="Q843" s="22" t="s">
        <v>2308</v>
      </c>
      <c r="R843" s="22" t="s">
        <v>2308</v>
      </c>
      <c r="S843" s="22" t="s">
        <v>2308</v>
      </c>
      <c r="T843" s="22" t="s">
        <v>2308</v>
      </c>
      <c r="U843" s="22" t="s">
        <v>2308</v>
      </c>
      <c r="V843" s="22" t="s">
        <v>2308</v>
      </c>
      <c r="W843" s="22" t="s">
        <v>2308</v>
      </c>
      <c r="X843" s="22" t="s">
        <v>2308</v>
      </c>
      <c r="Y843" s="22" t="s">
        <v>2308</v>
      </c>
      <c r="Z843" s="22" t="s">
        <v>2308</v>
      </c>
      <c r="AA843" s="4"/>
      <c r="AB843" s="5" t="s">
        <v>2780</v>
      </c>
    </row>
    <row r="844" spans="1:30" ht="29">
      <c r="A844" s="7" t="str">
        <f>'Reported burning'!A844</f>
        <v>99b</v>
      </c>
      <c r="B844" s="7" t="str">
        <f>'Reported burning'!B844</f>
        <v>99b.2</v>
      </c>
      <c r="C844" s="7" t="str">
        <f>'Reported burning'!C844</f>
        <v>Human, escaped</v>
      </c>
      <c r="D844" s="7" t="str">
        <f>'Reported burning'!D844</f>
        <v>Crop field preparation</v>
      </c>
      <c r="E844" s="7" t="str">
        <f>'Reported burning'!E844</f>
        <v>Cropping, Swidden</v>
      </c>
      <c r="F844" s="7" t="str">
        <f>'Reported burning'!F844</f>
        <v>Forest</v>
      </c>
      <c r="G844" s="7" t="str">
        <f>'Reported burning'!G844</f>
        <v>Cropland</v>
      </c>
      <c r="H844" s="7" t="str">
        <f>'Reported burning'!H844</f>
        <v>Presence</v>
      </c>
      <c r="I844" s="4"/>
      <c r="J844" s="22" t="s">
        <v>2308</v>
      </c>
      <c r="K844" s="22" t="s">
        <v>2308</v>
      </c>
      <c r="L844" s="22" t="s">
        <v>2308</v>
      </c>
      <c r="M844" s="22" t="s">
        <v>2308</v>
      </c>
      <c r="N844" s="22" t="s">
        <v>2308</v>
      </c>
      <c r="O844" s="22" t="s">
        <v>2308</v>
      </c>
      <c r="P844" s="22" t="s">
        <v>2308</v>
      </c>
      <c r="Q844" s="22" t="s">
        <v>2308</v>
      </c>
      <c r="R844" s="22" t="s">
        <v>2308</v>
      </c>
      <c r="S844" s="22" t="s">
        <v>2308</v>
      </c>
      <c r="T844" s="22" t="s">
        <v>2308</v>
      </c>
      <c r="U844" s="22" t="s">
        <v>2308</v>
      </c>
      <c r="V844" s="22" t="s">
        <v>2308</v>
      </c>
      <c r="W844" s="22" t="s">
        <v>2434</v>
      </c>
      <c r="X844" s="22" t="s">
        <v>2308</v>
      </c>
      <c r="Y844" s="22" t="s">
        <v>2308</v>
      </c>
      <c r="Z844" s="22" t="s">
        <v>2308</v>
      </c>
      <c r="AA844" s="5" t="s">
        <v>2767</v>
      </c>
      <c r="AB844" s="4"/>
    </row>
    <row r="845" spans="1:30">
      <c r="A845" s="7" t="str">
        <f>'Reported burning'!A845</f>
        <v>99c</v>
      </c>
      <c r="B845" s="7" t="str">
        <f>'Reported burning'!B845</f>
        <v>99c.1</v>
      </c>
      <c r="C845" s="7" t="str">
        <f>'Reported burning'!C845</f>
        <v>Human, deliberate</v>
      </c>
      <c r="D845" s="7" t="str">
        <f>'Reported burning'!D845</f>
        <v>Crop field preparation</v>
      </c>
      <c r="E845" s="7" t="str">
        <f>'Reported burning'!E845</f>
        <v>Cropping, Swidden</v>
      </c>
      <c r="F845" s="7" t="str">
        <f>'Reported burning'!F845</f>
        <v>Forest</v>
      </c>
      <c r="G845" s="7" t="str">
        <f>'Reported burning'!G845</f>
        <v>ND</v>
      </c>
      <c r="H845" s="7" t="str">
        <f>'Reported burning'!H845</f>
        <v>Presence</v>
      </c>
      <c r="I845" s="4"/>
      <c r="J845" s="22" t="s">
        <v>2308</v>
      </c>
      <c r="K845" s="110" t="s">
        <v>2407</v>
      </c>
      <c r="L845" s="22" t="s">
        <v>2308</v>
      </c>
      <c r="M845" s="22" t="s">
        <v>2405</v>
      </c>
      <c r="N845" s="22" t="s">
        <v>2308</v>
      </c>
      <c r="O845" s="22" t="s">
        <v>2405</v>
      </c>
      <c r="P845" s="22" t="s">
        <v>2308</v>
      </c>
      <c r="Q845" s="22" t="s">
        <v>2308</v>
      </c>
      <c r="R845" s="22" t="s">
        <v>2308</v>
      </c>
      <c r="S845" s="22" t="s">
        <v>2308</v>
      </c>
      <c r="T845" s="22" t="s">
        <v>2308</v>
      </c>
      <c r="U845" s="22" t="s">
        <v>2308</v>
      </c>
      <c r="V845" s="22" t="s">
        <v>2308</v>
      </c>
      <c r="W845" s="22" t="s">
        <v>2308</v>
      </c>
      <c r="X845" s="22" t="s">
        <v>2308</v>
      </c>
      <c r="Y845" s="22" t="s">
        <v>2308</v>
      </c>
      <c r="Z845" s="22" t="s">
        <v>2308</v>
      </c>
      <c r="AA845" s="4"/>
      <c r="AB845" s="4" t="s">
        <v>2766</v>
      </c>
    </row>
    <row r="846" spans="1:30">
      <c r="A846" s="7" t="str">
        <f>'Reported burning'!A846</f>
        <v>99c</v>
      </c>
      <c r="B846" s="7" t="str">
        <f>'Reported burning'!B846</f>
        <v>99c.2</v>
      </c>
      <c r="C846" s="7" t="str">
        <f>'Reported burning'!C846</f>
        <v>Human, deliberate</v>
      </c>
      <c r="D846" s="7" t="str">
        <f>'Reported burning'!D846</f>
        <v>Crop field preparation</v>
      </c>
      <c r="E846" s="7" t="str">
        <f>'Reported burning'!E846</f>
        <v>Cropping, Intensive</v>
      </c>
      <c r="F846" s="7" t="str">
        <f>'Reported burning'!F846</f>
        <v>Forest</v>
      </c>
      <c r="G846" s="7" t="str">
        <f>'Reported burning'!G846</f>
        <v>ND</v>
      </c>
      <c r="H846" s="7" t="str">
        <f>'Reported burning'!H846</f>
        <v>Presence</v>
      </c>
      <c r="I846" s="4"/>
      <c r="J846" s="22" t="s">
        <v>2308</v>
      </c>
      <c r="K846" s="22" t="s">
        <v>2308</v>
      </c>
      <c r="L846" s="22" t="s">
        <v>2308</v>
      </c>
      <c r="M846" s="22" t="s">
        <v>2308</v>
      </c>
      <c r="N846" s="22" t="s">
        <v>2308</v>
      </c>
      <c r="O846" s="22" t="s">
        <v>2308</v>
      </c>
      <c r="P846" s="22" t="s">
        <v>2308</v>
      </c>
      <c r="Q846" s="22" t="s">
        <v>2308</v>
      </c>
      <c r="R846" s="22" t="s">
        <v>2308</v>
      </c>
      <c r="S846" s="22" t="s">
        <v>2308</v>
      </c>
      <c r="T846" s="22" t="s">
        <v>2308</v>
      </c>
      <c r="U846" s="22" t="s">
        <v>2308</v>
      </c>
      <c r="V846" s="22" t="s">
        <v>2308</v>
      </c>
      <c r="W846" s="22" t="s">
        <v>2308</v>
      </c>
      <c r="X846" s="22" t="s">
        <v>2308</v>
      </c>
      <c r="Y846" s="22" t="s">
        <v>2308</v>
      </c>
      <c r="Z846" s="22" t="s">
        <v>2308</v>
      </c>
      <c r="AA846" s="4"/>
      <c r="AB846" s="4"/>
    </row>
    <row r="847" spans="1:30">
      <c r="A847" s="7" t="str">
        <f>'Reported burning'!A847</f>
        <v>99c</v>
      </c>
      <c r="B847" s="7" t="str">
        <f>'Reported burning'!B847</f>
        <v>99c.3</v>
      </c>
      <c r="C847" s="7" t="str">
        <f>'Reported burning'!C847</f>
        <v>Human, deliberate</v>
      </c>
      <c r="D847" s="7" t="str">
        <f>'Reported burning'!D847</f>
        <v>Forest clearance</v>
      </c>
      <c r="E847" s="7" t="str">
        <f>'Reported burning'!E847</f>
        <v>Cropping, Intensive</v>
      </c>
      <c r="F847" s="7" t="str">
        <f>'Reported burning'!F847</f>
        <v>Forest</v>
      </c>
      <c r="G847" s="7" t="str">
        <f>'Reported burning'!G847</f>
        <v>ND</v>
      </c>
      <c r="H847" s="7" t="str">
        <f>'Reported burning'!H847</f>
        <v>Presence</v>
      </c>
      <c r="I847" s="4"/>
      <c r="J847" s="22" t="s">
        <v>2308</v>
      </c>
      <c r="K847" s="22" t="s">
        <v>2308</v>
      </c>
      <c r="L847" s="22" t="s">
        <v>2308</v>
      </c>
      <c r="M847" s="22" t="s">
        <v>2308</v>
      </c>
      <c r="N847" s="22" t="s">
        <v>2308</v>
      </c>
      <c r="O847" s="22" t="s">
        <v>2308</v>
      </c>
      <c r="P847" s="22" t="s">
        <v>2308</v>
      </c>
      <c r="Q847" s="22" t="s">
        <v>2308</v>
      </c>
      <c r="R847" s="22" t="s">
        <v>2308</v>
      </c>
      <c r="S847" s="22" t="s">
        <v>2308</v>
      </c>
      <c r="T847" s="22" t="s">
        <v>2308</v>
      </c>
      <c r="U847" s="22" t="s">
        <v>2308</v>
      </c>
      <c r="V847" s="22" t="s">
        <v>2308</v>
      </c>
      <c r="W847" s="22" t="s">
        <v>2308</v>
      </c>
      <c r="X847" s="22" t="s">
        <v>2308</v>
      </c>
      <c r="Y847" s="22" t="s">
        <v>2308</v>
      </c>
      <c r="Z847" s="22" t="s">
        <v>2308</v>
      </c>
      <c r="AA847" s="4"/>
      <c r="AB847" s="4"/>
    </row>
    <row r="848" spans="1:30" ht="29">
      <c r="A848" s="7" t="str">
        <f>'Reported burning'!A848</f>
        <v>99c</v>
      </c>
      <c r="B848" s="7" t="str">
        <f>'Reported burning'!B848</f>
        <v>99c.4</v>
      </c>
      <c r="C848" s="7" t="str">
        <f>'Reported burning'!C848</f>
        <v>Human, escaped</v>
      </c>
      <c r="D848" s="7" t="str">
        <f>'Reported burning'!D848</f>
        <v>Forest clearance</v>
      </c>
      <c r="E848" s="7" t="str">
        <f>'Reported burning'!E848</f>
        <v>Cropping, Intensive</v>
      </c>
      <c r="F848" s="7" t="str">
        <f>'Reported burning'!F848</f>
        <v>Forest</v>
      </c>
      <c r="G848" s="7" t="str">
        <f>'Reported burning'!G848</f>
        <v>Cropland</v>
      </c>
      <c r="H848" s="7" t="str">
        <f>'Reported burning'!H848</f>
        <v>Presence</v>
      </c>
      <c r="I848" s="4"/>
      <c r="J848" s="22" t="s">
        <v>2308</v>
      </c>
      <c r="K848" s="22" t="s">
        <v>2308</v>
      </c>
      <c r="L848" s="22" t="s">
        <v>2308</v>
      </c>
      <c r="M848" s="22" t="s">
        <v>2308</v>
      </c>
      <c r="N848" s="22" t="s">
        <v>2308</v>
      </c>
      <c r="O848" s="22" t="s">
        <v>2308</v>
      </c>
      <c r="P848" s="22" t="s">
        <v>2308</v>
      </c>
      <c r="Q848" s="22" t="s">
        <v>2308</v>
      </c>
      <c r="R848" s="22" t="s">
        <v>2308</v>
      </c>
      <c r="S848" s="22" t="s">
        <v>2308</v>
      </c>
      <c r="T848" s="22" t="s">
        <v>2308</v>
      </c>
      <c r="U848" s="22" t="s">
        <v>2308</v>
      </c>
      <c r="V848" s="22" t="s">
        <v>2308</v>
      </c>
      <c r="W848" s="22" t="s">
        <v>2407</v>
      </c>
      <c r="X848" s="22" t="s">
        <v>2308</v>
      </c>
      <c r="Y848" s="22" t="s">
        <v>2308</v>
      </c>
      <c r="Z848" s="22" t="s">
        <v>2308</v>
      </c>
      <c r="AA848" s="5" t="s">
        <v>2764</v>
      </c>
      <c r="AB848" s="4"/>
    </row>
    <row r="849" spans="1:28" ht="32" customHeight="1">
      <c r="A849" s="7" t="str">
        <f>'Reported burning'!A849</f>
        <v>99d</v>
      </c>
      <c r="B849" s="7" t="str">
        <f>'Reported burning'!B849</f>
        <v>99d.1</v>
      </c>
      <c r="C849" s="7" t="str">
        <f>'Reported burning'!C849</f>
        <v>Human, escaped</v>
      </c>
      <c r="D849" s="7" t="str">
        <f>'Reported burning'!D849</f>
        <v>All</v>
      </c>
      <c r="E849" s="7" t="str">
        <f>'Reported burning'!E849</f>
        <v>All</v>
      </c>
      <c r="F849" s="7" t="str">
        <f>'Reported burning'!F849</f>
        <v>ND</v>
      </c>
      <c r="G849" s="7" t="str">
        <f>'Reported burning'!G849</f>
        <v>Forest</v>
      </c>
      <c r="H849" s="7" t="str">
        <f>'Reported burning'!H849</f>
        <v>Presence</v>
      </c>
      <c r="I849" s="4"/>
      <c r="J849" s="22" t="s">
        <v>2308</v>
      </c>
      <c r="K849" s="22" t="s">
        <v>2308</v>
      </c>
      <c r="L849" s="22" t="s">
        <v>2308</v>
      </c>
      <c r="M849" s="22" t="s">
        <v>2308</v>
      </c>
      <c r="N849" s="22" t="s">
        <v>2308</v>
      </c>
      <c r="O849" s="22" t="s">
        <v>2308</v>
      </c>
      <c r="P849" s="22" t="s">
        <v>2308</v>
      </c>
      <c r="Q849" s="22" t="s">
        <v>2308</v>
      </c>
      <c r="R849" s="22" t="s">
        <v>2308</v>
      </c>
      <c r="S849" s="22" t="s">
        <v>2308</v>
      </c>
      <c r="T849" s="22" t="s">
        <v>2308</v>
      </c>
      <c r="U849" s="22" t="s">
        <v>2308</v>
      </c>
      <c r="V849" s="22" t="s">
        <v>2308</v>
      </c>
      <c r="W849" s="22" t="s">
        <v>2308</v>
      </c>
      <c r="X849" s="22" t="s">
        <v>2308</v>
      </c>
      <c r="Y849" s="22" t="s">
        <v>2308</v>
      </c>
      <c r="Z849" s="22" t="s">
        <v>2308</v>
      </c>
      <c r="AA849" s="4"/>
      <c r="AB849" s="4"/>
    </row>
    <row r="850" spans="1:28" ht="26.5" customHeight="1">
      <c r="A850" s="7" t="str">
        <f>'Reported burning'!A850</f>
        <v>100a</v>
      </c>
      <c r="B850" s="7" t="str">
        <f>'Reported burning'!B850</f>
        <v>100a.1</v>
      </c>
      <c r="C850" s="7" t="str">
        <f>'Reported burning'!C850</f>
        <v>Human, accidental</v>
      </c>
      <c r="D850" s="7" t="str">
        <f>'Reported burning'!D850</f>
        <v>All</v>
      </c>
      <c r="E850" s="7" t="str">
        <f>'Reported burning'!E850</f>
        <v>All</v>
      </c>
      <c r="F850" s="7" t="str">
        <f>'Reported burning'!F850</f>
        <v>ND</v>
      </c>
      <c r="G850" s="7" t="str">
        <f>'Reported burning'!G850</f>
        <v>Forest</v>
      </c>
      <c r="H850" s="7" t="str">
        <f>'Reported burning'!H850</f>
        <v>Presence</v>
      </c>
      <c r="I850" s="4"/>
      <c r="J850" s="22" t="s">
        <v>2308</v>
      </c>
      <c r="K850" s="22" t="s">
        <v>2308</v>
      </c>
      <c r="L850" s="22" t="s">
        <v>2308</v>
      </c>
      <c r="M850" s="22" t="s">
        <v>2308</v>
      </c>
      <c r="N850" s="22" t="s">
        <v>2308</v>
      </c>
      <c r="O850" s="22" t="s">
        <v>2308</v>
      </c>
      <c r="P850" s="22" t="s">
        <v>2308</v>
      </c>
      <c r="Q850" s="22" t="s">
        <v>2308</v>
      </c>
      <c r="R850" s="22" t="s">
        <v>2308</v>
      </c>
      <c r="S850" s="22" t="s">
        <v>2308</v>
      </c>
      <c r="T850" s="22" t="s">
        <v>2308</v>
      </c>
      <c r="U850" s="22" t="s">
        <v>2308</v>
      </c>
      <c r="V850" s="22" t="s">
        <v>2308</v>
      </c>
      <c r="W850" s="22" t="s">
        <v>2308</v>
      </c>
      <c r="X850" s="22" t="s">
        <v>2308</v>
      </c>
      <c r="Y850" s="22" t="s">
        <v>2308</v>
      </c>
      <c r="Z850" s="22" t="s">
        <v>2308</v>
      </c>
      <c r="AA850" s="4"/>
      <c r="AB850" s="4"/>
    </row>
    <row r="851" spans="1:28" ht="36.5" customHeight="1">
      <c r="A851" s="7" t="str">
        <f>'Reported burning'!A851</f>
        <v>101a</v>
      </c>
      <c r="B851" s="7" t="str">
        <f>'Reported burning'!B851</f>
        <v>101a.1</v>
      </c>
      <c r="C851" s="7" t="str">
        <f>'Reported burning'!C851</f>
        <v>Human, deliberate</v>
      </c>
      <c r="D851" s="7" t="str">
        <f>'Reported burning'!D851</f>
        <v>Crop field preparation</v>
      </c>
      <c r="E851" s="7" t="str">
        <f>'Reported burning'!E851</f>
        <v>Cropping, Swidden</v>
      </c>
      <c r="F851" s="7" t="str">
        <f>'Reported burning'!F851</f>
        <v>Secondary Vegetation</v>
      </c>
      <c r="G851" s="7" t="str">
        <f>'Reported burning'!G851</f>
        <v>ND</v>
      </c>
      <c r="H851" s="7" t="str">
        <f>'Reported burning'!H851</f>
        <v>Presence</v>
      </c>
      <c r="I851" s="4"/>
      <c r="J851" s="22" t="s">
        <v>2308</v>
      </c>
      <c r="K851" s="110" t="s">
        <v>2394</v>
      </c>
      <c r="L851" s="22" t="s">
        <v>2308</v>
      </c>
      <c r="M851" s="22" t="s">
        <v>2405</v>
      </c>
      <c r="N851" s="22" t="s">
        <v>2308</v>
      </c>
      <c r="O851" s="22" t="s">
        <v>2394</v>
      </c>
      <c r="P851" s="22" t="s">
        <v>2308</v>
      </c>
      <c r="Q851" s="22" t="s">
        <v>2394</v>
      </c>
      <c r="R851" s="22" t="s">
        <v>2308</v>
      </c>
      <c r="S851" s="22" t="s">
        <v>2308</v>
      </c>
      <c r="T851" s="22" t="s">
        <v>2308</v>
      </c>
      <c r="U851" s="22" t="s">
        <v>2308</v>
      </c>
      <c r="V851" s="22" t="s">
        <v>2308</v>
      </c>
      <c r="W851" s="22" t="s">
        <v>2434</v>
      </c>
      <c r="X851" s="22" t="s">
        <v>2308</v>
      </c>
      <c r="Y851" s="22" t="s">
        <v>2308</v>
      </c>
      <c r="Z851" s="22" t="s">
        <v>2308</v>
      </c>
      <c r="AA851" s="4"/>
      <c r="AB851" s="4" t="s">
        <v>2793</v>
      </c>
    </row>
    <row r="852" spans="1:28" ht="37" customHeight="1">
      <c r="A852" s="7" t="str">
        <f>'Reported burning'!A852</f>
        <v>101b</v>
      </c>
      <c r="B852" s="7" t="str">
        <f>'Reported burning'!B852</f>
        <v>101b.1</v>
      </c>
      <c r="C852" s="7" t="str">
        <f>'Reported burning'!C852</f>
        <v>Human, deliberate</v>
      </c>
      <c r="D852" s="7" t="str">
        <f>'Reported burning'!D852</f>
        <v>Crop field preparation</v>
      </c>
      <c r="E852" s="7" t="str">
        <f>'Reported burning'!E852</f>
        <v>Cropping, Swidden</v>
      </c>
      <c r="F852" s="7" t="str">
        <f>'Reported burning'!F852</f>
        <v>Secondary Vegetation</v>
      </c>
      <c r="G852" s="7" t="str">
        <f>'Reported burning'!G852</f>
        <v>ND</v>
      </c>
      <c r="H852" s="7" t="str">
        <f>'Reported burning'!H852</f>
        <v>Presence</v>
      </c>
      <c r="I852" s="4"/>
      <c r="J852" s="22" t="s">
        <v>2308</v>
      </c>
      <c r="K852" s="22" t="s">
        <v>2308</v>
      </c>
      <c r="L852" s="22" t="s">
        <v>2308</v>
      </c>
      <c r="M852" s="22" t="s">
        <v>2308</v>
      </c>
      <c r="N852" s="22" t="s">
        <v>2308</v>
      </c>
      <c r="O852" s="22" t="s">
        <v>2308</v>
      </c>
      <c r="P852" s="22" t="s">
        <v>2308</v>
      </c>
      <c r="Q852" s="22" t="s">
        <v>2308</v>
      </c>
      <c r="R852" s="22" t="s">
        <v>2308</v>
      </c>
      <c r="S852" s="22" t="s">
        <v>2308</v>
      </c>
      <c r="T852" s="22" t="s">
        <v>2308</v>
      </c>
      <c r="U852" s="22" t="s">
        <v>2308</v>
      </c>
      <c r="V852" s="22" t="s">
        <v>2308</v>
      </c>
      <c r="W852" s="22" t="s">
        <v>2435</v>
      </c>
      <c r="X852" s="22" t="s">
        <v>2308</v>
      </c>
      <c r="Y852" s="22" t="s">
        <v>2308</v>
      </c>
      <c r="Z852" s="22" t="s">
        <v>2308</v>
      </c>
      <c r="AA852" s="4"/>
      <c r="AB852" s="4" t="s">
        <v>2794</v>
      </c>
    </row>
    <row r="853" spans="1:28" ht="30" customHeight="1">
      <c r="A853" s="7" t="str">
        <f>'Reported burning'!A853</f>
        <v>102a</v>
      </c>
      <c r="B853" s="7" t="str">
        <f>'Reported burning'!B853</f>
        <v>102a.1</v>
      </c>
      <c r="C853" s="7" t="str">
        <f>'Reported burning'!C853</f>
        <v>Human, deliberate</v>
      </c>
      <c r="D853" s="7" t="str">
        <f>'Reported burning'!D853</f>
        <v>Crop field preparation</v>
      </c>
      <c r="E853" s="7" t="str">
        <f>'Reported burning'!E853</f>
        <v>Cropping, Swidden</v>
      </c>
      <c r="F853" s="7" t="str">
        <f>'Reported burning'!F853</f>
        <v>Secondary Vegetation</v>
      </c>
      <c r="G853" s="7" t="str">
        <f>'Reported burning'!G853</f>
        <v>ND</v>
      </c>
      <c r="H853" s="7" t="str">
        <f>'Reported burning'!H853</f>
        <v>Presence</v>
      </c>
      <c r="I853" s="4"/>
      <c r="J853" s="22" t="s">
        <v>2308</v>
      </c>
      <c r="K853" s="22" t="s">
        <v>2308</v>
      </c>
      <c r="L853" s="22" t="s">
        <v>2308</v>
      </c>
      <c r="M853" s="22" t="s">
        <v>2308</v>
      </c>
      <c r="N853" s="22" t="s">
        <v>2308</v>
      </c>
      <c r="O853" s="22" t="s">
        <v>2308</v>
      </c>
      <c r="P853" s="22" t="s">
        <v>2308</v>
      </c>
      <c r="Q853" s="22" t="s">
        <v>2308</v>
      </c>
      <c r="R853" s="22" t="s">
        <v>2308</v>
      </c>
      <c r="S853" s="22" t="s">
        <v>2308</v>
      </c>
      <c r="T853" s="22" t="s">
        <v>2308</v>
      </c>
      <c r="U853" s="22" t="s">
        <v>2308</v>
      </c>
      <c r="V853" s="22" t="s">
        <v>2308</v>
      </c>
      <c r="W853" s="22" t="s">
        <v>2308</v>
      </c>
      <c r="X853" s="4" t="s">
        <v>68</v>
      </c>
      <c r="Y853" s="4" t="s">
        <v>68</v>
      </c>
      <c r="Z853" s="4" t="s">
        <v>64</v>
      </c>
      <c r="AA853" s="4"/>
      <c r="AB853" s="4"/>
    </row>
    <row r="854" spans="1:28" ht="43.5">
      <c r="A854" s="7" t="str">
        <f>'Reported burning'!A854</f>
        <v>103a</v>
      </c>
      <c r="B854" s="7" t="str">
        <f>'Reported burning'!B854</f>
        <v>103a.1</v>
      </c>
      <c r="C854" s="7" t="str">
        <f>'Reported burning'!C854</f>
        <v>Human, deliberate</v>
      </c>
      <c r="D854" s="7" t="str">
        <f>'Reported burning'!D854</f>
        <v>Crop field preparation</v>
      </c>
      <c r="E854" s="7" t="str">
        <f>'Reported burning'!E854</f>
        <v>Cropping, Swidden</v>
      </c>
      <c r="F854" s="7" t="str">
        <f>'Reported burning'!F854</f>
        <v>Cropland</v>
      </c>
      <c r="G854" s="7" t="str">
        <f>'Reported burning'!G854</f>
        <v>ND</v>
      </c>
      <c r="H854" s="7" t="str">
        <f>'Reported burning'!H854</f>
        <v>Presence</v>
      </c>
      <c r="I854" s="4"/>
      <c r="J854" s="22" t="s">
        <v>2308</v>
      </c>
      <c r="K854" s="22" t="s">
        <v>2394</v>
      </c>
      <c r="L854" s="22" t="s">
        <v>2308</v>
      </c>
      <c r="M854" s="22" t="s">
        <v>2407</v>
      </c>
      <c r="N854" s="22" t="s">
        <v>2308</v>
      </c>
      <c r="O854" s="22" t="s">
        <v>2394</v>
      </c>
      <c r="P854" s="22" t="s">
        <v>2308</v>
      </c>
      <c r="Q854" s="22" t="s">
        <v>2394</v>
      </c>
      <c r="R854" s="22" t="s">
        <v>2308</v>
      </c>
      <c r="S854" s="22" t="s">
        <v>2426</v>
      </c>
      <c r="T854" s="22" t="s">
        <v>2308</v>
      </c>
      <c r="U854" s="22" t="s">
        <v>2308</v>
      </c>
      <c r="V854" s="22" t="s">
        <v>2308</v>
      </c>
      <c r="W854" s="22" t="s">
        <v>2407</v>
      </c>
      <c r="X854" s="80" t="s">
        <v>412</v>
      </c>
      <c r="Y854" s="80" t="s">
        <v>412</v>
      </c>
      <c r="Z854" s="80" t="s">
        <v>64</v>
      </c>
      <c r="AA854" s="4"/>
      <c r="AB854" s="5" t="s">
        <v>2822</v>
      </c>
    </row>
    <row r="855" spans="1:28" ht="43.5">
      <c r="A855" s="7" t="str">
        <f>'Reported burning'!A855</f>
        <v>103b</v>
      </c>
      <c r="B855" s="7" t="str">
        <f>'Reported burning'!B855</f>
        <v>103b.1</v>
      </c>
      <c r="C855" s="7" t="str">
        <f>'Reported burning'!C855</f>
        <v>Human, deliberate</v>
      </c>
      <c r="D855" s="7" t="str">
        <f>'Reported burning'!D855</f>
        <v>Crop field preparation</v>
      </c>
      <c r="E855" s="7" t="str">
        <f>'Reported burning'!E855</f>
        <v>Cropping, Swidden</v>
      </c>
      <c r="F855" s="7" t="str">
        <f>'Reported burning'!F855</f>
        <v>Cropland</v>
      </c>
      <c r="G855" s="7" t="str">
        <f>'Reported burning'!G855</f>
        <v>ND</v>
      </c>
      <c r="H855" s="7" t="str">
        <f>'Reported burning'!H855</f>
        <v>Presence</v>
      </c>
      <c r="I855" s="4"/>
      <c r="J855" s="22" t="s">
        <v>2308</v>
      </c>
      <c r="K855" s="22" t="s">
        <v>2394</v>
      </c>
      <c r="L855" s="22" t="s">
        <v>2308</v>
      </c>
      <c r="M855" s="22" t="s">
        <v>2407</v>
      </c>
      <c r="N855" s="22" t="s">
        <v>2308</v>
      </c>
      <c r="O855" s="22" t="s">
        <v>2394</v>
      </c>
      <c r="P855" s="22" t="s">
        <v>2308</v>
      </c>
      <c r="Q855" s="22" t="s">
        <v>2394</v>
      </c>
      <c r="R855" s="22" t="s">
        <v>2308</v>
      </c>
      <c r="S855" s="22" t="s">
        <v>2424</v>
      </c>
      <c r="T855" s="22" t="s">
        <v>2308</v>
      </c>
      <c r="U855" s="22" t="s">
        <v>2308</v>
      </c>
      <c r="V855" s="22" t="s">
        <v>2308</v>
      </c>
      <c r="W855" s="22" t="s">
        <v>2407</v>
      </c>
      <c r="X855" s="80" t="s">
        <v>412</v>
      </c>
      <c r="Y855" s="80" t="s">
        <v>412</v>
      </c>
      <c r="Z855" s="80" t="s">
        <v>64</v>
      </c>
      <c r="AA855" s="4"/>
      <c r="AB855" s="5" t="s">
        <v>2822</v>
      </c>
    </row>
    <row r="856" spans="1:28" ht="43.5">
      <c r="A856" s="7" t="str">
        <f>'Reported burning'!A856</f>
        <v>103c</v>
      </c>
      <c r="B856" s="7" t="str">
        <f>'Reported burning'!B856</f>
        <v>103c.1</v>
      </c>
      <c r="C856" s="7" t="str">
        <f>'Reported burning'!C856</f>
        <v>Human, deliberate</v>
      </c>
      <c r="D856" s="7" t="str">
        <f>'Reported burning'!D856</f>
        <v>Crop field preparation</v>
      </c>
      <c r="E856" s="7" t="str">
        <f>'Reported burning'!E856</f>
        <v>Cropping, Swidden</v>
      </c>
      <c r="F856" s="7" t="str">
        <f>'Reported burning'!F856</f>
        <v>Cropland</v>
      </c>
      <c r="G856" s="7" t="str">
        <f>'Reported burning'!G856</f>
        <v>ND</v>
      </c>
      <c r="H856" s="7" t="str">
        <f>'Reported burning'!H856</f>
        <v>Presence</v>
      </c>
      <c r="I856" s="4"/>
      <c r="J856" s="22" t="s">
        <v>2308</v>
      </c>
      <c r="K856" s="22" t="s">
        <v>2394</v>
      </c>
      <c r="L856" s="22" t="s">
        <v>2308</v>
      </c>
      <c r="M856" s="22" t="s">
        <v>2407</v>
      </c>
      <c r="N856" s="22" t="s">
        <v>2308</v>
      </c>
      <c r="O856" s="22" t="s">
        <v>2394</v>
      </c>
      <c r="P856" s="22" t="s">
        <v>2308</v>
      </c>
      <c r="Q856" s="22" t="s">
        <v>2394</v>
      </c>
      <c r="R856" s="22" t="s">
        <v>2308</v>
      </c>
      <c r="S856" s="22" t="s">
        <v>2425</v>
      </c>
      <c r="T856" s="22" t="s">
        <v>2308</v>
      </c>
      <c r="U856" s="22" t="s">
        <v>2308</v>
      </c>
      <c r="V856" s="22" t="s">
        <v>2308</v>
      </c>
      <c r="W856" s="22" t="s">
        <v>2407</v>
      </c>
      <c r="X856" s="80" t="s">
        <v>412</v>
      </c>
      <c r="Y856" s="80" t="s">
        <v>412</v>
      </c>
      <c r="Z856" s="80" t="s">
        <v>64</v>
      </c>
      <c r="AA856" s="4"/>
      <c r="AB856" s="5" t="s">
        <v>2822</v>
      </c>
    </row>
    <row r="857" spans="1:28" ht="43.5">
      <c r="A857" s="7" t="str">
        <f>'Reported burning'!A857</f>
        <v>103d</v>
      </c>
      <c r="B857" s="7" t="str">
        <f>'Reported burning'!B857</f>
        <v>103d.1</v>
      </c>
      <c r="C857" s="7" t="str">
        <f>'Reported burning'!C857</f>
        <v>Human, deliberate</v>
      </c>
      <c r="D857" s="7" t="str">
        <f>'Reported burning'!D857</f>
        <v>Crop field preparation</v>
      </c>
      <c r="E857" s="7" t="str">
        <f>'Reported burning'!E857</f>
        <v>Cropping, Swidden</v>
      </c>
      <c r="F857" s="7" t="str">
        <f>'Reported burning'!F857</f>
        <v>Cropland</v>
      </c>
      <c r="G857" s="7" t="str">
        <f>'Reported burning'!G857</f>
        <v>ND</v>
      </c>
      <c r="H857" s="7" t="str">
        <f>'Reported burning'!H857</f>
        <v>Presence</v>
      </c>
      <c r="I857" s="4"/>
      <c r="J857" s="22" t="s">
        <v>2308</v>
      </c>
      <c r="K857" s="22" t="s">
        <v>2394</v>
      </c>
      <c r="L857" s="22" t="s">
        <v>2308</v>
      </c>
      <c r="M857" s="22" t="s">
        <v>2407</v>
      </c>
      <c r="N857" s="22" t="s">
        <v>2308</v>
      </c>
      <c r="O857" s="22" t="s">
        <v>2394</v>
      </c>
      <c r="P857" s="22" t="s">
        <v>2308</v>
      </c>
      <c r="Q857" s="22" t="s">
        <v>2394</v>
      </c>
      <c r="R857" s="22" t="s">
        <v>2308</v>
      </c>
      <c r="S857" s="22" t="s">
        <v>2422</v>
      </c>
      <c r="T857" s="22" t="s">
        <v>2308</v>
      </c>
      <c r="U857" s="22" t="s">
        <v>2308</v>
      </c>
      <c r="V857" s="22" t="s">
        <v>2308</v>
      </c>
      <c r="W857" s="22" t="s">
        <v>2407</v>
      </c>
      <c r="X857" s="80" t="s">
        <v>412</v>
      </c>
      <c r="Y857" s="80" t="s">
        <v>412</v>
      </c>
      <c r="Z857" s="80" t="s">
        <v>64</v>
      </c>
      <c r="AA857" s="4"/>
      <c r="AB857" s="5" t="s">
        <v>2822</v>
      </c>
    </row>
    <row r="858" spans="1:28" ht="43.5">
      <c r="A858" s="7" t="str">
        <f>'Reported burning'!A858</f>
        <v>103e</v>
      </c>
      <c r="B858" s="7" t="str">
        <f>'Reported burning'!B858</f>
        <v>103e.1</v>
      </c>
      <c r="C858" s="7" t="str">
        <f>'Reported burning'!C858</f>
        <v>Human, deliberate</v>
      </c>
      <c r="D858" s="7" t="str">
        <f>'Reported burning'!D858</f>
        <v>Crop field preparation</v>
      </c>
      <c r="E858" s="7" t="str">
        <f>'Reported burning'!E858</f>
        <v>Cropping, Swidden</v>
      </c>
      <c r="F858" s="7" t="str">
        <f>'Reported burning'!F858</f>
        <v>Cropland</v>
      </c>
      <c r="G858" s="7" t="str">
        <f>'Reported burning'!G858</f>
        <v>ND</v>
      </c>
      <c r="H858" s="7" t="str">
        <f>'Reported burning'!H858</f>
        <v>Presence</v>
      </c>
      <c r="I858" s="4"/>
      <c r="J858" s="22" t="s">
        <v>2308</v>
      </c>
      <c r="K858" s="22" t="s">
        <v>2394</v>
      </c>
      <c r="L858" s="22" t="s">
        <v>2308</v>
      </c>
      <c r="M858" s="22" t="s">
        <v>2407</v>
      </c>
      <c r="N858" s="22" t="s">
        <v>2308</v>
      </c>
      <c r="O858" s="22" t="s">
        <v>2394</v>
      </c>
      <c r="P858" s="22" t="s">
        <v>2308</v>
      </c>
      <c r="Q858" s="22" t="s">
        <v>2394</v>
      </c>
      <c r="R858" s="22" t="s">
        <v>2308</v>
      </c>
      <c r="S858" s="22" t="s">
        <v>2421</v>
      </c>
      <c r="T858" s="22" t="s">
        <v>2308</v>
      </c>
      <c r="U858" s="22" t="s">
        <v>2308</v>
      </c>
      <c r="V858" s="22" t="s">
        <v>2308</v>
      </c>
      <c r="W858" s="22" t="s">
        <v>2407</v>
      </c>
      <c r="X858" s="80" t="s">
        <v>412</v>
      </c>
      <c r="Y858" s="80" t="s">
        <v>412</v>
      </c>
      <c r="Z858" s="80" t="s">
        <v>64</v>
      </c>
      <c r="AA858" s="4"/>
      <c r="AB858" s="5" t="s">
        <v>2822</v>
      </c>
    </row>
    <row r="859" spans="1:28" ht="34.5" customHeight="1">
      <c r="A859" s="7" t="str">
        <f>'Reported burning'!A859</f>
        <v>104a</v>
      </c>
      <c r="B859" s="7" t="str">
        <f>'Reported burning'!B859</f>
        <v>104a.1</v>
      </c>
      <c r="C859" s="7" t="str">
        <f>'Reported burning'!C859</f>
        <v>Human, deliberate</v>
      </c>
      <c r="D859" s="7" t="str">
        <f>'Reported burning'!D859</f>
        <v>Rangeland management</v>
      </c>
      <c r="E859" s="7" t="str">
        <f>'Reported burning'!E859</f>
        <v>Pastoralism, Migratory</v>
      </c>
      <c r="F859" s="7" t="str">
        <f>'Reported burning'!F859</f>
        <v>Grassland</v>
      </c>
      <c r="G859" s="7" t="str">
        <f>'Reported burning'!G859</f>
        <v>ND</v>
      </c>
      <c r="H859" s="7" t="str">
        <f>'Reported burning'!H859</f>
        <v>Absence</v>
      </c>
      <c r="I859" s="4"/>
      <c r="J859" s="22" t="s">
        <v>2308</v>
      </c>
      <c r="K859" s="22" t="s">
        <v>2308</v>
      </c>
      <c r="L859" s="22" t="s">
        <v>2308</v>
      </c>
      <c r="M859" s="22" t="s">
        <v>2308</v>
      </c>
      <c r="N859" s="22" t="s">
        <v>2308</v>
      </c>
      <c r="O859" s="22" t="s">
        <v>2308</v>
      </c>
      <c r="P859" s="22" t="s">
        <v>2308</v>
      </c>
      <c r="Q859" s="22" t="s">
        <v>2308</v>
      </c>
      <c r="R859" s="22" t="s">
        <v>2308</v>
      </c>
      <c r="S859" s="22" t="s">
        <v>2308</v>
      </c>
      <c r="T859" s="22" t="s">
        <v>2308</v>
      </c>
      <c r="U859" s="22" t="s">
        <v>2308</v>
      </c>
      <c r="V859" s="22" t="s">
        <v>2308</v>
      </c>
      <c r="W859" s="22" t="s">
        <v>2308</v>
      </c>
      <c r="X859" s="22" t="s">
        <v>2308</v>
      </c>
      <c r="Y859" s="22" t="s">
        <v>2308</v>
      </c>
      <c r="Z859" s="22" t="s">
        <v>2308</v>
      </c>
      <c r="AA859" s="22"/>
      <c r="AB859" s="22"/>
    </row>
    <row r="860" spans="1:28" ht="29">
      <c r="A860" s="7" t="str">
        <f>'Reported burning'!A860</f>
        <v>104a</v>
      </c>
      <c r="B860" s="7" t="str">
        <f>'Reported burning'!B860</f>
        <v>104a.2</v>
      </c>
      <c r="C860" s="7" t="str">
        <f>'Reported burning'!C860</f>
        <v>Human, deliberate</v>
      </c>
      <c r="D860" s="7" t="str">
        <f>'Reported burning'!D860</f>
        <v>Rangeland management</v>
      </c>
      <c r="E860" s="7" t="str">
        <f>'Reported burning'!E860</f>
        <v>Pastoralism, Migratory</v>
      </c>
      <c r="F860" s="7" t="str">
        <f>'Reported burning'!F860</f>
        <v>Shrubland (Mixed forest &amp; grassland)</v>
      </c>
      <c r="G860" s="7" t="str">
        <f>'Reported burning'!G860</f>
        <v>ND</v>
      </c>
      <c r="H860" s="7" t="str">
        <f>'Reported burning'!H860</f>
        <v>Absence</v>
      </c>
      <c r="I860" s="4"/>
      <c r="J860" s="22" t="s">
        <v>2308</v>
      </c>
      <c r="K860" s="22" t="s">
        <v>2308</v>
      </c>
      <c r="L860" s="22" t="s">
        <v>2308</v>
      </c>
      <c r="M860" s="22" t="s">
        <v>2308</v>
      </c>
      <c r="N860" s="22" t="s">
        <v>2308</v>
      </c>
      <c r="O860" s="22" t="s">
        <v>2308</v>
      </c>
      <c r="P860" s="22" t="s">
        <v>2308</v>
      </c>
      <c r="Q860" s="22" t="s">
        <v>2308</v>
      </c>
      <c r="R860" s="22" t="s">
        <v>2308</v>
      </c>
      <c r="S860" s="22" t="s">
        <v>2308</v>
      </c>
      <c r="T860" s="22" t="s">
        <v>2308</v>
      </c>
      <c r="U860" s="22" t="s">
        <v>2308</v>
      </c>
      <c r="V860" s="22" t="s">
        <v>2308</v>
      </c>
      <c r="W860" s="22" t="s">
        <v>2308</v>
      </c>
      <c r="X860" s="22" t="s">
        <v>2308</v>
      </c>
      <c r="Y860" s="22" t="s">
        <v>2308</v>
      </c>
      <c r="Z860" s="22" t="s">
        <v>2308</v>
      </c>
      <c r="AA860" s="22"/>
      <c r="AB860" s="22"/>
    </row>
    <row r="861" spans="1:28" ht="35" customHeight="1">
      <c r="A861" s="7" t="str">
        <f>'Reported burning'!A861</f>
        <v>104b</v>
      </c>
      <c r="B861" s="7" t="str">
        <f>'Reported burning'!B861</f>
        <v>104b.1</v>
      </c>
      <c r="C861" s="7" t="str">
        <f>'Reported burning'!C861</f>
        <v>Human, deliberate</v>
      </c>
      <c r="D861" s="7" t="str">
        <f>'Reported burning'!D861</f>
        <v>Rangeland management</v>
      </c>
      <c r="E861" s="7" t="str">
        <f>'Reported burning'!E861</f>
        <v>Pastoralism, Migratory</v>
      </c>
      <c r="F861" s="7" t="str">
        <f>'Reported burning'!F861</f>
        <v>Grassland</v>
      </c>
      <c r="G861" s="7" t="str">
        <f>'Reported burning'!G861</f>
        <v>ND</v>
      </c>
      <c r="H861" s="7" t="str">
        <f>'Reported burning'!H861</f>
        <v>Absence</v>
      </c>
      <c r="I861" s="4"/>
      <c r="J861" s="22" t="s">
        <v>2308</v>
      </c>
      <c r="K861" s="22" t="s">
        <v>2308</v>
      </c>
      <c r="L861" s="22" t="s">
        <v>2308</v>
      </c>
      <c r="M861" s="22" t="s">
        <v>2308</v>
      </c>
      <c r="N861" s="22" t="s">
        <v>2308</v>
      </c>
      <c r="O861" s="22" t="s">
        <v>2308</v>
      </c>
      <c r="P861" s="22" t="s">
        <v>2308</v>
      </c>
      <c r="Q861" s="22" t="s">
        <v>2308</v>
      </c>
      <c r="R861" s="22" t="s">
        <v>2308</v>
      </c>
      <c r="S861" s="22" t="s">
        <v>2308</v>
      </c>
      <c r="T861" s="22" t="s">
        <v>2308</v>
      </c>
      <c r="U861" s="22" t="s">
        <v>2308</v>
      </c>
      <c r="V861" s="22" t="s">
        <v>2308</v>
      </c>
      <c r="W861" s="22" t="s">
        <v>2308</v>
      </c>
      <c r="X861" s="22" t="s">
        <v>2308</v>
      </c>
      <c r="Y861" s="22" t="s">
        <v>2308</v>
      </c>
      <c r="Z861" s="22" t="s">
        <v>2308</v>
      </c>
      <c r="AA861" s="22"/>
      <c r="AB861" s="22"/>
    </row>
    <row r="862" spans="1:28" ht="29">
      <c r="A862" s="7" t="str">
        <f>'Reported burning'!A862</f>
        <v>104b</v>
      </c>
      <c r="B862" s="7" t="str">
        <f>'Reported burning'!B862</f>
        <v>104b.2</v>
      </c>
      <c r="C862" s="7" t="str">
        <f>'Reported burning'!C862</f>
        <v>Human, deliberate</v>
      </c>
      <c r="D862" s="7" t="str">
        <f>'Reported burning'!D862</f>
        <v>Rangeland management</v>
      </c>
      <c r="E862" s="7" t="str">
        <f>'Reported burning'!E862</f>
        <v>Pastoralism, Migratory</v>
      </c>
      <c r="F862" s="7" t="str">
        <f>'Reported burning'!F862</f>
        <v>Shrubland (Mixed forest &amp; grassland)</v>
      </c>
      <c r="G862" s="7" t="str">
        <f>'Reported burning'!G862</f>
        <v>ND</v>
      </c>
      <c r="H862" s="7" t="str">
        <f>'Reported burning'!H862</f>
        <v>Absence</v>
      </c>
      <c r="I862" s="4"/>
      <c r="J862" s="22" t="s">
        <v>2308</v>
      </c>
      <c r="K862" s="22" t="s">
        <v>2308</v>
      </c>
      <c r="L862" s="22" t="s">
        <v>2308</v>
      </c>
      <c r="M862" s="22" t="s">
        <v>2308</v>
      </c>
      <c r="N862" s="22" t="s">
        <v>2308</v>
      </c>
      <c r="O862" s="22" t="s">
        <v>2308</v>
      </c>
      <c r="P862" s="22" t="s">
        <v>2308</v>
      </c>
      <c r="Q862" s="22" t="s">
        <v>2308</v>
      </c>
      <c r="R862" s="22" t="s">
        <v>2308</v>
      </c>
      <c r="S862" s="22" t="s">
        <v>2308</v>
      </c>
      <c r="T862" s="22" t="s">
        <v>2308</v>
      </c>
      <c r="U862" s="22" t="s">
        <v>2308</v>
      </c>
      <c r="V862" s="22" t="s">
        <v>2308</v>
      </c>
      <c r="W862" s="22" t="s">
        <v>2308</v>
      </c>
      <c r="X862" s="22" t="s">
        <v>2308</v>
      </c>
      <c r="Y862" s="22" t="s">
        <v>2308</v>
      </c>
      <c r="Z862" s="22" t="s">
        <v>2308</v>
      </c>
      <c r="AA862" s="22"/>
      <c r="AB862" s="22"/>
    </row>
    <row r="863" spans="1:28" ht="26.5" customHeight="1">
      <c r="A863" s="7" t="str">
        <f>'Reported burning'!A863</f>
        <v>104c</v>
      </c>
      <c r="B863" s="7" t="str">
        <f>'Reported burning'!B863</f>
        <v>104c.1</v>
      </c>
      <c r="C863" s="7" t="str">
        <f>'Reported burning'!C863</f>
        <v>Human, deliberate</v>
      </c>
      <c r="D863" s="7" t="str">
        <f>'Reported burning'!D863</f>
        <v>Rangeland management</v>
      </c>
      <c r="E863" s="7" t="str">
        <f>'Reported burning'!E863</f>
        <v>Pastoralism, Migratory</v>
      </c>
      <c r="F863" s="7" t="str">
        <f>'Reported burning'!F863</f>
        <v>Grassland</v>
      </c>
      <c r="G863" s="7" t="str">
        <f>'Reported burning'!G863</f>
        <v>ND</v>
      </c>
      <c r="H863" s="7" t="str">
        <f>'Reported burning'!H863</f>
        <v>Absence</v>
      </c>
      <c r="I863" s="4"/>
      <c r="J863" s="22" t="s">
        <v>2308</v>
      </c>
      <c r="K863" s="22" t="s">
        <v>2308</v>
      </c>
      <c r="L863" s="22" t="s">
        <v>2308</v>
      </c>
      <c r="M863" s="22" t="s">
        <v>2308</v>
      </c>
      <c r="N863" s="22" t="s">
        <v>2308</v>
      </c>
      <c r="O863" s="22" t="s">
        <v>2308</v>
      </c>
      <c r="P863" s="22" t="s">
        <v>2308</v>
      </c>
      <c r="Q863" s="22" t="s">
        <v>2308</v>
      </c>
      <c r="R863" s="22" t="s">
        <v>2308</v>
      </c>
      <c r="S863" s="22" t="s">
        <v>2308</v>
      </c>
      <c r="T863" s="22" t="s">
        <v>2308</v>
      </c>
      <c r="U863" s="22" t="s">
        <v>2308</v>
      </c>
      <c r="V863" s="22" t="s">
        <v>2308</v>
      </c>
      <c r="W863" s="22" t="s">
        <v>2308</v>
      </c>
      <c r="X863" s="22" t="s">
        <v>2308</v>
      </c>
      <c r="Y863" s="22" t="s">
        <v>2308</v>
      </c>
      <c r="Z863" s="22" t="s">
        <v>2308</v>
      </c>
      <c r="AA863" s="4"/>
      <c r="AB863" s="4"/>
    </row>
    <row r="864" spans="1:28" ht="29">
      <c r="A864" s="7" t="str">
        <f>'Reported burning'!A864</f>
        <v>104c</v>
      </c>
      <c r="B864" s="7" t="str">
        <f>'Reported burning'!B864</f>
        <v>104c.2</v>
      </c>
      <c r="C864" s="7" t="str">
        <f>'Reported burning'!C864</f>
        <v>Human, deliberate</v>
      </c>
      <c r="D864" s="7" t="str">
        <f>'Reported burning'!D864</f>
        <v>Rangeland management</v>
      </c>
      <c r="E864" s="7" t="str">
        <f>'Reported burning'!E864</f>
        <v>Pastoralism, Migratory</v>
      </c>
      <c r="F864" s="7" t="str">
        <f>'Reported burning'!F864</f>
        <v>Shrubland (Mixed forest &amp; grassland)</v>
      </c>
      <c r="G864" s="7" t="str">
        <f>'Reported burning'!G864</f>
        <v>ND</v>
      </c>
      <c r="H864" s="7" t="str">
        <f>'Reported burning'!H864</f>
        <v>Absence</v>
      </c>
      <c r="I864" s="4"/>
      <c r="J864" s="22" t="s">
        <v>2308</v>
      </c>
      <c r="K864" s="22" t="s">
        <v>2308</v>
      </c>
      <c r="L864" s="22" t="s">
        <v>2308</v>
      </c>
      <c r="M864" s="22" t="s">
        <v>2308</v>
      </c>
      <c r="N864" s="22" t="s">
        <v>2308</v>
      </c>
      <c r="O864" s="22" t="s">
        <v>2308</v>
      </c>
      <c r="P864" s="22" t="s">
        <v>2308</v>
      </c>
      <c r="Q864" s="22" t="s">
        <v>2308</v>
      </c>
      <c r="R864" s="22" t="s">
        <v>2308</v>
      </c>
      <c r="S864" s="22" t="s">
        <v>2308</v>
      </c>
      <c r="T864" s="22" t="s">
        <v>2308</v>
      </c>
      <c r="U864" s="22" t="s">
        <v>2308</v>
      </c>
      <c r="V864" s="22" t="s">
        <v>2308</v>
      </c>
      <c r="W864" s="22" t="s">
        <v>2308</v>
      </c>
      <c r="X864" s="22" t="s">
        <v>2308</v>
      </c>
      <c r="Y864" s="22" t="s">
        <v>2308</v>
      </c>
      <c r="Z864" s="22" t="s">
        <v>2308</v>
      </c>
      <c r="AA864" s="4"/>
      <c r="AB864" s="4"/>
    </row>
    <row r="865" spans="1:28" ht="32.5" customHeight="1">
      <c r="A865" s="7" t="str">
        <f>'Reported burning'!A865</f>
        <v>105a</v>
      </c>
      <c r="B865" s="7" t="str">
        <f>'Reported burning'!B865</f>
        <v>105a.1</v>
      </c>
      <c r="C865" s="7" t="str">
        <f>'Reported burning'!C865</f>
        <v>Human, deliberate</v>
      </c>
      <c r="D865" s="7" t="str">
        <f>'Reported burning'!D865</f>
        <v>Rangeland management</v>
      </c>
      <c r="E865" s="7" t="str">
        <f>'Reported burning'!E865</f>
        <v>Pastoralism, Migratory</v>
      </c>
      <c r="F865" s="7" t="str">
        <f>'Reported burning'!F865</f>
        <v>Grassland</v>
      </c>
      <c r="G865" s="7" t="str">
        <f>'Reported burning'!G865</f>
        <v>ND</v>
      </c>
      <c r="H865" s="7" t="str">
        <f>'Reported burning'!H865</f>
        <v>Absence</v>
      </c>
      <c r="I865" s="4"/>
      <c r="J865" s="22" t="s">
        <v>2308</v>
      </c>
      <c r="K865" s="22" t="s">
        <v>2308</v>
      </c>
      <c r="L865" s="22" t="s">
        <v>2308</v>
      </c>
      <c r="M865" s="22" t="s">
        <v>2308</v>
      </c>
      <c r="N865" s="22" t="s">
        <v>2308</v>
      </c>
      <c r="O865" s="22" t="s">
        <v>2308</v>
      </c>
      <c r="P865" s="22" t="s">
        <v>2308</v>
      </c>
      <c r="Q865" s="22" t="s">
        <v>2308</v>
      </c>
      <c r="R865" s="22" t="s">
        <v>2308</v>
      </c>
      <c r="S865" s="22" t="s">
        <v>2308</v>
      </c>
      <c r="T865" s="22" t="s">
        <v>2308</v>
      </c>
      <c r="U865" s="22" t="s">
        <v>2308</v>
      </c>
      <c r="V865" s="22" t="s">
        <v>2308</v>
      </c>
      <c r="W865" s="22" t="s">
        <v>2308</v>
      </c>
      <c r="X865" s="22" t="s">
        <v>2308</v>
      </c>
      <c r="Y865" s="22" t="s">
        <v>2308</v>
      </c>
      <c r="Z865" s="22" t="s">
        <v>2308</v>
      </c>
      <c r="AA865" s="4"/>
      <c r="AB865" s="4"/>
    </row>
    <row r="866" spans="1:28" ht="29">
      <c r="A866" s="7" t="str">
        <f>'Reported burning'!A866</f>
        <v>105a</v>
      </c>
      <c r="B866" s="7" t="str">
        <f>'Reported burning'!B866</f>
        <v>105a.2</v>
      </c>
      <c r="C866" s="7" t="str">
        <f>'Reported burning'!C866</f>
        <v>Human, deliberate</v>
      </c>
      <c r="D866" s="7" t="str">
        <f>'Reported burning'!D866</f>
        <v>Rangeland management</v>
      </c>
      <c r="E866" s="7" t="str">
        <f>'Reported burning'!E866</f>
        <v>Pastoralism, Migratory</v>
      </c>
      <c r="F866" s="7" t="str">
        <f>'Reported burning'!F866</f>
        <v>Shrubland (Mixed forest &amp; grassland)</v>
      </c>
      <c r="G866" s="7" t="str">
        <f>'Reported burning'!G866</f>
        <v>ND</v>
      </c>
      <c r="H866" s="7" t="str">
        <f>'Reported burning'!H866</f>
        <v>Absence</v>
      </c>
      <c r="I866" s="4"/>
      <c r="J866" s="22" t="s">
        <v>2308</v>
      </c>
      <c r="K866" s="22" t="s">
        <v>2308</v>
      </c>
      <c r="L866" s="22" t="s">
        <v>2308</v>
      </c>
      <c r="M866" s="22" t="s">
        <v>2308</v>
      </c>
      <c r="N866" s="22" t="s">
        <v>2308</v>
      </c>
      <c r="O866" s="22" t="s">
        <v>2308</v>
      </c>
      <c r="P866" s="22" t="s">
        <v>2308</v>
      </c>
      <c r="Q866" s="22" t="s">
        <v>2308</v>
      </c>
      <c r="R866" s="22" t="s">
        <v>2308</v>
      </c>
      <c r="S866" s="22" t="s">
        <v>2308</v>
      </c>
      <c r="T866" s="22" t="s">
        <v>2308</v>
      </c>
      <c r="U866" s="22" t="s">
        <v>2308</v>
      </c>
      <c r="V866" s="22" t="s">
        <v>2308</v>
      </c>
      <c r="W866" s="22" t="s">
        <v>2308</v>
      </c>
      <c r="X866" s="22" t="s">
        <v>2308</v>
      </c>
      <c r="Y866" s="22" t="s">
        <v>2308</v>
      </c>
      <c r="Z866" s="22" t="s">
        <v>2308</v>
      </c>
      <c r="AA866" s="4"/>
      <c r="AB866" s="4"/>
    </row>
    <row r="867" spans="1:28" ht="32" customHeight="1">
      <c r="A867" s="7" t="str">
        <f>'Reported burning'!A867</f>
        <v>105b</v>
      </c>
      <c r="B867" s="7" t="str">
        <f>'Reported burning'!B867</f>
        <v>105b.1</v>
      </c>
      <c r="C867" s="7" t="str">
        <f>'Reported burning'!C867</f>
        <v>Human, deliberate</v>
      </c>
      <c r="D867" s="7" t="str">
        <f>'Reported burning'!D867</f>
        <v>Rangeland management</v>
      </c>
      <c r="E867" s="7" t="str">
        <f>'Reported burning'!E867</f>
        <v>Pastoralism, Migratory</v>
      </c>
      <c r="F867" s="7" t="str">
        <f>'Reported burning'!F867</f>
        <v>Grassland</v>
      </c>
      <c r="G867" s="7" t="str">
        <f>'Reported burning'!G867</f>
        <v>ND</v>
      </c>
      <c r="H867" s="7" t="str">
        <f>'Reported burning'!H867</f>
        <v>Absence</v>
      </c>
      <c r="I867" s="4"/>
      <c r="J867" s="22" t="s">
        <v>2308</v>
      </c>
      <c r="K867" s="22" t="s">
        <v>2308</v>
      </c>
      <c r="L867" s="22" t="s">
        <v>2308</v>
      </c>
      <c r="M867" s="22" t="s">
        <v>2308</v>
      </c>
      <c r="N867" s="22" t="s">
        <v>2308</v>
      </c>
      <c r="O867" s="22" t="s">
        <v>2308</v>
      </c>
      <c r="P867" s="22" t="s">
        <v>2308</v>
      </c>
      <c r="Q867" s="22" t="s">
        <v>2308</v>
      </c>
      <c r="R867" s="22" t="s">
        <v>2308</v>
      </c>
      <c r="S867" s="22" t="s">
        <v>2308</v>
      </c>
      <c r="T867" s="22" t="s">
        <v>2308</v>
      </c>
      <c r="U867" s="22" t="s">
        <v>2308</v>
      </c>
      <c r="V867" s="22" t="s">
        <v>2308</v>
      </c>
      <c r="W867" s="22" t="s">
        <v>2308</v>
      </c>
      <c r="X867" s="22" t="s">
        <v>2308</v>
      </c>
      <c r="Y867" s="22" t="s">
        <v>2308</v>
      </c>
      <c r="Z867" s="22" t="s">
        <v>2308</v>
      </c>
      <c r="AA867" s="4"/>
      <c r="AB867" s="4"/>
    </row>
    <row r="868" spans="1:28" ht="29">
      <c r="A868" s="7" t="str">
        <f>'Reported burning'!A868</f>
        <v>105b</v>
      </c>
      <c r="B868" s="7" t="str">
        <f>'Reported burning'!B868</f>
        <v>105b.2</v>
      </c>
      <c r="C868" s="7" t="str">
        <f>'Reported burning'!C868</f>
        <v>Human, deliberate</v>
      </c>
      <c r="D868" s="7" t="str">
        <f>'Reported burning'!D868</f>
        <v>Rangeland management</v>
      </c>
      <c r="E868" s="7" t="str">
        <f>'Reported burning'!E868</f>
        <v>Pastoralism, Migratory</v>
      </c>
      <c r="F868" s="7" t="str">
        <f>'Reported burning'!F868</f>
        <v>Shrubland (Mixed forest &amp; grassland)</v>
      </c>
      <c r="G868" s="7" t="str">
        <f>'Reported burning'!G868</f>
        <v>ND</v>
      </c>
      <c r="H868" s="7" t="str">
        <f>'Reported burning'!H868</f>
        <v>Absence</v>
      </c>
      <c r="I868" s="4"/>
      <c r="J868" s="22" t="s">
        <v>2308</v>
      </c>
      <c r="K868" s="22" t="s">
        <v>2308</v>
      </c>
      <c r="L868" s="22" t="s">
        <v>2308</v>
      </c>
      <c r="M868" s="22" t="s">
        <v>2308</v>
      </c>
      <c r="N868" s="22" t="s">
        <v>2308</v>
      </c>
      <c r="O868" s="22" t="s">
        <v>2308</v>
      </c>
      <c r="P868" s="22" t="s">
        <v>2308</v>
      </c>
      <c r="Q868" s="22" t="s">
        <v>2308</v>
      </c>
      <c r="R868" s="22" t="s">
        <v>2308</v>
      </c>
      <c r="S868" s="22" t="s">
        <v>2308</v>
      </c>
      <c r="T868" s="22" t="s">
        <v>2308</v>
      </c>
      <c r="U868" s="22" t="s">
        <v>2308</v>
      </c>
      <c r="V868" s="22" t="s">
        <v>2308</v>
      </c>
      <c r="W868" s="22" t="s">
        <v>2308</v>
      </c>
      <c r="X868" s="22" t="s">
        <v>2308</v>
      </c>
      <c r="Y868" s="22" t="s">
        <v>2308</v>
      </c>
      <c r="Z868" s="22" t="s">
        <v>2308</v>
      </c>
      <c r="AA868" s="4"/>
      <c r="AB868" s="4"/>
    </row>
    <row r="869" spans="1:28" ht="29" customHeight="1">
      <c r="A869" s="7" t="str">
        <f>'Reported burning'!A869</f>
        <v>105c</v>
      </c>
      <c r="B869" s="7" t="str">
        <f>'Reported burning'!B869</f>
        <v>105c.1</v>
      </c>
      <c r="C869" s="7" t="str">
        <f>'Reported burning'!C869</f>
        <v>Human, deliberate</v>
      </c>
      <c r="D869" s="7" t="str">
        <f>'Reported burning'!D869</f>
        <v>Rangeland management</v>
      </c>
      <c r="E869" s="7" t="str">
        <f>'Reported burning'!E869</f>
        <v>Pastoralism, Migratory</v>
      </c>
      <c r="F869" s="7" t="str">
        <f>'Reported burning'!F869</f>
        <v>Grassland</v>
      </c>
      <c r="G869" s="7" t="str">
        <f>'Reported burning'!G869</f>
        <v>ND</v>
      </c>
      <c r="H869" s="7" t="str">
        <f>'Reported burning'!H869</f>
        <v>Absence</v>
      </c>
      <c r="I869" s="4"/>
      <c r="J869" s="22" t="s">
        <v>2308</v>
      </c>
      <c r="K869" s="22" t="s">
        <v>2308</v>
      </c>
      <c r="L869" s="22" t="s">
        <v>2308</v>
      </c>
      <c r="M869" s="22" t="s">
        <v>2308</v>
      </c>
      <c r="N869" s="22" t="s">
        <v>2308</v>
      </c>
      <c r="O869" s="22" t="s">
        <v>2308</v>
      </c>
      <c r="P869" s="22" t="s">
        <v>2308</v>
      </c>
      <c r="Q869" s="22" t="s">
        <v>2308</v>
      </c>
      <c r="R869" s="22" t="s">
        <v>2308</v>
      </c>
      <c r="S869" s="22" t="s">
        <v>2308</v>
      </c>
      <c r="T869" s="22" t="s">
        <v>2308</v>
      </c>
      <c r="U869" s="22" t="s">
        <v>2308</v>
      </c>
      <c r="V869" s="22" t="s">
        <v>2308</v>
      </c>
      <c r="W869" s="22" t="s">
        <v>2308</v>
      </c>
      <c r="X869" s="22" t="s">
        <v>2308</v>
      </c>
      <c r="Y869" s="22" t="s">
        <v>2308</v>
      </c>
      <c r="Z869" s="22" t="s">
        <v>2308</v>
      </c>
      <c r="AA869" s="4"/>
      <c r="AB869" s="4"/>
    </row>
    <row r="870" spans="1:28" ht="29">
      <c r="A870" s="7" t="str">
        <f>'Reported burning'!A870</f>
        <v>105c</v>
      </c>
      <c r="B870" s="7" t="str">
        <f>'Reported burning'!B870</f>
        <v>105c.2</v>
      </c>
      <c r="C870" s="7" t="str">
        <f>'Reported burning'!C870</f>
        <v>Human, deliberate</v>
      </c>
      <c r="D870" s="7" t="str">
        <f>'Reported burning'!D870</f>
        <v>Rangeland management</v>
      </c>
      <c r="E870" s="7" t="str">
        <f>'Reported burning'!E870</f>
        <v>Pastoralism, Migratory</v>
      </c>
      <c r="F870" s="7" t="str">
        <f>'Reported burning'!F870</f>
        <v>Shrubland (Mixed forest &amp; grassland)</v>
      </c>
      <c r="G870" s="7" t="str">
        <f>'Reported burning'!G870</f>
        <v>ND</v>
      </c>
      <c r="H870" s="7" t="str">
        <f>'Reported burning'!H870</f>
        <v>Absence</v>
      </c>
      <c r="I870" s="4"/>
      <c r="J870" s="22" t="s">
        <v>2308</v>
      </c>
      <c r="K870" s="22" t="s">
        <v>2308</v>
      </c>
      <c r="L870" s="22" t="s">
        <v>2308</v>
      </c>
      <c r="M870" s="22" t="s">
        <v>2308</v>
      </c>
      <c r="N870" s="22" t="s">
        <v>2308</v>
      </c>
      <c r="O870" s="22" t="s">
        <v>2308</v>
      </c>
      <c r="P870" s="22" t="s">
        <v>2308</v>
      </c>
      <c r="Q870" s="22" t="s">
        <v>2308</v>
      </c>
      <c r="R870" s="22" t="s">
        <v>2308</v>
      </c>
      <c r="S870" s="22" t="s">
        <v>2308</v>
      </c>
      <c r="T870" s="22" t="s">
        <v>2308</v>
      </c>
      <c r="U870" s="22" t="s">
        <v>2308</v>
      </c>
      <c r="V870" s="22" t="s">
        <v>2308</v>
      </c>
      <c r="W870" s="22" t="s">
        <v>2308</v>
      </c>
      <c r="X870" s="22" t="s">
        <v>2308</v>
      </c>
      <c r="Y870" s="22" t="s">
        <v>2308</v>
      </c>
      <c r="Z870" s="22" t="s">
        <v>2308</v>
      </c>
      <c r="AA870" s="4"/>
      <c r="AB870" s="4"/>
    </row>
    <row r="871" spans="1:28" ht="25.5" customHeight="1">
      <c r="A871" s="7" t="str">
        <f>'Reported burning'!A871</f>
        <v>105d</v>
      </c>
      <c r="B871" s="7" t="str">
        <f>'Reported burning'!B871</f>
        <v>105d.1</v>
      </c>
      <c r="C871" s="7" t="str">
        <f>'Reported burning'!C871</f>
        <v>Human, deliberate</v>
      </c>
      <c r="D871" s="7" t="str">
        <f>'Reported burning'!D871</f>
        <v>Rangeland management</v>
      </c>
      <c r="E871" s="7" t="str">
        <f>'Reported burning'!E871</f>
        <v>Pastoralism, Migratory</v>
      </c>
      <c r="F871" s="7" t="str">
        <f>'Reported burning'!F871</f>
        <v>Grassland</v>
      </c>
      <c r="G871" s="7" t="str">
        <f>'Reported burning'!G871</f>
        <v>ND</v>
      </c>
      <c r="H871" s="7" t="str">
        <f>'Reported burning'!H871</f>
        <v>Absence</v>
      </c>
      <c r="I871" s="4"/>
      <c r="J871" s="22" t="s">
        <v>2308</v>
      </c>
      <c r="K871" s="22" t="s">
        <v>2308</v>
      </c>
      <c r="L871" s="22" t="s">
        <v>2308</v>
      </c>
      <c r="M871" s="22" t="s">
        <v>2308</v>
      </c>
      <c r="N871" s="22" t="s">
        <v>2308</v>
      </c>
      <c r="O871" s="22" t="s">
        <v>2308</v>
      </c>
      <c r="P871" s="22" t="s">
        <v>2308</v>
      </c>
      <c r="Q871" s="22" t="s">
        <v>2308</v>
      </c>
      <c r="R871" s="22" t="s">
        <v>2308</v>
      </c>
      <c r="S871" s="22" t="s">
        <v>2308</v>
      </c>
      <c r="T871" s="22" t="s">
        <v>2308</v>
      </c>
      <c r="U871" s="22" t="s">
        <v>2308</v>
      </c>
      <c r="V871" s="22" t="s">
        <v>2308</v>
      </c>
      <c r="W871" s="22" t="s">
        <v>2308</v>
      </c>
      <c r="X871" s="22" t="s">
        <v>2308</v>
      </c>
      <c r="Y871" s="22" t="s">
        <v>2308</v>
      </c>
      <c r="Z871" s="22" t="s">
        <v>2308</v>
      </c>
      <c r="AA871" s="4"/>
      <c r="AB871" s="4"/>
    </row>
    <row r="872" spans="1:28" ht="29">
      <c r="A872" s="7" t="str">
        <f>'Reported burning'!A872</f>
        <v>105d</v>
      </c>
      <c r="B872" s="7" t="str">
        <f>'Reported burning'!B872</f>
        <v>105d.2</v>
      </c>
      <c r="C872" s="7" t="str">
        <f>'Reported burning'!C872</f>
        <v>Human, deliberate</v>
      </c>
      <c r="D872" s="7" t="str">
        <f>'Reported burning'!D872</f>
        <v>Rangeland management</v>
      </c>
      <c r="E872" s="7" t="str">
        <f>'Reported burning'!E872</f>
        <v>Pastoralism, Migratory</v>
      </c>
      <c r="F872" s="7" t="str">
        <f>'Reported burning'!F872</f>
        <v>Shrubland (Mixed forest &amp; grassland)</v>
      </c>
      <c r="G872" s="7" t="str">
        <f>'Reported burning'!G872</f>
        <v>ND</v>
      </c>
      <c r="H872" s="7" t="str">
        <f>'Reported burning'!H872</f>
        <v>Absence</v>
      </c>
      <c r="I872" s="4"/>
      <c r="J872" s="22" t="s">
        <v>2308</v>
      </c>
      <c r="K872" s="22" t="s">
        <v>2308</v>
      </c>
      <c r="L872" s="22" t="s">
        <v>2308</v>
      </c>
      <c r="M872" s="22" t="s">
        <v>2308</v>
      </c>
      <c r="N872" s="22" t="s">
        <v>2308</v>
      </c>
      <c r="O872" s="22" t="s">
        <v>2308</v>
      </c>
      <c r="P872" s="22" t="s">
        <v>2308</v>
      </c>
      <c r="Q872" s="22" t="s">
        <v>2308</v>
      </c>
      <c r="R872" s="22" t="s">
        <v>2308</v>
      </c>
      <c r="S872" s="22" t="s">
        <v>2308</v>
      </c>
      <c r="T872" s="22" t="s">
        <v>2308</v>
      </c>
      <c r="U872" s="22" t="s">
        <v>2308</v>
      </c>
      <c r="V872" s="22" t="s">
        <v>2308</v>
      </c>
      <c r="W872" s="22" t="s">
        <v>2308</v>
      </c>
      <c r="X872" s="22" t="s">
        <v>2308</v>
      </c>
      <c r="Y872" s="22" t="s">
        <v>2308</v>
      </c>
      <c r="Z872" s="22" t="s">
        <v>2308</v>
      </c>
      <c r="AA872" s="4"/>
      <c r="AB872" s="4"/>
    </row>
    <row r="873" spans="1:28" ht="30" customHeight="1">
      <c r="A873" s="7" t="str">
        <f>'Reported burning'!A873</f>
        <v>105e</v>
      </c>
      <c r="B873" s="7" t="str">
        <f>'Reported burning'!B873</f>
        <v>105e.1</v>
      </c>
      <c r="C873" s="7" t="str">
        <f>'Reported burning'!C873</f>
        <v>Human, deliberate</v>
      </c>
      <c r="D873" s="7" t="str">
        <f>'Reported burning'!D873</f>
        <v>Rangeland management</v>
      </c>
      <c r="E873" s="7" t="str">
        <f>'Reported burning'!E873</f>
        <v>Pastoralism, Migratory</v>
      </c>
      <c r="F873" s="7" t="str">
        <f>'Reported burning'!F873</f>
        <v>Grassland</v>
      </c>
      <c r="G873" s="7" t="str">
        <f>'Reported burning'!G873</f>
        <v>ND</v>
      </c>
      <c r="H873" s="7" t="str">
        <f>'Reported burning'!H873</f>
        <v>Presence</v>
      </c>
      <c r="I873" s="4"/>
      <c r="J873" s="22" t="s">
        <v>2308</v>
      </c>
      <c r="K873" s="22" t="s">
        <v>2308</v>
      </c>
      <c r="L873" s="22" t="s">
        <v>2308</v>
      </c>
      <c r="M873" s="22" t="s">
        <v>2308</v>
      </c>
      <c r="N873" s="22" t="s">
        <v>2308</v>
      </c>
      <c r="O873" s="22" t="s">
        <v>2308</v>
      </c>
      <c r="P873" s="22" t="s">
        <v>2308</v>
      </c>
      <c r="Q873" s="22" t="s">
        <v>2308</v>
      </c>
      <c r="R873" s="22" t="s">
        <v>2308</v>
      </c>
      <c r="S873" s="22" t="s">
        <v>2308</v>
      </c>
      <c r="T873" s="22" t="s">
        <v>2308</v>
      </c>
      <c r="U873" s="22" t="s">
        <v>2308</v>
      </c>
      <c r="V873" s="22" t="s">
        <v>2308</v>
      </c>
      <c r="W873" s="22" t="s">
        <v>2308</v>
      </c>
      <c r="X873" s="22" t="s">
        <v>2308</v>
      </c>
      <c r="Y873" s="22" t="s">
        <v>2308</v>
      </c>
      <c r="Z873" s="22" t="s">
        <v>2308</v>
      </c>
      <c r="AA873" s="4"/>
      <c r="AB873" s="4"/>
    </row>
    <row r="874" spans="1:28" ht="29">
      <c r="A874" s="7" t="str">
        <f>'Reported burning'!A874</f>
        <v>105e</v>
      </c>
      <c r="B874" s="7" t="str">
        <f>'Reported burning'!B874</f>
        <v>105e.2</v>
      </c>
      <c r="C874" s="7" t="str">
        <f>'Reported burning'!C874</f>
        <v>Human, deliberate</v>
      </c>
      <c r="D874" s="7" t="str">
        <f>'Reported burning'!D874</f>
        <v>Rangeland management</v>
      </c>
      <c r="E874" s="7" t="str">
        <f>'Reported burning'!E874</f>
        <v>Pastoralism, Migratory</v>
      </c>
      <c r="F874" s="7" t="str">
        <f>'Reported burning'!F874</f>
        <v>Shrubland (Mixed forest &amp; grassland)</v>
      </c>
      <c r="G874" s="7" t="str">
        <f>'Reported burning'!G874</f>
        <v>ND</v>
      </c>
      <c r="H874" s="7" t="str">
        <f>'Reported burning'!H874</f>
        <v>Presence</v>
      </c>
      <c r="I874" s="4"/>
      <c r="J874" s="22" t="s">
        <v>2308</v>
      </c>
      <c r="K874" s="22" t="s">
        <v>2308</v>
      </c>
      <c r="L874" s="22" t="s">
        <v>2308</v>
      </c>
      <c r="M874" s="22" t="s">
        <v>2308</v>
      </c>
      <c r="N874" s="22" t="s">
        <v>2308</v>
      </c>
      <c r="O874" s="22" t="s">
        <v>2308</v>
      </c>
      <c r="P874" s="22" t="s">
        <v>2308</v>
      </c>
      <c r="Q874" s="22" t="s">
        <v>2308</v>
      </c>
      <c r="R874" s="22" t="s">
        <v>2308</v>
      </c>
      <c r="S874" s="22" t="s">
        <v>2308</v>
      </c>
      <c r="T874" s="22" t="s">
        <v>2308</v>
      </c>
      <c r="U874" s="22" t="s">
        <v>2308</v>
      </c>
      <c r="V874" s="22" t="s">
        <v>2308</v>
      </c>
      <c r="W874" s="22" t="s">
        <v>2308</v>
      </c>
      <c r="X874" s="22" t="s">
        <v>2308</v>
      </c>
      <c r="Y874" s="22" t="s">
        <v>2308</v>
      </c>
      <c r="Z874" s="22" t="s">
        <v>2308</v>
      </c>
      <c r="AA874" s="4"/>
      <c r="AB874" s="4"/>
    </row>
    <row r="875" spans="1:28" ht="66.5" customHeight="1">
      <c r="A875" s="7" t="str">
        <f>'Reported burning'!A875</f>
        <v>106a</v>
      </c>
      <c r="B875" s="7" t="str">
        <f>'Reported burning'!B875</f>
        <v>106a.1</v>
      </c>
      <c r="C875" s="7" t="str">
        <f>'Reported burning'!C875</f>
        <v>Human, deliberate</v>
      </c>
      <c r="D875" s="7" t="str">
        <f>'Reported burning'!D875</f>
        <v>Crop field preparation</v>
      </c>
      <c r="E875" s="7" t="str">
        <f>'Reported burning'!E875</f>
        <v>Cropping, Swidden</v>
      </c>
      <c r="F875" s="7" t="str">
        <f>'Reported burning'!F875</f>
        <v>Secondary Vegetation</v>
      </c>
      <c r="G875" s="7" t="str">
        <f>'Reported burning'!G875</f>
        <v>ND</v>
      </c>
      <c r="H875" s="7" t="str">
        <f>'Reported burning'!H875</f>
        <v>Presence</v>
      </c>
      <c r="I875" s="4"/>
      <c r="J875" s="22" t="s">
        <v>2405</v>
      </c>
      <c r="K875" s="110" t="s">
        <v>2394</v>
      </c>
      <c r="L875" s="22" t="s">
        <v>2308</v>
      </c>
      <c r="M875" s="22" t="s">
        <v>2394</v>
      </c>
      <c r="N875" s="22" t="s">
        <v>2308</v>
      </c>
      <c r="O875" s="22" t="s">
        <v>2308</v>
      </c>
      <c r="P875" s="22" t="s">
        <v>2308</v>
      </c>
      <c r="Q875" s="22" t="s">
        <v>2394</v>
      </c>
      <c r="R875" s="22" t="s">
        <v>2308</v>
      </c>
      <c r="S875" s="22" t="s">
        <v>2408</v>
      </c>
      <c r="T875" s="22" t="s">
        <v>2308</v>
      </c>
      <c r="U875" s="22" t="s">
        <v>2308</v>
      </c>
      <c r="V875" s="22" t="s">
        <v>2308</v>
      </c>
      <c r="W875" s="22" t="s">
        <v>2308</v>
      </c>
      <c r="X875" s="22" t="s">
        <v>2308</v>
      </c>
      <c r="Y875" s="22" t="s">
        <v>2308</v>
      </c>
      <c r="Z875" s="22" t="s">
        <v>2308</v>
      </c>
      <c r="AA875" s="5" t="s">
        <v>2985</v>
      </c>
      <c r="AB875" s="5" t="s">
        <v>2983</v>
      </c>
    </row>
    <row r="876" spans="1:28" ht="69" customHeight="1">
      <c r="A876" s="7" t="str">
        <f>'Reported burning'!A876</f>
        <v>106b</v>
      </c>
      <c r="B876" s="7" t="str">
        <f>'Reported burning'!B876</f>
        <v>106b.1</v>
      </c>
      <c r="C876" s="7" t="str">
        <f>'Reported burning'!C876</f>
        <v>Human, deliberate</v>
      </c>
      <c r="D876" s="7" t="str">
        <f>'Reported burning'!D876</f>
        <v>Crop field preparation</v>
      </c>
      <c r="E876" s="7" t="str">
        <f>'Reported burning'!E876</f>
        <v>Cropping, Swidden</v>
      </c>
      <c r="F876" s="7" t="str">
        <f>'Reported burning'!F876</f>
        <v>Secondary Vegetation</v>
      </c>
      <c r="G876" s="7" t="str">
        <f>'Reported burning'!G876</f>
        <v>ND</v>
      </c>
      <c r="H876" s="7" t="str">
        <f>'Reported burning'!H876</f>
        <v>Presence</v>
      </c>
      <c r="I876" s="4"/>
      <c r="J876" s="22" t="s">
        <v>2405</v>
      </c>
      <c r="K876" s="110" t="s">
        <v>2394</v>
      </c>
      <c r="L876" s="22" t="s">
        <v>2308</v>
      </c>
      <c r="M876" s="22" t="s">
        <v>2394</v>
      </c>
      <c r="N876" s="22" t="s">
        <v>2308</v>
      </c>
      <c r="O876" s="22" t="s">
        <v>2308</v>
      </c>
      <c r="P876" s="22" t="s">
        <v>2308</v>
      </c>
      <c r="Q876" s="22" t="s">
        <v>2394</v>
      </c>
      <c r="R876" s="22" t="s">
        <v>2308</v>
      </c>
      <c r="S876" s="22" t="s">
        <v>2408</v>
      </c>
      <c r="T876" s="22" t="s">
        <v>2308</v>
      </c>
      <c r="U876" s="22" t="s">
        <v>2308</v>
      </c>
      <c r="V876" s="22" t="s">
        <v>2308</v>
      </c>
      <c r="W876" s="22" t="s">
        <v>2308</v>
      </c>
      <c r="X876" s="22" t="s">
        <v>2308</v>
      </c>
      <c r="Y876" s="22" t="s">
        <v>2308</v>
      </c>
      <c r="Z876" s="22" t="s">
        <v>2308</v>
      </c>
      <c r="AA876" s="5" t="s">
        <v>2985</v>
      </c>
      <c r="AB876" s="5" t="s">
        <v>2984</v>
      </c>
    </row>
    <row r="877" spans="1:28" ht="57" customHeight="1">
      <c r="A877" s="7" t="str">
        <f>'Reported burning'!A877</f>
        <v>107a</v>
      </c>
      <c r="B877" s="7" t="str">
        <f>'Reported burning'!B877</f>
        <v>107a.1</v>
      </c>
      <c r="C877" s="7" t="str">
        <f>'Reported burning'!C877</f>
        <v>Human, deliberate</v>
      </c>
      <c r="D877" s="7" t="str">
        <f>'Reported burning'!D877</f>
        <v>Crop field preparation</v>
      </c>
      <c r="E877" s="7" t="str">
        <f>'Reported burning'!E877</f>
        <v>Cropping, Swidden</v>
      </c>
      <c r="F877" s="7" t="str">
        <f>'Reported burning'!F877</f>
        <v>Secondary Vegetation</v>
      </c>
      <c r="G877" s="7" t="str">
        <f>'Reported burning'!G877</f>
        <v>ND</v>
      </c>
      <c r="H877" s="7" t="str">
        <f>'Reported burning'!H877</f>
        <v>Absence</v>
      </c>
      <c r="I877" s="4"/>
      <c r="J877" s="22" t="s">
        <v>2308</v>
      </c>
      <c r="K877" s="22" t="s">
        <v>2308</v>
      </c>
      <c r="L877" s="22" t="s">
        <v>2308</v>
      </c>
      <c r="M877" s="22" t="s">
        <v>2308</v>
      </c>
      <c r="N877" s="22" t="s">
        <v>2308</v>
      </c>
      <c r="O877" s="22" t="s">
        <v>2308</v>
      </c>
      <c r="P877" s="22" t="s">
        <v>2308</v>
      </c>
      <c r="Q877" s="22" t="s">
        <v>2308</v>
      </c>
      <c r="R877" s="22" t="s">
        <v>2308</v>
      </c>
      <c r="S877" s="22" t="s">
        <v>2308</v>
      </c>
      <c r="T877" s="22" t="s">
        <v>2308</v>
      </c>
      <c r="U877" s="22" t="s">
        <v>2308</v>
      </c>
      <c r="V877" s="22" t="s">
        <v>2308</v>
      </c>
      <c r="W877" s="22" t="s">
        <v>2308</v>
      </c>
      <c r="X877" s="22" t="s">
        <v>2308</v>
      </c>
      <c r="Y877" s="22" t="s">
        <v>2308</v>
      </c>
      <c r="Z877" s="22" t="s">
        <v>2308</v>
      </c>
      <c r="AA877" s="5" t="s">
        <v>2888</v>
      </c>
      <c r="AB877" s="4"/>
    </row>
    <row r="878" spans="1:28" ht="62" customHeight="1">
      <c r="A878" s="7" t="str">
        <f>'Reported burning'!A878</f>
        <v>107a</v>
      </c>
      <c r="B878" s="7" t="str">
        <f>'Reported burning'!B878</f>
        <v>107a.2</v>
      </c>
      <c r="C878" s="7" t="str">
        <f>'Reported burning'!C878</f>
        <v>Human, deliberate</v>
      </c>
      <c r="D878" s="7" t="str">
        <f>'Reported burning'!D878</f>
        <v>Crop field preparation</v>
      </c>
      <c r="E878" s="7" t="str">
        <f>'Reported burning'!E878</f>
        <v>Cropping, Swidden</v>
      </c>
      <c r="F878" s="7" t="str">
        <f>'Reported burning'!F878</f>
        <v>Cropland</v>
      </c>
      <c r="G878" s="7" t="str">
        <f>'Reported burning'!G878</f>
        <v>ND</v>
      </c>
      <c r="H878" s="7" t="str">
        <f>'Reported burning'!H878</f>
        <v>Presence</v>
      </c>
      <c r="I878" s="4"/>
      <c r="J878" s="22" t="s">
        <v>2308</v>
      </c>
      <c r="K878" s="22" t="s">
        <v>2308</v>
      </c>
      <c r="L878" s="22" t="s">
        <v>2308</v>
      </c>
      <c r="M878" s="22" t="s">
        <v>2308</v>
      </c>
      <c r="N878" s="22" t="s">
        <v>2308</v>
      </c>
      <c r="O878" s="22" t="s">
        <v>2308</v>
      </c>
      <c r="P878" s="22" t="s">
        <v>2308</v>
      </c>
      <c r="Q878" s="22" t="s">
        <v>2308</v>
      </c>
      <c r="R878" s="22" t="s">
        <v>2308</v>
      </c>
      <c r="S878" s="22" t="s">
        <v>2560</v>
      </c>
      <c r="T878" s="22" t="s">
        <v>2308</v>
      </c>
      <c r="U878" s="22" t="s">
        <v>2308</v>
      </c>
      <c r="V878" s="22" t="s">
        <v>2308</v>
      </c>
      <c r="W878" s="22" t="s">
        <v>2433</v>
      </c>
      <c r="X878" s="22" t="s">
        <v>2308</v>
      </c>
      <c r="Y878" s="22" t="s">
        <v>2308</v>
      </c>
      <c r="Z878" s="22" t="s">
        <v>2308</v>
      </c>
      <c r="AA878" s="5" t="s">
        <v>2889</v>
      </c>
      <c r="AB878" s="5" t="s">
        <v>2893</v>
      </c>
    </row>
    <row r="879" spans="1:28" ht="42" customHeight="1">
      <c r="A879" s="7" t="str">
        <f>'Reported burning'!A879</f>
        <v>107a</v>
      </c>
      <c r="B879" s="7" t="str">
        <f>'Reported burning'!B879</f>
        <v>107a.3</v>
      </c>
      <c r="C879" s="7" t="str">
        <f>'Reported burning'!C879</f>
        <v>Human, deliberate</v>
      </c>
      <c r="D879" s="7" t="str">
        <f>'Reported burning'!D879</f>
        <v>Crop field preparation</v>
      </c>
      <c r="E879" s="7" t="str">
        <f>'Reported burning'!E879</f>
        <v>Cropping, Monoculture, Subsistence-oriented</v>
      </c>
      <c r="F879" s="7" t="str">
        <f>'Reported burning'!F879</f>
        <v>Cropland</v>
      </c>
      <c r="G879" s="7" t="str">
        <f>'Reported burning'!G879</f>
        <v>ND</v>
      </c>
      <c r="H879" s="7" t="str">
        <f>'Reported burning'!H879</f>
        <v>Absence</v>
      </c>
      <c r="I879" s="4"/>
      <c r="J879" s="22" t="s">
        <v>2308</v>
      </c>
      <c r="K879" s="22" t="s">
        <v>2308</v>
      </c>
      <c r="L879" s="22" t="s">
        <v>2308</v>
      </c>
      <c r="M879" s="22" t="s">
        <v>2308</v>
      </c>
      <c r="N879" s="22" t="s">
        <v>2308</v>
      </c>
      <c r="O879" s="22" t="s">
        <v>2308</v>
      </c>
      <c r="P879" s="22" t="s">
        <v>2308</v>
      </c>
      <c r="Q879" s="22" t="s">
        <v>2308</v>
      </c>
      <c r="R879" s="22" t="s">
        <v>2308</v>
      </c>
      <c r="S879" s="22" t="s">
        <v>2308</v>
      </c>
      <c r="T879" s="22" t="s">
        <v>2308</v>
      </c>
      <c r="U879" s="22" t="s">
        <v>2308</v>
      </c>
      <c r="V879" s="22" t="s">
        <v>2308</v>
      </c>
      <c r="W879" s="22" t="s">
        <v>2308</v>
      </c>
      <c r="X879" s="22" t="s">
        <v>2308</v>
      </c>
      <c r="Y879" s="22" t="s">
        <v>2308</v>
      </c>
      <c r="Z879" s="22" t="s">
        <v>2308</v>
      </c>
      <c r="AA879" s="5" t="s">
        <v>2890</v>
      </c>
      <c r="AB879" s="4"/>
    </row>
    <row r="880" spans="1:28" ht="54.5" customHeight="1">
      <c r="A880" s="7" t="str">
        <f>'Reported burning'!A880</f>
        <v>107a</v>
      </c>
      <c r="B880" s="7" t="str">
        <f>'Reported burning'!B880</f>
        <v>107a.4</v>
      </c>
      <c r="C880" s="7" t="str">
        <f>'Reported burning'!C880</f>
        <v>Human, deliberate</v>
      </c>
      <c r="D880" s="7" t="str">
        <f>'Reported burning'!D880</f>
        <v>Crop residue burning</v>
      </c>
      <c r="E880" s="7" t="str">
        <f>'Reported burning'!E880</f>
        <v>Cropping, Monoculture, Subsistence-oriented</v>
      </c>
      <c r="F880" s="7" t="str">
        <f>'Reported burning'!F880</f>
        <v>Cropland</v>
      </c>
      <c r="G880" s="7" t="str">
        <f>'Reported burning'!G880</f>
        <v>ND</v>
      </c>
      <c r="H880" s="7" t="str">
        <f>'Reported burning'!H880</f>
        <v>Presence</v>
      </c>
      <c r="I880" s="4"/>
      <c r="J880" s="22" t="s">
        <v>2308</v>
      </c>
      <c r="K880" s="22" t="s">
        <v>2308</v>
      </c>
      <c r="L880" s="22" t="s">
        <v>2308</v>
      </c>
      <c r="M880" s="22" t="s">
        <v>2308</v>
      </c>
      <c r="N880" s="22" t="s">
        <v>2308</v>
      </c>
      <c r="O880" s="22" t="s">
        <v>2308</v>
      </c>
      <c r="P880" s="22" t="s">
        <v>2308</v>
      </c>
      <c r="Q880" s="22" t="s">
        <v>2308</v>
      </c>
      <c r="R880" s="22" t="s">
        <v>2308</v>
      </c>
      <c r="S880" s="22" t="s">
        <v>2406</v>
      </c>
      <c r="T880" s="22" t="s">
        <v>2308</v>
      </c>
      <c r="U880" s="22" t="s">
        <v>2308</v>
      </c>
      <c r="V880" s="22" t="s">
        <v>2308</v>
      </c>
      <c r="W880" s="22" t="s">
        <v>2308</v>
      </c>
      <c r="X880" s="22" t="s">
        <v>2308</v>
      </c>
      <c r="Y880" s="22" t="s">
        <v>2308</v>
      </c>
      <c r="Z880" s="22" t="s">
        <v>2308</v>
      </c>
      <c r="AA880" s="4" t="s">
        <v>2892</v>
      </c>
      <c r="AB880" s="5" t="s">
        <v>2894</v>
      </c>
    </row>
    <row r="881" spans="1:28" ht="39" customHeight="1">
      <c r="A881" s="7" t="str">
        <f>'Reported burning'!A881</f>
        <v>108a</v>
      </c>
      <c r="B881" s="7" t="str">
        <f>'Reported burning'!B881</f>
        <v>108a.1</v>
      </c>
      <c r="C881" s="7" t="str">
        <f>'Reported burning'!C881</f>
        <v>Human, deliberate</v>
      </c>
      <c r="D881" s="7" t="str">
        <f>'Reported burning'!D881</f>
        <v>Crop field preparation</v>
      </c>
      <c r="E881" s="7" t="str">
        <f>'Reported burning'!E881</f>
        <v>Cropping, Swidden</v>
      </c>
      <c r="F881" s="7" t="str">
        <f>'Reported burning'!F881</f>
        <v>Secondary Vegetation</v>
      </c>
      <c r="G881" s="7" t="str">
        <f>'Reported burning'!G881</f>
        <v>ND</v>
      </c>
      <c r="H881" s="7" t="str">
        <f>'Reported burning'!H881</f>
        <v>Presence</v>
      </c>
      <c r="I881" s="4"/>
      <c r="J881" s="22" t="s">
        <v>2308</v>
      </c>
      <c r="K881" s="22" t="s">
        <v>2308</v>
      </c>
      <c r="L881" s="22" t="s">
        <v>2308</v>
      </c>
      <c r="M881" s="22" t="s">
        <v>2308</v>
      </c>
      <c r="N881" s="22" t="s">
        <v>2308</v>
      </c>
      <c r="O881" s="22" t="s">
        <v>2308</v>
      </c>
      <c r="P881" s="22" t="s">
        <v>2308</v>
      </c>
      <c r="Q881" s="22" t="s">
        <v>2308</v>
      </c>
      <c r="R881" s="22" t="s">
        <v>2308</v>
      </c>
      <c r="S881" s="22" t="s">
        <v>2308</v>
      </c>
      <c r="T881" s="22" t="s">
        <v>2308</v>
      </c>
      <c r="U881" s="22" t="s">
        <v>2308</v>
      </c>
      <c r="V881" s="22" t="s">
        <v>2308</v>
      </c>
      <c r="W881" s="22" t="s">
        <v>2434</v>
      </c>
      <c r="X881" s="22" t="s">
        <v>2308</v>
      </c>
      <c r="Y881" s="22" t="s">
        <v>2308</v>
      </c>
      <c r="Z881" s="22" t="s">
        <v>2308</v>
      </c>
      <c r="AB881" s="4" t="s">
        <v>2909</v>
      </c>
    </row>
    <row r="882" spans="1:28" ht="32" customHeight="1">
      <c r="A882" s="7" t="str">
        <f>'Reported burning'!A882</f>
        <v>108b</v>
      </c>
      <c r="B882" s="7" t="str">
        <f>'Reported burning'!B882</f>
        <v>108b.1</v>
      </c>
      <c r="C882" s="7" t="str">
        <f>'Reported burning'!C882</f>
        <v>Human, deliberate</v>
      </c>
      <c r="D882" s="7" t="str">
        <f>'Reported burning'!D882</f>
        <v>Crop field preparation</v>
      </c>
      <c r="E882" s="7" t="str">
        <f>'Reported burning'!E882</f>
        <v>Cropping, Swidden</v>
      </c>
      <c r="F882" s="7" t="str">
        <f>'Reported burning'!F882</f>
        <v>Secondary Vegetation</v>
      </c>
      <c r="G882" s="7" t="str">
        <f>'Reported burning'!G882</f>
        <v>ND</v>
      </c>
      <c r="H882" s="7" t="str">
        <f>'Reported burning'!H882</f>
        <v>Presence</v>
      </c>
      <c r="I882" s="4"/>
      <c r="J882" s="22" t="s">
        <v>2308</v>
      </c>
      <c r="K882" s="22" t="s">
        <v>2308</v>
      </c>
      <c r="L882" s="22" t="s">
        <v>2308</v>
      </c>
      <c r="M882" s="22" t="s">
        <v>2308</v>
      </c>
      <c r="N882" s="22" t="s">
        <v>2308</v>
      </c>
      <c r="O882" s="22" t="s">
        <v>2308</v>
      </c>
      <c r="P882" s="22" t="s">
        <v>2308</v>
      </c>
      <c r="Q882" s="22" t="s">
        <v>2308</v>
      </c>
      <c r="R882" s="22" t="s">
        <v>2308</v>
      </c>
      <c r="S882" s="22" t="s">
        <v>2308</v>
      </c>
      <c r="T882" s="22" t="s">
        <v>2308</v>
      </c>
      <c r="U882" s="22" t="s">
        <v>2308</v>
      </c>
      <c r="V882" s="22" t="s">
        <v>2308</v>
      </c>
      <c r="W882" s="22" t="s">
        <v>2435</v>
      </c>
      <c r="X882" s="22" t="s">
        <v>2308</v>
      </c>
      <c r="Y882" s="22" t="s">
        <v>2308</v>
      </c>
      <c r="Z882" s="22" t="s">
        <v>2308</v>
      </c>
      <c r="AA882" s="4"/>
      <c r="AB882" s="4" t="s">
        <v>2909</v>
      </c>
    </row>
    <row r="883" spans="1:28" ht="47" customHeight="1">
      <c r="A883" s="7" t="str">
        <f>'Reported burning'!A883</f>
        <v>108b</v>
      </c>
      <c r="B883" s="7" t="str">
        <f>'Reported burning'!B883</f>
        <v>108b.2</v>
      </c>
      <c r="C883" s="7" t="str">
        <f>'Reported burning'!C883</f>
        <v>Human, deliberate</v>
      </c>
      <c r="D883" s="7" t="str">
        <f>'Reported burning'!D883</f>
        <v>Crop field preparation</v>
      </c>
      <c r="E883" s="7" t="str">
        <f>'Reported burning'!E883</f>
        <v>Cropping, Swidden</v>
      </c>
      <c r="F883" s="7" t="str">
        <f>'Reported burning'!F883</f>
        <v>Forest</v>
      </c>
      <c r="G883" s="7" t="str">
        <f>'Reported burning'!G883</f>
        <v>ND</v>
      </c>
      <c r="H883" s="7" t="str">
        <f>'Reported burning'!H883</f>
        <v>Presence</v>
      </c>
      <c r="I883" s="4"/>
      <c r="J883" s="22" t="s">
        <v>2308</v>
      </c>
      <c r="K883" s="22" t="s">
        <v>2308</v>
      </c>
      <c r="L883" s="22" t="s">
        <v>2308</v>
      </c>
      <c r="M883" s="22" t="s">
        <v>2308</v>
      </c>
      <c r="N883" s="22" t="s">
        <v>2308</v>
      </c>
      <c r="O883" s="22" t="s">
        <v>2308</v>
      </c>
      <c r="P883" s="22" t="s">
        <v>2308</v>
      </c>
      <c r="Q883" s="22" t="s">
        <v>2308</v>
      </c>
      <c r="R883" s="22" t="s">
        <v>2308</v>
      </c>
      <c r="S883" s="22" t="s">
        <v>2308</v>
      </c>
      <c r="T883" s="22" t="s">
        <v>2308</v>
      </c>
      <c r="U883" s="22" t="s">
        <v>2308</v>
      </c>
      <c r="V883" s="22" t="s">
        <v>2308</v>
      </c>
      <c r="W883" s="22" t="s">
        <v>2308</v>
      </c>
      <c r="X883" s="22" t="s">
        <v>2308</v>
      </c>
      <c r="Y883" s="22" t="s">
        <v>2308</v>
      </c>
      <c r="Z883" s="22" t="s">
        <v>2308</v>
      </c>
      <c r="AA883" s="5" t="s">
        <v>2908</v>
      </c>
      <c r="AB883" s="4"/>
    </row>
    <row r="884" spans="1:28" ht="54" customHeight="1">
      <c r="A884" s="7" t="str">
        <f>'Reported burning'!A884</f>
        <v>108b</v>
      </c>
      <c r="B884" s="7" t="str">
        <f>'Reported burning'!B884</f>
        <v>108b.3</v>
      </c>
      <c r="C884" s="7" t="str">
        <f>'Reported burning'!C884</f>
        <v>Human, deliberate</v>
      </c>
      <c r="D884" s="7" t="str">
        <f>'Reported burning'!D884</f>
        <v>Forest clearance</v>
      </c>
      <c r="E884" s="7" t="str">
        <f>'Reported burning'!E884</f>
        <v>Cropping, Monoculture, Market-oriented</v>
      </c>
      <c r="F884" s="7" t="str">
        <f>'Reported burning'!F884</f>
        <v>Forest</v>
      </c>
      <c r="G884" s="7" t="str">
        <f>'Reported burning'!G884</f>
        <v>ND</v>
      </c>
      <c r="H884" s="7" t="str">
        <f>'Reported burning'!H884</f>
        <v>Presence</v>
      </c>
      <c r="I884" s="4"/>
      <c r="J884" s="22" t="s">
        <v>2308</v>
      </c>
      <c r="K884" s="22" t="s">
        <v>2308</v>
      </c>
      <c r="L884" s="22" t="s">
        <v>2308</v>
      </c>
      <c r="M884" s="22" t="s">
        <v>2308</v>
      </c>
      <c r="N884" s="22" t="s">
        <v>2308</v>
      </c>
      <c r="O884" s="22" t="s">
        <v>2308</v>
      </c>
      <c r="P884" s="22" t="s">
        <v>2308</v>
      </c>
      <c r="Q884" s="22" t="s">
        <v>2308</v>
      </c>
      <c r="R884" s="22" t="s">
        <v>2308</v>
      </c>
      <c r="S884" s="22" t="s">
        <v>2308</v>
      </c>
      <c r="T884" s="22" t="s">
        <v>2308</v>
      </c>
      <c r="U884" s="22" t="s">
        <v>2308</v>
      </c>
      <c r="V884" s="22" t="s">
        <v>2308</v>
      </c>
      <c r="W884" s="22" t="s">
        <v>2308</v>
      </c>
      <c r="X884" s="22" t="s">
        <v>2308</v>
      </c>
      <c r="Y884" s="22" t="s">
        <v>2308</v>
      </c>
      <c r="Z884" s="22" t="s">
        <v>2308</v>
      </c>
      <c r="AA884" s="5" t="s">
        <v>2911</v>
      </c>
      <c r="AB884" s="4"/>
    </row>
    <row r="885" spans="1:28" ht="42.5" customHeight="1">
      <c r="A885" s="7" t="str">
        <f>'Reported burning'!A885</f>
        <v>109a</v>
      </c>
      <c r="B885" s="7" t="str">
        <f>'Reported burning'!B885</f>
        <v>109a.1</v>
      </c>
      <c r="C885" s="7" t="str">
        <f>'Reported burning'!C885</f>
        <v>Human, deliberate</v>
      </c>
      <c r="D885" s="7" t="str">
        <f>'Reported burning'!D885</f>
        <v>Crop field preparation</v>
      </c>
      <c r="E885" s="7" t="str">
        <f>'Reported burning'!E885</f>
        <v>Cropping, Swidden</v>
      </c>
      <c r="F885" s="7" t="str">
        <f>'Reported burning'!F885</f>
        <v>Secondary Vegetation</v>
      </c>
      <c r="G885" s="7" t="str">
        <f>'Reported burning'!G885</f>
        <v>ND</v>
      </c>
      <c r="H885" s="7" t="str">
        <f>'Reported burning'!H885</f>
        <v>Presence</v>
      </c>
      <c r="I885" s="4"/>
      <c r="J885" s="22" t="s">
        <v>2308</v>
      </c>
      <c r="K885" s="22" t="s">
        <v>2308</v>
      </c>
      <c r="L885" s="22" t="s">
        <v>2308</v>
      </c>
      <c r="M885" s="22" t="s">
        <v>2308</v>
      </c>
      <c r="N885" s="22" t="s">
        <v>2308</v>
      </c>
      <c r="O885" s="22" t="s">
        <v>2308</v>
      </c>
      <c r="P885" s="22" t="s">
        <v>2308</v>
      </c>
      <c r="Q885" s="22" t="s">
        <v>2308</v>
      </c>
      <c r="R885" s="22" t="s">
        <v>2308</v>
      </c>
      <c r="S885" s="22" t="s">
        <v>2308</v>
      </c>
      <c r="T885" s="22" t="s">
        <v>2308</v>
      </c>
      <c r="U885" s="22" t="s">
        <v>2308</v>
      </c>
      <c r="V885" s="22" t="s">
        <v>2308</v>
      </c>
      <c r="W885" s="22" t="s">
        <v>2437</v>
      </c>
      <c r="X885" s="4" t="s">
        <v>406</v>
      </c>
      <c r="Y885" s="4" t="s">
        <v>194</v>
      </c>
      <c r="Z885" s="4" t="s">
        <v>64</v>
      </c>
      <c r="AA885" s="4"/>
      <c r="AB885" s="4" t="s">
        <v>2909</v>
      </c>
    </row>
    <row r="886" spans="1:28" ht="31" customHeight="1">
      <c r="A886" s="7" t="str">
        <f>'Reported burning'!A886</f>
        <v>110a</v>
      </c>
      <c r="B886" s="7" t="str">
        <f>'Reported burning'!B886</f>
        <v>110a.1</v>
      </c>
      <c r="C886" s="7" t="str">
        <f>'Reported burning'!C886</f>
        <v>Human, deliberate</v>
      </c>
      <c r="D886" s="7" t="str">
        <f>'Reported burning'!D886</f>
        <v>Hunting</v>
      </c>
      <c r="E886" s="7" t="str">
        <f>'Reported burning'!E886</f>
        <v>Forestry, Small-scale</v>
      </c>
      <c r="F886" s="7" t="str">
        <f>'Reported burning'!F886</f>
        <v>Shrubland (Mixed forest &amp; grassland)</v>
      </c>
      <c r="G886" s="7" t="str">
        <f>'Reported burning'!G886</f>
        <v>ND</v>
      </c>
      <c r="H886" s="7" t="str">
        <f>'Reported burning'!H886</f>
        <v>Presence</v>
      </c>
      <c r="I886" s="4"/>
      <c r="J886" s="22" t="s">
        <v>2308</v>
      </c>
      <c r="K886" s="22" t="s">
        <v>2308</v>
      </c>
      <c r="L886" s="22" t="s">
        <v>2308</v>
      </c>
      <c r="M886" s="22" t="s">
        <v>2308</v>
      </c>
      <c r="N886" s="22" t="s">
        <v>2308</v>
      </c>
      <c r="O886" s="22" t="s">
        <v>2308</v>
      </c>
      <c r="P886" s="22" t="s">
        <v>2308</v>
      </c>
      <c r="Q886" s="22" t="s">
        <v>2308</v>
      </c>
      <c r="R886" s="22" t="s">
        <v>2308</v>
      </c>
      <c r="S886" s="22" t="s">
        <v>2308</v>
      </c>
      <c r="T886" s="22" t="s">
        <v>2308</v>
      </c>
      <c r="U886" s="22" t="s">
        <v>2308</v>
      </c>
      <c r="V886" s="22" t="s">
        <v>2308</v>
      </c>
      <c r="W886" s="22" t="s">
        <v>2308</v>
      </c>
      <c r="X886" s="22" t="s">
        <v>2308</v>
      </c>
      <c r="Y886" s="22" t="s">
        <v>2308</v>
      </c>
      <c r="Z886" s="22" t="s">
        <v>2308</v>
      </c>
      <c r="AA886" s="4"/>
      <c r="AB886" s="4"/>
    </row>
    <row r="887" spans="1:28" ht="33.5" customHeight="1">
      <c r="A887" s="7" t="str">
        <f>'Reported burning'!A887</f>
        <v>110a</v>
      </c>
      <c r="B887" s="7" t="str">
        <f>'Reported burning'!B887</f>
        <v>110a.2</v>
      </c>
      <c r="C887" s="7" t="str">
        <f>'Reported burning'!C887</f>
        <v>Human, deliberate</v>
      </c>
      <c r="D887" s="7" t="str">
        <f>'Reported burning'!D887</f>
        <v>Pest management</v>
      </c>
      <c r="E887" s="7" t="str">
        <f>'Reported burning'!E887</f>
        <v>Forestry, Small-scale</v>
      </c>
      <c r="F887" s="7" t="str">
        <f>'Reported burning'!F887</f>
        <v>Shrubland (Mixed forest &amp; grassland)</v>
      </c>
      <c r="G887" s="7" t="str">
        <f>'Reported burning'!G887</f>
        <v>ND</v>
      </c>
      <c r="H887" s="7" t="str">
        <f>'Reported burning'!H887</f>
        <v>Presence</v>
      </c>
      <c r="I887" s="4"/>
      <c r="J887" s="22" t="s">
        <v>2308</v>
      </c>
      <c r="K887" s="22" t="s">
        <v>2308</v>
      </c>
      <c r="L887" s="22" t="s">
        <v>2308</v>
      </c>
      <c r="M887" s="22" t="s">
        <v>2308</v>
      </c>
      <c r="N887" s="22" t="s">
        <v>2308</v>
      </c>
      <c r="O887" s="22" t="s">
        <v>2308</v>
      </c>
      <c r="P887" s="22" t="s">
        <v>2308</v>
      </c>
      <c r="Q887" s="22" t="s">
        <v>2308</v>
      </c>
      <c r="R887" s="22" t="s">
        <v>2308</v>
      </c>
      <c r="S887" s="22" t="s">
        <v>2308</v>
      </c>
      <c r="T887" s="22" t="s">
        <v>2308</v>
      </c>
      <c r="U887" s="22" t="s">
        <v>2308</v>
      </c>
      <c r="V887" s="22" t="s">
        <v>2308</v>
      </c>
      <c r="W887" s="22" t="s">
        <v>2308</v>
      </c>
      <c r="X887" s="22" t="s">
        <v>2308</v>
      </c>
      <c r="Y887" s="22" t="s">
        <v>2308</v>
      </c>
      <c r="Z887" s="22" t="s">
        <v>2308</v>
      </c>
      <c r="AA887" s="5" t="s">
        <v>2937</v>
      </c>
      <c r="AB887" s="4"/>
    </row>
    <row r="888" spans="1:28" ht="32.5" customHeight="1">
      <c r="A888" s="7" t="str">
        <f>'Reported burning'!A888</f>
        <v>110a</v>
      </c>
      <c r="B888" s="7" t="str">
        <f>'Reported burning'!B888</f>
        <v>110a.3</v>
      </c>
      <c r="C888" s="7" t="str">
        <f>'Reported burning'!C888</f>
        <v>Human, deliberate</v>
      </c>
      <c r="D888" s="7" t="str">
        <f>'Reported burning'!D888</f>
        <v>Accessibility</v>
      </c>
      <c r="E888" s="7" t="str">
        <f>'Reported burning'!E888</f>
        <v>Forestry, Small-scale</v>
      </c>
      <c r="F888" s="7" t="str">
        <f>'Reported burning'!F888</f>
        <v>Shrubland (Mixed forest &amp; grassland)</v>
      </c>
      <c r="G888" s="7" t="str">
        <f>'Reported burning'!G888</f>
        <v>ND</v>
      </c>
      <c r="H888" s="7" t="str">
        <f>'Reported burning'!H888</f>
        <v>Presence</v>
      </c>
      <c r="I888" s="4"/>
      <c r="J888" s="22" t="s">
        <v>2308</v>
      </c>
      <c r="K888" s="22" t="s">
        <v>2308</v>
      </c>
      <c r="L888" s="22" t="s">
        <v>2308</v>
      </c>
      <c r="M888" s="22" t="s">
        <v>2308</v>
      </c>
      <c r="N888" s="22" t="s">
        <v>2308</v>
      </c>
      <c r="O888" s="22" t="s">
        <v>2308</v>
      </c>
      <c r="P888" s="22" t="s">
        <v>2308</v>
      </c>
      <c r="Q888" s="22" t="s">
        <v>2308</v>
      </c>
      <c r="R888" s="22" t="s">
        <v>2308</v>
      </c>
      <c r="S888" s="22" t="s">
        <v>2308</v>
      </c>
      <c r="T888" s="22" t="s">
        <v>2308</v>
      </c>
      <c r="U888" s="22" t="s">
        <v>2308</v>
      </c>
      <c r="V888" s="22" t="s">
        <v>2308</v>
      </c>
      <c r="W888" s="22" t="s">
        <v>2308</v>
      </c>
      <c r="X888" s="22" t="s">
        <v>2308</v>
      </c>
      <c r="Y888" s="22" t="s">
        <v>2308</v>
      </c>
      <c r="Z888" s="22" t="s">
        <v>2308</v>
      </c>
      <c r="AA888" s="5" t="s">
        <v>2938</v>
      </c>
      <c r="AB888" s="4"/>
    </row>
    <row r="889" spans="1:28" ht="28" customHeight="1">
      <c r="A889" s="7" t="str">
        <f>'Reported burning'!A889</f>
        <v>110a</v>
      </c>
      <c r="B889" s="7" t="str">
        <f>'Reported burning'!B889</f>
        <v>110a.4</v>
      </c>
      <c r="C889" s="7" t="str">
        <f>'Reported burning'!C889</f>
        <v>Human, escaped</v>
      </c>
      <c r="D889" s="7" t="str">
        <f>'Reported burning'!D889</f>
        <v>All</v>
      </c>
      <c r="E889" s="7" t="str">
        <f>'Reported burning'!E889</f>
        <v>All</v>
      </c>
      <c r="F889" s="7" t="str">
        <f>'Reported burning'!F889</f>
        <v>Shrubland (Mixed forest &amp; grassland)</v>
      </c>
      <c r="G889" s="7" t="str">
        <f>'Reported burning'!G889</f>
        <v>All</v>
      </c>
      <c r="H889" s="7" t="str">
        <f>'Reported burning'!H889</f>
        <v>Presence</v>
      </c>
      <c r="I889" s="4"/>
      <c r="J889" s="22" t="s">
        <v>2308</v>
      </c>
      <c r="K889" s="22" t="s">
        <v>2308</v>
      </c>
      <c r="L889" s="22" t="s">
        <v>2308</v>
      </c>
      <c r="M889" s="22" t="s">
        <v>2308</v>
      </c>
      <c r="N889" s="22" t="s">
        <v>2308</v>
      </c>
      <c r="O889" s="22" t="s">
        <v>2308</v>
      </c>
      <c r="P889" s="22" t="s">
        <v>2308</v>
      </c>
      <c r="Q889" s="22" t="s">
        <v>2308</v>
      </c>
      <c r="R889" s="22" t="s">
        <v>2308</v>
      </c>
      <c r="S889" s="22" t="s">
        <v>2308</v>
      </c>
      <c r="T889" s="22" t="s">
        <v>2308</v>
      </c>
      <c r="U889" s="22" t="s">
        <v>2308</v>
      </c>
      <c r="V889" s="22" t="s">
        <v>2308</v>
      </c>
      <c r="W889" s="22" t="s">
        <v>2434</v>
      </c>
      <c r="X889" s="4" t="s">
        <v>35</v>
      </c>
      <c r="Y889" s="4" t="s">
        <v>38</v>
      </c>
      <c r="Z889" s="4" t="s">
        <v>64</v>
      </c>
      <c r="AA889" s="5"/>
      <c r="AB889" s="4"/>
    </row>
    <row r="890" spans="1:28" ht="32.5" customHeight="1">
      <c r="A890" s="7" t="str">
        <f>'Reported burning'!A890</f>
        <v>110a</v>
      </c>
      <c r="B890" s="7" t="str">
        <f>'Reported burning'!B890</f>
        <v>110a.5</v>
      </c>
      <c r="C890" s="7" t="str">
        <f>'Reported burning'!C890</f>
        <v>Human, deliberate</v>
      </c>
      <c r="D890" s="7" t="str">
        <f>'Reported burning'!D890</f>
        <v>Crop field preparation</v>
      </c>
      <c r="E890" s="7" t="str">
        <f>'Reported burning'!E890</f>
        <v>Cropping, Swidden</v>
      </c>
      <c r="F890" s="7" t="str">
        <f>'Reported burning'!F890</f>
        <v>Secondary Vegetation</v>
      </c>
      <c r="G890" s="7" t="str">
        <f>'Reported burning'!G890</f>
        <v>ND</v>
      </c>
      <c r="H890" s="7" t="str">
        <f>'Reported burning'!H890</f>
        <v>Presence</v>
      </c>
      <c r="I890" s="4"/>
      <c r="J890" s="22" t="s">
        <v>2308</v>
      </c>
      <c r="K890" s="22" t="s">
        <v>2308</v>
      </c>
      <c r="L890" s="22" t="s">
        <v>2308</v>
      </c>
      <c r="M890" s="22" t="s">
        <v>2308</v>
      </c>
      <c r="N890" s="22" t="s">
        <v>2308</v>
      </c>
      <c r="O890" s="22" t="s">
        <v>2308</v>
      </c>
      <c r="P890" s="22" t="s">
        <v>2308</v>
      </c>
      <c r="Q890" s="22" t="s">
        <v>2308</v>
      </c>
      <c r="R890" s="22" t="s">
        <v>2308</v>
      </c>
      <c r="S890" s="22" t="s">
        <v>2308</v>
      </c>
      <c r="T890" s="22" t="s">
        <v>2308</v>
      </c>
      <c r="U890" s="22" t="s">
        <v>2308</v>
      </c>
      <c r="V890" s="22" t="s">
        <v>2308</v>
      </c>
      <c r="W890" s="22" t="s">
        <v>2308</v>
      </c>
      <c r="X890" s="4" t="s">
        <v>68</v>
      </c>
      <c r="Y890" s="4" t="s">
        <v>35</v>
      </c>
      <c r="Z890" s="4" t="s">
        <v>64</v>
      </c>
      <c r="AA890" s="5"/>
      <c r="AB890" s="4"/>
    </row>
    <row r="891" spans="1:28" ht="36.5" customHeight="1">
      <c r="A891" s="7" t="str">
        <f>'Reported burning'!A891</f>
        <v>110a</v>
      </c>
      <c r="B891" s="7" t="str">
        <f>'Reported burning'!B891</f>
        <v>110a.6</v>
      </c>
      <c r="C891" s="7" t="str">
        <f>'Reported burning'!C891</f>
        <v>Human, deliberate</v>
      </c>
      <c r="D891" s="7" t="str">
        <f>'Reported burning'!D891</f>
        <v>Land clearance</v>
      </c>
      <c r="E891" s="7" t="str">
        <f>'Reported burning'!E891</f>
        <v>Cropping, Monoculture, Market-oriented</v>
      </c>
      <c r="F891" s="7" t="str">
        <f>'Reported burning'!F891</f>
        <v>Shrubland (Mixed forest &amp; grassland)</v>
      </c>
      <c r="G891" s="7" t="str">
        <f>'Reported burning'!G891</f>
        <v>ND</v>
      </c>
      <c r="H891" s="7" t="str">
        <f>'Reported burning'!H891</f>
        <v>Presence</v>
      </c>
      <c r="I891" s="4"/>
      <c r="J891" s="22" t="s">
        <v>2308</v>
      </c>
      <c r="K891" s="22" t="s">
        <v>2308</v>
      </c>
      <c r="L891" s="22" t="s">
        <v>2308</v>
      </c>
      <c r="M891" s="22" t="s">
        <v>2308</v>
      </c>
      <c r="N891" s="22" t="s">
        <v>2308</v>
      </c>
      <c r="O891" s="22" t="s">
        <v>2308</v>
      </c>
      <c r="P891" s="22" t="s">
        <v>2308</v>
      </c>
      <c r="Q891" s="22" t="s">
        <v>2308</v>
      </c>
      <c r="R891" s="22" t="s">
        <v>2308</v>
      </c>
      <c r="S891" s="22" t="s">
        <v>2308</v>
      </c>
      <c r="T891" s="22" t="s">
        <v>2308</v>
      </c>
      <c r="U891" s="22" t="s">
        <v>2308</v>
      </c>
      <c r="V891" s="22" t="s">
        <v>2308</v>
      </c>
      <c r="W891" s="22" t="s">
        <v>2308</v>
      </c>
      <c r="X891" s="22" t="s">
        <v>2308</v>
      </c>
      <c r="Y891" s="22" t="s">
        <v>2308</v>
      </c>
      <c r="Z891" s="22" t="s">
        <v>2308</v>
      </c>
      <c r="AA891" s="5" t="s">
        <v>2939</v>
      </c>
      <c r="AB891" s="4"/>
    </row>
    <row r="892" spans="1:28" ht="36.5" customHeight="1">
      <c r="A892" s="7" t="str">
        <f>'Reported burning'!A892</f>
        <v>110a</v>
      </c>
      <c r="B892" s="7" t="str">
        <f>'Reported burning'!B892</f>
        <v>110a.7</v>
      </c>
      <c r="C892" s="7" t="str">
        <f>'Reported burning'!C892</f>
        <v>Human, deliberate</v>
      </c>
      <c r="D892" s="7" t="str">
        <f>'Reported burning'!D892</f>
        <v>Arson</v>
      </c>
      <c r="E892" s="7" t="str">
        <f>'Reported burning'!E892</f>
        <v>All</v>
      </c>
      <c r="F892" s="7" t="str">
        <f>'Reported burning'!F892</f>
        <v>Shrubland (Mixed forest &amp; grassland)</v>
      </c>
      <c r="G892" s="7" t="str">
        <f>'Reported burning'!G892</f>
        <v>ND</v>
      </c>
      <c r="H892" s="7" t="str">
        <f>'Reported burning'!H892</f>
        <v>Presence</v>
      </c>
      <c r="I892" s="4"/>
      <c r="J892" s="22" t="s">
        <v>2308</v>
      </c>
      <c r="K892" s="22" t="s">
        <v>2308</v>
      </c>
      <c r="L892" s="22" t="s">
        <v>2308</v>
      </c>
      <c r="M892" s="22" t="s">
        <v>2308</v>
      </c>
      <c r="N892" s="22" t="s">
        <v>2308</v>
      </c>
      <c r="O892" s="22" t="s">
        <v>2308</v>
      </c>
      <c r="P892" s="22" t="s">
        <v>2308</v>
      </c>
      <c r="Q892" s="22" t="s">
        <v>2308</v>
      </c>
      <c r="R892" s="22" t="s">
        <v>2308</v>
      </c>
      <c r="S892" s="22" t="s">
        <v>2308</v>
      </c>
      <c r="T892" s="22" t="s">
        <v>2308</v>
      </c>
      <c r="U892" s="22" t="s">
        <v>2308</v>
      </c>
      <c r="V892" s="22" t="s">
        <v>2308</v>
      </c>
      <c r="W892" s="22" t="s">
        <v>2308</v>
      </c>
      <c r="X892" s="22" t="s">
        <v>2308</v>
      </c>
      <c r="Y892" s="22" t="s">
        <v>2308</v>
      </c>
      <c r="Z892" s="22" t="s">
        <v>2308</v>
      </c>
      <c r="AA892" s="5" t="s">
        <v>2936</v>
      </c>
      <c r="AB892" s="4"/>
    </row>
    <row r="893" spans="1:28" ht="29">
      <c r="A893" s="7" t="str">
        <f>'Reported burning'!A893</f>
        <v>110b</v>
      </c>
      <c r="B893" s="7" t="str">
        <f>'Reported burning'!B893</f>
        <v>110b.1</v>
      </c>
      <c r="C893" s="7" t="str">
        <f>'Reported burning'!C893</f>
        <v>Human, deliberate</v>
      </c>
      <c r="D893" s="7" t="str">
        <f>'Reported burning'!D893</f>
        <v>Hunting</v>
      </c>
      <c r="E893" s="7" t="str">
        <f>'Reported burning'!E893</f>
        <v>Forestry, Small-scale</v>
      </c>
      <c r="F893" s="7" t="str">
        <f>'Reported burning'!F893</f>
        <v>Shrubland (Mixed forest &amp; grassland)</v>
      </c>
      <c r="G893" s="7" t="str">
        <f>'Reported burning'!G893</f>
        <v>ND</v>
      </c>
      <c r="H893" s="7" t="str">
        <f>'Reported burning'!H893</f>
        <v>Presence</v>
      </c>
      <c r="I893" s="4"/>
      <c r="J893" s="22" t="s">
        <v>2308</v>
      </c>
      <c r="K893" s="22" t="s">
        <v>2308</v>
      </c>
      <c r="L893" s="22" t="s">
        <v>2308</v>
      </c>
      <c r="M893" s="22" t="s">
        <v>2308</v>
      </c>
      <c r="N893" s="22" t="s">
        <v>2308</v>
      </c>
      <c r="O893" s="22" t="s">
        <v>2308</v>
      </c>
      <c r="P893" s="22" t="s">
        <v>2308</v>
      </c>
      <c r="Q893" s="22" t="s">
        <v>2308</v>
      </c>
      <c r="R893" s="22" t="s">
        <v>2308</v>
      </c>
      <c r="S893" s="22" t="s">
        <v>2308</v>
      </c>
      <c r="T893" s="22" t="s">
        <v>2308</v>
      </c>
      <c r="U893" s="22" t="s">
        <v>2308</v>
      </c>
      <c r="V893" s="22" t="s">
        <v>2308</v>
      </c>
      <c r="W893" s="22" t="s">
        <v>2308</v>
      </c>
      <c r="X893" s="22" t="s">
        <v>2308</v>
      </c>
      <c r="Y893" s="22" t="s">
        <v>2308</v>
      </c>
      <c r="Z893" s="22" t="s">
        <v>2308</v>
      </c>
      <c r="AA893" s="4"/>
      <c r="AB893" s="4"/>
    </row>
    <row r="894" spans="1:28" ht="29">
      <c r="A894" s="7" t="str">
        <f>'Reported burning'!A894</f>
        <v>110b</v>
      </c>
      <c r="B894" s="7" t="str">
        <f>'Reported burning'!B894</f>
        <v>110b.2</v>
      </c>
      <c r="C894" s="7" t="str">
        <f>'Reported burning'!C894</f>
        <v>Human, deliberate</v>
      </c>
      <c r="D894" s="7" t="str">
        <f>'Reported burning'!D894</f>
        <v>Pest management</v>
      </c>
      <c r="E894" s="7" t="str">
        <f>'Reported burning'!E894</f>
        <v>Forestry, Small-scale</v>
      </c>
      <c r="F894" s="7" t="str">
        <f>'Reported burning'!F894</f>
        <v>Shrubland (Mixed forest &amp; grassland)</v>
      </c>
      <c r="G894" s="7" t="str">
        <f>'Reported burning'!G894</f>
        <v>ND</v>
      </c>
      <c r="H894" s="7" t="str">
        <f>'Reported burning'!H894</f>
        <v>Presence</v>
      </c>
      <c r="I894" s="4"/>
      <c r="J894" s="22" t="s">
        <v>2308</v>
      </c>
      <c r="K894" s="22" t="s">
        <v>2308</v>
      </c>
      <c r="L894" s="22" t="s">
        <v>2308</v>
      </c>
      <c r="M894" s="22" t="s">
        <v>2308</v>
      </c>
      <c r="N894" s="22" t="s">
        <v>2308</v>
      </c>
      <c r="O894" s="22" t="s">
        <v>2308</v>
      </c>
      <c r="P894" s="22" t="s">
        <v>2308</v>
      </c>
      <c r="Q894" s="22" t="s">
        <v>2308</v>
      </c>
      <c r="R894" s="22" t="s">
        <v>2308</v>
      </c>
      <c r="S894" s="22" t="s">
        <v>2308</v>
      </c>
      <c r="T894" s="22" t="s">
        <v>2308</v>
      </c>
      <c r="U894" s="22" t="s">
        <v>2308</v>
      </c>
      <c r="V894" s="22" t="s">
        <v>2308</v>
      </c>
      <c r="W894" s="22" t="s">
        <v>2308</v>
      </c>
      <c r="X894" s="22" t="s">
        <v>2308</v>
      </c>
      <c r="Y894" s="22" t="s">
        <v>2308</v>
      </c>
      <c r="Z894" s="22" t="s">
        <v>2308</v>
      </c>
      <c r="AA894" s="5" t="s">
        <v>2937</v>
      </c>
      <c r="AB894" s="4"/>
    </row>
    <row r="895" spans="1:28" ht="29">
      <c r="A895" s="7" t="str">
        <f>'Reported burning'!A895</f>
        <v>110b</v>
      </c>
      <c r="B895" s="7" t="str">
        <f>'Reported burning'!B895</f>
        <v>110b.3</v>
      </c>
      <c r="C895" s="7" t="str">
        <f>'Reported burning'!C895</f>
        <v>Human, deliberate</v>
      </c>
      <c r="D895" s="7" t="str">
        <f>'Reported burning'!D895</f>
        <v>Accessibility</v>
      </c>
      <c r="E895" s="7" t="str">
        <f>'Reported burning'!E895</f>
        <v>Forestry, Small-scale</v>
      </c>
      <c r="F895" s="7" t="str">
        <f>'Reported burning'!F895</f>
        <v>Shrubland (Mixed forest &amp; grassland)</v>
      </c>
      <c r="G895" s="7" t="str">
        <f>'Reported burning'!G895</f>
        <v>ND</v>
      </c>
      <c r="H895" s="7" t="str">
        <f>'Reported burning'!H895</f>
        <v>Presence</v>
      </c>
      <c r="I895" s="4"/>
      <c r="J895" s="22" t="s">
        <v>2308</v>
      </c>
      <c r="K895" s="22" t="s">
        <v>2308</v>
      </c>
      <c r="L895" s="22" t="s">
        <v>2308</v>
      </c>
      <c r="M895" s="22" t="s">
        <v>2308</v>
      </c>
      <c r="N895" s="22" t="s">
        <v>2308</v>
      </c>
      <c r="O895" s="22" t="s">
        <v>2308</v>
      </c>
      <c r="P895" s="22" t="s">
        <v>2308</v>
      </c>
      <c r="Q895" s="22" t="s">
        <v>2308</v>
      </c>
      <c r="R895" s="22" t="s">
        <v>2308</v>
      </c>
      <c r="S895" s="22" t="s">
        <v>2308</v>
      </c>
      <c r="T895" s="22" t="s">
        <v>2308</v>
      </c>
      <c r="U895" s="22" t="s">
        <v>2308</v>
      </c>
      <c r="V895" s="22" t="s">
        <v>2308</v>
      </c>
      <c r="W895" s="22" t="s">
        <v>2308</v>
      </c>
      <c r="X895" s="22" t="s">
        <v>2308</v>
      </c>
      <c r="Y895" s="22" t="s">
        <v>2308</v>
      </c>
      <c r="Z895" s="22" t="s">
        <v>2308</v>
      </c>
      <c r="AA895" s="5" t="s">
        <v>2938</v>
      </c>
      <c r="AB895" s="4"/>
    </row>
    <row r="896" spans="1:28" ht="29">
      <c r="A896" s="7" t="str">
        <f>'Reported burning'!A896</f>
        <v>110b</v>
      </c>
      <c r="B896" s="7" t="str">
        <f>'Reported burning'!B896</f>
        <v>110b.4</v>
      </c>
      <c r="C896" s="7" t="str">
        <f>'Reported burning'!C896</f>
        <v>Human, escaped</v>
      </c>
      <c r="D896" s="7" t="str">
        <f>'Reported burning'!D896</f>
        <v>All</v>
      </c>
      <c r="E896" s="7" t="str">
        <f>'Reported burning'!E896</f>
        <v>All</v>
      </c>
      <c r="F896" s="7" t="str">
        <f>'Reported burning'!F896</f>
        <v>Shrubland (Mixed forest &amp; grassland)</v>
      </c>
      <c r="G896" s="7" t="str">
        <f>'Reported burning'!G896</f>
        <v>All</v>
      </c>
      <c r="H896" s="7" t="str">
        <f>'Reported burning'!H896</f>
        <v>Presence</v>
      </c>
      <c r="I896" s="4"/>
      <c r="J896" s="22" t="s">
        <v>2308</v>
      </c>
      <c r="K896" s="22" t="s">
        <v>2308</v>
      </c>
      <c r="L896" s="22" t="s">
        <v>2308</v>
      </c>
      <c r="M896" s="22" t="s">
        <v>2308</v>
      </c>
      <c r="N896" s="22" t="s">
        <v>2308</v>
      </c>
      <c r="O896" s="22" t="s">
        <v>2308</v>
      </c>
      <c r="P896" s="22" t="s">
        <v>2308</v>
      </c>
      <c r="Q896" s="22" t="s">
        <v>2308</v>
      </c>
      <c r="R896" s="22" t="s">
        <v>2308</v>
      </c>
      <c r="S896" s="22" t="s">
        <v>2308</v>
      </c>
      <c r="T896" s="22" t="s">
        <v>2308</v>
      </c>
      <c r="U896" s="22" t="s">
        <v>2308</v>
      </c>
      <c r="V896" s="22" t="s">
        <v>2308</v>
      </c>
      <c r="W896" s="22" t="s">
        <v>2434</v>
      </c>
      <c r="X896" s="4" t="s">
        <v>35</v>
      </c>
      <c r="Y896" s="4" t="s">
        <v>38</v>
      </c>
      <c r="Z896" s="4" t="s">
        <v>64</v>
      </c>
      <c r="AA896" s="5"/>
      <c r="AB896" s="4"/>
    </row>
    <row r="897" spans="1:28" ht="31" customHeight="1">
      <c r="A897" s="7" t="str">
        <f>'Reported burning'!A897</f>
        <v>110b</v>
      </c>
      <c r="B897" s="7" t="str">
        <f>'Reported burning'!B897</f>
        <v>110b.5</v>
      </c>
      <c r="C897" s="7" t="str">
        <f>'Reported burning'!C897</f>
        <v>Human, deliberate</v>
      </c>
      <c r="D897" s="7" t="str">
        <f>'Reported burning'!D897</f>
        <v>Crop field preparation</v>
      </c>
      <c r="E897" s="7" t="str">
        <f>'Reported burning'!E897</f>
        <v>Cropping, Swidden</v>
      </c>
      <c r="F897" s="7" t="str">
        <f>'Reported burning'!F897</f>
        <v>Secondary Vegetation</v>
      </c>
      <c r="G897" s="7" t="str">
        <f>'Reported burning'!G897</f>
        <v>ND</v>
      </c>
      <c r="H897" s="7" t="str">
        <f>'Reported burning'!H897</f>
        <v>Presence</v>
      </c>
      <c r="I897" s="4"/>
      <c r="J897" s="22" t="s">
        <v>2308</v>
      </c>
      <c r="K897" s="22" t="s">
        <v>2308</v>
      </c>
      <c r="L897" s="22" t="s">
        <v>2308</v>
      </c>
      <c r="M897" s="22" t="s">
        <v>2308</v>
      </c>
      <c r="N897" s="22" t="s">
        <v>2308</v>
      </c>
      <c r="O897" s="22" t="s">
        <v>2308</v>
      </c>
      <c r="P897" s="22" t="s">
        <v>2308</v>
      </c>
      <c r="Q897" s="22" t="s">
        <v>2308</v>
      </c>
      <c r="R897" s="22" t="s">
        <v>2308</v>
      </c>
      <c r="S897" s="22" t="s">
        <v>2308</v>
      </c>
      <c r="T897" s="22" t="s">
        <v>2308</v>
      </c>
      <c r="U897" s="22" t="s">
        <v>2308</v>
      </c>
      <c r="V897" s="22" t="s">
        <v>2308</v>
      </c>
      <c r="W897" s="22" t="s">
        <v>2308</v>
      </c>
      <c r="X897" s="4" t="s">
        <v>68</v>
      </c>
      <c r="Y897" s="4" t="s">
        <v>35</v>
      </c>
      <c r="Z897" s="4" t="s">
        <v>64</v>
      </c>
      <c r="AA897" s="5"/>
      <c r="AB897" s="4"/>
    </row>
    <row r="898" spans="1:28" ht="39" customHeight="1">
      <c r="A898" s="7" t="str">
        <f>'Reported burning'!A898</f>
        <v>110b</v>
      </c>
      <c r="B898" s="7" t="str">
        <f>'Reported burning'!B898</f>
        <v>110b.6</v>
      </c>
      <c r="C898" s="7" t="str">
        <f>'Reported burning'!C898</f>
        <v>Human, deliberate</v>
      </c>
      <c r="D898" s="7" t="str">
        <f>'Reported burning'!D898</f>
        <v>Land clearance</v>
      </c>
      <c r="E898" s="7" t="str">
        <f>'Reported burning'!E898</f>
        <v>Cropping, Monoculture, Market-oriented</v>
      </c>
      <c r="F898" s="7" t="str">
        <f>'Reported burning'!F898</f>
        <v>Shrubland (Mixed forest &amp; grassland)</v>
      </c>
      <c r="G898" s="7" t="str">
        <f>'Reported burning'!G898</f>
        <v>ND</v>
      </c>
      <c r="H898" s="7" t="str">
        <f>'Reported burning'!H898</f>
        <v>Presence</v>
      </c>
      <c r="I898" s="4"/>
      <c r="J898" s="22" t="s">
        <v>2308</v>
      </c>
      <c r="K898" s="22" t="s">
        <v>2308</v>
      </c>
      <c r="L898" s="22" t="s">
        <v>2308</v>
      </c>
      <c r="M898" s="22" t="s">
        <v>2308</v>
      </c>
      <c r="N898" s="22" t="s">
        <v>2308</v>
      </c>
      <c r="O898" s="22" t="s">
        <v>2308</v>
      </c>
      <c r="P898" s="22" t="s">
        <v>2308</v>
      </c>
      <c r="Q898" s="22" t="s">
        <v>2308</v>
      </c>
      <c r="R898" s="22" t="s">
        <v>2308</v>
      </c>
      <c r="S898" s="22" t="s">
        <v>2308</v>
      </c>
      <c r="T898" s="22" t="s">
        <v>2308</v>
      </c>
      <c r="U898" s="22" t="s">
        <v>2308</v>
      </c>
      <c r="V898" s="22" t="s">
        <v>2308</v>
      </c>
      <c r="W898" s="22" t="s">
        <v>2308</v>
      </c>
      <c r="X898" s="22" t="s">
        <v>2308</v>
      </c>
      <c r="Y898" s="22" t="s">
        <v>2308</v>
      </c>
      <c r="Z898" s="22" t="s">
        <v>2308</v>
      </c>
      <c r="AA898" s="5" t="s">
        <v>2939</v>
      </c>
      <c r="AB898" s="4"/>
    </row>
    <row r="899" spans="1:28" ht="41" customHeight="1">
      <c r="A899" s="7" t="str">
        <f>'Reported burning'!A899</f>
        <v>110b</v>
      </c>
      <c r="B899" s="7" t="str">
        <f>'Reported burning'!B899</f>
        <v>110b.7</v>
      </c>
      <c r="C899" s="7" t="str">
        <f>'Reported burning'!C899</f>
        <v>Human, deliberate</v>
      </c>
      <c r="D899" s="7" t="str">
        <f>'Reported burning'!D899</f>
        <v>Arson</v>
      </c>
      <c r="E899" s="7" t="str">
        <f>'Reported burning'!E899</f>
        <v>All</v>
      </c>
      <c r="F899" s="7" t="str">
        <f>'Reported burning'!F899</f>
        <v>Shrubland (Mixed forest &amp; grassland)</v>
      </c>
      <c r="G899" s="7" t="str">
        <f>'Reported burning'!G899</f>
        <v>ND</v>
      </c>
      <c r="H899" s="7" t="str">
        <f>'Reported burning'!H899</f>
        <v>Presence</v>
      </c>
      <c r="I899" s="4"/>
      <c r="J899" s="22" t="s">
        <v>2308</v>
      </c>
      <c r="K899" s="22" t="s">
        <v>2308</v>
      </c>
      <c r="L899" s="22" t="s">
        <v>2308</v>
      </c>
      <c r="M899" s="22" t="s">
        <v>2308</v>
      </c>
      <c r="N899" s="22" t="s">
        <v>2308</v>
      </c>
      <c r="O899" s="22" t="s">
        <v>2308</v>
      </c>
      <c r="P899" s="22" t="s">
        <v>2308</v>
      </c>
      <c r="Q899" s="22" t="s">
        <v>2308</v>
      </c>
      <c r="R899" s="22" t="s">
        <v>2308</v>
      </c>
      <c r="S899" s="22" t="s">
        <v>2308</v>
      </c>
      <c r="T899" s="22" t="s">
        <v>2308</v>
      </c>
      <c r="U899" s="22" t="s">
        <v>2308</v>
      </c>
      <c r="V899" s="22" t="s">
        <v>2308</v>
      </c>
      <c r="W899" s="22" t="s">
        <v>2308</v>
      </c>
      <c r="X899" s="22" t="s">
        <v>2308</v>
      </c>
      <c r="Y899" s="22" t="s">
        <v>2308</v>
      </c>
      <c r="Z899" s="22" t="s">
        <v>2308</v>
      </c>
      <c r="AA899" s="5" t="s">
        <v>2936</v>
      </c>
      <c r="AB899" s="4"/>
    </row>
    <row r="900" spans="1:28" ht="29">
      <c r="A900" s="7" t="str">
        <f>'Reported burning'!A900</f>
        <v>110c</v>
      </c>
      <c r="B900" s="7" t="str">
        <f>'Reported burning'!B900</f>
        <v>110c.1</v>
      </c>
      <c r="C900" s="7" t="str">
        <f>'Reported burning'!C900</f>
        <v>Human, deliberate</v>
      </c>
      <c r="D900" s="7" t="str">
        <f>'Reported burning'!D900</f>
        <v>Hunting</v>
      </c>
      <c r="E900" s="7" t="str">
        <f>'Reported burning'!E900</f>
        <v>Forestry, Small-scale</v>
      </c>
      <c r="F900" s="7" t="str">
        <f>'Reported burning'!F900</f>
        <v>Shrubland (Mixed forest &amp; grassland)</v>
      </c>
      <c r="G900" s="7" t="str">
        <f>'Reported burning'!G900</f>
        <v>ND</v>
      </c>
      <c r="H900" s="7" t="str">
        <f>'Reported burning'!H900</f>
        <v>Presence</v>
      </c>
      <c r="I900" s="4"/>
      <c r="J900" s="22" t="s">
        <v>2308</v>
      </c>
      <c r="K900" s="22" t="s">
        <v>2308</v>
      </c>
      <c r="L900" s="22" t="s">
        <v>2308</v>
      </c>
      <c r="M900" s="22" t="s">
        <v>2308</v>
      </c>
      <c r="N900" s="22" t="s">
        <v>2308</v>
      </c>
      <c r="O900" s="22" t="s">
        <v>2308</v>
      </c>
      <c r="P900" s="22" t="s">
        <v>2308</v>
      </c>
      <c r="Q900" s="22" t="s">
        <v>2308</v>
      </c>
      <c r="R900" s="22" t="s">
        <v>2308</v>
      </c>
      <c r="S900" s="22" t="s">
        <v>2308</v>
      </c>
      <c r="T900" s="22" t="s">
        <v>2308</v>
      </c>
      <c r="U900" s="22" t="s">
        <v>2308</v>
      </c>
      <c r="V900" s="22" t="s">
        <v>2308</v>
      </c>
      <c r="W900" s="22" t="s">
        <v>2308</v>
      </c>
      <c r="X900" s="22" t="s">
        <v>2308</v>
      </c>
      <c r="Y900" s="22" t="s">
        <v>2308</v>
      </c>
      <c r="Z900" s="22" t="s">
        <v>2308</v>
      </c>
      <c r="AA900" s="4"/>
      <c r="AB900" s="4"/>
    </row>
    <row r="901" spans="1:28" ht="29">
      <c r="A901" s="7" t="str">
        <f>'Reported burning'!A901</f>
        <v>110c</v>
      </c>
      <c r="B901" s="7" t="str">
        <f>'Reported burning'!B901</f>
        <v>110c.2</v>
      </c>
      <c r="C901" s="7" t="str">
        <f>'Reported burning'!C901</f>
        <v>Human, deliberate</v>
      </c>
      <c r="D901" s="7" t="str">
        <f>'Reported burning'!D901</f>
        <v>Pest management</v>
      </c>
      <c r="E901" s="7" t="str">
        <f>'Reported burning'!E901</f>
        <v>Forestry, Small-scale</v>
      </c>
      <c r="F901" s="7" t="str">
        <f>'Reported burning'!F901</f>
        <v>Shrubland (Mixed forest &amp; grassland)</v>
      </c>
      <c r="G901" s="7" t="str">
        <f>'Reported burning'!G901</f>
        <v>ND</v>
      </c>
      <c r="H901" s="7" t="str">
        <f>'Reported burning'!H901</f>
        <v>Presence</v>
      </c>
      <c r="I901" s="4"/>
      <c r="J901" s="22" t="s">
        <v>2308</v>
      </c>
      <c r="K901" s="22" t="s">
        <v>2308</v>
      </c>
      <c r="L901" s="22" t="s">
        <v>2308</v>
      </c>
      <c r="M901" s="22" t="s">
        <v>2308</v>
      </c>
      <c r="N901" s="22" t="s">
        <v>2308</v>
      </c>
      <c r="O901" s="22" t="s">
        <v>2308</v>
      </c>
      <c r="P901" s="22" t="s">
        <v>2308</v>
      </c>
      <c r="Q901" s="22" t="s">
        <v>2308</v>
      </c>
      <c r="R901" s="22" t="s">
        <v>2308</v>
      </c>
      <c r="S901" s="22" t="s">
        <v>2308</v>
      </c>
      <c r="T901" s="22" t="s">
        <v>2308</v>
      </c>
      <c r="U901" s="22" t="s">
        <v>2308</v>
      </c>
      <c r="V901" s="22" t="s">
        <v>2308</v>
      </c>
      <c r="W901" s="22" t="s">
        <v>2308</v>
      </c>
      <c r="X901" s="22" t="s">
        <v>2308</v>
      </c>
      <c r="Y901" s="22" t="s">
        <v>2308</v>
      </c>
      <c r="Z901" s="22" t="s">
        <v>2308</v>
      </c>
      <c r="AA901" s="5" t="s">
        <v>2937</v>
      </c>
      <c r="AB901" s="4"/>
    </row>
    <row r="902" spans="1:28" ht="29">
      <c r="A902" s="7" t="str">
        <f>'Reported burning'!A902</f>
        <v>110c</v>
      </c>
      <c r="B902" s="7" t="str">
        <f>'Reported burning'!B902</f>
        <v>110c.3</v>
      </c>
      <c r="C902" s="7" t="str">
        <f>'Reported burning'!C902</f>
        <v>Human, deliberate</v>
      </c>
      <c r="D902" s="7" t="str">
        <f>'Reported burning'!D902</f>
        <v>Accessibility</v>
      </c>
      <c r="E902" s="7" t="str">
        <f>'Reported burning'!E902</f>
        <v>Forestry, Small-scale</v>
      </c>
      <c r="F902" s="7" t="str">
        <f>'Reported burning'!F902</f>
        <v>Shrubland (Mixed forest &amp; grassland)</v>
      </c>
      <c r="G902" s="7" t="str">
        <f>'Reported burning'!G902</f>
        <v>ND</v>
      </c>
      <c r="H902" s="7" t="str">
        <f>'Reported burning'!H902</f>
        <v>Presence</v>
      </c>
      <c r="I902" s="4"/>
      <c r="J902" s="22" t="s">
        <v>2308</v>
      </c>
      <c r="K902" s="22" t="s">
        <v>2308</v>
      </c>
      <c r="L902" s="22" t="s">
        <v>2308</v>
      </c>
      <c r="M902" s="22" t="s">
        <v>2308</v>
      </c>
      <c r="N902" s="22" t="s">
        <v>2308</v>
      </c>
      <c r="O902" s="22" t="s">
        <v>2308</v>
      </c>
      <c r="P902" s="22" t="s">
        <v>2308</v>
      </c>
      <c r="Q902" s="22" t="s">
        <v>2308</v>
      </c>
      <c r="R902" s="22" t="s">
        <v>2308</v>
      </c>
      <c r="S902" s="22" t="s">
        <v>2308</v>
      </c>
      <c r="T902" s="22" t="s">
        <v>2308</v>
      </c>
      <c r="U902" s="22" t="s">
        <v>2308</v>
      </c>
      <c r="V902" s="22" t="s">
        <v>2308</v>
      </c>
      <c r="W902" s="22" t="s">
        <v>2308</v>
      </c>
      <c r="X902" s="22" t="s">
        <v>2308</v>
      </c>
      <c r="Y902" s="22" t="s">
        <v>2308</v>
      </c>
      <c r="Z902" s="22" t="s">
        <v>2308</v>
      </c>
      <c r="AA902" s="5" t="s">
        <v>2938</v>
      </c>
      <c r="AB902" s="4"/>
    </row>
    <row r="903" spans="1:28" ht="29">
      <c r="A903" s="7" t="str">
        <f>'Reported burning'!A903</f>
        <v>110c</v>
      </c>
      <c r="B903" s="7" t="str">
        <f>'Reported burning'!B903</f>
        <v>110c.4</v>
      </c>
      <c r="C903" s="7" t="str">
        <f>'Reported burning'!C903</f>
        <v>Human, escaped</v>
      </c>
      <c r="D903" s="7" t="str">
        <f>'Reported burning'!D903</f>
        <v>All</v>
      </c>
      <c r="E903" s="7" t="str">
        <f>'Reported burning'!E903</f>
        <v>All</v>
      </c>
      <c r="F903" s="7" t="str">
        <f>'Reported burning'!F903</f>
        <v>Shrubland (Mixed forest &amp; grassland)</v>
      </c>
      <c r="G903" s="7" t="str">
        <f>'Reported burning'!G903</f>
        <v>All</v>
      </c>
      <c r="H903" s="7" t="str">
        <f>'Reported burning'!H903</f>
        <v>Presence</v>
      </c>
      <c r="I903" s="4"/>
      <c r="J903" s="22" t="s">
        <v>2308</v>
      </c>
      <c r="K903" s="22" t="s">
        <v>2308</v>
      </c>
      <c r="L903" s="22" t="s">
        <v>2308</v>
      </c>
      <c r="M903" s="22" t="s">
        <v>2308</v>
      </c>
      <c r="N903" s="22" t="s">
        <v>2308</v>
      </c>
      <c r="O903" s="22" t="s">
        <v>2308</v>
      </c>
      <c r="P903" s="22" t="s">
        <v>2308</v>
      </c>
      <c r="Q903" s="22" t="s">
        <v>2308</v>
      </c>
      <c r="R903" s="22" t="s">
        <v>2308</v>
      </c>
      <c r="S903" s="22" t="s">
        <v>2308</v>
      </c>
      <c r="T903" s="22" t="s">
        <v>2308</v>
      </c>
      <c r="U903" s="22" t="s">
        <v>2308</v>
      </c>
      <c r="V903" s="22" t="s">
        <v>2308</v>
      </c>
      <c r="W903" s="22" t="s">
        <v>2434</v>
      </c>
      <c r="X903" s="4" t="s">
        <v>35</v>
      </c>
      <c r="Y903" s="4" t="s">
        <v>38</v>
      </c>
      <c r="Z903" s="4" t="s">
        <v>64</v>
      </c>
      <c r="AA903" s="5"/>
      <c r="AB903" s="4"/>
    </row>
    <row r="904" spans="1:28" ht="34.5" customHeight="1">
      <c r="A904" s="7" t="str">
        <f>'Reported burning'!A904</f>
        <v>110c</v>
      </c>
      <c r="B904" s="7" t="str">
        <f>'Reported burning'!B904</f>
        <v>110c.5</v>
      </c>
      <c r="C904" s="7" t="str">
        <f>'Reported burning'!C904</f>
        <v>Human, deliberate</v>
      </c>
      <c r="D904" s="7" t="str">
        <f>'Reported burning'!D904</f>
        <v>Crop field preparation</v>
      </c>
      <c r="E904" s="7" t="str">
        <f>'Reported burning'!E904</f>
        <v>Cropping, Swidden</v>
      </c>
      <c r="F904" s="7" t="str">
        <f>'Reported burning'!F904</f>
        <v>Secondary Vegetation</v>
      </c>
      <c r="G904" s="7" t="str">
        <f>'Reported burning'!G904</f>
        <v>ND</v>
      </c>
      <c r="H904" s="7" t="str">
        <f>'Reported burning'!H904</f>
        <v>Presence</v>
      </c>
      <c r="I904" s="4"/>
      <c r="J904" s="22" t="s">
        <v>2308</v>
      </c>
      <c r="K904" s="22" t="s">
        <v>2308</v>
      </c>
      <c r="L904" s="22" t="s">
        <v>2308</v>
      </c>
      <c r="M904" s="22" t="s">
        <v>2308</v>
      </c>
      <c r="N904" s="22" t="s">
        <v>2308</v>
      </c>
      <c r="O904" s="22" t="s">
        <v>2308</v>
      </c>
      <c r="P904" s="22" t="s">
        <v>2308</v>
      </c>
      <c r="Q904" s="22" t="s">
        <v>2308</v>
      </c>
      <c r="R904" s="22" t="s">
        <v>2308</v>
      </c>
      <c r="S904" s="22" t="s">
        <v>2308</v>
      </c>
      <c r="T904" s="22" t="s">
        <v>2308</v>
      </c>
      <c r="U904" s="22" t="s">
        <v>2308</v>
      </c>
      <c r="V904" s="22" t="s">
        <v>2308</v>
      </c>
      <c r="W904" s="22" t="s">
        <v>2308</v>
      </c>
      <c r="X904" s="4" t="s">
        <v>68</v>
      </c>
      <c r="Y904" s="4" t="s">
        <v>35</v>
      </c>
      <c r="Z904" s="4" t="s">
        <v>64</v>
      </c>
      <c r="AA904" s="5"/>
      <c r="AB904" s="4"/>
    </row>
    <row r="905" spans="1:28" ht="29">
      <c r="A905" s="7" t="str">
        <f>'Reported burning'!A905</f>
        <v>110c</v>
      </c>
      <c r="B905" s="7" t="str">
        <f>'Reported burning'!B905</f>
        <v>110c.6</v>
      </c>
      <c r="C905" s="7" t="str">
        <f>'Reported burning'!C905</f>
        <v>Human, deliberate</v>
      </c>
      <c r="D905" s="7" t="str">
        <f>'Reported burning'!D905</f>
        <v>Land clearance</v>
      </c>
      <c r="E905" s="7" t="str">
        <f>'Reported burning'!E905</f>
        <v>Cropping, Monoculture, Market-oriented</v>
      </c>
      <c r="F905" s="7" t="str">
        <f>'Reported burning'!F905</f>
        <v>Shrubland (Mixed forest &amp; grassland)</v>
      </c>
      <c r="G905" s="7" t="str">
        <f>'Reported burning'!G905</f>
        <v>ND</v>
      </c>
      <c r="H905" s="7" t="str">
        <f>'Reported burning'!H905</f>
        <v>Presence</v>
      </c>
      <c r="I905" s="4"/>
      <c r="J905" s="22" t="s">
        <v>2308</v>
      </c>
      <c r="K905" s="22" t="s">
        <v>2308</v>
      </c>
      <c r="L905" s="22" t="s">
        <v>2308</v>
      </c>
      <c r="M905" s="22" t="s">
        <v>2308</v>
      </c>
      <c r="N905" s="22" t="s">
        <v>2308</v>
      </c>
      <c r="O905" s="22" t="s">
        <v>2308</v>
      </c>
      <c r="P905" s="22" t="s">
        <v>2308</v>
      </c>
      <c r="Q905" s="22" t="s">
        <v>2308</v>
      </c>
      <c r="R905" s="22" t="s">
        <v>2308</v>
      </c>
      <c r="S905" s="22" t="s">
        <v>2308</v>
      </c>
      <c r="T905" s="22" t="s">
        <v>2308</v>
      </c>
      <c r="U905" s="22" t="s">
        <v>2308</v>
      </c>
      <c r="V905" s="22" t="s">
        <v>2308</v>
      </c>
      <c r="W905" s="22" t="s">
        <v>2308</v>
      </c>
      <c r="X905" s="22" t="s">
        <v>2308</v>
      </c>
      <c r="Y905" s="22" t="s">
        <v>2308</v>
      </c>
      <c r="Z905" s="22" t="s">
        <v>2308</v>
      </c>
      <c r="AA905" s="5" t="s">
        <v>2939</v>
      </c>
      <c r="AB905" s="4"/>
    </row>
    <row r="906" spans="1:28" ht="33.5" customHeight="1">
      <c r="A906" s="7" t="str">
        <f>'Reported burning'!A906</f>
        <v>110c</v>
      </c>
      <c r="B906" s="7" t="str">
        <f>'Reported burning'!B906</f>
        <v>110c.7</v>
      </c>
      <c r="C906" s="7" t="str">
        <f>'Reported burning'!C906</f>
        <v>Human, deliberate</v>
      </c>
      <c r="D906" s="7" t="str">
        <f>'Reported burning'!D906</f>
        <v>Arson</v>
      </c>
      <c r="E906" s="7" t="str">
        <f>'Reported burning'!E906</f>
        <v>All</v>
      </c>
      <c r="F906" s="7" t="str">
        <f>'Reported burning'!F906</f>
        <v>Shrubland (Mixed forest &amp; grassland)</v>
      </c>
      <c r="G906" s="7" t="str">
        <f>'Reported burning'!G906</f>
        <v>ND</v>
      </c>
      <c r="H906" s="7" t="str">
        <f>'Reported burning'!H906</f>
        <v>Presence</v>
      </c>
      <c r="I906" s="4"/>
      <c r="J906" s="22" t="s">
        <v>2308</v>
      </c>
      <c r="K906" s="22" t="s">
        <v>2308</v>
      </c>
      <c r="L906" s="22" t="s">
        <v>2308</v>
      </c>
      <c r="M906" s="22" t="s">
        <v>2308</v>
      </c>
      <c r="N906" s="22" t="s">
        <v>2308</v>
      </c>
      <c r="O906" s="22" t="s">
        <v>2308</v>
      </c>
      <c r="P906" s="22" t="s">
        <v>2308</v>
      </c>
      <c r="Q906" s="22" t="s">
        <v>2308</v>
      </c>
      <c r="R906" s="22" t="s">
        <v>2308</v>
      </c>
      <c r="S906" s="22" t="s">
        <v>2308</v>
      </c>
      <c r="T906" s="22" t="s">
        <v>2308</v>
      </c>
      <c r="U906" s="22" t="s">
        <v>2308</v>
      </c>
      <c r="V906" s="22" t="s">
        <v>2308</v>
      </c>
      <c r="W906" s="22" t="s">
        <v>2308</v>
      </c>
      <c r="X906" s="22" t="s">
        <v>2308</v>
      </c>
      <c r="Y906" s="22" t="s">
        <v>2308</v>
      </c>
      <c r="Z906" s="22" t="s">
        <v>2308</v>
      </c>
      <c r="AA906" s="5" t="s">
        <v>2936</v>
      </c>
      <c r="AB906" s="4"/>
    </row>
    <row r="907" spans="1:28" ht="46" customHeight="1">
      <c r="A907" s="7" t="str">
        <f>'Reported burning'!A907</f>
        <v>110d</v>
      </c>
      <c r="B907" s="7" t="str">
        <f>'Reported burning'!B907</f>
        <v>110d.1</v>
      </c>
      <c r="C907" s="7" t="str">
        <f>'Reported burning'!C907</f>
        <v>Human, deliberate</v>
      </c>
      <c r="D907" s="7" t="str">
        <f>'Reported burning'!D907</f>
        <v>Conservation</v>
      </c>
      <c r="E907" s="7" t="str">
        <f>'Reported burning'!E907</f>
        <v>Biodiversity conservation</v>
      </c>
      <c r="F907" s="7" t="str">
        <f>'Reported burning'!F907</f>
        <v>Shrubland (Mixed forest &amp; grassland)</v>
      </c>
      <c r="G907" s="7" t="str">
        <f>'Reported burning'!G907</f>
        <v>Shrubland (Mixed forest &amp; grassland)</v>
      </c>
      <c r="H907" s="7" t="str">
        <f>'Reported burning'!H907</f>
        <v>Presence</v>
      </c>
      <c r="I907" s="155"/>
      <c r="J907" s="22" t="s">
        <v>2308</v>
      </c>
      <c r="K907" s="22" t="s">
        <v>2308</v>
      </c>
      <c r="L907" s="22" t="s">
        <v>2308</v>
      </c>
      <c r="M907" s="22" t="s">
        <v>2308</v>
      </c>
      <c r="N907" s="22" t="s">
        <v>2308</v>
      </c>
      <c r="O907" s="22" t="s">
        <v>2308</v>
      </c>
      <c r="P907" s="22" t="s">
        <v>2308</v>
      </c>
      <c r="Q907" s="22" t="s">
        <v>2308</v>
      </c>
      <c r="R907" s="22" t="s">
        <v>2308</v>
      </c>
      <c r="S907" s="22" t="s">
        <v>2308</v>
      </c>
      <c r="T907" s="22" t="s">
        <v>2308</v>
      </c>
      <c r="U907" s="22" t="s">
        <v>2308</v>
      </c>
      <c r="V907" s="22" t="s">
        <v>2308</v>
      </c>
      <c r="W907" s="22" t="s">
        <v>2433</v>
      </c>
      <c r="X907" s="22" t="s">
        <v>2308</v>
      </c>
      <c r="Y907" s="22" t="s">
        <v>2308</v>
      </c>
      <c r="Z907" s="22" t="s">
        <v>2308</v>
      </c>
      <c r="AA907" s="155"/>
      <c r="AB907" s="157" t="s">
        <v>2962</v>
      </c>
    </row>
    <row r="908" spans="1:28" ht="64.5" customHeight="1">
      <c r="A908" s="7" t="str">
        <f>'Reported burning'!A908</f>
        <v>111a</v>
      </c>
      <c r="B908" s="7" t="str">
        <f>'Reported burning'!B908</f>
        <v>111a.1</v>
      </c>
      <c r="C908" s="7" t="str">
        <f>'Reported burning'!C908</f>
        <v>Human, deliberate</v>
      </c>
      <c r="D908" s="7" t="str">
        <f>'Reported burning'!D908</f>
        <v>Crop field preparation</v>
      </c>
      <c r="E908" s="7" t="str">
        <f>'Reported burning'!E908</f>
        <v>Cropping, Swidden</v>
      </c>
      <c r="F908" s="7" t="str">
        <f>'Reported burning'!F908</f>
        <v>Secondary Vegetation</v>
      </c>
      <c r="G908" s="7" t="str">
        <f>'Reported burning'!G908</f>
        <v>ND</v>
      </c>
      <c r="H908" s="7" t="str">
        <f>'Reported burning'!H908</f>
        <v>Presence</v>
      </c>
      <c r="I908" s="4"/>
      <c r="J908" s="22" t="s">
        <v>2405</v>
      </c>
      <c r="K908" s="110" t="s">
        <v>2394</v>
      </c>
      <c r="L908" s="22" t="s">
        <v>2308</v>
      </c>
      <c r="M908" s="22" t="s">
        <v>2308</v>
      </c>
      <c r="N908" s="22" t="s">
        <v>2308</v>
      </c>
      <c r="O908" s="22" t="s">
        <v>2407</v>
      </c>
      <c r="P908" s="22" t="s">
        <v>2308</v>
      </c>
      <c r="Q908" s="22" t="s">
        <v>2394</v>
      </c>
      <c r="R908" s="22" t="s">
        <v>2308</v>
      </c>
      <c r="S908" s="22" t="s">
        <v>2406</v>
      </c>
      <c r="T908" s="22" t="s">
        <v>2308</v>
      </c>
      <c r="U908" s="22" t="s">
        <v>2560</v>
      </c>
      <c r="V908" s="22" t="s">
        <v>2308</v>
      </c>
      <c r="W908" s="22" t="s">
        <v>2435</v>
      </c>
      <c r="X908" s="22" t="s">
        <v>2308</v>
      </c>
      <c r="Y908" s="22" t="s">
        <v>2308</v>
      </c>
      <c r="Z908" s="22" t="s">
        <v>2308</v>
      </c>
      <c r="AA908" s="4" t="s">
        <v>2766</v>
      </c>
      <c r="AB908" s="5" t="s">
        <v>2975</v>
      </c>
    </row>
    <row r="909" spans="1:28" ht="62.5" customHeight="1">
      <c r="A909" s="7" t="str">
        <f>'Reported burning'!A909</f>
        <v>111a</v>
      </c>
      <c r="B909" s="7" t="str">
        <f>'Reported burning'!B909</f>
        <v>111a.2</v>
      </c>
      <c r="C909" s="7" t="str">
        <f>'Reported burning'!C909</f>
        <v>Human, deliberate</v>
      </c>
      <c r="D909" s="7" t="str">
        <f>'Reported burning'!D909</f>
        <v>Crop field preparation</v>
      </c>
      <c r="E909" s="7" t="str">
        <f>'Reported burning'!E909</f>
        <v>Cropping, Swidden</v>
      </c>
      <c r="F909" s="7" t="str">
        <f>'Reported burning'!F909</f>
        <v>Secondary Vegetation</v>
      </c>
      <c r="G909" s="7" t="str">
        <f>'Reported burning'!G909</f>
        <v>ND</v>
      </c>
      <c r="H909" s="7" t="str">
        <f>'Reported burning'!H909</f>
        <v>Presence</v>
      </c>
      <c r="I909" s="4"/>
      <c r="J909" s="22" t="s">
        <v>2405</v>
      </c>
      <c r="K909" s="110" t="s">
        <v>2394</v>
      </c>
      <c r="L909" s="22" t="s">
        <v>2308</v>
      </c>
      <c r="M909" s="22" t="s">
        <v>2308</v>
      </c>
      <c r="N909" s="22" t="s">
        <v>2308</v>
      </c>
      <c r="O909" s="22" t="s">
        <v>2394</v>
      </c>
      <c r="P909" s="22" t="s">
        <v>2308</v>
      </c>
      <c r="Q909" s="22" t="s">
        <v>2394</v>
      </c>
      <c r="R909" s="22" t="s">
        <v>2308</v>
      </c>
      <c r="S909" s="22" t="s">
        <v>2406</v>
      </c>
      <c r="T909" s="22" t="s">
        <v>2308</v>
      </c>
      <c r="U909" s="22" t="s">
        <v>2560</v>
      </c>
      <c r="V909" s="22" t="s">
        <v>2308</v>
      </c>
      <c r="W909" s="22" t="s">
        <v>2435</v>
      </c>
      <c r="X909" s="22" t="s">
        <v>2308</v>
      </c>
      <c r="Y909" s="22" t="s">
        <v>2308</v>
      </c>
      <c r="Z909" s="22" t="s">
        <v>2308</v>
      </c>
      <c r="AA909" s="4" t="s">
        <v>2766</v>
      </c>
      <c r="AB909" s="5" t="s">
        <v>2975</v>
      </c>
    </row>
    <row r="910" spans="1:28" ht="70" customHeight="1">
      <c r="A910" s="7" t="str">
        <f>'Reported burning'!A910</f>
        <v>111b</v>
      </c>
      <c r="B910" s="7" t="str">
        <f>'Reported burning'!B910</f>
        <v>111b.1</v>
      </c>
      <c r="C910" s="7" t="str">
        <f>'Reported burning'!C910</f>
        <v>Human, deliberate</v>
      </c>
      <c r="D910" s="7" t="str">
        <f>'Reported burning'!D910</f>
        <v>Crop field preparation</v>
      </c>
      <c r="E910" s="7" t="str">
        <f>'Reported burning'!E910</f>
        <v>Cropping, Swidden</v>
      </c>
      <c r="F910" s="7" t="str">
        <f>'Reported burning'!F910</f>
        <v>Secondary Vegetation</v>
      </c>
      <c r="G910" s="7" t="str">
        <f>'Reported burning'!G910</f>
        <v>ND</v>
      </c>
      <c r="H910" s="7" t="str">
        <f>'Reported burning'!H910</f>
        <v>Presence</v>
      </c>
      <c r="I910" s="4"/>
      <c r="J910" s="22" t="s">
        <v>2405</v>
      </c>
      <c r="K910" s="110" t="s">
        <v>2394</v>
      </c>
      <c r="L910" s="22" t="s">
        <v>2308</v>
      </c>
      <c r="M910" s="22" t="s">
        <v>2308</v>
      </c>
      <c r="N910" s="22" t="s">
        <v>2308</v>
      </c>
      <c r="O910" s="22" t="s">
        <v>2394</v>
      </c>
      <c r="P910" s="22" t="s">
        <v>2308</v>
      </c>
      <c r="Q910" s="22" t="s">
        <v>2394</v>
      </c>
      <c r="R910" s="22" t="s">
        <v>2308</v>
      </c>
      <c r="S910" s="22" t="s">
        <v>2406</v>
      </c>
      <c r="T910" s="22" t="s">
        <v>2308</v>
      </c>
      <c r="U910" s="22" t="s">
        <v>2560</v>
      </c>
      <c r="V910" s="22" t="s">
        <v>2308</v>
      </c>
      <c r="W910" s="22" t="s">
        <v>2435</v>
      </c>
      <c r="X910" s="22" t="s">
        <v>2308</v>
      </c>
      <c r="Y910" s="22" t="s">
        <v>2308</v>
      </c>
      <c r="Z910" s="22" t="s">
        <v>2308</v>
      </c>
      <c r="AA910" s="4" t="s">
        <v>2766</v>
      </c>
      <c r="AB910" s="5" t="s">
        <v>2975</v>
      </c>
    </row>
    <row r="911" spans="1:28" ht="73.5" customHeight="1">
      <c r="A911" s="7" t="str">
        <f>'Reported burning'!A911</f>
        <v>111b</v>
      </c>
      <c r="B911" s="7" t="str">
        <f>'Reported burning'!B911</f>
        <v>111b.2</v>
      </c>
      <c r="C911" s="7" t="str">
        <f>'Reported burning'!C911</f>
        <v>Human, deliberate</v>
      </c>
      <c r="D911" s="7" t="str">
        <f>'Reported burning'!D911</f>
        <v>Crop field preparation</v>
      </c>
      <c r="E911" s="7" t="str">
        <f>'Reported burning'!E911</f>
        <v>Cropping, Swidden</v>
      </c>
      <c r="F911" s="7" t="str">
        <f>'Reported burning'!F911</f>
        <v>Secondary Vegetation</v>
      </c>
      <c r="G911" s="7" t="str">
        <f>'Reported burning'!G911</f>
        <v>ND</v>
      </c>
      <c r="H911" s="7" t="str">
        <f>'Reported burning'!H911</f>
        <v>Presence</v>
      </c>
      <c r="I911" s="4"/>
      <c r="J911" s="22" t="s">
        <v>2405</v>
      </c>
      <c r="K911" s="110" t="s">
        <v>2394</v>
      </c>
      <c r="L911" s="22" t="s">
        <v>2308</v>
      </c>
      <c r="M911" s="22" t="s">
        <v>2308</v>
      </c>
      <c r="N911" s="22" t="s">
        <v>2308</v>
      </c>
      <c r="O911" s="22" t="s">
        <v>2394</v>
      </c>
      <c r="P911" s="22" t="s">
        <v>2308</v>
      </c>
      <c r="Q911" s="22" t="s">
        <v>2394</v>
      </c>
      <c r="R911" s="22" t="s">
        <v>2308</v>
      </c>
      <c r="S911" s="22" t="s">
        <v>2406</v>
      </c>
      <c r="T911" s="22" t="s">
        <v>2308</v>
      </c>
      <c r="U911" s="22" t="s">
        <v>2560</v>
      </c>
      <c r="V911" s="22" t="s">
        <v>2308</v>
      </c>
      <c r="W911" s="22" t="s">
        <v>2435</v>
      </c>
      <c r="X911" s="22" t="s">
        <v>2308</v>
      </c>
      <c r="Y911" s="22" t="s">
        <v>2308</v>
      </c>
      <c r="Z911" s="22" t="s">
        <v>2308</v>
      </c>
      <c r="AA911" s="4" t="s">
        <v>2766</v>
      </c>
      <c r="AB911" s="5" t="s">
        <v>2975</v>
      </c>
    </row>
    <row r="912" spans="1:28" ht="45" customHeight="1">
      <c r="A912" s="7" t="str">
        <f>'Reported burning'!A912</f>
        <v>112a</v>
      </c>
      <c r="B912" s="7" t="str">
        <f>'Reported burning'!B912</f>
        <v>112a.1</v>
      </c>
      <c r="C912" s="7" t="str">
        <f>'Reported burning'!C912</f>
        <v>Human, deliberate</v>
      </c>
      <c r="D912" s="7" t="str">
        <f>'Reported burning'!D912</f>
        <v>Crop field preparation</v>
      </c>
      <c r="E912" s="7" t="str">
        <f>'Reported burning'!E912</f>
        <v>Cropping, Swidden</v>
      </c>
      <c r="F912" s="7" t="str">
        <f>'Reported burning'!F912</f>
        <v>Secondary Vegetation</v>
      </c>
      <c r="G912" s="7" t="str">
        <f>'Reported burning'!G912</f>
        <v>ND</v>
      </c>
      <c r="H912" s="7" t="str">
        <f>'Reported burning'!H912</f>
        <v>Presence</v>
      </c>
      <c r="I912" s="4"/>
      <c r="J912" s="22" t="s">
        <v>2308</v>
      </c>
      <c r="K912" s="110" t="s">
        <v>2394</v>
      </c>
      <c r="L912" s="22" t="s">
        <v>2308</v>
      </c>
      <c r="M912" s="22" t="s">
        <v>2308</v>
      </c>
      <c r="N912" s="22" t="s">
        <v>2308</v>
      </c>
      <c r="O912" s="22" t="s">
        <v>2407</v>
      </c>
      <c r="P912" s="22" t="s">
        <v>2308</v>
      </c>
      <c r="Q912" s="22" t="s">
        <v>2308</v>
      </c>
      <c r="R912" s="22" t="s">
        <v>2308</v>
      </c>
      <c r="S912" s="22" t="s">
        <v>2308</v>
      </c>
      <c r="T912" s="22" t="s">
        <v>2308</v>
      </c>
      <c r="U912" s="22" t="s">
        <v>2308</v>
      </c>
      <c r="V912" s="22" t="s">
        <v>2308</v>
      </c>
      <c r="W912" s="22" t="s">
        <v>2433</v>
      </c>
      <c r="X912" s="4" t="s">
        <v>38</v>
      </c>
      <c r="Y912" s="4" t="s">
        <v>86</v>
      </c>
      <c r="Z912" s="4" t="s">
        <v>64</v>
      </c>
      <c r="AA912" s="4"/>
      <c r="AB912" s="5" t="s">
        <v>2982</v>
      </c>
    </row>
    <row r="913" spans="1:28" ht="35.5" customHeight="1">
      <c r="A913" s="7" t="str">
        <f>'Reported burning'!A913</f>
        <v>113a</v>
      </c>
      <c r="B913" s="7" t="str">
        <f>'Reported burning'!B913</f>
        <v>113a.1</v>
      </c>
      <c r="C913" s="7" t="str">
        <f>'Reported burning'!C913</f>
        <v>Human, deliberate</v>
      </c>
      <c r="D913" s="7" t="str">
        <f>'Reported burning'!D913</f>
        <v>Pyrome management</v>
      </c>
      <c r="E913" s="7" t="str">
        <f>'Reported burning'!E913</f>
        <v>Cropping, Swidden</v>
      </c>
      <c r="F913" s="7" t="str">
        <f>'Reported burning'!F913</f>
        <v>Shrubland (Mixed forest &amp; grassland)</v>
      </c>
      <c r="G913" s="7" t="str">
        <f>'Reported burning'!G913</f>
        <v>ND</v>
      </c>
      <c r="H913" s="7" t="str">
        <f>'Reported burning'!H913</f>
        <v>Presence</v>
      </c>
      <c r="I913" s="5"/>
      <c r="J913" s="4" t="s">
        <v>2308</v>
      </c>
      <c r="K913" s="4" t="s">
        <v>2308</v>
      </c>
      <c r="L913" s="4" t="s">
        <v>2308</v>
      </c>
      <c r="M913" s="4" t="s">
        <v>2308</v>
      </c>
      <c r="N913" s="4" t="s">
        <v>2308</v>
      </c>
      <c r="O913" s="4" t="s">
        <v>2308</v>
      </c>
      <c r="P913" s="4" t="s">
        <v>2308</v>
      </c>
      <c r="Q913" s="4" t="s">
        <v>2308</v>
      </c>
      <c r="R913" s="4" t="s">
        <v>2308</v>
      </c>
      <c r="S913" s="4" t="s">
        <v>2308</v>
      </c>
      <c r="T913" s="4" t="s">
        <v>2308</v>
      </c>
      <c r="U913" s="4" t="s">
        <v>2308</v>
      </c>
      <c r="V913" s="4" t="s">
        <v>2308</v>
      </c>
      <c r="W913" s="4" t="s">
        <v>2308</v>
      </c>
      <c r="X913" s="4" t="s">
        <v>38</v>
      </c>
      <c r="Y913" s="4" t="s">
        <v>86</v>
      </c>
      <c r="Z913" s="4" t="s">
        <v>64</v>
      </c>
      <c r="AA913" s="5" t="s">
        <v>2992</v>
      </c>
      <c r="AB913" s="4"/>
    </row>
    <row r="914" spans="1:28" ht="42.5" customHeight="1">
      <c r="A914" s="7" t="str">
        <f>'Reported burning'!A914</f>
        <v>113a</v>
      </c>
      <c r="B914" s="7" t="str">
        <f>'Reported burning'!B914</f>
        <v>113a.2</v>
      </c>
      <c r="C914" s="7" t="str">
        <f>'Reported burning'!C914</f>
        <v>Human, deliberate</v>
      </c>
      <c r="D914" s="7" t="str">
        <f>'Reported burning'!D914</f>
        <v>Pyrome management</v>
      </c>
      <c r="E914" s="7" t="str">
        <f>'Reported burning'!E914</f>
        <v>Forestry, Traditional</v>
      </c>
      <c r="F914" s="7" t="str">
        <f>'Reported burning'!F914</f>
        <v>Shrubland (Mixed forest &amp; grassland)</v>
      </c>
      <c r="G914" s="7" t="str">
        <f>'Reported burning'!G914</f>
        <v>ND</v>
      </c>
      <c r="H914" s="7" t="str">
        <f>'Reported burning'!H914</f>
        <v>Presence</v>
      </c>
      <c r="I914" s="5"/>
      <c r="J914" s="4" t="s">
        <v>2308</v>
      </c>
      <c r="K914" s="4" t="s">
        <v>2308</v>
      </c>
      <c r="L914" s="4" t="s">
        <v>2308</v>
      </c>
      <c r="M914" s="4" t="s">
        <v>2308</v>
      </c>
      <c r="N914" s="4" t="s">
        <v>2308</v>
      </c>
      <c r="O914" s="4" t="s">
        <v>2308</v>
      </c>
      <c r="P914" s="4" t="s">
        <v>2308</v>
      </c>
      <c r="Q914" s="4" t="s">
        <v>2308</v>
      </c>
      <c r="R914" s="4" t="s">
        <v>2308</v>
      </c>
      <c r="S914" s="4" t="s">
        <v>2308</v>
      </c>
      <c r="T914" s="4" t="s">
        <v>2308</v>
      </c>
      <c r="U914" s="4" t="s">
        <v>2308</v>
      </c>
      <c r="V914" s="4" t="s">
        <v>2308</v>
      </c>
      <c r="W914" s="4" t="s">
        <v>2308</v>
      </c>
      <c r="X914" s="4" t="s">
        <v>38</v>
      </c>
      <c r="Y914" s="4" t="s">
        <v>86</v>
      </c>
      <c r="Z914" s="4" t="s">
        <v>64</v>
      </c>
      <c r="AA914" s="5" t="s">
        <v>2994</v>
      </c>
      <c r="AB914" s="4"/>
    </row>
    <row r="915" spans="1:28" ht="47" customHeight="1">
      <c r="A915" s="7" t="str">
        <f>'Reported burning'!A915</f>
        <v>113a</v>
      </c>
      <c r="B915" s="7" t="str">
        <f>'Reported burning'!B915</f>
        <v>113a.3</v>
      </c>
      <c r="C915" s="7" t="str">
        <f>'Reported burning'!C915</f>
        <v>Human, deliberate</v>
      </c>
      <c r="D915" s="7" t="str">
        <f>'Reported burning'!D915</f>
        <v>Hunting</v>
      </c>
      <c r="E915" s="7" t="str">
        <f>'Reported burning'!E915</f>
        <v>Forestry, Traditional</v>
      </c>
      <c r="F915" s="7" t="str">
        <f>'Reported burning'!F915</f>
        <v>Shrubland (Mixed forest &amp; grassland)</v>
      </c>
      <c r="G915" s="7" t="str">
        <f>'Reported burning'!G915</f>
        <v>ND</v>
      </c>
      <c r="H915" s="7" t="str">
        <f>'Reported burning'!H915</f>
        <v>Presence</v>
      </c>
      <c r="I915" s="5"/>
      <c r="J915" s="4" t="s">
        <v>2308</v>
      </c>
      <c r="K915" s="4" t="s">
        <v>2308</v>
      </c>
      <c r="L915" s="4" t="s">
        <v>2308</v>
      </c>
      <c r="M915" s="4" t="s">
        <v>2308</v>
      </c>
      <c r="N915" s="4" t="s">
        <v>2308</v>
      </c>
      <c r="O915" s="4" t="s">
        <v>2308</v>
      </c>
      <c r="P915" s="4" t="s">
        <v>2308</v>
      </c>
      <c r="Q915" s="4" t="s">
        <v>2308</v>
      </c>
      <c r="R915" s="4" t="s">
        <v>2308</v>
      </c>
      <c r="S915" s="4" t="s">
        <v>2308</v>
      </c>
      <c r="T915" s="4" t="s">
        <v>2308</v>
      </c>
      <c r="U915" s="4" t="s">
        <v>2308</v>
      </c>
      <c r="V915" s="4" t="s">
        <v>2308</v>
      </c>
      <c r="W915" s="4" t="s">
        <v>2308</v>
      </c>
      <c r="X915" s="4" t="s">
        <v>38</v>
      </c>
      <c r="Y915" s="4" t="s">
        <v>38</v>
      </c>
      <c r="Z915" s="4" t="s">
        <v>64</v>
      </c>
      <c r="AA915" s="5" t="s">
        <v>3007</v>
      </c>
      <c r="AB915" s="4"/>
    </row>
    <row r="916" spans="1:28" ht="51.5" customHeight="1">
      <c r="A916" s="7" t="str">
        <f>'Reported burning'!A916</f>
        <v>113a</v>
      </c>
      <c r="B916" s="7" t="str">
        <f>'Reported burning'!B916</f>
        <v>113a.4</v>
      </c>
      <c r="C916" s="7" t="str">
        <f>'Reported burning'!C916</f>
        <v>Human, deliberate</v>
      </c>
      <c r="D916" s="7" t="str">
        <f>'Reported burning'!D916</f>
        <v>Vegetation management</v>
      </c>
      <c r="E916" s="7" t="str">
        <f>'Reported burning'!E916</f>
        <v>Forestry, Traditional</v>
      </c>
      <c r="F916" s="7" t="str">
        <f>'Reported burning'!F916</f>
        <v>Shrubland (Mixed forest &amp; grassland)</v>
      </c>
      <c r="G916" s="7" t="str">
        <f>'Reported burning'!G916</f>
        <v>ND</v>
      </c>
      <c r="H916" s="7" t="str">
        <f>'Reported burning'!H916</f>
        <v>Presence</v>
      </c>
      <c r="I916" s="5"/>
      <c r="J916" s="4" t="s">
        <v>2308</v>
      </c>
      <c r="K916" s="4" t="s">
        <v>2308</v>
      </c>
      <c r="L916" s="4" t="s">
        <v>2308</v>
      </c>
      <c r="M916" s="4" t="s">
        <v>2308</v>
      </c>
      <c r="N916" s="4" t="s">
        <v>2308</v>
      </c>
      <c r="O916" s="4" t="s">
        <v>2308</v>
      </c>
      <c r="P916" s="4" t="s">
        <v>2308</v>
      </c>
      <c r="Q916" s="4" t="s">
        <v>2308</v>
      </c>
      <c r="R916" s="4" t="s">
        <v>2308</v>
      </c>
      <c r="S916" s="4" t="s">
        <v>2308</v>
      </c>
      <c r="T916" s="4" t="s">
        <v>2308</v>
      </c>
      <c r="U916" s="4" t="s">
        <v>2308</v>
      </c>
      <c r="V916" s="4" t="s">
        <v>2308</v>
      </c>
      <c r="W916" s="4" t="s">
        <v>2308</v>
      </c>
      <c r="X916" s="4" t="s">
        <v>38</v>
      </c>
      <c r="Y916" s="4" t="s">
        <v>86</v>
      </c>
      <c r="Z916" s="4" t="s">
        <v>64</v>
      </c>
      <c r="AA916" s="5" t="s">
        <v>2997</v>
      </c>
      <c r="AB916" s="4"/>
    </row>
    <row r="917" spans="1:28" ht="27" customHeight="1">
      <c r="A917" s="7" t="str">
        <f>'Reported burning'!A917</f>
        <v>113a</v>
      </c>
      <c r="B917" s="7" t="str">
        <f>'Reported burning'!B917</f>
        <v>113a.5</v>
      </c>
      <c r="C917" s="7" t="str">
        <f>'Reported burning'!C917</f>
        <v>Human, deliberate</v>
      </c>
      <c r="D917" s="7" t="str">
        <f>'Reported burning'!D917</f>
        <v>Pasture renewal</v>
      </c>
      <c r="E917" s="7" t="str">
        <f>'Reported burning'!E917</f>
        <v>Cattle, Extensive</v>
      </c>
      <c r="F917" s="7" t="str">
        <f>'Reported burning'!F917</f>
        <v>Pasture</v>
      </c>
      <c r="G917" s="7" t="str">
        <f>'Reported burning'!G917</f>
        <v>ND</v>
      </c>
      <c r="H917" s="7" t="str">
        <f>'Reported burning'!H917</f>
        <v>Presence</v>
      </c>
      <c r="I917" s="5"/>
      <c r="J917" s="4" t="s">
        <v>2308</v>
      </c>
      <c r="K917" s="4" t="s">
        <v>2308</v>
      </c>
      <c r="L917" s="4" t="s">
        <v>2308</v>
      </c>
      <c r="M917" s="4" t="s">
        <v>2308</v>
      </c>
      <c r="N917" s="4" t="s">
        <v>2308</v>
      </c>
      <c r="O917" s="4" t="s">
        <v>2308</v>
      </c>
      <c r="P917" s="4" t="s">
        <v>2308</v>
      </c>
      <c r="Q917" s="4" t="s">
        <v>2308</v>
      </c>
      <c r="R917" s="4" t="s">
        <v>2308</v>
      </c>
      <c r="S917" s="4" t="s">
        <v>2308</v>
      </c>
      <c r="T917" s="4" t="s">
        <v>2308</v>
      </c>
      <c r="U917" s="4" t="s">
        <v>2308</v>
      </c>
      <c r="V917" s="4" t="s">
        <v>2308</v>
      </c>
      <c r="W917" s="4" t="s">
        <v>2308</v>
      </c>
      <c r="X917" s="4" t="s">
        <v>86</v>
      </c>
      <c r="Y917" s="4" t="s">
        <v>86</v>
      </c>
      <c r="Z917" s="4" t="s">
        <v>64</v>
      </c>
      <c r="AA917" s="4" t="s">
        <v>2999</v>
      </c>
      <c r="AB917" s="4"/>
    </row>
    <row r="918" spans="1:28" ht="35.5" customHeight="1">
      <c r="A918" s="7" t="str">
        <f>'Reported burning'!A918</f>
        <v>113a</v>
      </c>
      <c r="B918" s="7" t="str">
        <f>'Reported burning'!B918</f>
        <v>113a.6</v>
      </c>
      <c r="C918" s="7" t="str">
        <f>'Reported burning'!C918</f>
        <v>Human, deliberate</v>
      </c>
      <c r="D918" s="7" t="str">
        <f>'Reported burning'!D918</f>
        <v>Crop field preparation</v>
      </c>
      <c r="E918" s="7" t="str">
        <f>'Reported burning'!E918</f>
        <v>Cropping, Swidden</v>
      </c>
      <c r="F918" s="7" t="str">
        <f>'Reported burning'!F918</f>
        <v>Secondary Vegetation</v>
      </c>
      <c r="G918" s="7" t="str">
        <f>'Reported burning'!G918</f>
        <v>ND</v>
      </c>
      <c r="H918" s="7" t="str">
        <f>'Reported burning'!H918</f>
        <v>Presence</v>
      </c>
      <c r="I918" s="5"/>
      <c r="J918" s="4" t="s">
        <v>2308</v>
      </c>
      <c r="K918" s="4" t="s">
        <v>2308</v>
      </c>
      <c r="L918" s="4" t="s">
        <v>2308</v>
      </c>
      <c r="M918" s="4" t="s">
        <v>2308</v>
      </c>
      <c r="N918" s="4" t="s">
        <v>2308</v>
      </c>
      <c r="O918" s="4" t="s">
        <v>2308</v>
      </c>
      <c r="P918" s="4" t="s">
        <v>2308</v>
      </c>
      <c r="Q918" s="4" t="s">
        <v>2308</v>
      </c>
      <c r="R918" s="4" t="s">
        <v>2308</v>
      </c>
      <c r="S918" s="4" t="s">
        <v>2308</v>
      </c>
      <c r="T918" s="4" t="s">
        <v>2308</v>
      </c>
      <c r="U918" s="4" t="s">
        <v>2308</v>
      </c>
      <c r="V918" s="4" t="s">
        <v>2308</v>
      </c>
      <c r="W918" s="4" t="s">
        <v>2308</v>
      </c>
      <c r="X918" s="4" t="s">
        <v>412</v>
      </c>
      <c r="Y918" s="4" t="s">
        <v>432</v>
      </c>
      <c r="Z918" s="4" t="s">
        <v>76</v>
      </c>
      <c r="AA918" s="5" t="s">
        <v>3001</v>
      </c>
      <c r="AB918" s="4"/>
    </row>
    <row r="919" spans="1:28" ht="49" customHeight="1">
      <c r="A919" s="7" t="str">
        <f>'Reported burning'!A919</f>
        <v>113a</v>
      </c>
      <c r="B919" s="7" t="str">
        <f>'Reported burning'!B919</f>
        <v>113a.7</v>
      </c>
      <c r="C919" s="7" t="str">
        <f>'Reported burning'!C919</f>
        <v>Human, deliberate</v>
      </c>
      <c r="D919" s="7" t="str">
        <f>'Reported burning'!D919</f>
        <v>Accessibility</v>
      </c>
      <c r="E919" s="7" t="str">
        <f>'Reported burning'!E919</f>
        <v>Forestry, Traditional</v>
      </c>
      <c r="F919" s="7" t="str">
        <f>'Reported burning'!F919</f>
        <v>Shrubland (Mixed forest &amp; grassland)</v>
      </c>
      <c r="G919" s="7" t="str">
        <f>'Reported burning'!G919</f>
        <v>ND</v>
      </c>
      <c r="H919" s="7" t="str">
        <f>'Reported burning'!H919</f>
        <v>Presence</v>
      </c>
      <c r="I919" s="5"/>
      <c r="J919" s="4" t="s">
        <v>2308</v>
      </c>
      <c r="K919" s="4" t="s">
        <v>2308</v>
      </c>
      <c r="L919" s="4" t="s">
        <v>2308</v>
      </c>
      <c r="M919" s="4" t="s">
        <v>2308</v>
      </c>
      <c r="N919" s="4" t="s">
        <v>2308</v>
      </c>
      <c r="O919" s="4" t="s">
        <v>2308</v>
      </c>
      <c r="P919" s="4" t="s">
        <v>2308</v>
      </c>
      <c r="Q919" s="4" t="s">
        <v>2308</v>
      </c>
      <c r="R919" s="4" t="s">
        <v>2308</v>
      </c>
      <c r="S919" s="4" t="s">
        <v>2308</v>
      </c>
      <c r="T919" s="4" t="s">
        <v>2308</v>
      </c>
      <c r="U919" s="4" t="s">
        <v>2308</v>
      </c>
      <c r="V919" s="4" t="s">
        <v>2308</v>
      </c>
      <c r="W919" s="22" t="s">
        <v>2433</v>
      </c>
      <c r="X919" s="4" t="s">
        <v>38</v>
      </c>
      <c r="Y919" s="4" t="s">
        <v>432</v>
      </c>
      <c r="Z919" s="4" t="s">
        <v>64</v>
      </c>
      <c r="AA919" s="5" t="s">
        <v>3011</v>
      </c>
      <c r="AB919" s="4"/>
    </row>
    <row r="920" spans="1:28" ht="70.5" customHeight="1">
      <c r="A920" s="7" t="str">
        <f>'Reported burning'!A920</f>
        <v>113a</v>
      </c>
      <c r="B920" s="7" t="str">
        <f>'Reported burning'!B920</f>
        <v>113a.8</v>
      </c>
      <c r="C920" s="7" t="str">
        <f>'Reported burning'!C920</f>
        <v>Human, deliberate</v>
      </c>
      <c r="D920" s="7" t="str">
        <f>'Reported burning'!D920</f>
        <v>Accessibility</v>
      </c>
      <c r="E920" s="7" t="str">
        <f>'Reported burning'!E920</f>
        <v>Cropping, Swidden</v>
      </c>
      <c r="F920" s="7" t="str">
        <f>'Reported burning'!F920</f>
        <v>Shrubland (Mixed forest &amp; grassland)</v>
      </c>
      <c r="G920" s="7" t="str">
        <f>'Reported burning'!G920</f>
        <v>ND</v>
      </c>
      <c r="H920" s="7" t="str">
        <f>'Reported burning'!H920</f>
        <v>Presence</v>
      </c>
      <c r="I920" s="5"/>
      <c r="J920" s="4" t="s">
        <v>2308</v>
      </c>
      <c r="K920" s="4" t="s">
        <v>2308</v>
      </c>
      <c r="L920" s="4" t="s">
        <v>2308</v>
      </c>
      <c r="M920" s="4" t="s">
        <v>2308</v>
      </c>
      <c r="N920" s="4" t="s">
        <v>2308</v>
      </c>
      <c r="O920" s="4" t="s">
        <v>2308</v>
      </c>
      <c r="P920" s="4" t="s">
        <v>2308</v>
      </c>
      <c r="Q920" s="4" t="s">
        <v>2308</v>
      </c>
      <c r="R920" s="4" t="s">
        <v>2308</v>
      </c>
      <c r="S920" s="4" t="s">
        <v>2308</v>
      </c>
      <c r="T920" s="4" t="s">
        <v>2308</v>
      </c>
      <c r="U920" s="4" t="s">
        <v>2308</v>
      </c>
      <c r="V920" s="4" t="s">
        <v>2308</v>
      </c>
      <c r="W920" s="22" t="s">
        <v>2433</v>
      </c>
      <c r="X920" s="4" t="s">
        <v>38</v>
      </c>
      <c r="Y920" s="4" t="s">
        <v>432</v>
      </c>
      <c r="Z920" s="4" t="s">
        <v>64</v>
      </c>
      <c r="AA920" s="5" t="s">
        <v>3012</v>
      </c>
      <c r="AB920" s="4"/>
    </row>
    <row r="921" spans="1:28" ht="29">
      <c r="A921" s="7" t="str">
        <f>'Reported burning'!A921</f>
        <v>113a</v>
      </c>
      <c r="B921" s="7" t="str">
        <f>'Reported burning'!B921</f>
        <v>113a.9</v>
      </c>
      <c r="C921" s="7" t="str">
        <f>'Reported burning'!C921</f>
        <v>Human, deliberate</v>
      </c>
      <c r="D921" s="7" t="str">
        <f>'Reported burning'!D921</f>
        <v>Pest management</v>
      </c>
      <c r="E921" s="7" t="str">
        <f>'Reported burning'!E921</f>
        <v>Cropping, Swidden</v>
      </c>
      <c r="F921" s="7" t="str">
        <f>'Reported burning'!F921</f>
        <v>Shrubland (Mixed forest &amp; grassland)</v>
      </c>
      <c r="G921" s="7" t="str">
        <f>'Reported burning'!G921</f>
        <v>ND</v>
      </c>
      <c r="H921" s="7" t="str">
        <f>'Reported burning'!H921</f>
        <v>Presence</v>
      </c>
      <c r="I921" s="5"/>
      <c r="J921" s="4" t="s">
        <v>2308</v>
      </c>
      <c r="K921" s="4" t="s">
        <v>2308</v>
      </c>
      <c r="L921" s="4" t="s">
        <v>2308</v>
      </c>
      <c r="M921" s="4" t="s">
        <v>2308</v>
      </c>
      <c r="N921" s="4" t="s">
        <v>2308</v>
      </c>
      <c r="O921" s="4" t="s">
        <v>2308</v>
      </c>
      <c r="P921" s="4" t="s">
        <v>2308</v>
      </c>
      <c r="Q921" s="4" t="s">
        <v>2308</v>
      </c>
      <c r="R921" s="4" t="s">
        <v>2308</v>
      </c>
      <c r="S921" s="4" t="s">
        <v>2308</v>
      </c>
      <c r="T921" s="4" t="s">
        <v>2308</v>
      </c>
      <c r="U921" s="4" t="s">
        <v>2308</v>
      </c>
      <c r="V921" s="4" t="s">
        <v>2308</v>
      </c>
      <c r="W921" s="4" t="s">
        <v>2308</v>
      </c>
      <c r="X921" s="4" t="s">
        <v>38</v>
      </c>
      <c r="Y921" s="4" t="s">
        <v>432</v>
      </c>
      <c r="Z921" s="4" t="s">
        <v>64</v>
      </c>
      <c r="AA921" s="4"/>
      <c r="AB921" s="4"/>
    </row>
    <row r="922" spans="1:28" ht="29">
      <c r="A922" s="7" t="str">
        <f>'Reported burning'!A922</f>
        <v>113a</v>
      </c>
      <c r="B922" s="7" t="str">
        <f>'Reported burning'!B922</f>
        <v>113a.10</v>
      </c>
      <c r="C922" s="7" t="str">
        <f>'Reported burning'!C922</f>
        <v>Human, deliberate</v>
      </c>
      <c r="D922" s="7" t="str">
        <f>'Reported burning'!D922</f>
        <v>Pest management</v>
      </c>
      <c r="E922" s="7" t="str">
        <f>'Reported burning'!E922</f>
        <v>Forestry, Traditional</v>
      </c>
      <c r="F922" s="7" t="str">
        <f>'Reported burning'!F922</f>
        <v>Shrubland (Mixed forest &amp; grassland)</v>
      </c>
      <c r="G922" s="7" t="str">
        <f>'Reported burning'!G922</f>
        <v>ND</v>
      </c>
      <c r="H922" s="7" t="str">
        <f>'Reported burning'!H922</f>
        <v>Presence</v>
      </c>
      <c r="I922" s="5"/>
      <c r="J922" s="4" t="s">
        <v>2308</v>
      </c>
      <c r="K922" s="4" t="s">
        <v>2308</v>
      </c>
      <c r="L922" s="4" t="s">
        <v>2308</v>
      </c>
      <c r="M922" s="4" t="s">
        <v>2308</v>
      </c>
      <c r="N922" s="4" t="s">
        <v>2308</v>
      </c>
      <c r="O922" s="4" t="s">
        <v>2308</v>
      </c>
      <c r="P922" s="4" t="s">
        <v>2308</v>
      </c>
      <c r="Q922" s="4" t="s">
        <v>2308</v>
      </c>
      <c r="R922" s="4" t="s">
        <v>2308</v>
      </c>
      <c r="S922" s="4" t="s">
        <v>2308</v>
      </c>
      <c r="T922" s="4" t="s">
        <v>2308</v>
      </c>
      <c r="U922" s="4" t="s">
        <v>2308</v>
      </c>
      <c r="V922" s="4" t="s">
        <v>2308</v>
      </c>
      <c r="W922" s="4" t="s">
        <v>2308</v>
      </c>
      <c r="X922" s="4" t="s">
        <v>38</v>
      </c>
      <c r="Y922" s="4" t="s">
        <v>432</v>
      </c>
      <c r="Z922" s="4" t="s">
        <v>64</v>
      </c>
      <c r="AA922" s="4"/>
      <c r="AB922" s="4"/>
    </row>
    <row r="923" spans="1:28" ht="29">
      <c r="A923" s="7" t="str">
        <f>'Reported burning'!A923</f>
        <v>113a</v>
      </c>
      <c r="B923" s="7" t="str">
        <f>'Reported burning'!B923</f>
        <v>113a.11</v>
      </c>
      <c r="C923" s="7" t="str">
        <f>'Reported burning'!C923</f>
        <v>Human, escaped</v>
      </c>
      <c r="D923" s="7" t="str">
        <f>'Reported burning'!D923</f>
        <v>Pasture renewal</v>
      </c>
      <c r="E923" s="7" t="str">
        <f>'Reported burning'!E923</f>
        <v>Cattle, Intensive</v>
      </c>
      <c r="F923" s="7" t="str">
        <f>'Reported burning'!F923</f>
        <v>Pasture</v>
      </c>
      <c r="G923" s="7" t="str">
        <f>'Reported burning'!G923</f>
        <v>Shrubland (Mixed forest &amp; grassland)</v>
      </c>
      <c r="H923" s="7" t="str">
        <f>'Reported burning'!H923</f>
        <v>Presence</v>
      </c>
      <c r="I923" s="4"/>
      <c r="J923" s="4" t="s">
        <v>2308</v>
      </c>
      <c r="K923" s="4" t="s">
        <v>2308</v>
      </c>
      <c r="L923" s="4" t="s">
        <v>2308</v>
      </c>
      <c r="M923" s="4" t="s">
        <v>2308</v>
      </c>
      <c r="N923" s="4" t="s">
        <v>2308</v>
      </c>
      <c r="O923" s="4" t="s">
        <v>2308</v>
      </c>
      <c r="P923" s="4" t="s">
        <v>2308</v>
      </c>
      <c r="Q923" s="4" t="s">
        <v>2308</v>
      </c>
      <c r="R923" s="4" t="s">
        <v>2308</v>
      </c>
      <c r="S923" s="4" t="s">
        <v>2308</v>
      </c>
      <c r="T923" s="4" t="s">
        <v>2308</v>
      </c>
      <c r="U923" s="4" t="s">
        <v>2308</v>
      </c>
      <c r="V923" s="4" t="s">
        <v>2308</v>
      </c>
      <c r="W923" s="4" t="s">
        <v>2308</v>
      </c>
      <c r="X923" s="4" t="s">
        <v>38</v>
      </c>
      <c r="Y923" s="4" t="s">
        <v>432</v>
      </c>
      <c r="Z923" s="4" t="s">
        <v>64</v>
      </c>
      <c r="AA923" s="5" t="s">
        <v>3006</v>
      </c>
      <c r="AB923" s="4"/>
    </row>
    <row r="924" spans="1:28" ht="29.5" customHeight="1">
      <c r="A924" s="7" t="str">
        <f>'Reported burning'!A924</f>
        <v>113a</v>
      </c>
      <c r="B924" s="7" t="str">
        <f>'Reported burning'!B924</f>
        <v>113a.12</v>
      </c>
      <c r="C924" s="7" t="str">
        <f>'Reported burning'!C924</f>
        <v>Human, escaped</v>
      </c>
      <c r="D924" s="7" t="str">
        <f>'Reported burning'!D924</f>
        <v>Crop field preparation</v>
      </c>
      <c r="E924" s="7" t="str">
        <f>'Reported burning'!E924</f>
        <v>Cropping, Swidden</v>
      </c>
      <c r="F924" s="7" t="str">
        <f>'Reported burning'!F924</f>
        <v>Secondary Vegetation</v>
      </c>
      <c r="G924" s="7" t="str">
        <f>'Reported burning'!G924</f>
        <v>Shrubland (Mixed forest &amp; grassland)</v>
      </c>
      <c r="H924" s="7" t="str">
        <f>'Reported burning'!H924</f>
        <v>Presence</v>
      </c>
      <c r="I924" s="4"/>
      <c r="J924" s="4" t="s">
        <v>2308</v>
      </c>
      <c r="K924" s="4" t="s">
        <v>2308</v>
      </c>
      <c r="L924" s="4" t="s">
        <v>2308</v>
      </c>
      <c r="M924" s="4" t="s">
        <v>2308</v>
      </c>
      <c r="N924" s="4" t="s">
        <v>2308</v>
      </c>
      <c r="O924" s="4" t="s">
        <v>2308</v>
      </c>
      <c r="P924" s="4" t="s">
        <v>2308</v>
      </c>
      <c r="Q924" s="4" t="s">
        <v>2308</v>
      </c>
      <c r="R924" s="4" t="s">
        <v>2308</v>
      </c>
      <c r="S924" s="4" t="s">
        <v>2308</v>
      </c>
      <c r="T924" s="4" t="s">
        <v>2308</v>
      </c>
      <c r="U924" s="4" t="s">
        <v>2308</v>
      </c>
      <c r="V924" s="4" t="s">
        <v>2308</v>
      </c>
      <c r="W924" s="4" t="s">
        <v>2308</v>
      </c>
      <c r="X924" s="4" t="s">
        <v>412</v>
      </c>
      <c r="Y924" s="4" t="s">
        <v>432</v>
      </c>
      <c r="Z924" s="4" t="s">
        <v>76</v>
      </c>
      <c r="AA924" s="5" t="s">
        <v>3015</v>
      </c>
      <c r="AB924" s="4"/>
    </row>
    <row r="925" spans="1:28" ht="43.5">
      <c r="A925" s="7" t="str">
        <f>'Reported burning'!A925</f>
        <v>114a</v>
      </c>
      <c r="B925" s="7" t="str">
        <f>'Reported burning'!B925</f>
        <v>114a.1</v>
      </c>
      <c r="C925" s="7" t="str">
        <f>'Reported burning'!C925</f>
        <v>Human, deliberate</v>
      </c>
      <c r="D925" s="7" t="str">
        <f>'Reported burning'!D925</f>
        <v>Pasture renewal</v>
      </c>
      <c r="E925" s="7" t="str">
        <f>'Reported burning'!E925</f>
        <v>Pastoralism, Migratory</v>
      </c>
      <c r="F925" s="7" t="str">
        <f>'Reported burning'!F925</f>
        <v>Shrubland (Mixed forest &amp; grassland)</v>
      </c>
      <c r="G925" s="7" t="str">
        <f>'Reported burning'!G925</f>
        <v>ND</v>
      </c>
      <c r="H925" s="7" t="str">
        <f>'Reported burning'!H925</f>
        <v>Presence</v>
      </c>
      <c r="I925" s="4"/>
      <c r="J925" s="4" t="s">
        <v>2308</v>
      </c>
      <c r="K925" s="4" t="s">
        <v>2308</v>
      </c>
      <c r="L925" s="4" t="s">
        <v>2308</v>
      </c>
      <c r="M925" s="4" t="s">
        <v>2308</v>
      </c>
      <c r="N925" s="4" t="s">
        <v>2308</v>
      </c>
      <c r="O925" s="4" t="s">
        <v>2308</v>
      </c>
      <c r="P925" s="4" t="s">
        <v>2308</v>
      </c>
      <c r="Q925" s="4" t="s">
        <v>2308</v>
      </c>
      <c r="R925" s="4" t="s">
        <v>2308</v>
      </c>
      <c r="S925" s="4" t="s">
        <v>2308</v>
      </c>
      <c r="T925" s="4" t="s">
        <v>2308</v>
      </c>
      <c r="U925" s="4" t="s">
        <v>2308</v>
      </c>
      <c r="V925" s="4" t="s">
        <v>2308</v>
      </c>
      <c r="W925" s="4" t="s">
        <v>2308</v>
      </c>
      <c r="X925" s="4" t="s">
        <v>68</v>
      </c>
      <c r="Y925" s="4" t="s">
        <v>35</v>
      </c>
      <c r="Z925" s="4" t="s">
        <v>64</v>
      </c>
      <c r="AA925" s="5" t="s">
        <v>3039</v>
      </c>
      <c r="AB925" s="4"/>
    </row>
    <row r="926" spans="1:28" ht="29">
      <c r="A926" s="7" t="str">
        <f>'Reported burning'!A926</f>
        <v>114a</v>
      </c>
      <c r="B926" s="7" t="str">
        <f>'Reported burning'!B926</f>
        <v>114a.2</v>
      </c>
      <c r="C926" s="7" t="str">
        <f>'Reported burning'!C926</f>
        <v>Human, deliberate</v>
      </c>
      <c r="D926" s="7" t="str">
        <f>'Reported burning'!D926</f>
        <v>Pest management</v>
      </c>
      <c r="E926" s="7" t="str">
        <f>'Reported burning'!E926</f>
        <v>Pastoralism, Migratory</v>
      </c>
      <c r="F926" s="7" t="str">
        <f>'Reported burning'!F926</f>
        <v>Shrubland (Mixed forest &amp; grassland)</v>
      </c>
      <c r="G926" s="7" t="str">
        <f>'Reported burning'!G926</f>
        <v>ND</v>
      </c>
      <c r="H926" s="7" t="str">
        <f>'Reported burning'!H926</f>
        <v>Presence</v>
      </c>
      <c r="I926" s="4"/>
      <c r="J926" s="4" t="s">
        <v>2308</v>
      </c>
      <c r="K926" s="4" t="s">
        <v>2308</v>
      </c>
      <c r="L926" s="4" t="s">
        <v>2308</v>
      </c>
      <c r="M926" s="4" t="s">
        <v>2308</v>
      </c>
      <c r="N926" s="4" t="s">
        <v>2308</v>
      </c>
      <c r="O926" s="4" t="s">
        <v>2308</v>
      </c>
      <c r="P926" s="4" t="s">
        <v>2308</v>
      </c>
      <c r="Q926" s="4" t="s">
        <v>2308</v>
      </c>
      <c r="R926" s="4" t="s">
        <v>2308</v>
      </c>
      <c r="S926" s="4" t="s">
        <v>2308</v>
      </c>
      <c r="T926" s="4" t="s">
        <v>2308</v>
      </c>
      <c r="U926" s="4" t="s">
        <v>2308</v>
      </c>
      <c r="V926" s="4" t="s">
        <v>2308</v>
      </c>
      <c r="W926" s="4" t="s">
        <v>2308</v>
      </c>
      <c r="X926" s="4"/>
      <c r="Y926" s="4"/>
      <c r="Z926" s="4"/>
      <c r="AA926" s="4"/>
      <c r="AB926" s="4"/>
    </row>
    <row r="927" spans="1:28" ht="43.5">
      <c r="A927" s="7" t="str">
        <f>'Reported burning'!A927</f>
        <v>114a</v>
      </c>
      <c r="B927" s="7" t="str">
        <f>'Reported burning'!B927</f>
        <v>114a.3</v>
      </c>
      <c r="C927" s="7" t="str">
        <f>'Reported burning'!C927</f>
        <v>Human, deliberate</v>
      </c>
      <c r="D927" s="7" t="str">
        <f>'Reported burning'!D927</f>
        <v>Accessibility</v>
      </c>
      <c r="E927" s="7" t="str">
        <f>'Reported burning'!E927</f>
        <v>Pastoralism, Migratory</v>
      </c>
      <c r="F927" s="7" t="str">
        <f>'Reported burning'!F927</f>
        <v>Shrubland (Mixed forest &amp; grassland)</v>
      </c>
      <c r="G927" s="7" t="str">
        <f>'Reported burning'!G927</f>
        <v>ND</v>
      </c>
      <c r="H927" s="7" t="str">
        <f>'Reported burning'!H927</f>
        <v>Presence</v>
      </c>
      <c r="I927" s="4"/>
      <c r="J927" s="4" t="s">
        <v>2308</v>
      </c>
      <c r="K927" s="4" t="s">
        <v>2308</v>
      </c>
      <c r="L927" s="4" t="s">
        <v>2308</v>
      </c>
      <c r="M927" s="4" t="s">
        <v>2308</v>
      </c>
      <c r="N927" s="4" t="s">
        <v>2308</v>
      </c>
      <c r="O927" s="4" t="s">
        <v>2308</v>
      </c>
      <c r="P927" s="4" t="s">
        <v>2308</v>
      </c>
      <c r="Q927" s="4" t="s">
        <v>2308</v>
      </c>
      <c r="R927" s="4" t="s">
        <v>2308</v>
      </c>
      <c r="S927" s="4" t="s">
        <v>2308</v>
      </c>
      <c r="T927" s="4" t="s">
        <v>2308</v>
      </c>
      <c r="U927" s="4" t="s">
        <v>2308</v>
      </c>
      <c r="V927" s="4" t="s">
        <v>2308</v>
      </c>
      <c r="W927" s="4" t="s">
        <v>2308</v>
      </c>
      <c r="X927" s="4" t="s">
        <v>68</v>
      </c>
      <c r="Y927" s="4" t="s">
        <v>35</v>
      </c>
      <c r="Z927" s="4" t="s">
        <v>64</v>
      </c>
      <c r="AA927" s="5" t="s">
        <v>3044</v>
      </c>
      <c r="AB927" s="4"/>
    </row>
    <row r="928" spans="1:28" ht="29">
      <c r="A928" s="7" t="str">
        <f>'Reported burning'!A928</f>
        <v>114a</v>
      </c>
      <c r="B928" s="7" t="str">
        <f>'Reported burning'!B928</f>
        <v>114a.4</v>
      </c>
      <c r="C928" s="7" t="str">
        <f>'Reported burning'!C928</f>
        <v>Human, escaped</v>
      </c>
      <c r="D928" s="7" t="str">
        <f>'Reported burning'!D928</f>
        <v>Domestic</v>
      </c>
      <c r="E928" s="7" t="str">
        <f>'Reported burning'!E928</f>
        <v>Pastoralism, Migratory</v>
      </c>
      <c r="F928" s="7" t="str">
        <f>'Reported burning'!F928</f>
        <v>ND</v>
      </c>
      <c r="G928" s="7" t="str">
        <f>'Reported burning'!G928</f>
        <v>Shrubland (Mixed forest &amp; grassland)</v>
      </c>
      <c r="H928" s="7" t="str">
        <f>'Reported burning'!H928</f>
        <v>Presence</v>
      </c>
      <c r="I928" s="4"/>
      <c r="J928" s="4" t="s">
        <v>2308</v>
      </c>
      <c r="K928" s="4" t="s">
        <v>2308</v>
      </c>
      <c r="L928" s="4" t="s">
        <v>2308</v>
      </c>
      <c r="M928" s="4" t="s">
        <v>2308</v>
      </c>
      <c r="N928" s="4" t="s">
        <v>2308</v>
      </c>
      <c r="O928" s="4" t="s">
        <v>2308</v>
      </c>
      <c r="P928" s="4" t="s">
        <v>2308</v>
      </c>
      <c r="Q928" s="4" t="s">
        <v>2308</v>
      </c>
      <c r="R928" s="4" t="s">
        <v>2308</v>
      </c>
      <c r="S928" s="4" t="s">
        <v>2308</v>
      </c>
      <c r="T928" s="4" t="s">
        <v>2308</v>
      </c>
      <c r="U928" s="4" t="s">
        <v>2308</v>
      </c>
      <c r="V928" s="4" t="s">
        <v>2308</v>
      </c>
      <c r="W928" s="4" t="s">
        <v>2308</v>
      </c>
      <c r="X928" s="4"/>
      <c r="Y928" s="4"/>
      <c r="Z928" s="4"/>
      <c r="AA928" s="4"/>
      <c r="AB928" s="4"/>
    </row>
    <row r="929" spans="1:28" ht="35.5" customHeight="1">
      <c r="A929" s="7" t="str">
        <f>'Reported burning'!A929</f>
        <v>114a</v>
      </c>
      <c r="B929" s="7" t="str">
        <f>'Reported burning'!B929</f>
        <v>114a.5</v>
      </c>
      <c r="C929" s="7" t="str">
        <f>'Reported burning'!C929</f>
        <v>Human, deliberate</v>
      </c>
      <c r="D929" s="7" t="str">
        <f>'Reported burning'!D929</f>
        <v>Crop field preparation</v>
      </c>
      <c r="E929" s="7" t="str">
        <f>'Reported burning'!E929</f>
        <v>Cropping, Swidden</v>
      </c>
      <c r="F929" s="7" t="str">
        <f>'Reported burning'!F929</f>
        <v>Shrubland (Mixed forest &amp; grassland)</v>
      </c>
      <c r="G929" s="7" t="str">
        <f>'Reported burning'!G929</f>
        <v>ND</v>
      </c>
      <c r="H929" s="7" t="str">
        <f>'Reported burning'!H929</f>
        <v>Presence</v>
      </c>
      <c r="I929" s="4"/>
      <c r="J929" s="4" t="s">
        <v>2308</v>
      </c>
      <c r="K929" s="4" t="s">
        <v>2308</v>
      </c>
      <c r="L929" s="4" t="s">
        <v>2308</v>
      </c>
      <c r="M929" s="4" t="s">
        <v>2308</v>
      </c>
      <c r="N929" s="4" t="s">
        <v>2308</v>
      </c>
      <c r="O929" s="4" t="s">
        <v>2308</v>
      </c>
      <c r="P929" s="4" t="s">
        <v>2308</v>
      </c>
      <c r="Q929" s="4" t="s">
        <v>2308</v>
      </c>
      <c r="R929" s="4" t="s">
        <v>2308</v>
      </c>
      <c r="S929" s="4" t="s">
        <v>2308</v>
      </c>
      <c r="T929" s="4" t="s">
        <v>2308</v>
      </c>
      <c r="U929" s="4" t="s">
        <v>2308</v>
      </c>
      <c r="V929" s="4" t="s">
        <v>2308</v>
      </c>
      <c r="W929" s="4" t="s">
        <v>2308</v>
      </c>
      <c r="X929" s="4" t="s">
        <v>34</v>
      </c>
      <c r="Y929" s="4" t="s">
        <v>34</v>
      </c>
      <c r="Z929" s="4" t="s">
        <v>2688</v>
      </c>
      <c r="AA929" s="5" t="s">
        <v>3040</v>
      </c>
      <c r="AB929" s="4"/>
    </row>
    <row r="930" spans="1:28" ht="42.5" customHeight="1">
      <c r="A930" s="7" t="str">
        <f>'Reported burning'!A930</f>
        <v>114a</v>
      </c>
      <c r="B930" s="7" t="str">
        <f>'Reported burning'!B930</f>
        <v>114a.6</v>
      </c>
      <c r="C930" s="7" t="str">
        <f>'Reported burning'!C930</f>
        <v>Human, deliberate</v>
      </c>
      <c r="D930" s="7" t="str">
        <f>'Reported burning'!D930</f>
        <v>Crop field preparation</v>
      </c>
      <c r="E930" s="7" t="str">
        <f>'Reported burning'!E930</f>
        <v>Cropping, Swidden</v>
      </c>
      <c r="F930" s="7" t="str">
        <f>'Reported burning'!F930</f>
        <v>Secondary Vegetation</v>
      </c>
      <c r="G930" s="7" t="str">
        <f>'Reported burning'!G930</f>
        <v>ND</v>
      </c>
      <c r="H930" s="7" t="str">
        <f>'Reported burning'!H930</f>
        <v>Presence</v>
      </c>
      <c r="I930" s="4"/>
      <c r="J930" s="4" t="s">
        <v>2308</v>
      </c>
      <c r="K930" s="4" t="s">
        <v>2308</v>
      </c>
      <c r="L930" s="4" t="s">
        <v>2308</v>
      </c>
      <c r="M930" s="4" t="s">
        <v>2308</v>
      </c>
      <c r="N930" s="4" t="s">
        <v>2308</v>
      </c>
      <c r="O930" s="4" t="s">
        <v>2308</v>
      </c>
      <c r="P930" s="4" t="s">
        <v>2308</v>
      </c>
      <c r="Q930" s="4" t="s">
        <v>2308</v>
      </c>
      <c r="R930" s="4" t="s">
        <v>2308</v>
      </c>
      <c r="S930" s="4" t="s">
        <v>2308</v>
      </c>
      <c r="T930" s="4" t="s">
        <v>2308</v>
      </c>
      <c r="U930" s="4" t="s">
        <v>2308</v>
      </c>
      <c r="V930" s="4" t="s">
        <v>2308</v>
      </c>
      <c r="W930" s="4" t="s">
        <v>2308</v>
      </c>
      <c r="X930" s="4" t="s">
        <v>34</v>
      </c>
      <c r="Y930" s="4" t="s">
        <v>34</v>
      </c>
      <c r="Z930" s="4" t="s">
        <v>2688</v>
      </c>
      <c r="AA930" s="5" t="s">
        <v>3040</v>
      </c>
      <c r="AB930" s="4"/>
    </row>
    <row r="931" spans="1:28" ht="51.5" customHeight="1">
      <c r="A931" s="7" t="str">
        <f>'Reported burning'!A931</f>
        <v>114a</v>
      </c>
      <c r="B931" s="7" t="str">
        <f>'Reported burning'!B931</f>
        <v>114a.7</v>
      </c>
      <c r="C931" s="7" t="str">
        <f>'Reported burning'!C931</f>
        <v>Human, deliberate</v>
      </c>
      <c r="D931" s="7" t="str">
        <f>'Reported burning'!D931</f>
        <v>Pyrome management</v>
      </c>
      <c r="E931" s="7" t="str">
        <f>'Reported burning'!E931</f>
        <v>Cropping, Swidden</v>
      </c>
      <c r="F931" s="7" t="str">
        <f>'Reported burning'!F931</f>
        <v>Shrubland (Mixed forest &amp; grassland)</v>
      </c>
      <c r="G931" s="7" t="str">
        <f>'Reported burning'!G931</f>
        <v>ND</v>
      </c>
      <c r="H931" s="7" t="str">
        <f>'Reported burning'!H931</f>
        <v>Presence</v>
      </c>
      <c r="I931" s="4"/>
      <c r="J931" s="4" t="s">
        <v>2308</v>
      </c>
      <c r="K931" s="4" t="s">
        <v>2308</v>
      </c>
      <c r="L931" s="4" t="s">
        <v>2308</v>
      </c>
      <c r="M931" s="4" t="s">
        <v>2308</v>
      </c>
      <c r="N931" s="4" t="s">
        <v>2308</v>
      </c>
      <c r="O931" s="4" t="s">
        <v>2308</v>
      </c>
      <c r="P931" s="4" t="s">
        <v>2308</v>
      </c>
      <c r="Q931" s="4" t="s">
        <v>2308</v>
      </c>
      <c r="R931" s="4" t="s">
        <v>2308</v>
      </c>
      <c r="S931" s="4" t="s">
        <v>2308</v>
      </c>
      <c r="T931" s="4" t="s">
        <v>2308</v>
      </c>
      <c r="U931" s="4" t="s">
        <v>2308</v>
      </c>
      <c r="V931" s="4" t="s">
        <v>2308</v>
      </c>
      <c r="W931" s="4" t="s">
        <v>2308</v>
      </c>
      <c r="X931" s="4" t="s">
        <v>68</v>
      </c>
      <c r="Y931" s="4" t="s">
        <v>35</v>
      </c>
      <c r="Z931" s="4" t="s">
        <v>64</v>
      </c>
      <c r="AA931" s="5" t="s">
        <v>3041</v>
      </c>
      <c r="AB931" s="4"/>
    </row>
    <row r="932" spans="1:28" ht="35.5" customHeight="1">
      <c r="A932" s="7" t="str">
        <f>'Reported burning'!A932</f>
        <v>114a</v>
      </c>
      <c r="B932" s="7" t="str">
        <f>'Reported burning'!B932</f>
        <v>114a.8</v>
      </c>
      <c r="C932" s="7" t="str">
        <f>'Reported burning'!C932</f>
        <v>Human, deliberate</v>
      </c>
      <c r="D932" s="7" t="str">
        <f>'Reported burning'!D932</f>
        <v>Vegetation management</v>
      </c>
      <c r="E932" s="7" t="str">
        <f>'Reported burning'!E932</f>
        <v>Cropping, Swidden</v>
      </c>
      <c r="F932" s="7" t="str">
        <f>'Reported burning'!F932</f>
        <v>Shrubland (Mixed forest &amp; grassland)</v>
      </c>
      <c r="G932" s="7" t="str">
        <f>'Reported burning'!G932</f>
        <v>ND</v>
      </c>
      <c r="H932" s="7" t="str">
        <f>'Reported burning'!H932</f>
        <v>Presence</v>
      </c>
      <c r="I932" s="4"/>
      <c r="J932" s="4" t="s">
        <v>2308</v>
      </c>
      <c r="K932" s="4" t="s">
        <v>2308</v>
      </c>
      <c r="L932" s="4" t="s">
        <v>2308</v>
      </c>
      <c r="M932" s="4" t="s">
        <v>2308</v>
      </c>
      <c r="N932" s="4" t="s">
        <v>2308</v>
      </c>
      <c r="O932" s="4" t="s">
        <v>2308</v>
      </c>
      <c r="P932" s="4" t="s">
        <v>2308</v>
      </c>
      <c r="Q932" s="4" t="s">
        <v>2308</v>
      </c>
      <c r="R932" s="4" t="s">
        <v>2308</v>
      </c>
      <c r="S932" s="4" t="s">
        <v>2308</v>
      </c>
      <c r="T932" s="4" t="s">
        <v>2308</v>
      </c>
      <c r="U932" s="4" t="s">
        <v>2308</v>
      </c>
      <c r="V932" s="4" t="s">
        <v>2308</v>
      </c>
      <c r="W932" s="4" t="s">
        <v>2308</v>
      </c>
      <c r="X932" s="4" t="s">
        <v>2308</v>
      </c>
      <c r="Y932" s="4" t="s">
        <v>2308</v>
      </c>
      <c r="Z932" s="4" t="s">
        <v>2308</v>
      </c>
      <c r="AA932" s="4"/>
      <c r="AB932" s="4"/>
    </row>
    <row r="933" spans="1:28" ht="37.5" customHeight="1">
      <c r="A933" s="7" t="str">
        <f>'Reported burning'!A933</f>
        <v>114a</v>
      </c>
      <c r="B933" s="7" t="str">
        <f>'Reported burning'!B933</f>
        <v>114a.9</v>
      </c>
      <c r="C933" s="7" t="str">
        <f>'Reported burning'!C933</f>
        <v>Human, deliberate</v>
      </c>
      <c r="D933" s="7" t="str">
        <f>'Reported burning'!D933</f>
        <v>Hunting</v>
      </c>
      <c r="E933" s="7" t="str">
        <f>'Reported burning'!E933</f>
        <v>Forestry, Traditional</v>
      </c>
      <c r="F933" s="7" t="str">
        <f>'Reported burning'!F933</f>
        <v>Shrubland (Mixed forest &amp; grassland)</v>
      </c>
      <c r="G933" s="7" t="str">
        <f>'Reported burning'!G933</f>
        <v>ND</v>
      </c>
      <c r="H933" s="7" t="str">
        <f>'Reported burning'!H933</f>
        <v>Presence</v>
      </c>
      <c r="I933" s="4"/>
      <c r="J933" s="4" t="s">
        <v>2308</v>
      </c>
      <c r="K933" s="4" t="s">
        <v>2308</v>
      </c>
      <c r="L933" s="4" t="s">
        <v>2308</v>
      </c>
      <c r="M933" s="4" t="s">
        <v>2308</v>
      </c>
      <c r="N933" s="4" t="s">
        <v>2308</v>
      </c>
      <c r="O933" s="4" t="s">
        <v>2308</v>
      </c>
      <c r="P933" s="4" t="s">
        <v>2308</v>
      </c>
      <c r="Q933" s="4" t="s">
        <v>2308</v>
      </c>
      <c r="R933" s="4" t="s">
        <v>2308</v>
      </c>
      <c r="S933" s="4" t="s">
        <v>2308</v>
      </c>
      <c r="T933" s="4" t="s">
        <v>2308</v>
      </c>
      <c r="U933" s="4" t="s">
        <v>2308</v>
      </c>
      <c r="V933" s="4" t="s">
        <v>2308</v>
      </c>
      <c r="W933" s="4" t="s">
        <v>2308</v>
      </c>
      <c r="X933" s="4" t="s">
        <v>2308</v>
      </c>
      <c r="Y933" s="4" t="s">
        <v>2308</v>
      </c>
      <c r="Z933" s="4" t="s">
        <v>2308</v>
      </c>
      <c r="AA933" s="4"/>
      <c r="AB933" s="4"/>
    </row>
    <row r="934" spans="1:28" ht="36.5" customHeight="1">
      <c r="A934" s="7" t="str">
        <f>'Reported burning'!A934</f>
        <v>114a</v>
      </c>
      <c r="B934" s="7" t="str">
        <f>'Reported burning'!B934</f>
        <v>114a.10</v>
      </c>
      <c r="C934" s="7" t="str">
        <f>'Reported burning'!C934</f>
        <v>Human, deliberate</v>
      </c>
      <c r="D934" s="7" t="str">
        <f>'Reported burning'!D934</f>
        <v>Harvesting of NTFP</v>
      </c>
      <c r="E934" s="7" t="str">
        <f>'Reported burning'!E934</f>
        <v>Forestry, Traditional</v>
      </c>
      <c r="F934" s="7" t="str">
        <f>'Reported burning'!F934</f>
        <v>Shrubland (Mixed forest &amp; grassland)</v>
      </c>
      <c r="G934" s="7" t="str">
        <f>'Reported burning'!G934</f>
        <v>ND</v>
      </c>
      <c r="H934" s="7" t="str">
        <f>'Reported burning'!H934</f>
        <v>Presence</v>
      </c>
      <c r="I934" s="4"/>
      <c r="J934" s="4" t="s">
        <v>2308</v>
      </c>
      <c r="K934" s="4" t="s">
        <v>2308</v>
      </c>
      <c r="L934" s="4" t="s">
        <v>2308</v>
      </c>
      <c r="M934" s="4" t="s">
        <v>2308</v>
      </c>
      <c r="N934" s="4" t="s">
        <v>2308</v>
      </c>
      <c r="O934" s="4" t="s">
        <v>2308</v>
      </c>
      <c r="P934" s="4" t="s">
        <v>2308</v>
      </c>
      <c r="Q934" s="4" t="s">
        <v>2308</v>
      </c>
      <c r="R934" s="4" t="s">
        <v>2308</v>
      </c>
      <c r="S934" s="4" t="s">
        <v>2308</v>
      </c>
      <c r="T934" s="4" t="s">
        <v>2308</v>
      </c>
      <c r="U934" s="4" t="s">
        <v>2308</v>
      </c>
      <c r="V934" s="4" t="s">
        <v>2308</v>
      </c>
      <c r="W934" s="4" t="s">
        <v>2308</v>
      </c>
      <c r="X934" s="4" t="s">
        <v>2308</v>
      </c>
      <c r="Y934" s="4" t="s">
        <v>2308</v>
      </c>
      <c r="Z934" s="4" t="s">
        <v>2308</v>
      </c>
      <c r="AA934" s="5" t="s">
        <v>3036</v>
      </c>
      <c r="AB934" s="4"/>
    </row>
    <row r="935" spans="1:28" ht="41" customHeight="1">
      <c r="A935" s="7" t="str">
        <f>'Reported burning'!A935</f>
        <v>114a</v>
      </c>
      <c r="B935" s="7" t="str">
        <f>'Reported burning'!B935</f>
        <v>114a.11</v>
      </c>
      <c r="C935" s="7" t="str">
        <f>'Reported burning'!C935</f>
        <v>Human, accidental</v>
      </c>
      <c r="D935" s="7" t="str">
        <f>'Reported burning'!D935</f>
        <v>All</v>
      </c>
      <c r="E935" s="7" t="str">
        <f>'Reported burning'!E935</f>
        <v>All</v>
      </c>
      <c r="F935" s="7" t="str">
        <f>'Reported burning'!F935</f>
        <v>ND</v>
      </c>
      <c r="G935" s="7" t="str">
        <f>'Reported burning'!G935</f>
        <v>Shrubland (Mixed forest &amp; grassland)</v>
      </c>
      <c r="H935" s="7" t="str">
        <f>'Reported burning'!H935</f>
        <v>Presence</v>
      </c>
      <c r="I935" s="4"/>
      <c r="J935" s="4" t="s">
        <v>2308</v>
      </c>
      <c r="K935" s="4" t="s">
        <v>2308</v>
      </c>
      <c r="L935" s="4" t="s">
        <v>2308</v>
      </c>
      <c r="M935" s="4" t="s">
        <v>2308</v>
      </c>
      <c r="N935" s="4" t="s">
        <v>2308</v>
      </c>
      <c r="O935" s="4" t="s">
        <v>2308</v>
      </c>
      <c r="P935" s="4" t="s">
        <v>2308</v>
      </c>
      <c r="Q935" s="4" t="s">
        <v>2308</v>
      </c>
      <c r="R935" s="4" t="s">
        <v>2308</v>
      </c>
      <c r="S935" s="4" t="s">
        <v>2308</v>
      </c>
      <c r="T935" s="4" t="s">
        <v>2308</v>
      </c>
      <c r="U935" s="4" t="s">
        <v>2308</v>
      </c>
      <c r="V935" s="4" t="s">
        <v>2308</v>
      </c>
      <c r="W935" s="4" t="s">
        <v>2308</v>
      </c>
      <c r="X935" s="4" t="s">
        <v>2308</v>
      </c>
      <c r="Y935" s="4" t="s">
        <v>2308</v>
      </c>
      <c r="Z935" s="4" t="s">
        <v>2308</v>
      </c>
      <c r="AA935" s="4" t="s">
        <v>3038</v>
      </c>
      <c r="AB935" s="4"/>
    </row>
    <row r="936" spans="1:28" ht="39" customHeight="1">
      <c r="A936" s="7" t="str">
        <f>'Reported burning'!A936</f>
        <v>114a</v>
      </c>
      <c r="B936" s="7" t="str">
        <f>'Reported burning'!B936</f>
        <v>114a.12</v>
      </c>
      <c r="C936" s="7" t="str">
        <f>'Reported burning'!C936</f>
        <v>Human, deliberate</v>
      </c>
      <c r="D936" s="7" t="str">
        <f>'Reported burning'!D936</f>
        <v>Pyrome management</v>
      </c>
      <c r="E936" s="7" t="str">
        <f>'Reported burning'!E936</f>
        <v>Forestry, Industrial</v>
      </c>
      <c r="F936" s="7" t="str">
        <f>'Reported burning'!F936</f>
        <v>ND</v>
      </c>
      <c r="G936" s="7" t="str">
        <f>'Reported burning'!G936</f>
        <v>Shrubland (Mixed forest &amp; grassland)</v>
      </c>
      <c r="H936" s="7" t="str">
        <f>'Reported burning'!H936</f>
        <v>Presence</v>
      </c>
      <c r="I936" s="4"/>
      <c r="J936" s="4" t="s">
        <v>2308</v>
      </c>
      <c r="K936" s="4" t="s">
        <v>2308</v>
      </c>
      <c r="L936" s="4" t="s">
        <v>2308</v>
      </c>
      <c r="M936" s="4" t="s">
        <v>2308</v>
      </c>
      <c r="N936" s="4" t="s">
        <v>2308</v>
      </c>
      <c r="O936" s="4" t="s">
        <v>2308</v>
      </c>
      <c r="P936" s="4" t="s">
        <v>2308</v>
      </c>
      <c r="Q936" s="4" t="s">
        <v>2308</v>
      </c>
      <c r="R936" s="4" t="s">
        <v>2308</v>
      </c>
      <c r="S936" s="4" t="s">
        <v>2308</v>
      </c>
      <c r="T936" s="4" t="s">
        <v>2308</v>
      </c>
      <c r="U936" s="4" t="s">
        <v>2308</v>
      </c>
      <c r="V936" s="4" t="s">
        <v>2308</v>
      </c>
      <c r="W936" s="4" t="s">
        <v>2308</v>
      </c>
      <c r="X936" s="4" t="s">
        <v>68</v>
      </c>
      <c r="Y936" s="4" t="s">
        <v>35</v>
      </c>
      <c r="Z936" s="4" t="s">
        <v>64</v>
      </c>
      <c r="AA936" s="5" t="s">
        <v>3043</v>
      </c>
      <c r="AB936" s="4"/>
    </row>
    <row r="937" spans="1:28" ht="45.5" customHeight="1">
      <c r="A937" s="7" t="str">
        <f>'Reported burning'!A937</f>
        <v>114a</v>
      </c>
      <c r="B937" s="7" t="str">
        <f>'Reported burning'!B937</f>
        <v>114a.13</v>
      </c>
      <c r="C937" s="7" t="str">
        <f>'Reported burning'!C937</f>
        <v>Human, escaped</v>
      </c>
      <c r="D937" s="7" t="str">
        <f>'Reported burning'!D937</f>
        <v>Crop field preparation</v>
      </c>
      <c r="E937" s="7" t="str">
        <f>'Reported burning'!E937</f>
        <v>Cropping, Swidden</v>
      </c>
      <c r="F937" s="7" t="str">
        <f>'Reported burning'!F937</f>
        <v>Shrubland (Mixed forest &amp; grassland)</v>
      </c>
      <c r="G937" s="7" t="str">
        <f>'Reported burning'!G937</f>
        <v>ND</v>
      </c>
      <c r="H937" s="7" t="str">
        <f>'Reported burning'!H937</f>
        <v>Presence</v>
      </c>
      <c r="I937" s="4"/>
      <c r="J937" s="4" t="s">
        <v>2308</v>
      </c>
      <c r="K937" s="4" t="s">
        <v>2308</v>
      </c>
      <c r="L937" s="4" t="s">
        <v>2308</v>
      </c>
      <c r="M937" s="4" t="s">
        <v>2308</v>
      </c>
      <c r="N937" s="4" t="s">
        <v>2308</v>
      </c>
      <c r="O937" s="4" t="s">
        <v>2308</v>
      </c>
      <c r="P937" s="4" t="s">
        <v>2308</v>
      </c>
      <c r="Q937" s="4" t="s">
        <v>2308</v>
      </c>
      <c r="R937" s="4" t="s">
        <v>2308</v>
      </c>
      <c r="S937" s="4" t="s">
        <v>2308</v>
      </c>
      <c r="T937" s="4" t="s">
        <v>2308</v>
      </c>
      <c r="U937" s="4" t="s">
        <v>2308</v>
      </c>
      <c r="V937" s="4" t="s">
        <v>2308</v>
      </c>
      <c r="W937" s="4" t="s">
        <v>2308</v>
      </c>
      <c r="X937" s="4" t="s">
        <v>34</v>
      </c>
      <c r="Y937" s="4" t="s">
        <v>34</v>
      </c>
      <c r="Z937" s="4" t="s">
        <v>2688</v>
      </c>
      <c r="AA937" s="4"/>
      <c r="AB937" s="4"/>
    </row>
    <row r="938" spans="1:28" ht="37" customHeight="1">
      <c r="A938" s="7" t="str">
        <f>'Reported burning'!A938</f>
        <v>114a</v>
      </c>
      <c r="B938" s="7" t="str">
        <f>'Reported burning'!B938</f>
        <v>114a.14</v>
      </c>
      <c r="C938" s="7" t="str">
        <f>'Reported burning'!C938</f>
        <v>Human, escaped</v>
      </c>
      <c r="D938" s="7" t="str">
        <f>'Reported burning'!D938</f>
        <v>Crop field preparation</v>
      </c>
      <c r="E938" s="7" t="str">
        <f>'Reported burning'!E938</f>
        <v>Cropping, Swidden</v>
      </c>
      <c r="F938" s="7" t="str">
        <f>'Reported burning'!F938</f>
        <v>Secondary Vegetation</v>
      </c>
      <c r="G938" s="7" t="str">
        <f>'Reported burning'!G938</f>
        <v>ND</v>
      </c>
      <c r="H938" s="7" t="str">
        <f>'Reported burning'!H938</f>
        <v>Presence</v>
      </c>
      <c r="I938" s="4"/>
      <c r="J938" s="4" t="s">
        <v>2308</v>
      </c>
      <c r="K938" s="4" t="s">
        <v>2308</v>
      </c>
      <c r="L938" s="4" t="s">
        <v>2308</v>
      </c>
      <c r="M938" s="4" t="s">
        <v>2308</v>
      </c>
      <c r="N938" s="4" t="s">
        <v>2308</v>
      </c>
      <c r="O938" s="4" t="s">
        <v>2308</v>
      </c>
      <c r="P938" s="4" t="s">
        <v>2308</v>
      </c>
      <c r="Q938" s="4" t="s">
        <v>2308</v>
      </c>
      <c r="R938" s="4" t="s">
        <v>2308</v>
      </c>
      <c r="S938" s="4" t="s">
        <v>2308</v>
      </c>
      <c r="T938" s="4" t="s">
        <v>2308</v>
      </c>
      <c r="U938" s="4" t="s">
        <v>2308</v>
      </c>
      <c r="V938" s="4" t="s">
        <v>2308</v>
      </c>
      <c r="W938" s="4" t="s">
        <v>2308</v>
      </c>
      <c r="X938" s="4" t="s">
        <v>34</v>
      </c>
      <c r="Y938" s="4" t="s">
        <v>34</v>
      </c>
      <c r="Z938" s="4" t="s">
        <v>2688</v>
      </c>
      <c r="AA938" s="4"/>
      <c r="AB938" s="4"/>
    </row>
    <row r="939" spans="1:28" ht="83.5" customHeight="1">
      <c r="A939" s="7" t="str">
        <f>'Reported burning'!A939</f>
        <v>115a</v>
      </c>
      <c r="B939" s="7" t="str">
        <f>'Reported burning'!B939</f>
        <v>115a.1</v>
      </c>
      <c r="C939" s="7" t="str">
        <f>'Reported burning'!C939</f>
        <v>Human, deliberate</v>
      </c>
      <c r="D939" s="7" t="str">
        <f>'Reported burning'!D939</f>
        <v>Pasture renewal</v>
      </c>
      <c r="E939" s="7" t="str">
        <f>'Reported burning'!E939</f>
        <v>Cattle, Extensive</v>
      </c>
      <c r="F939" s="7" t="str">
        <f>'Reported burning'!F939</f>
        <v>Pasture</v>
      </c>
      <c r="G939" s="7" t="str">
        <f>'Reported burning'!G939</f>
        <v>ND</v>
      </c>
      <c r="H939" s="7" t="str">
        <f>'Reported burning'!H939</f>
        <v>Presence</v>
      </c>
      <c r="I939" s="4"/>
      <c r="J939" s="4" t="s">
        <v>2308</v>
      </c>
      <c r="K939" s="4" t="s">
        <v>2308</v>
      </c>
      <c r="L939" s="4" t="s">
        <v>2308</v>
      </c>
      <c r="M939" s="4" t="s">
        <v>2308</v>
      </c>
      <c r="N939" s="4" t="s">
        <v>2308</v>
      </c>
      <c r="O939" s="4" t="s">
        <v>2308</v>
      </c>
      <c r="P939" s="4" t="s">
        <v>2308</v>
      </c>
      <c r="Q939" s="4" t="s">
        <v>2308</v>
      </c>
      <c r="R939" s="4" t="s">
        <v>2308</v>
      </c>
      <c r="S939" s="4" t="s">
        <v>2308</v>
      </c>
      <c r="T939" s="15" t="s">
        <v>2423</v>
      </c>
      <c r="U939" s="4" t="s">
        <v>2308</v>
      </c>
      <c r="V939" s="4" t="s">
        <v>2308</v>
      </c>
      <c r="W939" s="22" t="s">
        <v>2407</v>
      </c>
      <c r="X939" s="4" t="s">
        <v>86</v>
      </c>
      <c r="Y939" s="4" t="s">
        <v>432</v>
      </c>
      <c r="Z939" s="4" t="s">
        <v>64</v>
      </c>
      <c r="AA939" s="5" t="s">
        <v>3058</v>
      </c>
      <c r="AB939" s="5" t="s">
        <v>3064</v>
      </c>
    </row>
    <row r="940" spans="1:28" ht="64" customHeight="1">
      <c r="A940" s="7" t="str">
        <f>'Reported burning'!A940</f>
        <v>115a</v>
      </c>
      <c r="B940" s="7" t="str">
        <f>'Reported burning'!B940</f>
        <v>115a.2</v>
      </c>
      <c r="C940" s="7" t="str">
        <f>'Reported burning'!C940</f>
        <v>Human, deliberate</v>
      </c>
      <c r="D940" s="7" t="str">
        <f>'Reported burning'!D940</f>
        <v>Pasture renewal</v>
      </c>
      <c r="E940" s="7" t="str">
        <f>'Reported burning'!E940</f>
        <v>Cattle, Intensive</v>
      </c>
      <c r="F940" s="7" t="str">
        <f>'Reported burning'!F940</f>
        <v>Pasture</v>
      </c>
      <c r="G940" s="7" t="str">
        <f>'Reported burning'!G940</f>
        <v>ND</v>
      </c>
      <c r="H940" s="7" t="str">
        <f>'Reported burning'!H940</f>
        <v>Absence</v>
      </c>
      <c r="I940" s="4"/>
      <c r="J940" s="22" t="s">
        <v>2396</v>
      </c>
      <c r="K940" s="22" t="s">
        <v>2396</v>
      </c>
      <c r="L940" s="22" t="s">
        <v>2396</v>
      </c>
      <c r="M940" s="22" t="s">
        <v>2396</v>
      </c>
      <c r="N940" s="22" t="s">
        <v>2396</v>
      </c>
      <c r="O940" s="22" t="s">
        <v>2396</v>
      </c>
      <c r="P940" s="22" t="s">
        <v>2396</v>
      </c>
      <c r="Q940" s="22" t="s">
        <v>2396</v>
      </c>
      <c r="R940" s="22" t="s">
        <v>2396</v>
      </c>
      <c r="S940" s="22" t="s">
        <v>2396</v>
      </c>
      <c r="T940" s="22" t="s">
        <v>2396</v>
      </c>
      <c r="U940" s="22" t="s">
        <v>2396</v>
      </c>
      <c r="V940" s="22" t="s">
        <v>2396</v>
      </c>
      <c r="W940" s="22" t="s">
        <v>2396</v>
      </c>
      <c r="X940" s="4" t="s">
        <v>2308</v>
      </c>
      <c r="Y940" s="4" t="s">
        <v>2308</v>
      </c>
      <c r="Z940" s="4" t="s">
        <v>2308</v>
      </c>
      <c r="AA940" s="5" t="s">
        <v>3059</v>
      </c>
      <c r="AB940" s="4"/>
    </row>
    <row r="941" spans="1:28" ht="58" customHeight="1">
      <c r="A941" s="7" t="str">
        <f>'Reported burning'!A941</f>
        <v>115a</v>
      </c>
      <c r="B941" s="7" t="str">
        <f>'Reported burning'!B941</f>
        <v>115a.3</v>
      </c>
      <c r="C941" s="7" t="str">
        <f>'Reported burning'!C941</f>
        <v>Human, deliberate</v>
      </c>
      <c r="D941" s="7" t="str">
        <f>'Reported burning'!D941</f>
        <v>Land clearance</v>
      </c>
      <c r="E941" s="7" t="str">
        <f>'Reported burning'!E941</f>
        <v>Cattle, Extensive</v>
      </c>
      <c r="F941" s="7" t="str">
        <f>'Reported burning'!F941</f>
        <v>Shrubland (Mixed forest &amp; grassland)</v>
      </c>
      <c r="G941" s="7" t="str">
        <f>'Reported burning'!G941</f>
        <v>ND</v>
      </c>
      <c r="H941" s="7" t="str">
        <f>'Reported burning'!H941</f>
        <v>Presence</v>
      </c>
      <c r="I941" s="4"/>
      <c r="J941" s="4" t="s">
        <v>2308</v>
      </c>
      <c r="K941" s="4" t="s">
        <v>2308</v>
      </c>
      <c r="L941" s="4" t="s">
        <v>2308</v>
      </c>
      <c r="M941" s="4" t="s">
        <v>2308</v>
      </c>
      <c r="N941" s="4" t="s">
        <v>2308</v>
      </c>
      <c r="O941" s="4" t="s">
        <v>2308</v>
      </c>
      <c r="P941" s="4" t="s">
        <v>2308</v>
      </c>
      <c r="Q941" s="4" t="s">
        <v>2308</v>
      </c>
      <c r="R941" s="4" t="s">
        <v>2308</v>
      </c>
      <c r="S941" s="4" t="s">
        <v>2308</v>
      </c>
      <c r="T941" s="4" t="s">
        <v>2308</v>
      </c>
      <c r="U941" s="4" t="s">
        <v>2308</v>
      </c>
      <c r="V941" s="4" t="s">
        <v>2308</v>
      </c>
      <c r="W941" s="4" t="s">
        <v>2308</v>
      </c>
      <c r="X941" s="4" t="s">
        <v>86</v>
      </c>
      <c r="Y941" s="4" t="s">
        <v>432</v>
      </c>
      <c r="Z941" s="4" t="s">
        <v>64</v>
      </c>
      <c r="AA941" s="4"/>
      <c r="AB941" s="4"/>
    </row>
    <row r="942" spans="1:28" ht="66" customHeight="1">
      <c r="A942" s="7" t="str">
        <f>'Reported burning'!A942</f>
        <v>115a</v>
      </c>
      <c r="B942" s="7" t="str">
        <f>'Reported burning'!B942</f>
        <v>115a.4</v>
      </c>
      <c r="C942" s="7" t="str">
        <f>'Reported burning'!C942</f>
        <v>Human, deliberate</v>
      </c>
      <c r="D942" s="7" t="str">
        <f>'Reported burning'!D942</f>
        <v>Pyrome management</v>
      </c>
      <c r="E942" s="7" t="str">
        <f>'Reported burning'!E942</f>
        <v>Cattle, Extensive</v>
      </c>
      <c r="F942" s="7" t="str">
        <f>'Reported burning'!F942</f>
        <v>ND</v>
      </c>
      <c r="G942" s="7" t="str">
        <f>'Reported burning'!G942</f>
        <v>ND</v>
      </c>
      <c r="H942" s="7" t="str">
        <f>'Reported burning'!H942</f>
        <v>Presence</v>
      </c>
      <c r="I942" s="4"/>
      <c r="J942" s="4" t="s">
        <v>2308</v>
      </c>
      <c r="K942" s="4" t="s">
        <v>2308</v>
      </c>
      <c r="L942" s="4" t="s">
        <v>2308</v>
      </c>
      <c r="M942" s="4" t="s">
        <v>2308</v>
      </c>
      <c r="N942" s="4" t="s">
        <v>2308</v>
      </c>
      <c r="O942" s="4" t="s">
        <v>2308</v>
      </c>
      <c r="P942" s="4" t="s">
        <v>2308</v>
      </c>
      <c r="Q942" s="4" t="s">
        <v>2308</v>
      </c>
      <c r="R942" s="4" t="s">
        <v>2308</v>
      </c>
      <c r="S942" s="4" t="s">
        <v>2308</v>
      </c>
      <c r="T942" s="4" t="s">
        <v>2308</v>
      </c>
      <c r="U942" s="4" t="s">
        <v>2308</v>
      </c>
      <c r="V942" s="4" t="s">
        <v>2308</v>
      </c>
      <c r="W942" s="4" t="s">
        <v>2308</v>
      </c>
      <c r="X942" s="4" t="s">
        <v>86</v>
      </c>
      <c r="Y942" s="4" t="s">
        <v>432</v>
      </c>
      <c r="Z942" s="4" t="s">
        <v>64</v>
      </c>
      <c r="AA942" s="5" t="s">
        <v>3060</v>
      </c>
      <c r="AB942" s="4"/>
    </row>
    <row r="943" spans="1:28" ht="58" customHeight="1">
      <c r="A943" s="7" t="str">
        <f>'Reported burning'!A943</f>
        <v>115a</v>
      </c>
      <c r="B943" s="7" t="str">
        <f>'Reported burning'!B943</f>
        <v>115a.5</v>
      </c>
      <c r="C943" s="7" t="str">
        <f>'Reported burning'!C943</f>
        <v>Human, deliberate</v>
      </c>
      <c r="D943" s="7" t="str">
        <f>'Reported burning'!D943</f>
        <v>Crop field preparation</v>
      </c>
      <c r="E943" s="7" t="str">
        <f>'Reported burning'!E943</f>
        <v>Cropping, Swidden</v>
      </c>
      <c r="F943" s="7" t="str">
        <f>'Reported burning'!F943</f>
        <v>Secondary Vegetation</v>
      </c>
      <c r="G943" s="7" t="str">
        <f>'Reported burning'!G943</f>
        <v>ND</v>
      </c>
      <c r="H943" s="7" t="str">
        <f>'Reported burning'!H943</f>
        <v>Presence</v>
      </c>
      <c r="I943" s="4"/>
      <c r="J943" s="4" t="s">
        <v>2308</v>
      </c>
      <c r="K943" s="4" t="s">
        <v>2308</v>
      </c>
      <c r="L943" s="4" t="s">
        <v>2308</v>
      </c>
      <c r="M943" s="4" t="s">
        <v>2308</v>
      </c>
      <c r="N943" s="4" t="s">
        <v>2308</v>
      </c>
      <c r="O943" s="4" t="s">
        <v>2308</v>
      </c>
      <c r="P943" s="4" t="s">
        <v>2308</v>
      </c>
      <c r="Q943" s="4" t="s">
        <v>2308</v>
      </c>
      <c r="R943" s="4" t="s">
        <v>2308</v>
      </c>
      <c r="S943" s="4" t="s">
        <v>2308</v>
      </c>
      <c r="T943" s="15" t="s">
        <v>2421</v>
      </c>
      <c r="U943" s="4" t="s">
        <v>2308</v>
      </c>
      <c r="V943" s="4" t="s">
        <v>2308</v>
      </c>
      <c r="W943" s="22" t="s">
        <v>2433</v>
      </c>
      <c r="X943" s="4" t="s">
        <v>412</v>
      </c>
      <c r="Y943" s="4" t="s">
        <v>432</v>
      </c>
      <c r="Z943" s="4" t="s">
        <v>64</v>
      </c>
      <c r="AA943" s="5" t="s">
        <v>3065</v>
      </c>
      <c r="AB943" s="5" t="s">
        <v>3064</v>
      </c>
    </row>
    <row r="944" spans="1:28" ht="63" customHeight="1">
      <c r="A944" s="7" t="str">
        <f>'Reported burning'!A944</f>
        <v>115a</v>
      </c>
      <c r="B944" s="7" t="str">
        <f>'Reported burning'!B944</f>
        <v>115a.6</v>
      </c>
      <c r="C944" s="7" t="str">
        <f>'Reported burning'!C944</f>
        <v>Human, escaped</v>
      </c>
      <c r="D944" s="7" t="str">
        <f>'Reported burning'!D944</f>
        <v>Pasture renewal</v>
      </c>
      <c r="E944" s="7" t="str">
        <f>'Reported burning'!E944</f>
        <v>Cattle, Extensive</v>
      </c>
      <c r="F944" s="7" t="str">
        <f>'Reported burning'!F944</f>
        <v>Pasture</v>
      </c>
      <c r="G944" s="7" t="str">
        <f>'Reported burning'!G944</f>
        <v>ND</v>
      </c>
      <c r="H944" s="7" t="str">
        <f>'Reported burning'!H944</f>
        <v>Presence</v>
      </c>
      <c r="I944" s="4"/>
      <c r="J944" s="4" t="s">
        <v>2308</v>
      </c>
      <c r="K944" s="4" t="s">
        <v>2308</v>
      </c>
      <c r="L944" s="4" t="s">
        <v>2308</v>
      </c>
      <c r="M944" s="4" t="s">
        <v>2308</v>
      </c>
      <c r="N944" s="4" t="s">
        <v>2308</v>
      </c>
      <c r="O944" s="4" t="s">
        <v>2308</v>
      </c>
      <c r="P944" s="4" t="s">
        <v>2308</v>
      </c>
      <c r="Q944" s="4" t="s">
        <v>2308</v>
      </c>
      <c r="R944" s="4" t="s">
        <v>2308</v>
      </c>
      <c r="S944" s="4" t="s">
        <v>2308</v>
      </c>
      <c r="T944" s="4" t="s">
        <v>2308</v>
      </c>
      <c r="U944" s="4" t="s">
        <v>2308</v>
      </c>
      <c r="V944" s="4" t="s">
        <v>2308</v>
      </c>
      <c r="W944" s="4" t="s">
        <v>2308</v>
      </c>
      <c r="X944" s="4" t="s">
        <v>86</v>
      </c>
      <c r="Y944" s="4" t="s">
        <v>432</v>
      </c>
      <c r="Z944" s="4" t="s">
        <v>76</v>
      </c>
      <c r="AA944" s="4" t="s">
        <v>3063</v>
      </c>
      <c r="AB944" s="4"/>
    </row>
    <row r="945" spans="1:28" ht="39" customHeight="1">
      <c r="A945" s="7" t="str">
        <f>'Reported burning'!A945</f>
        <v>116a</v>
      </c>
      <c r="B945" s="7" t="str">
        <f>'Reported burning'!B945</f>
        <v>116a.1</v>
      </c>
      <c r="C945" s="7" t="str">
        <f>'Reported burning'!C945</f>
        <v>Human, deliberate</v>
      </c>
      <c r="D945" s="7" t="str">
        <f>'Reported burning'!D945</f>
        <v>Pyrome management</v>
      </c>
      <c r="E945" s="7" t="str">
        <f>'Reported burning'!E945</f>
        <v>Forestry, Industrial</v>
      </c>
      <c r="F945" s="7" t="str">
        <f>'Reported burning'!F945</f>
        <v>Shrubland (Mixed forest &amp; grassland)</v>
      </c>
      <c r="G945" s="7" t="str">
        <f>'Reported burning'!G945</f>
        <v>ND</v>
      </c>
      <c r="H945" s="7" t="str">
        <f>'Reported burning'!H945</f>
        <v>Presence</v>
      </c>
      <c r="I945" s="4"/>
      <c r="J945" s="4" t="s">
        <v>2308</v>
      </c>
      <c r="K945" s="4" t="s">
        <v>2308</v>
      </c>
      <c r="L945" s="4" t="s">
        <v>2308</v>
      </c>
      <c r="M945" s="4" t="s">
        <v>2308</v>
      </c>
      <c r="N945" s="4" t="s">
        <v>2308</v>
      </c>
      <c r="O945" s="4" t="s">
        <v>2308</v>
      </c>
      <c r="P945" s="4" t="s">
        <v>2308</v>
      </c>
      <c r="Q945" s="4" t="s">
        <v>2308</v>
      </c>
      <c r="R945" s="4" t="s">
        <v>2308</v>
      </c>
      <c r="S945" s="4" t="s">
        <v>2308</v>
      </c>
      <c r="T945" s="4" t="s">
        <v>2308</v>
      </c>
      <c r="U945" s="4" t="s">
        <v>2308</v>
      </c>
      <c r="V945" s="4" t="s">
        <v>2308</v>
      </c>
      <c r="W945" s="4" t="s">
        <v>2308</v>
      </c>
      <c r="X945" s="4" t="s">
        <v>68</v>
      </c>
      <c r="Y945" s="4" t="s">
        <v>35</v>
      </c>
      <c r="Z945" s="4" t="s">
        <v>64</v>
      </c>
      <c r="AA945" s="5" t="s">
        <v>3074</v>
      </c>
      <c r="AB945" s="4"/>
    </row>
    <row r="946" spans="1:28" ht="34.5" customHeight="1">
      <c r="A946" s="7" t="str">
        <f>'Reported burning'!A946</f>
        <v>116a</v>
      </c>
      <c r="B946" s="7" t="str">
        <f>'Reported burning'!B946</f>
        <v>116a.2</v>
      </c>
      <c r="C946" s="7" t="str">
        <f>'Reported burning'!C946</f>
        <v>Human, deliberate</v>
      </c>
      <c r="D946" s="7" t="str">
        <f>'Reported burning'!D946</f>
        <v>Pasture renewal</v>
      </c>
      <c r="E946" s="7" t="str">
        <f>'Reported burning'!E946</f>
        <v>Cattle, Extensive</v>
      </c>
      <c r="F946" s="7" t="str">
        <f>'Reported burning'!F946</f>
        <v>Pasture</v>
      </c>
      <c r="G946" s="7" t="str">
        <f>'Reported burning'!G946</f>
        <v>ND</v>
      </c>
      <c r="H946" s="7" t="str">
        <f>'Reported burning'!H946</f>
        <v>Presence</v>
      </c>
      <c r="I946" s="4"/>
      <c r="J946" s="4" t="s">
        <v>2308</v>
      </c>
      <c r="K946" s="4" t="s">
        <v>2308</v>
      </c>
      <c r="L946" s="4" t="s">
        <v>2308</v>
      </c>
      <c r="M946" s="4" t="s">
        <v>2308</v>
      </c>
      <c r="N946" s="4" t="s">
        <v>2308</v>
      </c>
      <c r="O946" s="4" t="s">
        <v>2308</v>
      </c>
      <c r="P946" s="4" t="s">
        <v>2308</v>
      </c>
      <c r="Q946" s="4" t="s">
        <v>2308</v>
      </c>
      <c r="R946" s="4" t="s">
        <v>2308</v>
      </c>
      <c r="S946" s="4" t="s">
        <v>2308</v>
      </c>
      <c r="T946" s="4" t="s">
        <v>2308</v>
      </c>
      <c r="U946" s="4" t="s">
        <v>2308</v>
      </c>
      <c r="V946" s="4" t="s">
        <v>2308</v>
      </c>
      <c r="W946" s="4" t="s">
        <v>2308</v>
      </c>
      <c r="X946" s="4" t="s">
        <v>68</v>
      </c>
      <c r="Y946" s="4" t="s">
        <v>38</v>
      </c>
      <c r="Z946" s="4" t="s">
        <v>2308</v>
      </c>
      <c r="AA946" s="4"/>
      <c r="AB946" s="4"/>
    </row>
    <row r="947" spans="1:28" ht="42" customHeight="1">
      <c r="A947" s="7" t="str">
        <f>'Reported burning'!A947</f>
        <v>117a</v>
      </c>
      <c r="B947" s="7" t="str">
        <f>'Reported burning'!B947</f>
        <v>117a.1</v>
      </c>
      <c r="C947" s="7" t="str">
        <f>'Reported burning'!C947</f>
        <v>Human, deliberate</v>
      </c>
      <c r="D947" s="7" t="str">
        <f>'Reported burning'!D947</f>
        <v>Pasture renewal</v>
      </c>
      <c r="E947" s="7" t="str">
        <f>'Reported burning'!E947</f>
        <v>Cattle, Extensive</v>
      </c>
      <c r="F947" s="7" t="str">
        <f>'Reported burning'!F947</f>
        <v>Shrubland (Mixed forest &amp; grassland)</v>
      </c>
      <c r="G947" s="7" t="str">
        <f>'Reported burning'!G947</f>
        <v>ND</v>
      </c>
      <c r="H947" s="7" t="str">
        <f>'Reported burning'!H947</f>
        <v>Presence</v>
      </c>
      <c r="I947" s="23"/>
      <c r="J947" s="4" t="s">
        <v>2308</v>
      </c>
      <c r="K947" s="4" t="s">
        <v>2308</v>
      </c>
      <c r="L947" s="4" t="s">
        <v>2308</v>
      </c>
      <c r="M947" s="4" t="s">
        <v>2308</v>
      </c>
      <c r="N947" s="4" t="s">
        <v>2308</v>
      </c>
      <c r="O947" s="4" t="s">
        <v>2308</v>
      </c>
      <c r="P947" s="4" t="s">
        <v>2308</v>
      </c>
      <c r="Q947" s="84" t="s">
        <v>2409</v>
      </c>
      <c r="R947" s="84" t="s">
        <v>2409</v>
      </c>
      <c r="S947" s="4" t="s">
        <v>2308</v>
      </c>
      <c r="T947" s="4" t="s">
        <v>2308</v>
      </c>
      <c r="U947" s="4" t="s">
        <v>2308</v>
      </c>
      <c r="V947" s="22" t="s">
        <v>2560</v>
      </c>
      <c r="W947" s="4" t="s">
        <v>2308</v>
      </c>
      <c r="X947" s="23" t="s">
        <v>86</v>
      </c>
      <c r="Y947" s="23" t="s">
        <v>34</v>
      </c>
      <c r="Z947" s="23" t="s">
        <v>64</v>
      </c>
      <c r="AA947" s="23" t="s">
        <v>3093</v>
      </c>
      <c r="AB947" s="23" t="s">
        <v>3113</v>
      </c>
    </row>
    <row r="948" spans="1:28" ht="50.5" customHeight="1">
      <c r="A948" s="7" t="str">
        <f>'Reported burning'!A948</f>
        <v>117a</v>
      </c>
      <c r="B948" s="7" t="str">
        <f>'Reported burning'!B948</f>
        <v>117a.2</v>
      </c>
      <c r="C948" s="7" t="str">
        <f>'Reported burning'!C948</f>
        <v>Human, deliberate</v>
      </c>
      <c r="D948" s="7" t="str">
        <f>'Reported burning'!D948</f>
        <v>Pasture renewal</v>
      </c>
      <c r="E948" s="7" t="str">
        <f>'Reported burning'!E948</f>
        <v>Cattle, Extensive</v>
      </c>
      <c r="F948" s="7" t="str">
        <f>'Reported burning'!F948</f>
        <v>Grassland</v>
      </c>
      <c r="G948" s="7" t="str">
        <f>'Reported burning'!G948</f>
        <v>ND</v>
      </c>
      <c r="H948" s="7" t="str">
        <f>'Reported burning'!H948</f>
        <v>Presence</v>
      </c>
      <c r="I948" s="23"/>
      <c r="J948" s="4" t="s">
        <v>2308</v>
      </c>
      <c r="K948" s="4" t="s">
        <v>2308</v>
      </c>
      <c r="L948" s="4" t="s">
        <v>2308</v>
      </c>
      <c r="M948" s="4" t="s">
        <v>2308</v>
      </c>
      <c r="N948" s="4" t="s">
        <v>2308</v>
      </c>
      <c r="O948" s="4" t="s">
        <v>2308</v>
      </c>
      <c r="P948" s="4" t="s">
        <v>2308</v>
      </c>
      <c r="Q948" s="84" t="s">
        <v>2409</v>
      </c>
      <c r="R948" s="84" t="s">
        <v>2409</v>
      </c>
      <c r="S948" s="4" t="s">
        <v>2308</v>
      </c>
      <c r="T948" s="4" t="s">
        <v>2308</v>
      </c>
      <c r="U948" s="4" t="s">
        <v>2308</v>
      </c>
      <c r="V948" s="22" t="s">
        <v>2560</v>
      </c>
      <c r="W948" s="4" t="s">
        <v>2308</v>
      </c>
      <c r="X948" s="23" t="s">
        <v>86</v>
      </c>
      <c r="Y948" s="23" t="s">
        <v>34</v>
      </c>
      <c r="Z948" s="23" t="s">
        <v>64</v>
      </c>
      <c r="AA948" s="23" t="s">
        <v>3092</v>
      </c>
      <c r="AB948" s="23" t="s">
        <v>3113</v>
      </c>
    </row>
    <row r="949" spans="1:28" ht="45.5" customHeight="1">
      <c r="A949" s="7" t="str">
        <f>'Reported burning'!A949</f>
        <v>117a</v>
      </c>
      <c r="B949" s="7" t="str">
        <f>'Reported burning'!B949</f>
        <v>117a.3</v>
      </c>
      <c r="C949" s="7" t="str">
        <f>'Reported burning'!C949</f>
        <v>Human, deliberate</v>
      </c>
      <c r="D949" s="7" t="str">
        <f>'Reported burning'!D949</f>
        <v>Pasture renewal</v>
      </c>
      <c r="E949" s="7" t="str">
        <f>'Reported burning'!E949</f>
        <v>Cattle, Extensive</v>
      </c>
      <c r="F949" s="7" t="str">
        <f>'Reported burning'!F949</f>
        <v>Grassland</v>
      </c>
      <c r="G949" s="7" t="str">
        <f>'Reported burning'!G949</f>
        <v>ND</v>
      </c>
      <c r="H949" s="7" t="str">
        <f>'Reported burning'!H949</f>
        <v>Presence</v>
      </c>
      <c r="I949" s="23"/>
      <c r="J949" s="4" t="s">
        <v>2308</v>
      </c>
      <c r="K949" s="4" t="s">
        <v>2308</v>
      </c>
      <c r="L949" s="4" t="s">
        <v>2308</v>
      </c>
      <c r="M949" s="4" t="s">
        <v>2308</v>
      </c>
      <c r="N949" s="4" t="s">
        <v>2308</v>
      </c>
      <c r="O949" s="4" t="s">
        <v>2308</v>
      </c>
      <c r="P949" s="4" t="s">
        <v>2308</v>
      </c>
      <c r="Q949" s="84" t="s">
        <v>2409</v>
      </c>
      <c r="R949" s="84" t="s">
        <v>2409</v>
      </c>
      <c r="S949" s="4" t="s">
        <v>2308</v>
      </c>
      <c r="T949" s="4" t="s">
        <v>2308</v>
      </c>
      <c r="U949" s="4" t="s">
        <v>2308</v>
      </c>
      <c r="V949" s="22" t="s">
        <v>2560</v>
      </c>
      <c r="W949" s="4" t="s">
        <v>2308</v>
      </c>
      <c r="X949" s="23" t="s">
        <v>411</v>
      </c>
      <c r="Y949" s="23" t="s">
        <v>412</v>
      </c>
      <c r="Z949" s="23" t="s">
        <v>64</v>
      </c>
      <c r="AA949" s="23" t="s">
        <v>3092</v>
      </c>
      <c r="AB949" s="23" t="s">
        <v>3113</v>
      </c>
    </row>
    <row r="950" spans="1:28" ht="48" customHeight="1">
      <c r="A950" s="7" t="str">
        <f>'Reported burning'!A950</f>
        <v>117a</v>
      </c>
      <c r="B950" s="7" t="str">
        <f>'Reported burning'!B950</f>
        <v>117a.4</v>
      </c>
      <c r="C950" s="7" t="str">
        <f>'Reported burning'!C950</f>
        <v>Human, deliberate</v>
      </c>
      <c r="D950" s="7" t="str">
        <f>'Reported burning'!D950</f>
        <v>Pasture renewal</v>
      </c>
      <c r="E950" s="7" t="str">
        <f>'Reported burning'!E950</f>
        <v>Cattle, Extensive</v>
      </c>
      <c r="F950" s="7" t="str">
        <f>'Reported burning'!F950</f>
        <v>Pasture</v>
      </c>
      <c r="G950" s="7" t="str">
        <f>'Reported burning'!G950</f>
        <v>ND</v>
      </c>
      <c r="H950" s="7" t="str">
        <f>'Reported burning'!H950</f>
        <v>Presence</v>
      </c>
      <c r="I950" s="23"/>
      <c r="J950" s="4" t="s">
        <v>2308</v>
      </c>
      <c r="K950" s="4" t="s">
        <v>2308</v>
      </c>
      <c r="L950" s="4" t="s">
        <v>2308</v>
      </c>
      <c r="M950" s="4" t="s">
        <v>2308</v>
      </c>
      <c r="N950" s="4" t="s">
        <v>2308</v>
      </c>
      <c r="O950" s="4" t="s">
        <v>2308</v>
      </c>
      <c r="P950" s="4" t="s">
        <v>2308</v>
      </c>
      <c r="Q950" s="84" t="s">
        <v>2409</v>
      </c>
      <c r="R950" s="84" t="s">
        <v>2409</v>
      </c>
      <c r="S950" s="4" t="s">
        <v>2308</v>
      </c>
      <c r="T950" s="4" t="s">
        <v>2308</v>
      </c>
      <c r="U950" s="4" t="s">
        <v>2308</v>
      </c>
      <c r="V950" s="22" t="s">
        <v>2560</v>
      </c>
      <c r="W950" s="4" t="s">
        <v>2308</v>
      </c>
      <c r="X950" s="23" t="s">
        <v>412</v>
      </c>
      <c r="Y950" s="23" t="s">
        <v>432</v>
      </c>
      <c r="Z950" s="23" t="s">
        <v>76</v>
      </c>
      <c r="AA950" s="25" t="s">
        <v>3111</v>
      </c>
      <c r="AB950" s="23" t="s">
        <v>3113</v>
      </c>
    </row>
    <row r="951" spans="1:28" ht="79" customHeight="1">
      <c r="A951" s="7" t="str">
        <f>'Reported burning'!A951</f>
        <v>117a</v>
      </c>
      <c r="B951" s="7" t="str">
        <f>'Reported burning'!B951</f>
        <v>117a.5</v>
      </c>
      <c r="C951" s="7" t="str">
        <f>'Reported burning'!C951</f>
        <v>Human, deliberate</v>
      </c>
      <c r="D951" s="7" t="str">
        <f>'Reported burning'!D951</f>
        <v>Pasture renewal</v>
      </c>
      <c r="E951" s="7" t="str">
        <f>'Reported burning'!E951</f>
        <v>Cattle, Extensive</v>
      </c>
      <c r="F951" s="7" t="str">
        <f>'Reported burning'!F951</f>
        <v>Pasture</v>
      </c>
      <c r="G951" s="7" t="str">
        <f>'Reported burning'!G951</f>
        <v>ND</v>
      </c>
      <c r="H951" s="7" t="str">
        <f>'Reported burning'!H951</f>
        <v>Presence</v>
      </c>
      <c r="I951" s="23"/>
      <c r="J951" s="4" t="s">
        <v>2308</v>
      </c>
      <c r="K951" s="4" t="s">
        <v>2308</v>
      </c>
      <c r="L951" s="4" t="s">
        <v>2308</v>
      </c>
      <c r="M951" s="4" t="s">
        <v>2308</v>
      </c>
      <c r="N951" s="84" t="s">
        <v>2409</v>
      </c>
      <c r="O951" s="4" t="s">
        <v>2308</v>
      </c>
      <c r="P951" s="84" t="s">
        <v>2408</v>
      </c>
      <c r="Q951" s="4" t="s">
        <v>2308</v>
      </c>
      <c r="R951" s="4" t="s">
        <v>2308</v>
      </c>
      <c r="S951" s="4" t="s">
        <v>2308</v>
      </c>
      <c r="T951" s="4" t="s">
        <v>2308</v>
      </c>
      <c r="U951" s="4" t="s">
        <v>2308</v>
      </c>
      <c r="V951" s="4" t="s">
        <v>2308</v>
      </c>
      <c r="W951" s="4" t="s">
        <v>2308</v>
      </c>
      <c r="X951" s="23" t="s">
        <v>68</v>
      </c>
      <c r="Y951" s="23" t="s">
        <v>35</v>
      </c>
      <c r="Z951" s="23" t="s">
        <v>64</v>
      </c>
      <c r="AA951" s="25" t="s">
        <v>3089</v>
      </c>
      <c r="AB951" s="23" t="s">
        <v>3112</v>
      </c>
    </row>
    <row r="952" spans="1:28" ht="36.5" customHeight="1">
      <c r="A952" s="7" t="str">
        <f>'Reported burning'!A952</f>
        <v>117a</v>
      </c>
      <c r="B952" s="7" t="str">
        <f>'Reported burning'!B952</f>
        <v>117a.6</v>
      </c>
      <c r="C952" s="7" t="str">
        <f>'Reported burning'!C952</f>
        <v>Human, deliberate</v>
      </c>
      <c r="D952" s="7" t="str">
        <f>'Reported burning'!D952</f>
        <v>Pyrome management</v>
      </c>
      <c r="E952" s="7" t="str">
        <f>'Reported burning'!E952</f>
        <v>Cattle, Extensive</v>
      </c>
      <c r="F952" s="7" t="str">
        <f>'Reported burning'!F952</f>
        <v>Shrubland (Mixed forest &amp; grassland)</v>
      </c>
      <c r="G952" s="7" t="str">
        <f>'Reported burning'!G952</f>
        <v>ND</v>
      </c>
      <c r="H952" s="7" t="str">
        <f>'Reported burning'!H952</f>
        <v>Presence</v>
      </c>
      <c r="I952" s="23"/>
      <c r="J952" s="4" t="s">
        <v>2308</v>
      </c>
      <c r="K952" s="4" t="s">
        <v>2308</v>
      </c>
      <c r="L952" s="4" t="s">
        <v>2308</v>
      </c>
      <c r="M952" s="4" t="s">
        <v>2308</v>
      </c>
      <c r="N952" s="4" t="s">
        <v>2308</v>
      </c>
      <c r="O952" s="4" t="s">
        <v>2308</v>
      </c>
      <c r="P952" s="4" t="s">
        <v>2308</v>
      </c>
      <c r="Q952" s="84" t="s">
        <v>2409</v>
      </c>
      <c r="R952" s="84" t="s">
        <v>2409</v>
      </c>
      <c r="S952" s="4" t="s">
        <v>2308</v>
      </c>
      <c r="T952" s="4" t="s">
        <v>2308</v>
      </c>
      <c r="U952" s="4" t="s">
        <v>2308</v>
      </c>
      <c r="V952" s="4" t="s">
        <v>2308</v>
      </c>
      <c r="W952" s="4" t="s">
        <v>2308</v>
      </c>
      <c r="X952" s="23" t="s">
        <v>68</v>
      </c>
      <c r="Y952" s="23" t="s">
        <v>35</v>
      </c>
      <c r="Z952" s="23" t="s">
        <v>64</v>
      </c>
      <c r="AA952" s="25" t="s">
        <v>3088</v>
      </c>
      <c r="AB952" s="23" t="s">
        <v>3113</v>
      </c>
    </row>
    <row r="953" spans="1:28" ht="60" customHeight="1">
      <c r="A953" s="7" t="str">
        <f>'Reported burning'!A953</f>
        <v>117a</v>
      </c>
      <c r="B953" s="7" t="str">
        <f>'Reported burning'!B953</f>
        <v>117a.7</v>
      </c>
      <c r="C953" s="7" t="str">
        <f>'Reported burning'!C953</f>
        <v>Human, escaped</v>
      </c>
      <c r="D953" s="7" t="str">
        <f>'Reported burning'!D953</f>
        <v>Pasture renewal</v>
      </c>
      <c r="E953" s="7" t="str">
        <f>'Reported burning'!E953</f>
        <v>Cattle, Extensive</v>
      </c>
      <c r="F953" s="7" t="str">
        <f>'Reported burning'!F953</f>
        <v>Grassland</v>
      </c>
      <c r="G953" s="7" t="str">
        <f>'Reported burning'!G953</f>
        <v>ND</v>
      </c>
      <c r="H953" s="7" t="str">
        <f>'Reported burning'!H953</f>
        <v>Presence</v>
      </c>
      <c r="I953" s="23"/>
      <c r="J953" s="4" t="s">
        <v>2308</v>
      </c>
      <c r="K953" s="4" t="s">
        <v>2308</v>
      </c>
      <c r="L953" s="4" t="s">
        <v>2308</v>
      </c>
      <c r="M953" s="4" t="s">
        <v>2308</v>
      </c>
      <c r="N953" s="84" t="s">
        <v>2416</v>
      </c>
      <c r="O953" s="4" t="s">
        <v>2308</v>
      </c>
      <c r="P953" s="4" t="s">
        <v>2308</v>
      </c>
      <c r="Q953" s="4" t="s">
        <v>2308</v>
      </c>
      <c r="R953" s="4" t="s">
        <v>2308</v>
      </c>
      <c r="S953" s="4" t="s">
        <v>2308</v>
      </c>
      <c r="T953" s="4" t="s">
        <v>2308</v>
      </c>
      <c r="U953" s="4" t="s">
        <v>2308</v>
      </c>
      <c r="V953" s="22" t="s">
        <v>2560</v>
      </c>
      <c r="W953" s="4" t="s">
        <v>2308</v>
      </c>
      <c r="X953" s="23" t="s">
        <v>412</v>
      </c>
      <c r="Y953" s="23" t="s">
        <v>432</v>
      </c>
      <c r="Z953" s="23" t="s">
        <v>76</v>
      </c>
      <c r="AA953" s="25" t="s">
        <v>3128</v>
      </c>
      <c r="AB953" s="23" t="s">
        <v>3114</v>
      </c>
    </row>
    <row r="954" spans="1:28" ht="39.5" customHeight="1">
      <c r="A954" s="7" t="str">
        <f>'Reported burning'!A954</f>
        <v>117b</v>
      </c>
      <c r="B954" s="7" t="str">
        <f>'Reported burning'!B954</f>
        <v>117b.1</v>
      </c>
      <c r="C954" s="7" t="str">
        <f>'Reported burning'!C954</f>
        <v>Human, deliberate</v>
      </c>
      <c r="D954" s="7" t="str">
        <f>'Reported burning'!D954</f>
        <v>Pasture renewal</v>
      </c>
      <c r="E954" s="7" t="str">
        <f>'Reported burning'!E954</f>
        <v>Cattle, Extensive</v>
      </c>
      <c r="F954" s="7" t="str">
        <f>'Reported burning'!F954</f>
        <v>Shrubland (Mixed forest &amp; grassland)</v>
      </c>
      <c r="G954" s="7" t="str">
        <f>'Reported burning'!G954</f>
        <v>ND</v>
      </c>
      <c r="H954" s="7" t="str">
        <f>'Reported burning'!H954</f>
        <v>Presence</v>
      </c>
      <c r="I954" s="23"/>
      <c r="J954" s="4" t="s">
        <v>2308</v>
      </c>
      <c r="K954" s="4" t="s">
        <v>2308</v>
      </c>
      <c r="L954" s="4" t="s">
        <v>2308</v>
      </c>
      <c r="M954" s="4" t="s">
        <v>2308</v>
      </c>
      <c r="N954" s="4" t="s">
        <v>2308</v>
      </c>
      <c r="O954" s="4" t="s">
        <v>2308</v>
      </c>
      <c r="P954" s="4" t="s">
        <v>2308</v>
      </c>
      <c r="Q954" s="84" t="s">
        <v>2409</v>
      </c>
      <c r="R954" s="84" t="s">
        <v>2409</v>
      </c>
      <c r="S954" s="4" t="s">
        <v>2308</v>
      </c>
      <c r="T954" s="4" t="s">
        <v>2308</v>
      </c>
      <c r="U954" s="4" t="s">
        <v>2308</v>
      </c>
      <c r="V954" s="22" t="s">
        <v>2560</v>
      </c>
      <c r="W954" s="4" t="s">
        <v>2308</v>
      </c>
      <c r="X954" s="23" t="s">
        <v>86</v>
      </c>
      <c r="Y954" s="23" t="s">
        <v>34</v>
      </c>
      <c r="Z954" s="23" t="s">
        <v>64</v>
      </c>
      <c r="AA954" s="23" t="s">
        <v>3093</v>
      </c>
      <c r="AB954" s="23" t="s">
        <v>3113</v>
      </c>
    </row>
    <row r="955" spans="1:28" ht="41" customHeight="1">
      <c r="A955" s="7" t="str">
        <f>'Reported burning'!A955</f>
        <v>117b</v>
      </c>
      <c r="B955" s="7" t="str">
        <f>'Reported burning'!B955</f>
        <v>117b.2</v>
      </c>
      <c r="C955" s="7" t="str">
        <f>'Reported burning'!C955</f>
        <v>Human, deliberate</v>
      </c>
      <c r="D955" s="7" t="str">
        <f>'Reported burning'!D955</f>
        <v>Pasture renewal</v>
      </c>
      <c r="E955" s="7" t="str">
        <f>'Reported burning'!E955</f>
        <v>Cattle, Extensive</v>
      </c>
      <c r="F955" s="7" t="str">
        <f>'Reported burning'!F955</f>
        <v>Grassland</v>
      </c>
      <c r="G955" s="7" t="str">
        <f>'Reported burning'!G955</f>
        <v>ND</v>
      </c>
      <c r="H955" s="7" t="str">
        <f>'Reported burning'!H955</f>
        <v>Presence</v>
      </c>
      <c r="I955" s="23"/>
      <c r="J955" s="4" t="s">
        <v>2308</v>
      </c>
      <c r="K955" s="4" t="s">
        <v>2308</v>
      </c>
      <c r="L955" s="4" t="s">
        <v>2308</v>
      </c>
      <c r="M955" s="4" t="s">
        <v>2308</v>
      </c>
      <c r="N955" s="4" t="s">
        <v>2308</v>
      </c>
      <c r="O955" s="4" t="s">
        <v>2308</v>
      </c>
      <c r="P955" s="4" t="s">
        <v>2308</v>
      </c>
      <c r="Q955" s="84" t="s">
        <v>2409</v>
      </c>
      <c r="R955" s="84" t="s">
        <v>2409</v>
      </c>
      <c r="S955" s="4" t="s">
        <v>2308</v>
      </c>
      <c r="T955" s="4" t="s">
        <v>2308</v>
      </c>
      <c r="U955" s="4" t="s">
        <v>2308</v>
      </c>
      <c r="V955" s="22" t="s">
        <v>2560</v>
      </c>
      <c r="W955" s="4" t="s">
        <v>2308</v>
      </c>
      <c r="X955" s="23" t="s">
        <v>86</v>
      </c>
      <c r="Y955" s="23" t="s">
        <v>34</v>
      </c>
      <c r="Z955" s="23" t="s">
        <v>64</v>
      </c>
      <c r="AA955" s="23" t="s">
        <v>3092</v>
      </c>
      <c r="AB955" s="23" t="s">
        <v>3113</v>
      </c>
    </row>
    <row r="956" spans="1:28" ht="55.5" customHeight="1">
      <c r="A956" s="7" t="str">
        <f>'Reported burning'!A956</f>
        <v>117b</v>
      </c>
      <c r="B956" s="7" t="str">
        <f>'Reported burning'!B956</f>
        <v>117b.3</v>
      </c>
      <c r="C956" s="7" t="str">
        <f>'Reported burning'!C956</f>
        <v>Human, deliberate</v>
      </c>
      <c r="D956" s="7" t="str">
        <f>'Reported burning'!D956</f>
        <v>Pasture renewal</v>
      </c>
      <c r="E956" s="7" t="str">
        <f>'Reported burning'!E956</f>
        <v>Cattle, Extensive</v>
      </c>
      <c r="F956" s="7" t="str">
        <f>'Reported burning'!F956</f>
        <v>Grassland</v>
      </c>
      <c r="G956" s="7" t="str">
        <f>'Reported burning'!G956</f>
        <v>ND</v>
      </c>
      <c r="H956" s="7" t="str">
        <f>'Reported burning'!H956</f>
        <v>Presence</v>
      </c>
      <c r="I956" s="23"/>
      <c r="J956" s="4" t="s">
        <v>2308</v>
      </c>
      <c r="K956" s="4" t="s">
        <v>2308</v>
      </c>
      <c r="L956" s="4" t="s">
        <v>2308</v>
      </c>
      <c r="M956" s="4" t="s">
        <v>2308</v>
      </c>
      <c r="N956" s="4" t="s">
        <v>2308</v>
      </c>
      <c r="O956" s="4" t="s">
        <v>2308</v>
      </c>
      <c r="P956" s="4" t="s">
        <v>2308</v>
      </c>
      <c r="Q956" s="84" t="s">
        <v>2409</v>
      </c>
      <c r="R956" s="84" t="s">
        <v>2409</v>
      </c>
      <c r="S956" s="4" t="s">
        <v>2308</v>
      </c>
      <c r="T956" s="4" t="s">
        <v>2308</v>
      </c>
      <c r="U956" s="4" t="s">
        <v>2308</v>
      </c>
      <c r="V956" s="22" t="s">
        <v>2406</v>
      </c>
      <c r="W956" s="4" t="s">
        <v>2308</v>
      </c>
      <c r="X956" s="23" t="s">
        <v>411</v>
      </c>
      <c r="Y956" s="23" t="s">
        <v>412</v>
      </c>
      <c r="Z956" s="23" t="s">
        <v>64</v>
      </c>
      <c r="AA956" s="23" t="s">
        <v>3092</v>
      </c>
      <c r="AB956" s="23" t="s">
        <v>3113</v>
      </c>
    </row>
    <row r="957" spans="1:28" ht="48" customHeight="1">
      <c r="A957" s="7" t="str">
        <f>'Reported burning'!A957</f>
        <v>117b</v>
      </c>
      <c r="B957" s="7" t="str">
        <f>'Reported burning'!B957</f>
        <v>117b.4</v>
      </c>
      <c r="C957" s="7" t="str">
        <f>'Reported burning'!C957</f>
        <v>Human, deliberate</v>
      </c>
      <c r="D957" s="7" t="str">
        <f>'Reported burning'!D957</f>
        <v>Pasture renewal</v>
      </c>
      <c r="E957" s="7" t="str">
        <f>'Reported burning'!E957</f>
        <v>Cattle, Extensive</v>
      </c>
      <c r="F957" s="7" t="str">
        <f>'Reported burning'!F957</f>
        <v>Pasture</v>
      </c>
      <c r="G957" s="7" t="str">
        <f>'Reported burning'!G957</f>
        <v>ND</v>
      </c>
      <c r="H957" s="7" t="str">
        <f>'Reported burning'!H957</f>
        <v>Presence</v>
      </c>
      <c r="I957" s="23"/>
      <c r="J957" s="4" t="s">
        <v>2308</v>
      </c>
      <c r="K957" s="4" t="s">
        <v>2308</v>
      </c>
      <c r="L957" s="4" t="s">
        <v>2308</v>
      </c>
      <c r="M957" s="4" t="s">
        <v>2308</v>
      </c>
      <c r="N957" s="4" t="s">
        <v>2308</v>
      </c>
      <c r="O957" s="4" t="s">
        <v>2308</v>
      </c>
      <c r="P957" s="4" t="s">
        <v>2308</v>
      </c>
      <c r="Q957" s="84" t="s">
        <v>2409</v>
      </c>
      <c r="R957" s="84" t="s">
        <v>2409</v>
      </c>
      <c r="S957" s="4" t="s">
        <v>2308</v>
      </c>
      <c r="T957" s="4" t="s">
        <v>2308</v>
      </c>
      <c r="U957" s="4" t="s">
        <v>2308</v>
      </c>
      <c r="V957" s="22" t="s">
        <v>2560</v>
      </c>
      <c r="W957" s="4" t="s">
        <v>2308</v>
      </c>
      <c r="X957" s="23" t="s">
        <v>412</v>
      </c>
      <c r="Y957" s="23" t="s">
        <v>432</v>
      </c>
      <c r="Z957" s="23" t="s">
        <v>76</v>
      </c>
      <c r="AA957" s="25" t="s">
        <v>3111</v>
      </c>
      <c r="AB957" s="23" t="s">
        <v>3113</v>
      </c>
    </row>
    <row r="958" spans="1:28" ht="91" customHeight="1">
      <c r="A958" s="7" t="str">
        <f>'Reported burning'!A958</f>
        <v>117b</v>
      </c>
      <c r="B958" s="7" t="str">
        <f>'Reported burning'!B958</f>
        <v>117b.5</v>
      </c>
      <c r="C958" s="7" t="str">
        <f>'Reported burning'!C958</f>
        <v>Human, deliberate</v>
      </c>
      <c r="D958" s="7" t="str">
        <f>'Reported burning'!D958</f>
        <v>Pasture renewal</v>
      </c>
      <c r="E958" s="7" t="str">
        <f>'Reported burning'!E958</f>
        <v>Cattle, Extensive</v>
      </c>
      <c r="F958" s="7" t="str">
        <f>'Reported burning'!F958</f>
        <v>Pasture</v>
      </c>
      <c r="G958" s="7" t="str">
        <f>'Reported burning'!G958</f>
        <v>ND</v>
      </c>
      <c r="H958" s="7" t="str">
        <f>'Reported burning'!H958</f>
        <v>Presence</v>
      </c>
      <c r="I958" s="23"/>
      <c r="J958" s="4" t="s">
        <v>2308</v>
      </c>
      <c r="K958" s="4" t="s">
        <v>2308</v>
      </c>
      <c r="L958" s="4" t="s">
        <v>2308</v>
      </c>
      <c r="M958" s="4" t="s">
        <v>2308</v>
      </c>
      <c r="N958" s="84" t="s">
        <v>2409</v>
      </c>
      <c r="O958" s="4" t="s">
        <v>2308</v>
      </c>
      <c r="P958" s="84" t="s">
        <v>2408</v>
      </c>
      <c r="Q958" s="4" t="s">
        <v>2308</v>
      </c>
      <c r="R958" s="4" t="s">
        <v>2308</v>
      </c>
      <c r="S958" s="4" t="s">
        <v>2308</v>
      </c>
      <c r="T958" s="4" t="s">
        <v>2308</v>
      </c>
      <c r="U958" s="4" t="s">
        <v>2308</v>
      </c>
      <c r="V958" s="4" t="s">
        <v>2308</v>
      </c>
      <c r="W958" s="4" t="s">
        <v>2308</v>
      </c>
      <c r="X958" s="23" t="s">
        <v>68</v>
      </c>
      <c r="Y958" s="23" t="s">
        <v>35</v>
      </c>
      <c r="Z958" s="23" t="s">
        <v>64</v>
      </c>
      <c r="AA958" s="25" t="s">
        <v>3089</v>
      </c>
      <c r="AB958" s="23" t="s">
        <v>3112</v>
      </c>
    </row>
    <row r="959" spans="1:28" ht="54" customHeight="1">
      <c r="A959" s="7" t="str">
        <f>'Reported burning'!A959</f>
        <v>117b</v>
      </c>
      <c r="B959" s="7" t="str">
        <f>'Reported burning'!B959</f>
        <v>117b.6</v>
      </c>
      <c r="C959" s="7" t="str">
        <f>'Reported burning'!C959</f>
        <v>Human, deliberate</v>
      </c>
      <c r="D959" s="7" t="str">
        <f>'Reported burning'!D959</f>
        <v>Pyrome management</v>
      </c>
      <c r="E959" s="7" t="str">
        <f>'Reported burning'!E959</f>
        <v>Cattle, Extensive</v>
      </c>
      <c r="F959" s="7" t="str">
        <f>'Reported burning'!F959</f>
        <v>Shrubland (Mixed forest &amp; grassland)</v>
      </c>
      <c r="G959" s="7" t="str">
        <f>'Reported burning'!G959</f>
        <v>ND</v>
      </c>
      <c r="H959" s="7" t="str">
        <f>'Reported burning'!H959</f>
        <v>Presence</v>
      </c>
      <c r="I959" s="23"/>
      <c r="J959" s="4" t="s">
        <v>2308</v>
      </c>
      <c r="K959" s="4" t="s">
        <v>2308</v>
      </c>
      <c r="L959" s="4" t="s">
        <v>2308</v>
      </c>
      <c r="M959" s="4" t="s">
        <v>2308</v>
      </c>
      <c r="N959" s="4" t="s">
        <v>2308</v>
      </c>
      <c r="O959" s="4" t="s">
        <v>2308</v>
      </c>
      <c r="P959" s="4" t="s">
        <v>2308</v>
      </c>
      <c r="Q959" s="84" t="s">
        <v>2409</v>
      </c>
      <c r="R959" s="84" t="s">
        <v>2409</v>
      </c>
      <c r="S959" s="4" t="s">
        <v>2308</v>
      </c>
      <c r="T959" s="4" t="s">
        <v>2308</v>
      </c>
      <c r="U959" s="4" t="s">
        <v>2308</v>
      </c>
      <c r="V959" s="4" t="s">
        <v>2308</v>
      </c>
      <c r="W959" s="4" t="s">
        <v>2308</v>
      </c>
      <c r="X959" s="23" t="s">
        <v>68</v>
      </c>
      <c r="Y959" s="23" t="s">
        <v>35</v>
      </c>
      <c r="Z959" s="23" t="s">
        <v>64</v>
      </c>
      <c r="AA959" s="25" t="s">
        <v>3088</v>
      </c>
      <c r="AB959" s="23" t="s">
        <v>3113</v>
      </c>
    </row>
    <row r="960" spans="1:28" ht="66.5" customHeight="1">
      <c r="A960" s="7" t="str">
        <f>'Reported burning'!A960</f>
        <v>117b</v>
      </c>
      <c r="B960" s="7" t="str">
        <f>'Reported burning'!B960</f>
        <v>117b.7</v>
      </c>
      <c r="C960" s="7" t="str">
        <f>'Reported burning'!C960</f>
        <v>Human, escaped</v>
      </c>
      <c r="D960" s="7" t="str">
        <f>'Reported burning'!D960</f>
        <v>Pasture renewal</v>
      </c>
      <c r="E960" s="7" t="str">
        <f>'Reported burning'!E960</f>
        <v>Cattle, Extensive</v>
      </c>
      <c r="F960" s="7" t="str">
        <f>'Reported burning'!F960</f>
        <v>Grassland</v>
      </c>
      <c r="G960" s="7" t="str">
        <f>'Reported burning'!G960</f>
        <v>ND</v>
      </c>
      <c r="H960" s="7" t="str">
        <f>'Reported burning'!H960</f>
        <v>Presence</v>
      </c>
      <c r="I960" s="23"/>
      <c r="J960" s="4" t="s">
        <v>2308</v>
      </c>
      <c r="K960" s="4" t="s">
        <v>2308</v>
      </c>
      <c r="L960" s="4" t="s">
        <v>2308</v>
      </c>
      <c r="M960" s="4" t="s">
        <v>2308</v>
      </c>
      <c r="N960" s="84" t="s">
        <v>2416</v>
      </c>
      <c r="O960" s="4" t="s">
        <v>2308</v>
      </c>
      <c r="P960" s="4" t="s">
        <v>2308</v>
      </c>
      <c r="Q960" s="4" t="s">
        <v>2308</v>
      </c>
      <c r="R960" s="4" t="s">
        <v>2308</v>
      </c>
      <c r="S960" s="4" t="s">
        <v>2308</v>
      </c>
      <c r="T960" s="4" t="s">
        <v>2308</v>
      </c>
      <c r="U960" s="4" t="s">
        <v>2308</v>
      </c>
      <c r="V960" s="22" t="s">
        <v>2406</v>
      </c>
      <c r="W960" s="4" t="s">
        <v>2308</v>
      </c>
      <c r="X960" s="23" t="s">
        <v>412</v>
      </c>
      <c r="Y960" s="23" t="s">
        <v>432</v>
      </c>
      <c r="Z960" s="23" t="s">
        <v>76</v>
      </c>
      <c r="AA960" s="25" t="s">
        <v>3128</v>
      </c>
      <c r="AB960" s="23" t="s">
        <v>3114</v>
      </c>
    </row>
    <row r="961" spans="1:28" ht="37" customHeight="1">
      <c r="A961" s="7" t="str">
        <f>'Reported burning'!A961</f>
        <v>117c</v>
      </c>
      <c r="B961" s="7" t="str">
        <f>'Reported burning'!B961</f>
        <v>117c.1</v>
      </c>
      <c r="C961" s="7" t="str">
        <f>'Reported burning'!C961</f>
        <v>Human, deliberate</v>
      </c>
      <c r="D961" s="7" t="str">
        <f>'Reported burning'!D961</f>
        <v>Pyrome management</v>
      </c>
      <c r="E961" s="7" t="str">
        <f>'Reported burning'!E961</f>
        <v>Biodiversity conservation</v>
      </c>
      <c r="F961" s="7" t="str">
        <f>'Reported burning'!F961</f>
        <v>Shrubland (Mixed forest &amp; grassland)</v>
      </c>
      <c r="G961" s="7" t="str">
        <f>'Reported burning'!G961</f>
        <v>ND</v>
      </c>
      <c r="H961" s="7" t="str">
        <f>'Reported burning'!H961</f>
        <v>Absence</v>
      </c>
      <c r="I961" s="23"/>
      <c r="J961" s="84">
        <v>0</v>
      </c>
      <c r="K961" s="84">
        <v>0</v>
      </c>
      <c r="L961" s="84">
        <v>0</v>
      </c>
      <c r="M961" s="84">
        <v>0</v>
      </c>
      <c r="N961" s="84">
        <v>0</v>
      </c>
      <c r="O961" s="84">
        <v>0</v>
      </c>
      <c r="P961" s="84">
        <v>0</v>
      </c>
      <c r="Q961" s="84">
        <v>0</v>
      </c>
      <c r="R961" s="84">
        <v>0</v>
      </c>
      <c r="S961" s="84">
        <v>0</v>
      </c>
      <c r="T961" s="84">
        <v>0</v>
      </c>
      <c r="U961" s="84">
        <v>0</v>
      </c>
      <c r="V961" s="84">
        <v>0</v>
      </c>
      <c r="W961" s="4" t="s">
        <v>2308</v>
      </c>
      <c r="X961" s="23" t="s">
        <v>406</v>
      </c>
      <c r="Y961" s="23" t="s">
        <v>133</v>
      </c>
      <c r="Z961" s="23"/>
      <c r="AA961" s="23" t="s">
        <v>3107</v>
      </c>
      <c r="AB961" s="23"/>
    </row>
    <row r="962" spans="1:28" ht="34.5" customHeight="1">
      <c r="A962" s="7" t="str">
        <f>'Reported burning'!A962</f>
        <v>117c</v>
      </c>
      <c r="B962" s="7" t="str">
        <f>'Reported burning'!B962</f>
        <v>117c.2</v>
      </c>
      <c r="C962" s="7" t="str">
        <f>'Reported burning'!C962</f>
        <v>All</v>
      </c>
      <c r="D962" s="7" t="str">
        <f>'Reported burning'!D962</f>
        <v>All</v>
      </c>
      <c r="E962" s="7" t="str">
        <f>'Reported burning'!E962</f>
        <v>All</v>
      </c>
      <c r="F962" s="7" t="str">
        <f>'Reported burning'!F962</f>
        <v>Shrubland (Mixed forest &amp; grassland)</v>
      </c>
      <c r="G962" s="7" t="str">
        <f>'Reported burning'!G962</f>
        <v>ND</v>
      </c>
      <c r="H962" s="7" t="str">
        <f>'Reported burning'!H962</f>
        <v>Presence</v>
      </c>
      <c r="I962" s="162">
        <v>2014</v>
      </c>
      <c r="J962" s="4" t="s">
        <v>2308</v>
      </c>
      <c r="K962" s="4" t="s">
        <v>2308</v>
      </c>
      <c r="L962" s="4" t="s">
        <v>2308</v>
      </c>
      <c r="M962" s="4" t="s">
        <v>2308</v>
      </c>
      <c r="N962" s="4" t="s">
        <v>2308</v>
      </c>
      <c r="O962" s="4" t="s">
        <v>2308</v>
      </c>
      <c r="P962" s="4" t="s">
        <v>2308</v>
      </c>
      <c r="Q962" s="4" t="s">
        <v>2308</v>
      </c>
      <c r="R962" s="4" t="s">
        <v>2308</v>
      </c>
      <c r="S962" s="4" t="s">
        <v>2308</v>
      </c>
      <c r="T962" s="4" t="s">
        <v>2308</v>
      </c>
      <c r="U962" s="4" t="s">
        <v>2308</v>
      </c>
      <c r="V962" s="22" t="s">
        <v>2406</v>
      </c>
      <c r="W962" s="4" t="s">
        <v>2308</v>
      </c>
      <c r="X962" s="23" t="s">
        <v>86</v>
      </c>
      <c r="Y962" s="23" t="s">
        <v>34</v>
      </c>
      <c r="Z962" s="23" t="s">
        <v>64</v>
      </c>
      <c r="AA962" s="25"/>
      <c r="AB962" s="25"/>
    </row>
    <row r="963" spans="1:28" ht="40" customHeight="1">
      <c r="A963" s="7" t="str">
        <f>'Reported burning'!A963</f>
        <v>117c</v>
      </c>
      <c r="B963" s="7" t="str">
        <f>'Reported burning'!B963</f>
        <v>117c.3</v>
      </c>
      <c r="C963" s="7" t="str">
        <f>'Reported burning'!C963</f>
        <v>All</v>
      </c>
      <c r="D963" s="7" t="str">
        <f>'Reported burning'!D963</f>
        <v>All</v>
      </c>
      <c r="E963" s="7" t="str">
        <f>'Reported burning'!E963</f>
        <v>All</v>
      </c>
      <c r="F963" s="7" t="str">
        <f>'Reported burning'!F963</f>
        <v>Shrubland (Mixed forest &amp; grassland)</v>
      </c>
      <c r="G963" s="7" t="str">
        <f>'Reported burning'!G963</f>
        <v>ND</v>
      </c>
      <c r="H963" s="7" t="str">
        <f>'Reported burning'!H963</f>
        <v>Presence</v>
      </c>
      <c r="I963" s="162">
        <v>2014</v>
      </c>
      <c r="J963" s="4" t="s">
        <v>2308</v>
      </c>
      <c r="K963" s="4" t="s">
        <v>2308</v>
      </c>
      <c r="L963" s="4" t="s">
        <v>2308</v>
      </c>
      <c r="M963" s="4" t="s">
        <v>2308</v>
      </c>
      <c r="N963" s="4" t="s">
        <v>2308</v>
      </c>
      <c r="O963" s="4" t="s">
        <v>2308</v>
      </c>
      <c r="P963" s="4" t="s">
        <v>2308</v>
      </c>
      <c r="Q963" s="4" t="s">
        <v>2308</v>
      </c>
      <c r="R963" s="4" t="s">
        <v>2308</v>
      </c>
      <c r="S963" s="4" t="s">
        <v>2308</v>
      </c>
      <c r="T963" s="4" t="s">
        <v>2308</v>
      </c>
      <c r="U963" s="4" t="s">
        <v>2308</v>
      </c>
      <c r="V963" s="22" t="s">
        <v>2406</v>
      </c>
      <c r="W963" s="4" t="s">
        <v>2308</v>
      </c>
      <c r="X963" s="23" t="s">
        <v>34</v>
      </c>
      <c r="Y963" s="23" t="s">
        <v>412</v>
      </c>
      <c r="Z963" s="23" t="s">
        <v>64</v>
      </c>
      <c r="AA963" s="25"/>
      <c r="AB963" s="25"/>
    </row>
    <row r="964" spans="1:28" ht="52" customHeight="1">
      <c r="A964" s="7" t="str">
        <f>'Reported burning'!A964</f>
        <v>117c</v>
      </c>
      <c r="B964" s="7" t="str">
        <f>'Reported burning'!B964</f>
        <v>117c.4</v>
      </c>
      <c r="C964" s="7" t="str">
        <f>'Reported burning'!C964</f>
        <v>All</v>
      </c>
      <c r="D964" s="7" t="str">
        <f>'Reported burning'!D964</f>
        <v>All</v>
      </c>
      <c r="E964" s="7" t="str">
        <f>'Reported burning'!E964</f>
        <v>All</v>
      </c>
      <c r="F964" s="7" t="str">
        <f>'Reported burning'!F964</f>
        <v>Shrubland (Mixed forest &amp; grassland)</v>
      </c>
      <c r="G964" s="7" t="str">
        <f>'Reported burning'!G964</f>
        <v>ND</v>
      </c>
      <c r="H964" s="7" t="str">
        <f>'Reported burning'!H964</f>
        <v>Presence</v>
      </c>
      <c r="I964" s="162">
        <v>2014</v>
      </c>
      <c r="J964" s="4" t="s">
        <v>2308</v>
      </c>
      <c r="K964" s="4" t="s">
        <v>2308</v>
      </c>
      <c r="L964" s="4" t="s">
        <v>2308</v>
      </c>
      <c r="M964" s="4" t="s">
        <v>2308</v>
      </c>
      <c r="N964" s="84" t="s">
        <v>2417</v>
      </c>
      <c r="O964" s="4" t="s">
        <v>2308</v>
      </c>
      <c r="P964" s="4" t="s">
        <v>2308</v>
      </c>
      <c r="Q964" s="4" t="s">
        <v>2308</v>
      </c>
      <c r="R964" s="4" t="s">
        <v>2308</v>
      </c>
      <c r="S964" s="4" t="s">
        <v>2308</v>
      </c>
      <c r="T964" s="4" t="s">
        <v>2308</v>
      </c>
      <c r="U964" s="4" t="s">
        <v>2308</v>
      </c>
      <c r="V964" s="4" t="s">
        <v>2308</v>
      </c>
      <c r="W964" s="4" t="s">
        <v>2308</v>
      </c>
      <c r="X964" s="23" t="s">
        <v>412</v>
      </c>
      <c r="Y964" s="23" t="s">
        <v>432</v>
      </c>
      <c r="Z964" s="23" t="s">
        <v>76</v>
      </c>
      <c r="AA964" s="25" t="s">
        <v>3117</v>
      </c>
      <c r="AB964" s="23"/>
    </row>
    <row r="965" spans="1:28" ht="41" customHeight="1">
      <c r="A965" s="7" t="str">
        <f>'Reported burning'!A965</f>
        <v>117c</v>
      </c>
      <c r="B965" s="7" t="str">
        <f>'Reported burning'!B965</f>
        <v>117c.5</v>
      </c>
      <c r="C965" s="7" t="str">
        <f>'Reported burning'!C965</f>
        <v>All</v>
      </c>
      <c r="D965" s="7" t="str">
        <f>'Reported burning'!D965</f>
        <v>All</v>
      </c>
      <c r="E965" s="7" t="str">
        <f>'Reported burning'!E965</f>
        <v>All</v>
      </c>
      <c r="F965" s="7" t="str">
        <f>'Reported burning'!F965</f>
        <v>Shrubland (Mixed forest &amp; grassland)</v>
      </c>
      <c r="G965" s="7" t="str">
        <f>'Reported burning'!G965</f>
        <v>ND</v>
      </c>
      <c r="H965" s="7" t="str">
        <f>'Reported burning'!H965</f>
        <v>Presence</v>
      </c>
      <c r="I965" s="162">
        <v>2015</v>
      </c>
      <c r="J965" s="4" t="s">
        <v>2308</v>
      </c>
      <c r="K965" s="4" t="s">
        <v>2308</v>
      </c>
      <c r="L965" s="4" t="s">
        <v>2308</v>
      </c>
      <c r="M965" s="4" t="s">
        <v>2308</v>
      </c>
      <c r="N965" s="4" t="s">
        <v>2308</v>
      </c>
      <c r="O965" s="4" t="s">
        <v>2308</v>
      </c>
      <c r="P965" s="4" t="s">
        <v>2308</v>
      </c>
      <c r="Q965" s="4" t="s">
        <v>2308</v>
      </c>
      <c r="R965" s="4" t="s">
        <v>2308</v>
      </c>
      <c r="S965" s="4" t="s">
        <v>2308</v>
      </c>
      <c r="T965" s="4" t="s">
        <v>2308</v>
      </c>
      <c r="U965" s="4" t="s">
        <v>2308</v>
      </c>
      <c r="V965" s="22" t="s">
        <v>2560</v>
      </c>
      <c r="W965" s="4" t="s">
        <v>2308</v>
      </c>
      <c r="X965" s="23" t="s">
        <v>86</v>
      </c>
      <c r="Y965" s="23" t="s">
        <v>34</v>
      </c>
      <c r="Z965" s="23" t="s">
        <v>64</v>
      </c>
      <c r="AA965" s="25"/>
      <c r="AB965" s="25"/>
    </row>
    <row r="966" spans="1:28" ht="42.5" customHeight="1">
      <c r="A966" s="7" t="str">
        <f>'Reported burning'!A966</f>
        <v>117c</v>
      </c>
      <c r="B966" s="7" t="str">
        <f>'Reported burning'!B966</f>
        <v>117c.6</v>
      </c>
      <c r="C966" s="7" t="str">
        <f>'Reported burning'!C966</f>
        <v>All</v>
      </c>
      <c r="D966" s="7" t="str">
        <f>'Reported burning'!D966</f>
        <v>All</v>
      </c>
      <c r="E966" s="7" t="str">
        <f>'Reported burning'!E966</f>
        <v>All</v>
      </c>
      <c r="F966" s="7" t="str">
        <f>'Reported burning'!F966</f>
        <v>Shrubland (Mixed forest &amp; grassland)</v>
      </c>
      <c r="G966" s="7" t="str">
        <f>'Reported burning'!G966</f>
        <v>ND</v>
      </c>
      <c r="H966" s="7" t="str">
        <f>'Reported burning'!H966</f>
        <v>Presence</v>
      </c>
      <c r="I966" s="162">
        <v>2015</v>
      </c>
      <c r="J966" s="4" t="s">
        <v>2308</v>
      </c>
      <c r="K966" s="4" t="s">
        <v>2308</v>
      </c>
      <c r="L966" s="4" t="s">
        <v>2308</v>
      </c>
      <c r="M966" s="4" t="s">
        <v>2308</v>
      </c>
      <c r="N966" s="4" t="s">
        <v>2308</v>
      </c>
      <c r="O966" s="4" t="s">
        <v>2308</v>
      </c>
      <c r="P966" s="4" t="s">
        <v>2308</v>
      </c>
      <c r="Q966" s="4" t="s">
        <v>2308</v>
      </c>
      <c r="R966" s="4" t="s">
        <v>2308</v>
      </c>
      <c r="S966" s="4" t="s">
        <v>2308</v>
      </c>
      <c r="T966" s="4" t="s">
        <v>2308</v>
      </c>
      <c r="U966" s="4" t="s">
        <v>2308</v>
      </c>
      <c r="V966" s="22" t="s">
        <v>2560</v>
      </c>
      <c r="W966" s="4" t="s">
        <v>2308</v>
      </c>
      <c r="X966" s="23" t="s">
        <v>34</v>
      </c>
      <c r="Y966" s="23" t="s">
        <v>412</v>
      </c>
      <c r="Z966" s="23" t="s">
        <v>64</v>
      </c>
      <c r="AA966" s="25"/>
      <c r="AB966" s="25"/>
    </row>
    <row r="967" spans="1:28" ht="56.5" customHeight="1">
      <c r="A967" s="7" t="str">
        <f>'Reported burning'!A967</f>
        <v>117c</v>
      </c>
      <c r="B967" s="7" t="str">
        <f>'Reported burning'!B967</f>
        <v>117c.7</v>
      </c>
      <c r="C967" s="7" t="str">
        <f>'Reported burning'!C967</f>
        <v>All</v>
      </c>
      <c r="D967" s="7" t="str">
        <f>'Reported burning'!D967</f>
        <v>All</v>
      </c>
      <c r="E967" s="7" t="str">
        <f>'Reported burning'!E967</f>
        <v>All</v>
      </c>
      <c r="F967" s="7" t="str">
        <f>'Reported burning'!F967</f>
        <v>Shrubland (Mixed forest &amp; grassland)</v>
      </c>
      <c r="G967" s="7" t="str">
        <f>'Reported burning'!G967</f>
        <v>ND</v>
      </c>
      <c r="H967" s="7" t="str">
        <f>'Reported burning'!H967</f>
        <v>Presence</v>
      </c>
      <c r="I967" s="162">
        <v>2015</v>
      </c>
      <c r="J967" s="4" t="s">
        <v>2308</v>
      </c>
      <c r="K967" s="4" t="s">
        <v>2308</v>
      </c>
      <c r="L967" s="4" t="s">
        <v>2308</v>
      </c>
      <c r="M967" s="4" t="s">
        <v>2308</v>
      </c>
      <c r="N967" s="22" t="s">
        <v>2416</v>
      </c>
      <c r="O967" s="4" t="s">
        <v>2308</v>
      </c>
      <c r="P967" s="4" t="s">
        <v>2308</v>
      </c>
      <c r="Q967" s="4" t="s">
        <v>2308</v>
      </c>
      <c r="R967" s="4" t="s">
        <v>2308</v>
      </c>
      <c r="S967" s="4" t="s">
        <v>2308</v>
      </c>
      <c r="T967" s="4" t="s">
        <v>2308</v>
      </c>
      <c r="U967" s="4" t="s">
        <v>2308</v>
      </c>
      <c r="V967" s="22" t="s">
        <v>2406</v>
      </c>
      <c r="W967" s="4" t="s">
        <v>2308</v>
      </c>
      <c r="X967" s="23" t="s">
        <v>412</v>
      </c>
      <c r="Y967" s="23" t="s">
        <v>432</v>
      </c>
      <c r="Z967" s="23" t="s">
        <v>76</v>
      </c>
      <c r="AA967" s="25" t="s">
        <v>3108</v>
      </c>
      <c r="AB967" s="23"/>
    </row>
    <row r="968" spans="1:28" ht="39" customHeight="1">
      <c r="A968" s="7" t="str">
        <f>'Reported burning'!A968</f>
        <v>117d</v>
      </c>
      <c r="B968" s="7" t="str">
        <f>'Reported burning'!B968</f>
        <v>117d.1</v>
      </c>
      <c r="C968" s="7" t="str">
        <f>'Reported burning'!C968</f>
        <v>Human, deliberate</v>
      </c>
      <c r="D968" s="7" t="str">
        <f>'Reported burning'!D968</f>
        <v>Pyrome management</v>
      </c>
      <c r="E968" s="7" t="str">
        <f>'Reported burning'!E968</f>
        <v>Biodiversity conservation</v>
      </c>
      <c r="F968" s="7" t="str">
        <f>'Reported burning'!F968</f>
        <v>Shrubland (Mixed forest &amp; grassland)</v>
      </c>
      <c r="G968" s="7" t="str">
        <f>'Reported burning'!G968</f>
        <v>ND</v>
      </c>
      <c r="H968" s="7" t="str">
        <f>'Reported burning'!H968</f>
        <v>Absence</v>
      </c>
      <c r="I968" s="4"/>
      <c r="J968" s="84">
        <v>0</v>
      </c>
      <c r="K968" s="84">
        <v>0</v>
      </c>
      <c r="L968" s="84">
        <v>0</v>
      </c>
      <c r="M968" s="84">
        <v>0</v>
      </c>
      <c r="N968" s="84">
        <v>0</v>
      </c>
      <c r="O968" s="84">
        <v>0</v>
      </c>
      <c r="P968" s="84">
        <v>0</v>
      </c>
      <c r="Q968" s="84">
        <v>0</v>
      </c>
      <c r="R968" s="84">
        <v>0</v>
      </c>
      <c r="S968" s="84">
        <v>0</v>
      </c>
      <c r="T968" s="84">
        <v>0</v>
      </c>
      <c r="U968" s="84">
        <v>0</v>
      </c>
      <c r="V968" s="84">
        <v>0</v>
      </c>
      <c r="W968" s="4" t="s">
        <v>2308</v>
      </c>
      <c r="X968" s="23" t="s">
        <v>406</v>
      </c>
      <c r="Y968" s="23" t="s">
        <v>133</v>
      </c>
      <c r="Z968" s="23" t="s">
        <v>2308</v>
      </c>
      <c r="AA968" s="23" t="s">
        <v>3107</v>
      </c>
      <c r="AB968" s="23"/>
    </row>
    <row r="969" spans="1:28" ht="38" customHeight="1">
      <c r="A969" s="7" t="str">
        <f>'Reported burning'!A969</f>
        <v>117d</v>
      </c>
      <c r="B969" s="7" t="str">
        <f>'Reported burning'!B969</f>
        <v>117d.2</v>
      </c>
      <c r="C969" s="7" t="str">
        <f>'Reported burning'!C969</f>
        <v>All</v>
      </c>
      <c r="D969" s="7" t="str">
        <f>'Reported burning'!D969</f>
        <v>All</v>
      </c>
      <c r="E969" s="7" t="str">
        <f>'Reported burning'!E969</f>
        <v>All</v>
      </c>
      <c r="F969" s="7" t="str">
        <f>'Reported burning'!F969</f>
        <v>Shrubland (Mixed forest &amp; grassland)</v>
      </c>
      <c r="G969" s="7" t="str">
        <f>'Reported burning'!G969</f>
        <v>ND</v>
      </c>
      <c r="H969" s="7" t="str">
        <f>'Reported burning'!H969</f>
        <v>Presence</v>
      </c>
      <c r="I969" s="4">
        <v>2014</v>
      </c>
      <c r="J969" s="4" t="s">
        <v>2308</v>
      </c>
      <c r="K969" s="4" t="s">
        <v>2308</v>
      </c>
      <c r="L969" s="4" t="s">
        <v>2308</v>
      </c>
      <c r="M969" s="4" t="s">
        <v>2308</v>
      </c>
      <c r="N969" s="4" t="s">
        <v>2308</v>
      </c>
      <c r="O969" s="4" t="s">
        <v>2308</v>
      </c>
      <c r="P969" s="4" t="s">
        <v>2308</v>
      </c>
      <c r="Q969" s="4" t="s">
        <v>2308</v>
      </c>
      <c r="R969" s="4" t="s">
        <v>2308</v>
      </c>
      <c r="S969" s="4" t="s">
        <v>2308</v>
      </c>
      <c r="T969" s="4" t="s">
        <v>2308</v>
      </c>
      <c r="U969" s="4" t="s">
        <v>2308</v>
      </c>
      <c r="V969" s="22" t="s">
        <v>2560</v>
      </c>
      <c r="W969" s="4" t="s">
        <v>2308</v>
      </c>
      <c r="X969" s="23" t="s">
        <v>86</v>
      </c>
      <c r="Y969" s="23" t="s">
        <v>34</v>
      </c>
      <c r="Z969" s="23" t="s">
        <v>64</v>
      </c>
      <c r="AA969" s="25"/>
      <c r="AB969" s="25"/>
    </row>
    <row r="970" spans="1:28" ht="37" customHeight="1">
      <c r="A970" s="7" t="str">
        <f>'Reported burning'!A970</f>
        <v>117d</v>
      </c>
      <c r="B970" s="7" t="str">
        <f>'Reported burning'!B970</f>
        <v>117d.3</v>
      </c>
      <c r="C970" s="7" t="str">
        <f>'Reported burning'!C970</f>
        <v>All</v>
      </c>
      <c r="D970" s="7" t="str">
        <f>'Reported burning'!D970</f>
        <v>All</v>
      </c>
      <c r="E970" s="7" t="str">
        <f>'Reported burning'!E970</f>
        <v>All</v>
      </c>
      <c r="F970" s="7" t="str">
        <f>'Reported burning'!F970</f>
        <v>Shrubland (Mixed forest &amp; grassland)</v>
      </c>
      <c r="G970" s="7" t="str">
        <f>'Reported burning'!G970</f>
        <v>ND</v>
      </c>
      <c r="H970" s="7" t="str">
        <f>'Reported burning'!H970</f>
        <v>Presence</v>
      </c>
      <c r="I970" s="4">
        <v>2014</v>
      </c>
      <c r="J970" s="4" t="s">
        <v>2308</v>
      </c>
      <c r="K970" s="4" t="s">
        <v>2308</v>
      </c>
      <c r="L970" s="4" t="s">
        <v>2308</v>
      </c>
      <c r="M970" s="4" t="s">
        <v>2308</v>
      </c>
      <c r="N970" s="4" t="s">
        <v>2308</v>
      </c>
      <c r="O970" s="4" t="s">
        <v>2308</v>
      </c>
      <c r="P970" s="4" t="s">
        <v>2308</v>
      </c>
      <c r="Q970" s="4" t="s">
        <v>2308</v>
      </c>
      <c r="R970" s="4" t="s">
        <v>2308</v>
      </c>
      <c r="S970" s="4" t="s">
        <v>2308</v>
      </c>
      <c r="T970" s="4" t="s">
        <v>2308</v>
      </c>
      <c r="U970" s="4" t="s">
        <v>2308</v>
      </c>
      <c r="V970" s="22" t="s">
        <v>2560</v>
      </c>
      <c r="W970" s="4" t="s">
        <v>2308</v>
      </c>
      <c r="X970" s="23" t="s">
        <v>34</v>
      </c>
      <c r="Y970" s="23" t="s">
        <v>412</v>
      </c>
      <c r="Z970" s="23" t="s">
        <v>64</v>
      </c>
      <c r="AA970" s="25"/>
      <c r="AB970" s="25"/>
    </row>
    <row r="971" spans="1:28" ht="50" customHeight="1">
      <c r="A971" s="7" t="str">
        <f>'Reported burning'!A971</f>
        <v>117d</v>
      </c>
      <c r="B971" s="7" t="str">
        <f>'Reported burning'!B971</f>
        <v>117d.4</v>
      </c>
      <c r="C971" s="7" t="str">
        <f>'Reported burning'!C971</f>
        <v>All</v>
      </c>
      <c r="D971" s="7" t="str">
        <f>'Reported burning'!D971</f>
        <v>All</v>
      </c>
      <c r="E971" s="7" t="str">
        <f>'Reported burning'!E971</f>
        <v>All</v>
      </c>
      <c r="F971" s="7" t="str">
        <f>'Reported burning'!F971</f>
        <v>Shrubland (Mixed forest &amp; grassland)</v>
      </c>
      <c r="G971" s="7" t="str">
        <f>'Reported burning'!G971</f>
        <v>ND</v>
      </c>
      <c r="H971" s="7" t="str">
        <f>'Reported burning'!H971</f>
        <v>Presence</v>
      </c>
      <c r="I971" s="4">
        <v>2014</v>
      </c>
      <c r="J971" s="4" t="s">
        <v>2308</v>
      </c>
      <c r="K971" s="4" t="s">
        <v>2308</v>
      </c>
      <c r="L971" s="4" t="s">
        <v>2308</v>
      </c>
      <c r="M971" s="4" t="s">
        <v>2308</v>
      </c>
      <c r="N971" s="22" t="s">
        <v>2416</v>
      </c>
      <c r="O971" s="4" t="s">
        <v>2308</v>
      </c>
      <c r="P971" s="4" t="s">
        <v>2308</v>
      </c>
      <c r="Q971" s="4" t="s">
        <v>2308</v>
      </c>
      <c r="R971" s="4" t="s">
        <v>2308</v>
      </c>
      <c r="S971" s="4" t="s">
        <v>2308</v>
      </c>
      <c r="T971" s="4" t="s">
        <v>2308</v>
      </c>
      <c r="U971" s="4" t="s">
        <v>2308</v>
      </c>
      <c r="V971" s="22" t="s">
        <v>2421</v>
      </c>
      <c r="W971" s="4" t="s">
        <v>2308</v>
      </c>
      <c r="X971" s="23" t="s">
        <v>412</v>
      </c>
      <c r="Y971" s="23" t="s">
        <v>432</v>
      </c>
      <c r="Z971" s="23" t="s">
        <v>76</v>
      </c>
      <c r="AA971" s="25" t="s">
        <v>3117</v>
      </c>
      <c r="AB971" s="23"/>
    </row>
    <row r="972" spans="1:28" ht="35" customHeight="1">
      <c r="A972" s="7" t="str">
        <f>'Reported burning'!A972</f>
        <v>117d</v>
      </c>
      <c r="B972" s="7" t="str">
        <f>'Reported burning'!B972</f>
        <v>117d.5</v>
      </c>
      <c r="C972" s="7" t="str">
        <f>'Reported burning'!C972</f>
        <v>All</v>
      </c>
      <c r="D972" s="7" t="str">
        <f>'Reported burning'!D972</f>
        <v>All</v>
      </c>
      <c r="E972" s="7" t="str">
        <f>'Reported burning'!E972</f>
        <v>All</v>
      </c>
      <c r="F972" s="7" t="str">
        <f>'Reported burning'!F972</f>
        <v>Shrubland (Mixed forest &amp; grassland)</v>
      </c>
      <c r="G972" s="7" t="str">
        <f>'Reported burning'!G972</f>
        <v>ND</v>
      </c>
      <c r="H972" s="7" t="str">
        <f>'Reported burning'!H972</f>
        <v>Presence</v>
      </c>
      <c r="I972" s="4">
        <v>2015</v>
      </c>
      <c r="J972" s="4" t="s">
        <v>2308</v>
      </c>
      <c r="K972" s="4" t="s">
        <v>2308</v>
      </c>
      <c r="L972" s="4" t="s">
        <v>2308</v>
      </c>
      <c r="M972" s="4" t="s">
        <v>2308</v>
      </c>
      <c r="N972" s="4" t="s">
        <v>2308</v>
      </c>
      <c r="O972" s="4" t="s">
        <v>2308</v>
      </c>
      <c r="P972" s="4" t="s">
        <v>2308</v>
      </c>
      <c r="Q972" s="4" t="s">
        <v>2308</v>
      </c>
      <c r="R972" s="4" t="s">
        <v>2308</v>
      </c>
      <c r="S972" s="4" t="s">
        <v>2308</v>
      </c>
      <c r="T972" s="4" t="s">
        <v>2308</v>
      </c>
      <c r="U972" s="4" t="s">
        <v>2308</v>
      </c>
      <c r="V972" s="22" t="s">
        <v>2406</v>
      </c>
      <c r="W972" s="4" t="s">
        <v>2308</v>
      </c>
      <c r="X972" s="23" t="s">
        <v>86</v>
      </c>
      <c r="Y972" s="23" t="s">
        <v>34</v>
      </c>
      <c r="Z972" s="23" t="s">
        <v>64</v>
      </c>
      <c r="AA972" s="25"/>
      <c r="AB972" s="25"/>
    </row>
    <row r="973" spans="1:28" ht="42" customHeight="1">
      <c r="A973" s="7" t="str">
        <f>'Reported burning'!A973</f>
        <v>117d</v>
      </c>
      <c r="B973" s="7" t="str">
        <f>'Reported burning'!B973</f>
        <v>117d.6</v>
      </c>
      <c r="C973" s="7" t="str">
        <f>'Reported burning'!C973</f>
        <v>All</v>
      </c>
      <c r="D973" s="7" t="str">
        <f>'Reported burning'!D973</f>
        <v>All</v>
      </c>
      <c r="E973" s="7" t="str">
        <f>'Reported burning'!E973</f>
        <v>All</v>
      </c>
      <c r="F973" s="7" t="str">
        <f>'Reported burning'!F973</f>
        <v>Shrubland (Mixed forest &amp; grassland)</v>
      </c>
      <c r="G973" s="7" t="str">
        <f>'Reported burning'!G973</f>
        <v>ND</v>
      </c>
      <c r="H973" s="7" t="str">
        <f>'Reported burning'!H973</f>
        <v>Presence</v>
      </c>
      <c r="I973" s="4">
        <v>2015</v>
      </c>
      <c r="J973" s="4" t="s">
        <v>2308</v>
      </c>
      <c r="K973" s="4" t="s">
        <v>2308</v>
      </c>
      <c r="L973" s="4" t="s">
        <v>2308</v>
      </c>
      <c r="M973" s="4" t="s">
        <v>2308</v>
      </c>
      <c r="N973" s="4" t="s">
        <v>2308</v>
      </c>
      <c r="O973" s="4" t="s">
        <v>2308</v>
      </c>
      <c r="P973" s="4" t="s">
        <v>2308</v>
      </c>
      <c r="Q973" s="4" t="s">
        <v>2308</v>
      </c>
      <c r="R973" s="4" t="s">
        <v>2308</v>
      </c>
      <c r="S973" s="4" t="s">
        <v>2308</v>
      </c>
      <c r="T973" s="4" t="s">
        <v>2308</v>
      </c>
      <c r="U973" s="4" t="s">
        <v>2308</v>
      </c>
      <c r="V973" s="4" t="s">
        <v>2560</v>
      </c>
      <c r="W973" s="4" t="s">
        <v>2308</v>
      </c>
      <c r="X973" s="23" t="s">
        <v>34</v>
      </c>
      <c r="Y973" s="23" t="s">
        <v>412</v>
      </c>
      <c r="Z973" s="23" t="s">
        <v>64</v>
      </c>
      <c r="AA973" s="25"/>
      <c r="AB973" s="25"/>
    </row>
    <row r="974" spans="1:28" ht="48" customHeight="1">
      <c r="A974" s="7" t="str">
        <f>'Reported burning'!A974</f>
        <v>117d</v>
      </c>
      <c r="B974" s="7" t="str">
        <f>'Reported burning'!B974</f>
        <v>117d.7</v>
      </c>
      <c r="C974" s="7" t="str">
        <f>'Reported burning'!C974</f>
        <v>All</v>
      </c>
      <c r="D974" s="7" t="str">
        <f>'Reported burning'!D974</f>
        <v>All</v>
      </c>
      <c r="E974" s="7" t="str">
        <f>'Reported burning'!E974</f>
        <v>All</v>
      </c>
      <c r="F974" s="7" t="str">
        <f>'Reported burning'!F974</f>
        <v>Shrubland (Mixed forest &amp; grassland)</v>
      </c>
      <c r="G974" s="7" t="str">
        <f>'Reported burning'!G974</f>
        <v>ND</v>
      </c>
      <c r="H974" s="7" t="str">
        <f>'Reported burning'!H974</f>
        <v>Presence</v>
      </c>
      <c r="I974" s="4">
        <v>2015</v>
      </c>
      <c r="J974" s="4" t="s">
        <v>2308</v>
      </c>
      <c r="K974" s="4" t="s">
        <v>2308</v>
      </c>
      <c r="L974" s="4" t="s">
        <v>2308</v>
      </c>
      <c r="M974" s="4" t="s">
        <v>2308</v>
      </c>
      <c r="N974" s="4" t="s">
        <v>2416</v>
      </c>
      <c r="O974" s="4" t="s">
        <v>2308</v>
      </c>
      <c r="P974" s="4" t="s">
        <v>2308</v>
      </c>
      <c r="Q974" s="4" t="s">
        <v>2308</v>
      </c>
      <c r="R974" s="4" t="s">
        <v>2308</v>
      </c>
      <c r="S974" s="4" t="s">
        <v>2308</v>
      </c>
      <c r="T974" s="4" t="s">
        <v>2308</v>
      </c>
      <c r="U974" s="4" t="s">
        <v>2308</v>
      </c>
      <c r="V974" s="4" t="s">
        <v>2408</v>
      </c>
      <c r="W974" s="4" t="s">
        <v>2308</v>
      </c>
      <c r="X974" s="23" t="s">
        <v>412</v>
      </c>
      <c r="Y974" s="23" t="s">
        <v>432</v>
      </c>
      <c r="Z974" s="23" t="s">
        <v>76</v>
      </c>
      <c r="AA974" s="25" t="s">
        <v>3108</v>
      </c>
      <c r="AB974" s="23"/>
    </row>
    <row r="975" spans="1:28" ht="43" customHeight="1">
      <c r="A975" s="7" t="str">
        <f>'Reported burning'!A975</f>
        <v>118a</v>
      </c>
      <c r="B975" s="7" t="str">
        <f>'Reported burning'!B975</f>
        <v>118a.1</v>
      </c>
      <c r="C975" s="7" t="str">
        <f>'Reported burning'!C975</f>
        <v>Human, deliberate</v>
      </c>
      <c r="D975" s="7" t="str">
        <f>'Reported burning'!D975</f>
        <v>Crop field preparation</v>
      </c>
      <c r="E975" s="7" t="str">
        <f>'Reported burning'!E975</f>
        <v>Cropping, Swidden</v>
      </c>
      <c r="F975" s="7" t="str">
        <f>'Reported burning'!F975</f>
        <v>Forest</v>
      </c>
      <c r="G975" s="7" t="str">
        <f>'Reported burning'!G975</f>
        <v>ND</v>
      </c>
      <c r="H975" s="7" t="str">
        <f>'Reported burning'!H975</f>
        <v>Presence</v>
      </c>
      <c r="I975" s="4"/>
      <c r="J975" s="4" t="s">
        <v>2308</v>
      </c>
      <c r="K975" s="4" t="s">
        <v>2394</v>
      </c>
      <c r="L975" s="4" t="s">
        <v>2308</v>
      </c>
      <c r="M975" s="4" t="s">
        <v>2394</v>
      </c>
      <c r="N975" s="4" t="s">
        <v>2308</v>
      </c>
      <c r="O975" s="4" t="s">
        <v>2394</v>
      </c>
      <c r="P975" s="4" t="s">
        <v>2308</v>
      </c>
      <c r="Q975" s="4" t="s">
        <v>2394</v>
      </c>
      <c r="R975" s="4" t="s">
        <v>2308</v>
      </c>
      <c r="S975" s="4" t="s">
        <v>2308</v>
      </c>
      <c r="T975" s="4" t="s">
        <v>2308</v>
      </c>
      <c r="U975" s="4" t="s">
        <v>2308</v>
      </c>
      <c r="V975" s="4" t="s">
        <v>2308</v>
      </c>
      <c r="W975" s="4" t="s">
        <v>2437</v>
      </c>
      <c r="X975" s="4" t="s">
        <v>2308</v>
      </c>
      <c r="Y975" s="4" t="s">
        <v>2308</v>
      </c>
      <c r="Z975" s="4" t="s">
        <v>2308</v>
      </c>
      <c r="AA975" s="4"/>
      <c r="AB975" s="5" t="s">
        <v>3160</v>
      </c>
    </row>
    <row r="976" spans="1:28" ht="48.5" customHeight="1">
      <c r="A976" s="7" t="str">
        <f>'Reported burning'!A976</f>
        <v>118b</v>
      </c>
      <c r="B976" s="7" t="str">
        <f>'Reported burning'!B976</f>
        <v>118b.1</v>
      </c>
      <c r="C976" s="7" t="str">
        <f>'Reported burning'!C976</f>
        <v>Human, deliberate</v>
      </c>
      <c r="D976" s="7" t="str">
        <f>'Reported burning'!D976</f>
        <v>Crop field preparation</v>
      </c>
      <c r="E976" s="7" t="str">
        <f>'Reported burning'!E976</f>
        <v>Cropping, Swidden</v>
      </c>
      <c r="F976" s="7" t="str">
        <f>'Reported burning'!F976</f>
        <v>Forest</v>
      </c>
      <c r="G976" s="7" t="str">
        <f>'Reported burning'!G976</f>
        <v>ND</v>
      </c>
      <c r="H976" s="7" t="str">
        <f>'Reported burning'!H976</f>
        <v>Presence</v>
      </c>
      <c r="I976" s="4"/>
      <c r="J976" s="4" t="s">
        <v>2308</v>
      </c>
      <c r="K976" s="4" t="s">
        <v>2394</v>
      </c>
      <c r="L976" s="4" t="s">
        <v>2308</v>
      </c>
      <c r="M976" s="4" t="s">
        <v>2394</v>
      </c>
      <c r="N976" s="4" t="s">
        <v>2308</v>
      </c>
      <c r="O976" s="4" t="s">
        <v>2394</v>
      </c>
      <c r="P976" s="4" t="s">
        <v>2308</v>
      </c>
      <c r="Q976" s="4" t="s">
        <v>2394</v>
      </c>
      <c r="R976" s="4" t="s">
        <v>2308</v>
      </c>
      <c r="S976" s="4" t="s">
        <v>2308</v>
      </c>
      <c r="T976" s="4" t="s">
        <v>2308</v>
      </c>
      <c r="U976" s="4" t="s">
        <v>2308</v>
      </c>
      <c r="V976" s="4" t="s">
        <v>2308</v>
      </c>
      <c r="W976" s="4" t="s">
        <v>2879</v>
      </c>
      <c r="X976" s="4" t="s">
        <v>2308</v>
      </c>
      <c r="Y976" s="4" t="s">
        <v>2308</v>
      </c>
      <c r="Z976" s="4" t="s">
        <v>2308</v>
      </c>
      <c r="AA976" s="5" t="s">
        <v>3158</v>
      </c>
      <c r="AB976" s="5" t="s">
        <v>3159</v>
      </c>
    </row>
    <row r="977" spans="1:28" ht="32.5" customHeight="1">
      <c r="A977" s="7" t="str">
        <f>'Reported burning'!A977</f>
        <v>118c</v>
      </c>
      <c r="B977" s="7" t="str">
        <f>'Reported burning'!B977</f>
        <v>118c.1</v>
      </c>
      <c r="C977" s="7" t="str">
        <f>'Reported burning'!C977</f>
        <v>Human, deliberate</v>
      </c>
      <c r="D977" s="7" t="str">
        <f>'Reported burning'!D977</f>
        <v>Crop field preparation</v>
      </c>
      <c r="E977" s="7" t="str">
        <f>'Reported burning'!E977</f>
        <v>Cropping, Swidden</v>
      </c>
      <c r="F977" s="7" t="str">
        <f>'Reported burning'!F977</f>
        <v>Forest</v>
      </c>
      <c r="G977" s="7" t="str">
        <f>'Reported burning'!G977</f>
        <v>ND</v>
      </c>
      <c r="H977" s="7" t="str">
        <f>'Reported burning'!H977</f>
        <v>Presence</v>
      </c>
      <c r="I977" s="4"/>
      <c r="J977" s="4" t="s">
        <v>2308</v>
      </c>
      <c r="K977" s="4" t="s">
        <v>2394</v>
      </c>
      <c r="L977" s="4" t="s">
        <v>2308</v>
      </c>
      <c r="M977" s="4" t="s">
        <v>2394</v>
      </c>
      <c r="N977" s="4" t="s">
        <v>2308</v>
      </c>
      <c r="O977" s="4" t="s">
        <v>2394</v>
      </c>
      <c r="P977" s="4" t="s">
        <v>2308</v>
      </c>
      <c r="Q977" s="4" t="s">
        <v>2394</v>
      </c>
      <c r="R977" s="4" t="s">
        <v>2308</v>
      </c>
      <c r="S977" s="4" t="s">
        <v>2308</v>
      </c>
      <c r="T977" s="4" t="s">
        <v>2308</v>
      </c>
      <c r="U977" s="4" t="s">
        <v>2308</v>
      </c>
      <c r="V977" s="4" t="s">
        <v>2308</v>
      </c>
      <c r="W977" s="4" t="s">
        <v>2435</v>
      </c>
      <c r="X977" s="4" t="s">
        <v>2308</v>
      </c>
      <c r="Y977" s="4" t="s">
        <v>2308</v>
      </c>
      <c r="Z977" s="4" t="s">
        <v>2308</v>
      </c>
      <c r="AA977" s="4"/>
      <c r="AB977" s="5" t="s">
        <v>3160</v>
      </c>
    </row>
    <row r="978" spans="1:28" ht="34.5" customHeight="1">
      <c r="A978" s="7" t="str">
        <f>'Reported burning'!A978</f>
        <v>118d</v>
      </c>
      <c r="B978" s="7" t="str">
        <f>'Reported burning'!B978</f>
        <v>118d.1</v>
      </c>
      <c r="C978" s="7" t="str">
        <f>'Reported burning'!C978</f>
        <v>Human, deliberate</v>
      </c>
      <c r="D978" s="7" t="str">
        <f>'Reported burning'!D978</f>
        <v>Crop field preparation</v>
      </c>
      <c r="E978" s="7" t="str">
        <f>'Reported burning'!E978</f>
        <v>Cropping, Swidden</v>
      </c>
      <c r="F978" s="7" t="str">
        <f>'Reported burning'!F978</f>
        <v>Secondary Vegetation</v>
      </c>
      <c r="G978" s="7" t="str">
        <f>'Reported burning'!G978</f>
        <v>ND</v>
      </c>
      <c r="H978" s="7" t="str">
        <f>'Reported burning'!H978</f>
        <v>Presence</v>
      </c>
      <c r="I978" s="4"/>
      <c r="J978" s="4" t="s">
        <v>2308</v>
      </c>
      <c r="K978" s="4" t="s">
        <v>2394</v>
      </c>
      <c r="L978" s="4" t="s">
        <v>2308</v>
      </c>
      <c r="M978" s="4" t="s">
        <v>2394</v>
      </c>
      <c r="N978" s="4" t="s">
        <v>2308</v>
      </c>
      <c r="O978" s="4" t="s">
        <v>2394</v>
      </c>
      <c r="P978" s="4" t="s">
        <v>2308</v>
      </c>
      <c r="Q978" s="4" t="s">
        <v>2394</v>
      </c>
      <c r="R978" s="4" t="s">
        <v>2308</v>
      </c>
      <c r="S978" s="4" t="s">
        <v>2308</v>
      </c>
      <c r="T978" s="4" t="s">
        <v>2308</v>
      </c>
      <c r="U978" s="4" t="s">
        <v>2308</v>
      </c>
      <c r="V978" s="4" t="s">
        <v>2308</v>
      </c>
      <c r="W978" s="4" t="s">
        <v>2434</v>
      </c>
      <c r="X978" s="4" t="s">
        <v>2308</v>
      </c>
      <c r="Y978" s="4" t="s">
        <v>2308</v>
      </c>
      <c r="Z978" s="4" t="s">
        <v>2308</v>
      </c>
      <c r="AA978" s="4"/>
      <c r="AB978" s="5" t="s">
        <v>3161</v>
      </c>
    </row>
    <row r="979" spans="1:28" ht="35.5" customHeight="1">
      <c r="A979" s="7" t="str">
        <f>'Reported burning'!A979</f>
        <v>118e</v>
      </c>
      <c r="B979" s="7" t="str">
        <f>'Reported burning'!B979</f>
        <v>118e.1</v>
      </c>
      <c r="C979" s="7" t="str">
        <f>'Reported burning'!C979</f>
        <v>Human, deliberate</v>
      </c>
      <c r="D979" s="7" t="str">
        <f>'Reported burning'!D979</f>
        <v>Crop field preparation</v>
      </c>
      <c r="E979" s="7" t="str">
        <f>'Reported burning'!E979</f>
        <v>Cropping, Swidden</v>
      </c>
      <c r="F979" s="7" t="str">
        <f>'Reported burning'!F979</f>
        <v>Secondary Vegetation</v>
      </c>
      <c r="G979" s="7" t="str">
        <f>'Reported burning'!G979</f>
        <v>ND</v>
      </c>
      <c r="H979" s="7" t="str">
        <f>'Reported burning'!H979</f>
        <v>Presence</v>
      </c>
      <c r="I979" s="4"/>
      <c r="J979" s="4" t="s">
        <v>2308</v>
      </c>
      <c r="K979" s="4" t="s">
        <v>2394</v>
      </c>
      <c r="L979" s="4" t="s">
        <v>2308</v>
      </c>
      <c r="M979" s="4" t="s">
        <v>2394</v>
      </c>
      <c r="N979" s="4" t="s">
        <v>2308</v>
      </c>
      <c r="O979" s="4" t="s">
        <v>2394</v>
      </c>
      <c r="P979" s="4" t="s">
        <v>2308</v>
      </c>
      <c r="Q979" s="4" t="s">
        <v>2394</v>
      </c>
      <c r="R979" s="4" t="s">
        <v>2308</v>
      </c>
      <c r="S979" s="4" t="s">
        <v>2308</v>
      </c>
      <c r="T979" s="4" t="s">
        <v>2308</v>
      </c>
      <c r="U979" s="4" t="s">
        <v>2308</v>
      </c>
      <c r="V979" s="4" t="s">
        <v>2308</v>
      </c>
      <c r="W979" s="4" t="s">
        <v>2434</v>
      </c>
      <c r="X979" s="4" t="s">
        <v>2308</v>
      </c>
      <c r="Y979" s="4" t="s">
        <v>2308</v>
      </c>
      <c r="Z979" s="4" t="s">
        <v>2308</v>
      </c>
      <c r="AA979" s="4"/>
      <c r="AB979" s="5" t="s">
        <v>3161</v>
      </c>
    </row>
    <row r="980" spans="1:28" ht="35.5" customHeight="1">
      <c r="A980" s="7" t="str">
        <f>'Reported burning'!A980</f>
        <v>118f</v>
      </c>
      <c r="B980" s="7" t="str">
        <f>'Reported burning'!B980</f>
        <v>118f.1</v>
      </c>
      <c r="C980" s="7" t="str">
        <f>'Reported burning'!C980</f>
        <v>Human, deliberate</v>
      </c>
      <c r="D980" s="7" t="str">
        <f>'Reported burning'!D980</f>
        <v>Crop field preparation</v>
      </c>
      <c r="E980" s="7" t="str">
        <f>'Reported burning'!E980</f>
        <v>Cropping, Swidden</v>
      </c>
      <c r="F980" s="7" t="str">
        <f>'Reported burning'!F980</f>
        <v>Secondary Vegetation</v>
      </c>
      <c r="G980" s="7" t="str">
        <f>'Reported burning'!G980</f>
        <v>ND</v>
      </c>
      <c r="H980" s="7" t="str">
        <f>'Reported burning'!H980</f>
        <v>Presence</v>
      </c>
      <c r="I980" s="4"/>
      <c r="J980" s="4" t="s">
        <v>2308</v>
      </c>
      <c r="K980" s="4" t="s">
        <v>2394</v>
      </c>
      <c r="L980" s="4" t="s">
        <v>2308</v>
      </c>
      <c r="M980" s="4" t="s">
        <v>2394</v>
      </c>
      <c r="N980" s="4" t="s">
        <v>2308</v>
      </c>
      <c r="O980" s="4" t="s">
        <v>2394</v>
      </c>
      <c r="P980" s="4" t="s">
        <v>2308</v>
      </c>
      <c r="Q980" s="4" t="s">
        <v>2394</v>
      </c>
      <c r="R980" s="4" t="s">
        <v>2308</v>
      </c>
      <c r="S980" s="4" t="s">
        <v>2308</v>
      </c>
      <c r="T980" s="4" t="s">
        <v>2308</v>
      </c>
      <c r="U980" s="4" t="s">
        <v>2308</v>
      </c>
      <c r="V980" s="4" t="s">
        <v>2308</v>
      </c>
      <c r="W980" s="4" t="s">
        <v>2434</v>
      </c>
      <c r="X980" s="4" t="s">
        <v>2308</v>
      </c>
      <c r="Y980" s="4" t="s">
        <v>2308</v>
      </c>
      <c r="Z980" s="4" t="s">
        <v>2308</v>
      </c>
      <c r="AA980" s="4"/>
      <c r="AB980" s="5" t="s">
        <v>3161</v>
      </c>
    </row>
    <row r="981" spans="1:28" ht="42" customHeight="1">
      <c r="A981" s="7" t="str">
        <f>'Reported burning'!A981</f>
        <v>119a</v>
      </c>
      <c r="B981" s="7" t="str">
        <f>'Reported burning'!B981</f>
        <v>119a.1</v>
      </c>
      <c r="C981" s="7" t="str">
        <f>'Reported burning'!C981</f>
        <v>Human, deliberate</v>
      </c>
      <c r="D981" s="7" t="str">
        <f>'Reported burning'!D981</f>
        <v>Crop field preparation</v>
      </c>
      <c r="E981" s="7" t="str">
        <f>'Reported burning'!E981</f>
        <v>Cropping, Swidden</v>
      </c>
      <c r="F981" s="7" t="str">
        <f>'Reported burning'!F981</f>
        <v>Secondary Vegetation</v>
      </c>
      <c r="G981" s="7" t="str">
        <f>'Reported burning'!G981</f>
        <v>ND</v>
      </c>
      <c r="H981" s="7" t="str">
        <f>'Reported burning'!H981</f>
        <v>Presence</v>
      </c>
      <c r="I981" s="4"/>
      <c r="J981" s="4" t="s">
        <v>2308</v>
      </c>
      <c r="K981" s="4" t="s">
        <v>2308</v>
      </c>
      <c r="L981" s="4" t="s">
        <v>2308</v>
      </c>
      <c r="M981" s="4" t="s">
        <v>2308</v>
      </c>
      <c r="N981" s="4" t="s">
        <v>2308</v>
      </c>
      <c r="O981" s="4" t="s">
        <v>2308</v>
      </c>
      <c r="P981" s="4" t="s">
        <v>2308</v>
      </c>
      <c r="Q981" s="4" t="s">
        <v>2308</v>
      </c>
      <c r="R981" s="4" t="s">
        <v>2308</v>
      </c>
      <c r="S981" s="4" t="s">
        <v>2308</v>
      </c>
      <c r="T981" s="4" t="s">
        <v>2308</v>
      </c>
      <c r="U981" s="4" t="s">
        <v>2308</v>
      </c>
      <c r="V981" s="4" t="s">
        <v>2308</v>
      </c>
      <c r="W981" s="4" t="s">
        <v>2435</v>
      </c>
      <c r="X981" s="4" t="s">
        <v>2308</v>
      </c>
      <c r="Y981" s="4" t="s">
        <v>2308</v>
      </c>
      <c r="Z981" s="4" t="s">
        <v>2308</v>
      </c>
      <c r="AA981" s="4"/>
      <c r="AB981" s="4" t="s">
        <v>3180</v>
      </c>
    </row>
    <row r="982" spans="1:28" ht="42" customHeight="1">
      <c r="A982" s="7" t="str">
        <f>'Reported burning'!A982</f>
        <v>119a</v>
      </c>
      <c r="B982" s="7" t="str">
        <f>'Reported burning'!B982</f>
        <v>119a.2</v>
      </c>
      <c r="C982" s="7" t="str">
        <f>'Reported burning'!C982</f>
        <v>Human, deliberate</v>
      </c>
      <c r="D982" s="7" t="str">
        <f>'Reported burning'!D982</f>
        <v>Hunting</v>
      </c>
      <c r="E982" s="7" t="str">
        <f>'Reported burning'!E982</f>
        <v>Forestry, Traditional</v>
      </c>
      <c r="F982" s="7" t="str">
        <f>'Reported burning'!F982</f>
        <v>Forest</v>
      </c>
      <c r="G982" s="7" t="str">
        <f>'Reported burning'!G982</f>
        <v>ND</v>
      </c>
      <c r="H982" s="7" t="str">
        <f>'Reported burning'!H982</f>
        <v>Presence</v>
      </c>
      <c r="I982" s="4"/>
      <c r="J982" s="4" t="s">
        <v>2308</v>
      </c>
      <c r="K982" s="4" t="s">
        <v>2308</v>
      </c>
      <c r="L982" s="4" t="s">
        <v>2308</v>
      </c>
      <c r="M982" s="4" t="s">
        <v>2308</v>
      </c>
      <c r="N982" s="4" t="s">
        <v>2308</v>
      </c>
      <c r="O982" s="4" t="s">
        <v>2308</v>
      </c>
      <c r="P982" s="4" t="s">
        <v>2308</v>
      </c>
      <c r="Q982" s="4" t="s">
        <v>2308</v>
      </c>
      <c r="R982" s="4" t="s">
        <v>2308</v>
      </c>
      <c r="S982" s="4" t="s">
        <v>2308</v>
      </c>
      <c r="T982" s="4" t="s">
        <v>2308</v>
      </c>
      <c r="U982" s="4" t="s">
        <v>2308</v>
      </c>
      <c r="V982" s="4" t="s">
        <v>2308</v>
      </c>
      <c r="W982" s="4" t="s">
        <v>2308</v>
      </c>
      <c r="X982" s="4" t="s">
        <v>2308</v>
      </c>
      <c r="Y982" s="4" t="s">
        <v>2308</v>
      </c>
      <c r="Z982" s="4" t="s">
        <v>2308</v>
      </c>
      <c r="AA982" s="4"/>
      <c r="AB982" s="4"/>
    </row>
    <row r="983" spans="1:28" ht="42" customHeight="1">
      <c r="A983" s="7" t="str">
        <f>'Reported burning'!A983</f>
        <v>119a</v>
      </c>
      <c r="B983" s="7" t="str">
        <f>'Reported burning'!B983</f>
        <v>119a.3</v>
      </c>
      <c r="C983" s="7" t="str">
        <f>'Reported burning'!C983</f>
        <v>Human, deliberate</v>
      </c>
      <c r="D983" s="7" t="str">
        <f>'Reported burning'!D983</f>
        <v>Hunting</v>
      </c>
      <c r="E983" s="7" t="str">
        <f>'Reported burning'!E983</f>
        <v>Forestry, Traditional</v>
      </c>
      <c r="F983" s="7" t="str">
        <f>'Reported burning'!F983</f>
        <v>Shrubland (Mixed forest &amp; grassland)</v>
      </c>
      <c r="G983" s="7" t="str">
        <f>'Reported burning'!G983</f>
        <v>ND</v>
      </c>
      <c r="H983" s="7" t="str">
        <f>'Reported burning'!H983</f>
        <v>Presence</v>
      </c>
      <c r="I983" s="4"/>
      <c r="J983" s="4" t="s">
        <v>2308</v>
      </c>
      <c r="K983" s="4" t="s">
        <v>2308</v>
      </c>
      <c r="L983" s="4" t="s">
        <v>2308</v>
      </c>
      <c r="M983" s="4" t="s">
        <v>2308</v>
      </c>
      <c r="N983" s="4" t="s">
        <v>2308</v>
      </c>
      <c r="O983" s="4" t="s">
        <v>2308</v>
      </c>
      <c r="P983" s="4" t="s">
        <v>2308</v>
      </c>
      <c r="Q983" s="4" t="s">
        <v>2308</v>
      </c>
      <c r="R983" s="4" t="s">
        <v>2308</v>
      </c>
      <c r="S983" s="4" t="s">
        <v>2308</v>
      </c>
      <c r="T983" s="4" t="s">
        <v>2308</v>
      </c>
      <c r="U983" s="4" t="s">
        <v>2308</v>
      </c>
      <c r="V983" s="4" t="s">
        <v>2308</v>
      </c>
      <c r="W983" s="4" t="s">
        <v>2308</v>
      </c>
      <c r="X983" s="4" t="s">
        <v>2308</v>
      </c>
      <c r="Y983" s="4" t="s">
        <v>2308</v>
      </c>
      <c r="Z983" s="4" t="s">
        <v>2308</v>
      </c>
      <c r="AA983" s="4"/>
      <c r="AB983" s="4"/>
    </row>
    <row r="984" spans="1:28" ht="42" customHeight="1">
      <c r="A984" s="7" t="str">
        <f>'Reported burning'!A984</f>
        <v>119a</v>
      </c>
      <c r="B984" s="7" t="str">
        <f>'Reported burning'!B984</f>
        <v>119a.4</v>
      </c>
      <c r="C984" s="7" t="str">
        <f>'Reported burning'!C984</f>
        <v>Human, deliberate</v>
      </c>
      <c r="D984" s="7" t="str">
        <f>'Reported burning'!D984</f>
        <v>Fishing</v>
      </c>
      <c r="E984" s="7" t="str">
        <f>'Reported burning'!E984</f>
        <v>Forestry, Traditional</v>
      </c>
      <c r="F984" s="7" t="str">
        <f>'Reported burning'!F984</f>
        <v>ND</v>
      </c>
      <c r="G984" s="7" t="str">
        <f>'Reported burning'!G984</f>
        <v>ND</v>
      </c>
      <c r="H984" s="7" t="str">
        <f>'Reported burning'!H984</f>
        <v>Presence</v>
      </c>
      <c r="I984" s="4"/>
      <c r="J984" s="4" t="s">
        <v>2308</v>
      </c>
      <c r="K984" s="4" t="s">
        <v>2308</v>
      </c>
      <c r="L984" s="4" t="s">
        <v>2308</v>
      </c>
      <c r="M984" s="4" t="s">
        <v>2308</v>
      </c>
      <c r="N984" s="4" t="s">
        <v>2308</v>
      </c>
      <c r="O984" s="4" t="s">
        <v>2308</v>
      </c>
      <c r="P984" s="4" t="s">
        <v>2308</v>
      </c>
      <c r="Q984" s="4" t="s">
        <v>2308</v>
      </c>
      <c r="R984" s="4" t="s">
        <v>2308</v>
      </c>
      <c r="S984" s="4" t="s">
        <v>2308</v>
      </c>
      <c r="T984" s="4" t="s">
        <v>2308</v>
      </c>
      <c r="U984" s="4" t="s">
        <v>2308</v>
      </c>
      <c r="V984" s="4" t="s">
        <v>2308</v>
      </c>
      <c r="W984" s="4" t="s">
        <v>2308</v>
      </c>
      <c r="X984" s="4" t="s">
        <v>2308</v>
      </c>
      <c r="Y984" s="4" t="s">
        <v>2308</v>
      </c>
      <c r="Z984" s="4" t="s">
        <v>2308</v>
      </c>
      <c r="AA984" s="5" t="s">
        <v>3193</v>
      </c>
      <c r="AB984" s="4"/>
    </row>
    <row r="985" spans="1:28" ht="42" customHeight="1">
      <c r="A985" s="7" t="str">
        <f>'Reported burning'!A985</f>
        <v>119a</v>
      </c>
      <c r="B985" s="7" t="str">
        <f>'Reported burning'!B985</f>
        <v>119a.5</v>
      </c>
      <c r="C985" s="7" t="str">
        <f>'Reported burning'!C985</f>
        <v>Human, deliberate</v>
      </c>
      <c r="D985" s="7" t="str">
        <f>'Reported burning'!D985</f>
        <v>Pest management</v>
      </c>
      <c r="E985" s="7" t="str">
        <f>'Reported burning'!E985</f>
        <v>Forestry, Traditional</v>
      </c>
      <c r="F985" s="7" t="str">
        <f>'Reported burning'!F985</f>
        <v>ND</v>
      </c>
      <c r="G985" s="7" t="str">
        <f>'Reported burning'!G985</f>
        <v>ND</v>
      </c>
      <c r="H985" s="7" t="str">
        <f>'Reported burning'!H985</f>
        <v>Presence</v>
      </c>
      <c r="I985" s="4"/>
      <c r="J985" s="4" t="s">
        <v>2308</v>
      </c>
      <c r="K985" s="4" t="s">
        <v>2308</v>
      </c>
      <c r="L985" s="4" t="s">
        <v>2308</v>
      </c>
      <c r="M985" s="4" t="s">
        <v>2308</v>
      </c>
      <c r="N985" s="4" t="s">
        <v>2308</v>
      </c>
      <c r="O985" s="4" t="s">
        <v>2308</v>
      </c>
      <c r="P985" s="4" t="s">
        <v>2308</v>
      </c>
      <c r="Q985" s="4" t="s">
        <v>2308</v>
      </c>
      <c r="R985" s="4" t="s">
        <v>2308</v>
      </c>
      <c r="S985" s="4" t="s">
        <v>2308</v>
      </c>
      <c r="T985" s="4" t="s">
        <v>2308</v>
      </c>
      <c r="U985" s="4" t="s">
        <v>2308</v>
      </c>
      <c r="V985" s="4" t="s">
        <v>2308</v>
      </c>
      <c r="W985" s="4" t="s">
        <v>2308</v>
      </c>
      <c r="X985" s="4" t="s">
        <v>2308</v>
      </c>
      <c r="Y985" s="4" t="s">
        <v>2308</v>
      </c>
      <c r="Z985" s="4" t="s">
        <v>2308</v>
      </c>
      <c r="AA985" s="4"/>
      <c r="AB985" s="4"/>
    </row>
    <row r="986" spans="1:28" ht="42" customHeight="1">
      <c r="A986" s="7" t="str">
        <f>'Reported burning'!A986</f>
        <v>119a</v>
      </c>
      <c r="B986" s="7" t="str">
        <f>'Reported burning'!B986</f>
        <v>119a.6</v>
      </c>
      <c r="C986" s="7" t="str">
        <f>'Reported burning'!C986</f>
        <v>Human, deliberate</v>
      </c>
      <c r="D986" s="7" t="str">
        <f>'Reported burning'!D986</f>
        <v>Accessibility</v>
      </c>
      <c r="E986" s="7" t="str">
        <f>'Reported burning'!E986</f>
        <v>Forestry, Traditional</v>
      </c>
      <c r="F986" s="7" t="str">
        <f>'Reported burning'!F986</f>
        <v>ND</v>
      </c>
      <c r="G986" s="7" t="str">
        <f>'Reported burning'!G986</f>
        <v>ND</v>
      </c>
      <c r="H986" s="7" t="str">
        <f>'Reported burning'!H986</f>
        <v>Presence</v>
      </c>
      <c r="I986" s="4"/>
      <c r="J986" s="4" t="s">
        <v>2308</v>
      </c>
      <c r="K986" s="4" t="s">
        <v>2308</v>
      </c>
      <c r="L986" s="4" t="s">
        <v>2308</v>
      </c>
      <c r="M986" s="4" t="s">
        <v>2308</v>
      </c>
      <c r="N986" s="4" t="s">
        <v>2308</v>
      </c>
      <c r="O986" s="4" t="s">
        <v>2308</v>
      </c>
      <c r="P986" s="4" t="s">
        <v>2308</v>
      </c>
      <c r="Q986" s="4" t="s">
        <v>2308</v>
      </c>
      <c r="R986" s="4" t="s">
        <v>2308</v>
      </c>
      <c r="S986" s="4" t="s">
        <v>2308</v>
      </c>
      <c r="T986" s="4" t="s">
        <v>2308</v>
      </c>
      <c r="U986" s="4" t="s">
        <v>2308</v>
      </c>
      <c r="V986" s="4" t="s">
        <v>2308</v>
      </c>
      <c r="W986" s="4" t="s">
        <v>2308</v>
      </c>
      <c r="X986" s="4" t="s">
        <v>2308</v>
      </c>
      <c r="Y986" s="4" t="s">
        <v>2308</v>
      </c>
      <c r="Z986" s="4" t="s">
        <v>2308</v>
      </c>
      <c r="AA986" s="4"/>
      <c r="AB986" s="4"/>
    </row>
    <row r="987" spans="1:28" ht="42" customHeight="1">
      <c r="A987" s="7" t="str">
        <f>'Reported burning'!A987</f>
        <v>119a</v>
      </c>
      <c r="B987" s="7" t="str">
        <f>'Reported burning'!B987</f>
        <v>119a.7</v>
      </c>
      <c r="C987" s="7" t="str">
        <f>'Reported burning'!C987</f>
        <v>Human, deliberate</v>
      </c>
      <c r="D987" s="7" t="str">
        <f>'Reported burning'!D987</f>
        <v>Cultural &amp; Spiritual</v>
      </c>
      <c r="E987" s="7" t="str">
        <f>'Reported burning'!E987</f>
        <v>Forestry, Traditional</v>
      </c>
      <c r="F987" s="7" t="str">
        <f>'Reported burning'!F987</f>
        <v>ND</v>
      </c>
      <c r="G987" s="7" t="str">
        <f>'Reported burning'!G987</f>
        <v>ND</v>
      </c>
      <c r="H987" s="7" t="str">
        <f>'Reported burning'!H987</f>
        <v>Presence</v>
      </c>
      <c r="I987" s="4"/>
      <c r="J987" s="4" t="s">
        <v>2308</v>
      </c>
      <c r="K987" s="4" t="s">
        <v>2308</v>
      </c>
      <c r="L987" s="4" t="s">
        <v>2308</v>
      </c>
      <c r="M987" s="4" t="s">
        <v>2308</v>
      </c>
      <c r="N987" s="4" t="s">
        <v>2308</v>
      </c>
      <c r="O987" s="4" t="s">
        <v>2308</v>
      </c>
      <c r="P987" s="4" t="s">
        <v>2308</v>
      </c>
      <c r="Q987" s="4" t="s">
        <v>2308</v>
      </c>
      <c r="R987" s="4" t="s">
        <v>2308</v>
      </c>
      <c r="S987" s="4" t="s">
        <v>2308</v>
      </c>
      <c r="T987" s="4" t="s">
        <v>2308</v>
      </c>
      <c r="U987" s="4" t="s">
        <v>2308</v>
      </c>
      <c r="V987" s="4" t="s">
        <v>2308</v>
      </c>
      <c r="W987" s="4" t="s">
        <v>2308</v>
      </c>
      <c r="X987" s="4" t="s">
        <v>2308</v>
      </c>
      <c r="Y987" s="4" t="s">
        <v>2308</v>
      </c>
      <c r="Z987" s="4" t="s">
        <v>2308</v>
      </c>
      <c r="AA987" s="4"/>
      <c r="AB987" s="4"/>
    </row>
    <row r="988" spans="1:28" ht="42" customHeight="1">
      <c r="A988" s="7" t="str">
        <f>'Reported burning'!A988</f>
        <v>119a</v>
      </c>
      <c r="B988" s="7" t="str">
        <f>'Reported burning'!B988</f>
        <v>119a.8</v>
      </c>
      <c r="C988" s="7" t="str">
        <f>'Reported burning'!C988</f>
        <v>Human, deliberate</v>
      </c>
      <c r="D988" s="7" t="str">
        <f>'Reported burning'!D988</f>
        <v>Domestic</v>
      </c>
      <c r="E988" s="7" t="str">
        <f>'Reported burning'!E988</f>
        <v>Forestry, Traditional</v>
      </c>
      <c r="F988" s="7" t="str">
        <f>'Reported burning'!F988</f>
        <v>ND</v>
      </c>
      <c r="G988" s="7" t="str">
        <f>'Reported burning'!G988</f>
        <v>ND</v>
      </c>
      <c r="H988" s="7" t="str">
        <f>'Reported burning'!H988</f>
        <v>Presence</v>
      </c>
      <c r="I988" s="4"/>
      <c r="J988" s="4" t="s">
        <v>2308</v>
      </c>
      <c r="K988" s="4" t="s">
        <v>2308</v>
      </c>
      <c r="L988" s="4" t="s">
        <v>2308</v>
      </c>
      <c r="M988" s="4" t="s">
        <v>2308</v>
      </c>
      <c r="N988" s="4" t="s">
        <v>2308</v>
      </c>
      <c r="O988" s="4" t="s">
        <v>2308</v>
      </c>
      <c r="P988" s="4" t="s">
        <v>2308</v>
      </c>
      <c r="Q988" s="4" t="s">
        <v>2308</v>
      </c>
      <c r="R988" s="4" t="s">
        <v>2308</v>
      </c>
      <c r="S988" s="4" t="s">
        <v>2308</v>
      </c>
      <c r="T988" s="4" t="s">
        <v>2308</v>
      </c>
      <c r="U988" s="4" t="s">
        <v>2308</v>
      </c>
      <c r="V988" s="4" t="s">
        <v>2308</v>
      </c>
      <c r="W988" s="4" t="s">
        <v>2308</v>
      </c>
      <c r="X988" s="4" t="s">
        <v>2308</v>
      </c>
      <c r="Y988" s="4" t="s">
        <v>2308</v>
      </c>
      <c r="Z988" s="4" t="s">
        <v>2308</v>
      </c>
      <c r="AA988" s="4"/>
      <c r="AB988" s="4"/>
    </row>
    <row r="989" spans="1:28" ht="42" customHeight="1">
      <c r="A989" s="7" t="str">
        <f>'Reported burning'!A989</f>
        <v>119a</v>
      </c>
      <c r="B989" s="7" t="str">
        <f>'Reported burning'!B989</f>
        <v>119a.9</v>
      </c>
      <c r="C989" s="7" t="str">
        <f>'Reported burning'!C989</f>
        <v>Human, deliberate</v>
      </c>
      <c r="D989" s="7" t="str">
        <f>'Reported burning'!D989</f>
        <v>Pest management</v>
      </c>
      <c r="E989" s="7" t="str">
        <f>'Reported burning'!E989</f>
        <v>Cropping, Swidden</v>
      </c>
      <c r="F989" s="7" t="str">
        <f>'Reported burning'!F989</f>
        <v>ND</v>
      </c>
      <c r="G989" s="7" t="str">
        <f>'Reported burning'!G989</f>
        <v>ND</v>
      </c>
      <c r="H989" s="7" t="str">
        <f>'Reported burning'!H989</f>
        <v>Presence</v>
      </c>
      <c r="I989" s="4"/>
      <c r="J989" s="4" t="s">
        <v>2308</v>
      </c>
      <c r="K989" s="4" t="s">
        <v>2308</v>
      </c>
      <c r="L989" s="4" t="s">
        <v>2308</v>
      </c>
      <c r="M989" s="4" t="s">
        <v>2308</v>
      </c>
      <c r="N989" s="4" t="s">
        <v>2308</v>
      </c>
      <c r="O989" s="4" t="s">
        <v>2308</v>
      </c>
      <c r="P989" s="4" t="s">
        <v>2308</v>
      </c>
      <c r="Q989" s="4" t="s">
        <v>2308</v>
      </c>
      <c r="R989" s="4" t="s">
        <v>2308</v>
      </c>
      <c r="S989" s="4" t="s">
        <v>2308</v>
      </c>
      <c r="T989" s="4" t="s">
        <v>2308</v>
      </c>
      <c r="U989" s="4" t="s">
        <v>2308</v>
      </c>
      <c r="V989" s="4" t="s">
        <v>2308</v>
      </c>
      <c r="W989" s="4" t="s">
        <v>2308</v>
      </c>
      <c r="X989" s="4" t="s">
        <v>2308</v>
      </c>
      <c r="Y989" s="4" t="s">
        <v>2308</v>
      </c>
      <c r="Z989" s="4" t="s">
        <v>2308</v>
      </c>
      <c r="AA989" s="4"/>
      <c r="AB989" s="4"/>
    </row>
    <row r="990" spans="1:28" ht="42" customHeight="1">
      <c r="A990" s="7" t="str">
        <f>'Reported burning'!A990</f>
        <v>119a</v>
      </c>
      <c r="B990" s="7" t="str">
        <f>'Reported burning'!B990</f>
        <v>119a.10</v>
      </c>
      <c r="C990" s="7" t="str">
        <f>'Reported burning'!C990</f>
        <v>Human, deliberate</v>
      </c>
      <c r="D990" s="7" t="str">
        <f>'Reported burning'!D990</f>
        <v>Accessibility</v>
      </c>
      <c r="E990" s="7" t="str">
        <f>'Reported burning'!E990</f>
        <v>Cropping, Swidden</v>
      </c>
      <c r="F990" s="7" t="str">
        <f>'Reported burning'!F990</f>
        <v>ND</v>
      </c>
      <c r="G990" s="7" t="str">
        <f>'Reported burning'!G990</f>
        <v>ND</v>
      </c>
      <c r="H990" s="7" t="str">
        <f>'Reported burning'!H990</f>
        <v>Presence</v>
      </c>
      <c r="I990" s="4"/>
      <c r="J990" s="4" t="s">
        <v>2308</v>
      </c>
      <c r="K990" s="4" t="s">
        <v>2308</v>
      </c>
      <c r="L990" s="4" t="s">
        <v>2308</v>
      </c>
      <c r="M990" s="4" t="s">
        <v>2308</v>
      </c>
      <c r="N990" s="4" t="s">
        <v>2308</v>
      </c>
      <c r="O990" s="4" t="s">
        <v>2308</v>
      </c>
      <c r="P990" s="4" t="s">
        <v>2308</v>
      </c>
      <c r="Q990" s="4" t="s">
        <v>2308</v>
      </c>
      <c r="R990" s="4" t="s">
        <v>2308</v>
      </c>
      <c r="S990" s="4" t="s">
        <v>2308</v>
      </c>
      <c r="T990" s="4" t="s">
        <v>2308</v>
      </c>
      <c r="U990" s="4" t="s">
        <v>2308</v>
      </c>
      <c r="V990" s="4" t="s">
        <v>2308</v>
      </c>
      <c r="W990" s="4" t="s">
        <v>2308</v>
      </c>
      <c r="X990" s="4" t="s">
        <v>2308</v>
      </c>
      <c r="Y990" s="4" t="s">
        <v>2308</v>
      </c>
      <c r="Z990" s="4" t="s">
        <v>2308</v>
      </c>
      <c r="AA990" s="4"/>
      <c r="AB990" s="4"/>
    </row>
    <row r="991" spans="1:28" ht="42" customHeight="1">
      <c r="A991" s="7" t="str">
        <f>'Reported burning'!A991</f>
        <v>119a</v>
      </c>
      <c r="B991" s="7" t="str">
        <f>'Reported burning'!B991</f>
        <v>119a.11</v>
      </c>
      <c r="C991" s="7" t="str">
        <f>'Reported burning'!C991</f>
        <v>Human, deliberate</v>
      </c>
      <c r="D991" s="7" t="str">
        <f>'Reported burning'!D991</f>
        <v>Cultural &amp; Spiritual</v>
      </c>
      <c r="E991" s="7" t="str">
        <f>'Reported burning'!E991</f>
        <v>Cropping, Swidden</v>
      </c>
      <c r="F991" s="7" t="str">
        <f>'Reported burning'!F991</f>
        <v>ND</v>
      </c>
      <c r="G991" s="7" t="str">
        <f>'Reported burning'!G991</f>
        <v>ND</v>
      </c>
      <c r="H991" s="7" t="str">
        <f>'Reported burning'!H991</f>
        <v>Presence</v>
      </c>
      <c r="I991" s="4"/>
      <c r="J991" s="4" t="s">
        <v>2308</v>
      </c>
      <c r="K991" s="4" t="s">
        <v>2308</v>
      </c>
      <c r="L991" s="4" t="s">
        <v>2308</v>
      </c>
      <c r="M991" s="4" t="s">
        <v>2308</v>
      </c>
      <c r="N991" s="4" t="s">
        <v>2308</v>
      </c>
      <c r="O991" s="4" t="s">
        <v>2308</v>
      </c>
      <c r="P991" s="4" t="s">
        <v>2308</v>
      </c>
      <c r="Q991" s="4" t="s">
        <v>2308</v>
      </c>
      <c r="R991" s="4" t="s">
        <v>2308</v>
      </c>
      <c r="S991" s="4" t="s">
        <v>2308</v>
      </c>
      <c r="T991" s="4" t="s">
        <v>2308</v>
      </c>
      <c r="U991" s="4" t="s">
        <v>2308</v>
      </c>
      <c r="V991" s="4" t="s">
        <v>2308</v>
      </c>
      <c r="W991" s="4" t="s">
        <v>2308</v>
      </c>
      <c r="X991" s="4" t="s">
        <v>2308</v>
      </c>
      <c r="Y991" s="4" t="s">
        <v>2308</v>
      </c>
      <c r="Z991" s="4" t="s">
        <v>2308</v>
      </c>
      <c r="AA991" s="4"/>
      <c r="AB991" s="4"/>
    </row>
    <row r="992" spans="1:28" ht="42" customHeight="1">
      <c r="A992" s="7" t="str">
        <f>'Reported burning'!A992</f>
        <v>119a</v>
      </c>
      <c r="B992" s="7" t="str">
        <f>'Reported burning'!B992</f>
        <v>119a.12</v>
      </c>
      <c r="C992" s="7" t="str">
        <f>'Reported burning'!C992</f>
        <v>Human, deliberate</v>
      </c>
      <c r="D992" s="7" t="str">
        <f>'Reported burning'!D992</f>
        <v>Domestic</v>
      </c>
      <c r="E992" s="7" t="str">
        <f>'Reported burning'!E992</f>
        <v>Cropping, Swidden</v>
      </c>
      <c r="F992" s="7" t="str">
        <f>'Reported burning'!F992</f>
        <v>ND</v>
      </c>
      <c r="G992" s="7" t="str">
        <f>'Reported burning'!G992</f>
        <v>ND</v>
      </c>
      <c r="H992" s="7" t="str">
        <f>'Reported burning'!H992</f>
        <v>Presence</v>
      </c>
      <c r="I992" s="4"/>
      <c r="J992" s="4" t="s">
        <v>2308</v>
      </c>
      <c r="K992" s="4" t="s">
        <v>2308</v>
      </c>
      <c r="L992" s="4" t="s">
        <v>2308</v>
      </c>
      <c r="M992" s="4" t="s">
        <v>2308</v>
      </c>
      <c r="N992" s="4" t="s">
        <v>2308</v>
      </c>
      <c r="O992" s="4" t="s">
        <v>2308</v>
      </c>
      <c r="P992" s="4" t="s">
        <v>2308</v>
      </c>
      <c r="Q992" s="4" t="s">
        <v>2308</v>
      </c>
      <c r="R992" s="4" t="s">
        <v>2308</v>
      </c>
      <c r="S992" s="4" t="s">
        <v>2308</v>
      </c>
      <c r="T992" s="4" t="s">
        <v>2308</v>
      </c>
      <c r="U992" s="4" t="s">
        <v>2308</v>
      </c>
      <c r="V992" s="4" t="s">
        <v>2308</v>
      </c>
      <c r="W992" s="4" t="s">
        <v>2308</v>
      </c>
      <c r="X992" s="4" t="s">
        <v>2308</v>
      </c>
      <c r="Y992" s="4" t="s">
        <v>2308</v>
      </c>
      <c r="Z992" s="4" t="s">
        <v>2308</v>
      </c>
      <c r="AA992" s="4"/>
      <c r="AB992" s="4"/>
    </row>
    <row r="993" spans="1:28" ht="42" customHeight="1">
      <c r="A993" s="7" t="str">
        <f>'Reported burning'!A993</f>
        <v>119a</v>
      </c>
      <c r="B993" s="7" t="str">
        <f>'Reported burning'!B993</f>
        <v>119a.13</v>
      </c>
      <c r="C993" s="7" t="str">
        <f>'Reported burning'!C993</f>
        <v>Human, accidental</v>
      </c>
      <c r="D993" s="7" t="str">
        <f>'Reported burning'!D993</f>
        <v>ND</v>
      </c>
      <c r="E993" s="7" t="str">
        <f>'Reported burning'!E993</f>
        <v>Tourism manager</v>
      </c>
      <c r="F993" s="7" t="str">
        <f>'Reported burning'!F993</f>
        <v>ND</v>
      </c>
      <c r="G993" s="7" t="str">
        <f>'Reported burning'!G993</f>
        <v>ND</v>
      </c>
      <c r="H993" s="7" t="str">
        <f>'Reported burning'!H993</f>
        <v>Presence</v>
      </c>
      <c r="I993" s="4"/>
      <c r="J993" s="4" t="s">
        <v>2308</v>
      </c>
      <c r="K993" s="4" t="s">
        <v>2308</v>
      </c>
      <c r="L993" s="4" t="s">
        <v>2308</v>
      </c>
      <c r="M993" s="4" t="s">
        <v>2308</v>
      </c>
      <c r="N993" s="4" t="s">
        <v>2308</v>
      </c>
      <c r="O993" s="4" t="s">
        <v>2308</v>
      </c>
      <c r="P993" s="4" t="s">
        <v>2308</v>
      </c>
      <c r="Q993" s="4" t="s">
        <v>2308</v>
      </c>
      <c r="R993" s="4" t="s">
        <v>2308</v>
      </c>
      <c r="S993" s="4" t="s">
        <v>2308</v>
      </c>
      <c r="T993" s="4" t="s">
        <v>2308</v>
      </c>
      <c r="U993" s="4" t="s">
        <v>2308</v>
      </c>
      <c r="V993" s="4" t="s">
        <v>2308</v>
      </c>
      <c r="W993" s="4" t="s">
        <v>2308</v>
      </c>
      <c r="X993" s="4" t="s">
        <v>2308</v>
      </c>
      <c r="Y993" s="4" t="s">
        <v>2308</v>
      </c>
      <c r="Z993" s="4" t="s">
        <v>2308</v>
      </c>
      <c r="AA993" s="4"/>
      <c r="AB993" s="4"/>
    </row>
    <row r="994" spans="1:28" ht="42" customHeight="1">
      <c r="A994" s="7" t="str">
        <f>'Reported burning'!A994</f>
        <v>119a</v>
      </c>
      <c r="B994" s="7" t="str">
        <f>'Reported burning'!B994</f>
        <v>119a.14</v>
      </c>
      <c r="C994" s="7" t="str">
        <f>'Reported burning'!C994</f>
        <v>Human, deliberate</v>
      </c>
      <c r="D994" s="7" t="str">
        <f>'Reported burning'!D994</f>
        <v>Pyrome management</v>
      </c>
      <c r="E994" s="7" t="str">
        <f>'Reported burning'!E994</f>
        <v>Forestry, Traditional</v>
      </c>
      <c r="F994" s="7" t="str">
        <f>'Reported burning'!F994</f>
        <v>Shrubland (Mixed forest &amp; grassland)</v>
      </c>
      <c r="G994" s="7" t="str">
        <f>'Reported burning'!G994</f>
        <v>ND</v>
      </c>
      <c r="H994" s="7" t="str">
        <f>'Reported burning'!H994</f>
        <v>Presence</v>
      </c>
      <c r="I994" s="4"/>
      <c r="J994" s="4" t="s">
        <v>2308</v>
      </c>
      <c r="K994" s="4" t="s">
        <v>2308</v>
      </c>
      <c r="L994" s="4" t="s">
        <v>2308</v>
      </c>
      <c r="M994" s="4" t="s">
        <v>2308</v>
      </c>
      <c r="N994" s="4" t="s">
        <v>2308</v>
      </c>
      <c r="O994" s="4" t="s">
        <v>2308</v>
      </c>
      <c r="P994" s="4" t="s">
        <v>2308</v>
      </c>
      <c r="Q994" s="4" t="s">
        <v>2308</v>
      </c>
      <c r="R994" s="4" t="s">
        <v>2308</v>
      </c>
      <c r="S994" s="4" t="s">
        <v>2308</v>
      </c>
      <c r="T994" s="4" t="s">
        <v>2308</v>
      </c>
      <c r="U994" s="4" t="s">
        <v>2308</v>
      </c>
      <c r="V994" s="4" t="s">
        <v>2308</v>
      </c>
      <c r="W994" s="4" t="s">
        <v>2308</v>
      </c>
      <c r="X994" s="4" t="s">
        <v>2308</v>
      </c>
      <c r="Y994" s="4" t="s">
        <v>2308</v>
      </c>
      <c r="Z994" s="4" t="s">
        <v>2308</v>
      </c>
      <c r="AA994" s="4"/>
      <c r="AB994" s="4"/>
    </row>
    <row r="995" spans="1:28" ht="42" customHeight="1">
      <c r="A995" s="7" t="str">
        <f>'Reported burning'!A995</f>
        <v>119a</v>
      </c>
      <c r="B995" s="7" t="str">
        <f>'Reported burning'!B995</f>
        <v>119a.15</v>
      </c>
      <c r="C995" s="7" t="str">
        <f>'Reported burning'!C995</f>
        <v>Human, deliberate</v>
      </c>
      <c r="D995" s="7" t="str">
        <f>'Reported burning'!D995</f>
        <v>Pyrome management</v>
      </c>
      <c r="E995" s="7" t="str">
        <f>'Reported burning'!E995</f>
        <v>Cropping, Swidden</v>
      </c>
      <c r="F995" s="7" t="str">
        <f>'Reported burning'!F995</f>
        <v>Shrubland (Mixed forest &amp; grassland)</v>
      </c>
      <c r="G995" s="7" t="str">
        <f>'Reported burning'!G995</f>
        <v>ND</v>
      </c>
      <c r="H995" s="7" t="str">
        <f>'Reported burning'!H995</f>
        <v>Presence</v>
      </c>
      <c r="I995" s="4"/>
      <c r="J995" s="4" t="s">
        <v>2308</v>
      </c>
      <c r="K995" s="4" t="s">
        <v>2308</v>
      </c>
      <c r="L995" s="4" t="s">
        <v>2308</v>
      </c>
      <c r="M995" s="4" t="s">
        <v>2308</v>
      </c>
      <c r="N995" s="4" t="s">
        <v>2308</v>
      </c>
      <c r="O995" s="4" t="s">
        <v>2308</v>
      </c>
      <c r="P995" s="4" t="s">
        <v>2308</v>
      </c>
      <c r="Q995" s="4" t="s">
        <v>2308</v>
      </c>
      <c r="R995" s="4" t="s">
        <v>2308</v>
      </c>
      <c r="S995" s="4" t="s">
        <v>2308</v>
      </c>
      <c r="T995" s="4" t="s">
        <v>2308</v>
      </c>
      <c r="U995" s="4" t="s">
        <v>2308</v>
      </c>
      <c r="V995" s="4" t="s">
        <v>2308</v>
      </c>
      <c r="W995" s="4" t="s">
        <v>2308</v>
      </c>
      <c r="X995" s="4" t="s">
        <v>2308</v>
      </c>
      <c r="Y995" s="4" t="s">
        <v>2308</v>
      </c>
      <c r="Z995" s="4" t="s">
        <v>2308</v>
      </c>
      <c r="AA995" s="4"/>
      <c r="AB995" s="4"/>
    </row>
    <row r="996" spans="1:28" ht="42" customHeight="1">
      <c r="A996" s="7" t="str">
        <f>'Reported burning'!A996</f>
        <v>119a</v>
      </c>
      <c r="B996" s="7" t="str">
        <f>'Reported burning'!B996</f>
        <v>119a.16</v>
      </c>
      <c r="C996" s="7" t="str">
        <f>'Reported burning'!C996</f>
        <v>Human, deliberate</v>
      </c>
      <c r="D996" s="7" t="str">
        <f>'Reported burning'!D996</f>
        <v>Pasture renewal</v>
      </c>
      <c r="E996" s="7" t="str">
        <f>'Reported burning'!E996</f>
        <v>Cropping, Swidden</v>
      </c>
      <c r="F996" s="7" t="str">
        <f>'Reported burning'!F996</f>
        <v>Shrubland (Mixed forest &amp; grassland)</v>
      </c>
      <c r="G996" s="7" t="str">
        <f>'Reported burning'!G996</f>
        <v>ND</v>
      </c>
      <c r="H996" s="7" t="str">
        <f>'Reported burning'!H996</f>
        <v>Presence</v>
      </c>
      <c r="I996" s="4"/>
      <c r="J996" s="4" t="s">
        <v>2308</v>
      </c>
      <c r="K996" s="4" t="s">
        <v>2308</v>
      </c>
      <c r="L996" s="4" t="s">
        <v>2308</v>
      </c>
      <c r="M996" s="4" t="s">
        <v>2308</v>
      </c>
      <c r="N996" s="4" t="s">
        <v>2308</v>
      </c>
      <c r="O996" s="4" t="s">
        <v>2308</v>
      </c>
      <c r="P996" s="4" t="s">
        <v>2308</v>
      </c>
      <c r="Q996" s="4" t="s">
        <v>2308</v>
      </c>
      <c r="R996" s="4" t="s">
        <v>2308</v>
      </c>
      <c r="S996" s="4" t="s">
        <v>2308</v>
      </c>
      <c r="T996" s="4" t="s">
        <v>2308</v>
      </c>
      <c r="U996" s="4" t="s">
        <v>2308</v>
      </c>
      <c r="V996" s="4" t="s">
        <v>2308</v>
      </c>
      <c r="W996" s="4" t="s">
        <v>2308</v>
      </c>
      <c r="X996" s="4" t="s">
        <v>2308</v>
      </c>
      <c r="Y996" s="4" t="s">
        <v>2308</v>
      </c>
      <c r="Z996" s="4" t="s">
        <v>2308</v>
      </c>
      <c r="AA996" s="5" t="s">
        <v>3197</v>
      </c>
      <c r="AB996" s="4"/>
    </row>
    <row r="997" spans="1:28" ht="42" customHeight="1">
      <c r="A997" s="7" t="str">
        <f>'Reported burning'!A997</f>
        <v>119b</v>
      </c>
      <c r="B997" s="7" t="str">
        <f>'Reported burning'!B997</f>
        <v>119b.1</v>
      </c>
      <c r="C997" s="7" t="str">
        <f>'Reported burning'!C997</f>
        <v>Human, deliberate</v>
      </c>
      <c r="D997" s="7" t="str">
        <f>'Reported burning'!D997</f>
        <v>Crop field preparation</v>
      </c>
      <c r="E997" s="7" t="str">
        <f>'Reported burning'!E997</f>
        <v>Cropping, Swidden</v>
      </c>
      <c r="F997" s="7" t="str">
        <f>'Reported burning'!F997</f>
        <v>Secondary Vegetation</v>
      </c>
      <c r="G997" s="7" t="str">
        <f>'Reported burning'!G997</f>
        <v>ND</v>
      </c>
      <c r="H997" s="7" t="str">
        <f>'Reported burning'!H997</f>
        <v>Presence</v>
      </c>
      <c r="I997" s="4"/>
      <c r="J997" s="4" t="s">
        <v>2308</v>
      </c>
      <c r="K997" s="4" t="s">
        <v>2308</v>
      </c>
      <c r="L997" s="4" t="s">
        <v>2308</v>
      </c>
      <c r="M997" s="4" t="s">
        <v>2308</v>
      </c>
      <c r="N997" s="4" t="s">
        <v>2308</v>
      </c>
      <c r="O997" s="4" t="s">
        <v>2308</v>
      </c>
      <c r="P997" s="4" t="s">
        <v>2308</v>
      </c>
      <c r="Q997" s="4" t="s">
        <v>2308</v>
      </c>
      <c r="R997" s="4" t="s">
        <v>2308</v>
      </c>
      <c r="S997" s="4" t="s">
        <v>2308</v>
      </c>
      <c r="T997" s="4" t="s">
        <v>2308</v>
      </c>
      <c r="U997" s="4" t="s">
        <v>2308</v>
      </c>
      <c r="V997" s="4" t="s">
        <v>2308</v>
      </c>
      <c r="W997" s="4" t="s">
        <v>2435</v>
      </c>
      <c r="X997" s="4" t="s">
        <v>2308</v>
      </c>
      <c r="Y997" s="4" t="s">
        <v>2308</v>
      </c>
      <c r="Z997" s="4" t="s">
        <v>2308</v>
      </c>
      <c r="AA997" s="4"/>
      <c r="AB997" s="4" t="s">
        <v>3180</v>
      </c>
    </row>
    <row r="998" spans="1:28" ht="42" customHeight="1">
      <c r="A998" s="7" t="str">
        <f>'Reported burning'!A998</f>
        <v>119b</v>
      </c>
      <c r="B998" s="7" t="str">
        <f>'Reported burning'!B998</f>
        <v>119b.2</v>
      </c>
      <c r="C998" s="7" t="str">
        <f>'Reported burning'!C998</f>
        <v>Human, deliberate</v>
      </c>
      <c r="D998" s="7" t="str">
        <f>'Reported burning'!D998</f>
        <v>Hunting</v>
      </c>
      <c r="E998" s="7" t="str">
        <f>'Reported burning'!E998</f>
        <v>Forestry, Traditional</v>
      </c>
      <c r="F998" s="7" t="str">
        <f>'Reported burning'!F998</f>
        <v>Forest</v>
      </c>
      <c r="G998" s="7" t="str">
        <f>'Reported burning'!G998</f>
        <v>ND</v>
      </c>
      <c r="H998" s="7" t="str">
        <f>'Reported burning'!H998</f>
        <v>Presence</v>
      </c>
      <c r="I998" s="4"/>
      <c r="J998" s="4" t="s">
        <v>2308</v>
      </c>
      <c r="K998" s="4" t="s">
        <v>2308</v>
      </c>
      <c r="L998" s="4" t="s">
        <v>2308</v>
      </c>
      <c r="M998" s="4" t="s">
        <v>2308</v>
      </c>
      <c r="N998" s="4" t="s">
        <v>2308</v>
      </c>
      <c r="O998" s="4" t="s">
        <v>2308</v>
      </c>
      <c r="P998" s="4" t="s">
        <v>2308</v>
      </c>
      <c r="Q998" s="4" t="s">
        <v>2308</v>
      </c>
      <c r="R998" s="4" t="s">
        <v>2308</v>
      </c>
      <c r="S998" s="4" t="s">
        <v>2308</v>
      </c>
      <c r="T998" s="4" t="s">
        <v>2308</v>
      </c>
      <c r="U998" s="4" t="s">
        <v>2308</v>
      </c>
      <c r="V998" s="4" t="s">
        <v>2308</v>
      </c>
      <c r="W998" s="4" t="s">
        <v>2308</v>
      </c>
      <c r="X998" s="4" t="s">
        <v>2308</v>
      </c>
      <c r="Y998" s="4" t="s">
        <v>2308</v>
      </c>
      <c r="Z998" s="4" t="s">
        <v>2308</v>
      </c>
      <c r="AA998" s="4"/>
      <c r="AB998" s="4"/>
    </row>
    <row r="999" spans="1:28" ht="42" customHeight="1">
      <c r="A999" s="7" t="str">
        <f>'Reported burning'!A999</f>
        <v>119b</v>
      </c>
      <c r="B999" s="7" t="str">
        <f>'Reported burning'!B999</f>
        <v>119b.3</v>
      </c>
      <c r="C999" s="7" t="str">
        <f>'Reported burning'!C999</f>
        <v>Human, deliberate</v>
      </c>
      <c r="D999" s="7" t="str">
        <f>'Reported burning'!D999</f>
        <v>Hunting</v>
      </c>
      <c r="E999" s="7" t="str">
        <f>'Reported burning'!E999</f>
        <v>Forestry, Traditional</v>
      </c>
      <c r="F999" s="7" t="str">
        <f>'Reported burning'!F999</f>
        <v>Shrubland (Mixed forest &amp; grassland)</v>
      </c>
      <c r="G999" s="7" t="str">
        <f>'Reported burning'!G999</f>
        <v>ND</v>
      </c>
      <c r="H999" s="7" t="str">
        <f>'Reported burning'!H999</f>
        <v>Presence</v>
      </c>
      <c r="I999" s="4"/>
      <c r="J999" s="4" t="s">
        <v>2308</v>
      </c>
      <c r="K999" s="4" t="s">
        <v>2308</v>
      </c>
      <c r="L999" s="4" t="s">
        <v>2308</v>
      </c>
      <c r="M999" s="4" t="s">
        <v>2308</v>
      </c>
      <c r="N999" s="4" t="s">
        <v>2308</v>
      </c>
      <c r="O999" s="4" t="s">
        <v>2308</v>
      </c>
      <c r="P999" s="4" t="s">
        <v>2308</v>
      </c>
      <c r="Q999" s="4" t="s">
        <v>2308</v>
      </c>
      <c r="R999" s="4" t="s">
        <v>2308</v>
      </c>
      <c r="S999" s="4" t="s">
        <v>2308</v>
      </c>
      <c r="T999" s="4" t="s">
        <v>2308</v>
      </c>
      <c r="U999" s="4" t="s">
        <v>2308</v>
      </c>
      <c r="V999" s="4" t="s">
        <v>2308</v>
      </c>
      <c r="W999" s="4" t="s">
        <v>2308</v>
      </c>
      <c r="X999" s="4" t="s">
        <v>2308</v>
      </c>
      <c r="Y999" s="4" t="s">
        <v>2308</v>
      </c>
      <c r="Z999" s="4" t="s">
        <v>2308</v>
      </c>
      <c r="AA999" s="4"/>
      <c r="AB999" s="4"/>
    </row>
    <row r="1000" spans="1:28" ht="42" customHeight="1">
      <c r="A1000" s="7" t="str">
        <f>'Reported burning'!A1000</f>
        <v>119b</v>
      </c>
      <c r="B1000" s="7" t="str">
        <f>'Reported burning'!B1000</f>
        <v>119b.4</v>
      </c>
      <c r="C1000" s="7" t="str">
        <f>'Reported burning'!C1000</f>
        <v>Human, deliberate</v>
      </c>
      <c r="D1000" s="7" t="str">
        <f>'Reported burning'!D1000</f>
        <v>Fishing</v>
      </c>
      <c r="E1000" s="7" t="str">
        <f>'Reported burning'!E1000</f>
        <v>Forestry, Traditional</v>
      </c>
      <c r="F1000" s="7" t="str">
        <f>'Reported burning'!F1000</f>
        <v>ND</v>
      </c>
      <c r="G1000" s="7" t="str">
        <f>'Reported burning'!G1000</f>
        <v>ND</v>
      </c>
      <c r="H1000" s="7" t="str">
        <f>'Reported burning'!H1000</f>
        <v>Presence</v>
      </c>
      <c r="I1000" s="4"/>
      <c r="J1000" s="4" t="s">
        <v>2308</v>
      </c>
      <c r="K1000" s="4" t="s">
        <v>2308</v>
      </c>
      <c r="L1000" s="4" t="s">
        <v>2308</v>
      </c>
      <c r="M1000" s="4" t="s">
        <v>2308</v>
      </c>
      <c r="N1000" s="4" t="s">
        <v>2308</v>
      </c>
      <c r="O1000" s="4" t="s">
        <v>2308</v>
      </c>
      <c r="P1000" s="4" t="s">
        <v>2308</v>
      </c>
      <c r="Q1000" s="4" t="s">
        <v>2308</v>
      </c>
      <c r="R1000" s="4" t="s">
        <v>2308</v>
      </c>
      <c r="S1000" s="4" t="s">
        <v>2308</v>
      </c>
      <c r="T1000" s="4" t="s">
        <v>2308</v>
      </c>
      <c r="U1000" s="4" t="s">
        <v>2308</v>
      </c>
      <c r="V1000" s="4" t="s">
        <v>2308</v>
      </c>
      <c r="W1000" s="4" t="s">
        <v>2308</v>
      </c>
      <c r="X1000" s="4" t="s">
        <v>2308</v>
      </c>
      <c r="Y1000" s="4" t="s">
        <v>2308</v>
      </c>
      <c r="Z1000" s="4" t="s">
        <v>2308</v>
      </c>
      <c r="AA1000" s="5" t="s">
        <v>3193</v>
      </c>
      <c r="AB1000" s="4"/>
    </row>
    <row r="1001" spans="1:28" ht="42" customHeight="1">
      <c r="A1001" s="7" t="str">
        <f>'Reported burning'!A1001</f>
        <v>119b</v>
      </c>
      <c r="B1001" s="7" t="str">
        <f>'Reported burning'!B1001</f>
        <v>119b.5</v>
      </c>
      <c r="C1001" s="7" t="str">
        <f>'Reported burning'!C1001</f>
        <v>Human, deliberate</v>
      </c>
      <c r="D1001" s="7" t="str">
        <f>'Reported burning'!D1001</f>
        <v>Pest management</v>
      </c>
      <c r="E1001" s="7" t="str">
        <f>'Reported burning'!E1001</f>
        <v>Forestry, Traditional</v>
      </c>
      <c r="F1001" s="7" t="str">
        <f>'Reported burning'!F1001</f>
        <v>ND</v>
      </c>
      <c r="G1001" s="7" t="str">
        <f>'Reported burning'!G1001</f>
        <v>ND</v>
      </c>
      <c r="H1001" s="7" t="str">
        <f>'Reported burning'!H1001</f>
        <v>Presence</v>
      </c>
      <c r="I1001" s="4"/>
      <c r="J1001" s="4" t="s">
        <v>2308</v>
      </c>
      <c r="K1001" s="4" t="s">
        <v>2308</v>
      </c>
      <c r="L1001" s="4" t="s">
        <v>2308</v>
      </c>
      <c r="M1001" s="4" t="s">
        <v>2308</v>
      </c>
      <c r="N1001" s="4" t="s">
        <v>2308</v>
      </c>
      <c r="O1001" s="4" t="s">
        <v>2308</v>
      </c>
      <c r="P1001" s="4" t="s">
        <v>2308</v>
      </c>
      <c r="Q1001" s="4" t="s">
        <v>2308</v>
      </c>
      <c r="R1001" s="4" t="s">
        <v>2308</v>
      </c>
      <c r="S1001" s="4" t="s">
        <v>2308</v>
      </c>
      <c r="T1001" s="4" t="s">
        <v>2308</v>
      </c>
      <c r="U1001" s="4" t="s">
        <v>2308</v>
      </c>
      <c r="V1001" s="4" t="s">
        <v>2308</v>
      </c>
      <c r="W1001" s="4" t="s">
        <v>2308</v>
      </c>
      <c r="X1001" s="4" t="s">
        <v>2308</v>
      </c>
      <c r="Y1001" s="4" t="s">
        <v>2308</v>
      </c>
      <c r="Z1001" s="4" t="s">
        <v>2308</v>
      </c>
      <c r="AA1001" s="4"/>
      <c r="AB1001" s="4"/>
    </row>
    <row r="1002" spans="1:28" ht="42" customHeight="1">
      <c r="A1002" s="7" t="str">
        <f>'Reported burning'!A1002</f>
        <v>119b</v>
      </c>
      <c r="B1002" s="7" t="str">
        <f>'Reported burning'!B1002</f>
        <v>119b.6</v>
      </c>
      <c r="C1002" s="7" t="str">
        <f>'Reported burning'!C1002</f>
        <v>Human, deliberate</v>
      </c>
      <c r="D1002" s="7" t="str">
        <f>'Reported burning'!D1002</f>
        <v>Accessibility</v>
      </c>
      <c r="E1002" s="7" t="str">
        <f>'Reported burning'!E1002</f>
        <v>Forestry, Traditional</v>
      </c>
      <c r="F1002" s="7" t="str">
        <f>'Reported burning'!F1002</f>
        <v>ND</v>
      </c>
      <c r="G1002" s="7" t="str">
        <f>'Reported burning'!G1002</f>
        <v>ND</v>
      </c>
      <c r="H1002" s="7" t="str">
        <f>'Reported burning'!H1002</f>
        <v>Presence</v>
      </c>
      <c r="I1002" s="4"/>
      <c r="J1002" s="4" t="s">
        <v>2308</v>
      </c>
      <c r="K1002" s="4" t="s">
        <v>2308</v>
      </c>
      <c r="L1002" s="4" t="s">
        <v>2308</v>
      </c>
      <c r="M1002" s="4" t="s">
        <v>2308</v>
      </c>
      <c r="N1002" s="4" t="s">
        <v>2308</v>
      </c>
      <c r="O1002" s="4" t="s">
        <v>2308</v>
      </c>
      <c r="P1002" s="4" t="s">
        <v>2308</v>
      </c>
      <c r="Q1002" s="4" t="s">
        <v>2308</v>
      </c>
      <c r="R1002" s="4" t="s">
        <v>2308</v>
      </c>
      <c r="S1002" s="4" t="s">
        <v>2308</v>
      </c>
      <c r="T1002" s="4" t="s">
        <v>2308</v>
      </c>
      <c r="U1002" s="4" t="s">
        <v>2308</v>
      </c>
      <c r="V1002" s="4" t="s">
        <v>2308</v>
      </c>
      <c r="W1002" s="4" t="s">
        <v>2308</v>
      </c>
      <c r="X1002" s="4" t="s">
        <v>2308</v>
      </c>
      <c r="Y1002" s="4" t="s">
        <v>2308</v>
      </c>
      <c r="Z1002" s="4" t="s">
        <v>2308</v>
      </c>
      <c r="AA1002" s="4"/>
      <c r="AB1002" s="4"/>
    </row>
    <row r="1003" spans="1:28" ht="42" customHeight="1">
      <c r="A1003" s="7" t="str">
        <f>'Reported burning'!A1003</f>
        <v>119b</v>
      </c>
      <c r="B1003" s="7" t="str">
        <f>'Reported burning'!B1003</f>
        <v>119b.7</v>
      </c>
      <c r="C1003" s="7" t="str">
        <f>'Reported burning'!C1003</f>
        <v>Human, deliberate</v>
      </c>
      <c r="D1003" s="7" t="str">
        <f>'Reported burning'!D1003</f>
        <v>Cultural &amp; Spiritual</v>
      </c>
      <c r="E1003" s="7" t="str">
        <f>'Reported burning'!E1003</f>
        <v>Forestry, Traditional</v>
      </c>
      <c r="F1003" s="7" t="str">
        <f>'Reported burning'!F1003</f>
        <v>ND</v>
      </c>
      <c r="G1003" s="7" t="str">
        <f>'Reported burning'!G1003</f>
        <v>ND</v>
      </c>
      <c r="H1003" s="7" t="str">
        <f>'Reported burning'!H1003</f>
        <v>Presence</v>
      </c>
      <c r="I1003" s="4"/>
      <c r="J1003" s="4" t="s">
        <v>2308</v>
      </c>
      <c r="K1003" s="4" t="s">
        <v>2308</v>
      </c>
      <c r="L1003" s="4" t="s">
        <v>2308</v>
      </c>
      <c r="M1003" s="4" t="s">
        <v>2308</v>
      </c>
      <c r="N1003" s="4" t="s">
        <v>2308</v>
      </c>
      <c r="O1003" s="4" t="s">
        <v>2308</v>
      </c>
      <c r="P1003" s="4" t="s">
        <v>2308</v>
      </c>
      <c r="Q1003" s="4" t="s">
        <v>2308</v>
      </c>
      <c r="R1003" s="4" t="s">
        <v>2308</v>
      </c>
      <c r="S1003" s="4" t="s">
        <v>2308</v>
      </c>
      <c r="T1003" s="4" t="s">
        <v>2308</v>
      </c>
      <c r="U1003" s="4" t="s">
        <v>2308</v>
      </c>
      <c r="V1003" s="4" t="s">
        <v>2308</v>
      </c>
      <c r="W1003" s="4" t="s">
        <v>2308</v>
      </c>
      <c r="X1003" s="4" t="s">
        <v>2308</v>
      </c>
      <c r="Y1003" s="4" t="s">
        <v>2308</v>
      </c>
      <c r="Z1003" s="4" t="s">
        <v>2308</v>
      </c>
      <c r="AA1003" s="4"/>
      <c r="AB1003" s="4"/>
    </row>
    <row r="1004" spans="1:28" ht="42" customHeight="1">
      <c r="A1004" s="7" t="str">
        <f>'Reported burning'!A1004</f>
        <v>119b</v>
      </c>
      <c r="B1004" s="7" t="str">
        <f>'Reported burning'!B1004</f>
        <v>119b.8</v>
      </c>
      <c r="C1004" s="7" t="str">
        <f>'Reported burning'!C1004</f>
        <v>Human, deliberate</v>
      </c>
      <c r="D1004" s="7" t="str">
        <f>'Reported burning'!D1004</f>
        <v>Domestic</v>
      </c>
      <c r="E1004" s="7" t="str">
        <f>'Reported burning'!E1004</f>
        <v>Forestry, Traditional</v>
      </c>
      <c r="F1004" s="7" t="str">
        <f>'Reported burning'!F1004</f>
        <v>ND</v>
      </c>
      <c r="G1004" s="7" t="str">
        <f>'Reported burning'!G1004</f>
        <v>ND</v>
      </c>
      <c r="H1004" s="7" t="str">
        <f>'Reported burning'!H1004</f>
        <v>Presence</v>
      </c>
      <c r="I1004" s="4"/>
      <c r="J1004" s="4" t="s">
        <v>2308</v>
      </c>
      <c r="K1004" s="4" t="s">
        <v>2308</v>
      </c>
      <c r="L1004" s="4" t="s">
        <v>2308</v>
      </c>
      <c r="M1004" s="4" t="s">
        <v>2308</v>
      </c>
      <c r="N1004" s="4" t="s">
        <v>2308</v>
      </c>
      <c r="O1004" s="4" t="s">
        <v>2308</v>
      </c>
      <c r="P1004" s="4" t="s">
        <v>2308</v>
      </c>
      <c r="Q1004" s="4" t="s">
        <v>2308</v>
      </c>
      <c r="R1004" s="4" t="s">
        <v>2308</v>
      </c>
      <c r="S1004" s="4" t="s">
        <v>2308</v>
      </c>
      <c r="T1004" s="4" t="s">
        <v>2308</v>
      </c>
      <c r="U1004" s="4" t="s">
        <v>2308</v>
      </c>
      <c r="V1004" s="4" t="s">
        <v>2308</v>
      </c>
      <c r="W1004" s="4" t="s">
        <v>2308</v>
      </c>
      <c r="X1004" s="4" t="s">
        <v>2308</v>
      </c>
      <c r="Y1004" s="4" t="s">
        <v>2308</v>
      </c>
      <c r="Z1004" s="4" t="s">
        <v>2308</v>
      </c>
      <c r="AA1004" s="4"/>
      <c r="AB1004" s="4"/>
    </row>
    <row r="1005" spans="1:28" ht="42" customHeight="1">
      <c r="A1005" s="7" t="str">
        <f>'Reported burning'!A1005</f>
        <v>119b</v>
      </c>
      <c r="B1005" s="7" t="str">
        <f>'Reported burning'!B1005</f>
        <v>119b.9</v>
      </c>
      <c r="C1005" s="7" t="str">
        <f>'Reported burning'!C1005</f>
        <v>Human, deliberate</v>
      </c>
      <c r="D1005" s="7" t="str">
        <f>'Reported burning'!D1005</f>
        <v>Pest management</v>
      </c>
      <c r="E1005" s="7" t="str">
        <f>'Reported burning'!E1005</f>
        <v>Cropping, Swidden</v>
      </c>
      <c r="F1005" s="7" t="str">
        <f>'Reported burning'!F1005</f>
        <v>ND</v>
      </c>
      <c r="G1005" s="7" t="str">
        <f>'Reported burning'!G1005</f>
        <v>ND</v>
      </c>
      <c r="H1005" s="7" t="str">
        <f>'Reported burning'!H1005</f>
        <v>Presence</v>
      </c>
      <c r="I1005" s="4"/>
      <c r="J1005" s="4" t="s">
        <v>2308</v>
      </c>
      <c r="K1005" s="4" t="s">
        <v>2308</v>
      </c>
      <c r="L1005" s="4" t="s">
        <v>2308</v>
      </c>
      <c r="M1005" s="4" t="s">
        <v>2308</v>
      </c>
      <c r="N1005" s="4" t="s">
        <v>2308</v>
      </c>
      <c r="O1005" s="4" t="s">
        <v>2308</v>
      </c>
      <c r="P1005" s="4" t="s">
        <v>2308</v>
      </c>
      <c r="Q1005" s="4" t="s">
        <v>2308</v>
      </c>
      <c r="R1005" s="4" t="s">
        <v>2308</v>
      </c>
      <c r="S1005" s="4" t="s">
        <v>2308</v>
      </c>
      <c r="T1005" s="4" t="s">
        <v>2308</v>
      </c>
      <c r="U1005" s="4" t="s">
        <v>2308</v>
      </c>
      <c r="V1005" s="4" t="s">
        <v>2308</v>
      </c>
      <c r="W1005" s="4" t="s">
        <v>2308</v>
      </c>
      <c r="X1005" s="4" t="s">
        <v>2308</v>
      </c>
      <c r="Y1005" s="4" t="s">
        <v>2308</v>
      </c>
      <c r="Z1005" s="4" t="s">
        <v>2308</v>
      </c>
      <c r="AA1005" s="4"/>
      <c r="AB1005" s="4"/>
    </row>
    <row r="1006" spans="1:28" ht="42" customHeight="1">
      <c r="A1006" s="7" t="str">
        <f>'Reported burning'!A1006</f>
        <v>119b</v>
      </c>
      <c r="B1006" s="7" t="str">
        <f>'Reported burning'!B1006</f>
        <v>119b.10</v>
      </c>
      <c r="C1006" s="7" t="str">
        <f>'Reported burning'!C1006</f>
        <v>Human, deliberate</v>
      </c>
      <c r="D1006" s="7" t="str">
        <f>'Reported burning'!D1006</f>
        <v>Accessibility</v>
      </c>
      <c r="E1006" s="7" t="str">
        <f>'Reported burning'!E1006</f>
        <v>Cropping, Swidden</v>
      </c>
      <c r="F1006" s="7" t="str">
        <f>'Reported burning'!F1006</f>
        <v>ND</v>
      </c>
      <c r="G1006" s="7" t="str">
        <f>'Reported burning'!G1006</f>
        <v>ND</v>
      </c>
      <c r="H1006" s="7" t="str">
        <f>'Reported burning'!H1006</f>
        <v>Presence</v>
      </c>
      <c r="I1006" s="4"/>
      <c r="J1006" s="4" t="s">
        <v>2308</v>
      </c>
      <c r="K1006" s="4" t="s">
        <v>2308</v>
      </c>
      <c r="L1006" s="4" t="s">
        <v>2308</v>
      </c>
      <c r="M1006" s="4" t="s">
        <v>2308</v>
      </c>
      <c r="N1006" s="4" t="s">
        <v>2308</v>
      </c>
      <c r="O1006" s="4" t="s">
        <v>2308</v>
      </c>
      <c r="P1006" s="4" t="s">
        <v>2308</v>
      </c>
      <c r="Q1006" s="4" t="s">
        <v>2308</v>
      </c>
      <c r="R1006" s="4" t="s">
        <v>2308</v>
      </c>
      <c r="S1006" s="4" t="s">
        <v>2308</v>
      </c>
      <c r="T1006" s="4" t="s">
        <v>2308</v>
      </c>
      <c r="U1006" s="4" t="s">
        <v>2308</v>
      </c>
      <c r="V1006" s="4" t="s">
        <v>2308</v>
      </c>
      <c r="W1006" s="4" t="s">
        <v>2308</v>
      </c>
      <c r="X1006" s="4" t="s">
        <v>2308</v>
      </c>
      <c r="Y1006" s="4" t="s">
        <v>2308</v>
      </c>
      <c r="Z1006" s="4" t="s">
        <v>2308</v>
      </c>
      <c r="AA1006" s="4"/>
      <c r="AB1006" s="4"/>
    </row>
    <row r="1007" spans="1:28" ht="42" customHeight="1">
      <c r="A1007" s="7" t="str">
        <f>'Reported burning'!A1007</f>
        <v>119b</v>
      </c>
      <c r="B1007" s="7" t="str">
        <f>'Reported burning'!B1007</f>
        <v>119b.11</v>
      </c>
      <c r="C1007" s="7" t="str">
        <f>'Reported burning'!C1007</f>
        <v>Human, deliberate</v>
      </c>
      <c r="D1007" s="7" t="str">
        <f>'Reported burning'!D1007</f>
        <v>Cultural &amp; Spiritual</v>
      </c>
      <c r="E1007" s="7" t="str">
        <f>'Reported burning'!E1007</f>
        <v>Cropping, Swidden</v>
      </c>
      <c r="F1007" s="7" t="str">
        <f>'Reported burning'!F1007</f>
        <v>ND</v>
      </c>
      <c r="G1007" s="7" t="str">
        <f>'Reported burning'!G1007</f>
        <v>ND</v>
      </c>
      <c r="H1007" s="7" t="str">
        <f>'Reported burning'!H1007</f>
        <v>Presence</v>
      </c>
      <c r="I1007" s="4"/>
      <c r="J1007" s="4" t="s">
        <v>2308</v>
      </c>
      <c r="K1007" s="4" t="s">
        <v>2308</v>
      </c>
      <c r="L1007" s="4" t="s">
        <v>2308</v>
      </c>
      <c r="M1007" s="4" t="s">
        <v>2308</v>
      </c>
      <c r="N1007" s="4" t="s">
        <v>2308</v>
      </c>
      <c r="O1007" s="4" t="s">
        <v>2308</v>
      </c>
      <c r="P1007" s="4" t="s">
        <v>2308</v>
      </c>
      <c r="Q1007" s="4" t="s">
        <v>2308</v>
      </c>
      <c r="R1007" s="4" t="s">
        <v>2308</v>
      </c>
      <c r="S1007" s="4" t="s">
        <v>2308</v>
      </c>
      <c r="T1007" s="4" t="s">
        <v>2308</v>
      </c>
      <c r="U1007" s="4" t="s">
        <v>2308</v>
      </c>
      <c r="V1007" s="4" t="s">
        <v>2308</v>
      </c>
      <c r="W1007" s="4" t="s">
        <v>2308</v>
      </c>
      <c r="X1007" s="4" t="s">
        <v>2308</v>
      </c>
      <c r="Y1007" s="4" t="s">
        <v>2308</v>
      </c>
      <c r="Z1007" s="4" t="s">
        <v>2308</v>
      </c>
      <c r="AA1007" s="4"/>
      <c r="AB1007" s="4"/>
    </row>
    <row r="1008" spans="1:28" ht="42" customHeight="1">
      <c r="A1008" s="7" t="str">
        <f>'Reported burning'!A1008</f>
        <v>119b</v>
      </c>
      <c r="B1008" s="7" t="str">
        <f>'Reported burning'!B1008</f>
        <v>119b.12</v>
      </c>
      <c r="C1008" s="7" t="str">
        <f>'Reported burning'!C1008</f>
        <v>Human, deliberate</v>
      </c>
      <c r="D1008" s="7" t="str">
        <f>'Reported burning'!D1008</f>
        <v>Domestic</v>
      </c>
      <c r="E1008" s="7" t="str">
        <f>'Reported burning'!E1008</f>
        <v>Cropping, Swidden</v>
      </c>
      <c r="F1008" s="7" t="str">
        <f>'Reported burning'!F1008</f>
        <v>ND</v>
      </c>
      <c r="G1008" s="7" t="str">
        <f>'Reported burning'!G1008</f>
        <v>ND</v>
      </c>
      <c r="H1008" s="7" t="str">
        <f>'Reported burning'!H1008</f>
        <v>Presence</v>
      </c>
      <c r="I1008" s="4"/>
      <c r="J1008" s="4" t="s">
        <v>2308</v>
      </c>
      <c r="K1008" s="4" t="s">
        <v>2308</v>
      </c>
      <c r="L1008" s="4" t="s">
        <v>2308</v>
      </c>
      <c r="M1008" s="4" t="s">
        <v>2308</v>
      </c>
      <c r="N1008" s="4" t="s">
        <v>2308</v>
      </c>
      <c r="O1008" s="4" t="s">
        <v>2308</v>
      </c>
      <c r="P1008" s="4" t="s">
        <v>2308</v>
      </c>
      <c r="Q1008" s="4" t="s">
        <v>2308</v>
      </c>
      <c r="R1008" s="4" t="s">
        <v>2308</v>
      </c>
      <c r="S1008" s="4" t="s">
        <v>2308</v>
      </c>
      <c r="T1008" s="4" t="s">
        <v>2308</v>
      </c>
      <c r="U1008" s="4" t="s">
        <v>2308</v>
      </c>
      <c r="V1008" s="4" t="s">
        <v>2308</v>
      </c>
      <c r="W1008" s="4" t="s">
        <v>2308</v>
      </c>
      <c r="X1008" s="4" t="s">
        <v>2308</v>
      </c>
      <c r="Y1008" s="4" t="s">
        <v>2308</v>
      </c>
      <c r="Z1008" s="4" t="s">
        <v>2308</v>
      </c>
      <c r="AA1008" s="4"/>
      <c r="AB1008" s="4"/>
    </row>
    <row r="1009" spans="1:28" ht="42" customHeight="1">
      <c r="A1009" s="7" t="str">
        <f>'Reported burning'!A1009</f>
        <v>119b</v>
      </c>
      <c r="B1009" s="7" t="str">
        <f>'Reported burning'!B1009</f>
        <v>119b.13</v>
      </c>
      <c r="C1009" s="7" t="str">
        <f>'Reported burning'!C1009</f>
        <v>Human, accidental</v>
      </c>
      <c r="D1009" s="7" t="str">
        <f>'Reported burning'!D1009</f>
        <v>ND</v>
      </c>
      <c r="E1009" s="7" t="str">
        <f>'Reported burning'!E1009</f>
        <v>Tourism manager</v>
      </c>
      <c r="F1009" s="7" t="str">
        <f>'Reported burning'!F1009</f>
        <v>ND</v>
      </c>
      <c r="G1009" s="7" t="str">
        <f>'Reported burning'!G1009</f>
        <v>ND</v>
      </c>
      <c r="H1009" s="7" t="str">
        <f>'Reported burning'!H1009</f>
        <v>Presence</v>
      </c>
      <c r="I1009" s="4"/>
      <c r="J1009" s="4" t="s">
        <v>2308</v>
      </c>
      <c r="K1009" s="4" t="s">
        <v>2308</v>
      </c>
      <c r="L1009" s="4" t="s">
        <v>2308</v>
      </c>
      <c r="M1009" s="4" t="s">
        <v>2308</v>
      </c>
      <c r="N1009" s="4" t="s">
        <v>2308</v>
      </c>
      <c r="O1009" s="4" t="s">
        <v>2308</v>
      </c>
      <c r="P1009" s="4" t="s">
        <v>2308</v>
      </c>
      <c r="Q1009" s="4" t="s">
        <v>2308</v>
      </c>
      <c r="R1009" s="4" t="s">
        <v>2308</v>
      </c>
      <c r="S1009" s="4" t="s">
        <v>2308</v>
      </c>
      <c r="T1009" s="4" t="s">
        <v>2308</v>
      </c>
      <c r="U1009" s="4" t="s">
        <v>2308</v>
      </c>
      <c r="V1009" s="4" t="s">
        <v>2308</v>
      </c>
      <c r="W1009" s="4" t="s">
        <v>2308</v>
      </c>
      <c r="X1009" s="4" t="s">
        <v>2308</v>
      </c>
      <c r="Y1009" s="4" t="s">
        <v>2308</v>
      </c>
      <c r="Z1009" s="4" t="s">
        <v>2308</v>
      </c>
      <c r="AA1009" s="4"/>
      <c r="AB1009" s="4"/>
    </row>
    <row r="1010" spans="1:28" ht="42" customHeight="1">
      <c r="A1010" s="7" t="str">
        <f>'Reported burning'!A1010</f>
        <v>119b</v>
      </c>
      <c r="B1010" s="7" t="str">
        <f>'Reported burning'!B1010</f>
        <v>119b.14</v>
      </c>
      <c r="C1010" s="7" t="str">
        <f>'Reported burning'!C1010</f>
        <v>Human, deliberate</v>
      </c>
      <c r="D1010" s="7" t="str">
        <f>'Reported burning'!D1010</f>
        <v>Pyrome management</v>
      </c>
      <c r="E1010" s="7" t="str">
        <f>'Reported burning'!E1010</f>
        <v>Forestry, Traditional</v>
      </c>
      <c r="F1010" s="7" t="str">
        <f>'Reported burning'!F1010</f>
        <v>Shrubland (Mixed forest &amp; grassland)</v>
      </c>
      <c r="G1010" s="7" t="str">
        <f>'Reported burning'!G1010</f>
        <v>ND</v>
      </c>
      <c r="H1010" s="7" t="str">
        <f>'Reported burning'!H1010</f>
        <v>Presence</v>
      </c>
      <c r="I1010" s="4"/>
      <c r="J1010" s="4" t="s">
        <v>2308</v>
      </c>
      <c r="K1010" s="4" t="s">
        <v>2308</v>
      </c>
      <c r="L1010" s="4" t="s">
        <v>2308</v>
      </c>
      <c r="M1010" s="4" t="s">
        <v>2308</v>
      </c>
      <c r="N1010" s="4" t="s">
        <v>2308</v>
      </c>
      <c r="O1010" s="4" t="s">
        <v>2308</v>
      </c>
      <c r="P1010" s="4" t="s">
        <v>2308</v>
      </c>
      <c r="Q1010" s="4" t="s">
        <v>2308</v>
      </c>
      <c r="R1010" s="4" t="s">
        <v>2308</v>
      </c>
      <c r="S1010" s="4" t="s">
        <v>2308</v>
      </c>
      <c r="T1010" s="4" t="s">
        <v>2308</v>
      </c>
      <c r="U1010" s="4" t="s">
        <v>2308</v>
      </c>
      <c r="V1010" s="4" t="s">
        <v>2308</v>
      </c>
      <c r="W1010" s="4" t="s">
        <v>2308</v>
      </c>
      <c r="X1010" s="4" t="s">
        <v>2308</v>
      </c>
      <c r="Y1010" s="4" t="s">
        <v>2308</v>
      </c>
      <c r="Z1010" s="4" t="s">
        <v>2308</v>
      </c>
      <c r="AA1010" s="4"/>
      <c r="AB1010" s="4"/>
    </row>
    <row r="1011" spans="1:28" ht="42" customHeight="1">
      <c r="A1011" s="7" t="str">
        <f>'Reported burning'!A1011</f>
        <v>119b</v>
      </c>
      <c r="B1011" s="7" t="str">
        <f>'Reported burning'!B1011</f>
        <v>119b.15</v>
      </c>
      <c r="C1011" s="7" t="str">
        <f>'Reported burning'!C1011</f>
        <v>Human, deliberate</v>
      </c>
      <c r="D1011" s="7" t="str">
        <f>'Reported burning'!D1011</f>
        <v>Pyrome management</v>
      </c>
      <c r="E1011" s="7" t="str">
        <f>'Reported burning'!E1011</f>
        <v>Cropping, Swidden</v>
      </c>
      <c r="F1011" s="7" t="str">
        <f>'Reported burning'!F1011</f>
        <v>Shrubland (Mixed forest &amp; grassland)</v>
      </c>
      <c r="G1011" s="7" t="str">
        <f>'Reported burning'!G1011</f>
        <v>ND</v>
      </c>
      <c r="H1011" s="7" t="str">
        <f>'Reported burning'!H1011</f>
        <v>Presence</v>
      </c>
      <c r="I1011" s="4"/>
      <c r="J1011" s="4" t="s">
        <v>2308</v>
      </c>
      <c r="K1011" s="4" t="s">
        <v>2308</v>
      </c>
      <c r="L1011" s="4" t="s">
        <v>2308</v>
      </c>
      <c r="M1011" s="4" t="s">
        <v>2308</v>
      </c>
      <c r="N1011" s="4" t="s">
        <v>2308</v>
      </c>
      <c r="O1011" s="4" t="s">
        <v>2308</v>
      </c>
      <c r="P1011" s="4" t="s">
        <v>2308</v>
      </c>
      <c r="Q1011" s="4" t="s">
        <v>2308</v>
      </c>
      <c r="R1011" s="4" t="s">
        <v>2308</v>
      </c>
      <c r="S1011" s="4" t="s">
        <v>2308</v>
      </c>
      <c r="T1011" s="4" t="s">
        <v>2308</v>
      </c>
      <c r="U1011" s="4" t="s">
        <v>2308</v>
      </c>
      <c r="V1011" s="4" t="s">
        <v>2308</v>
      </c>
      <c r="W1011" s="4" t="s">
        <v>2308</v>
      </c>
      <c r="X1011" s="4" t="s">
        <v>2308</v>
      </c>
      <c r="Y1011" s="4" t="s">
        <v>2308</v>
      </c>
      <c r="Z1011" s="4" t="s">
        <v>2308</v>
      </c>
      <c r="AA1011" s="4"/>
      <c r="AB1011" s="4"/>
    </row>
    <row r="1012" spans="1:28" ht="42" customHeight="1">
      <c r="A1012" s="7" t="str">
        <f>'Reported burning'!A1012</f>
        <v>119b</v>
      </c>
      <c r="B1012" s="7" t="str">
        <f>'Reported burning'!B1012</f>
        <v>119b.16</v>
      </c>
      <c r="C1012" s="7" t="str">
        <f>'Reported burning'!C1012</f>
        <v>Human, deliberate</v>
      </c>
      <c r="D1012" s="7" t="str">
        <f>'Reported burning'!D1012</f>
        <v>Pasture renewal</v>
      </c>
      <c r="E1012" s="7" t="str">
        <f>'Reported burning'!E1012</f>
        <v>Cropping, Swidden</v>
      </c>
      <c r="F1012" s="7" t="str">
        <f>'Reported burning'!F1012</f>
        <v>Shrubland (Mixed forest &amp; grassland)</v>
      </c>
      <c r="G1012" s="7" t="str">
        <f>'Reported burning'!G1012</f>
        <v>ND</v>
      </c>
      <c r="H1012" s="7" t="str">
        <f>'Reported burning'!H1012</f>
        <v>Presence</v>
      </c>
      <c r="I1012" s="4"/>
      <c r="J1012" s="4" t="s">
        <v>2308</v>
      </c>
      <c r="K1012" s="4" t="s">
        <v>2308</v>
      </c>
      <c r="L1012" s="4" t="s">
        <v>2308</v>
      </c>
      <c r="M1012" s="4" t="s">
        <v>2308</v>
      </c>
      <c r="N1012" s="4" t="s">
        <v>2308</v>
      </c>
      <c r="O1012" s="4" t="s">
        <v>2308</v>
      </c>
      <c r="P1012" s="4" t="s">
        <v>2308</v>
      </c>
      <c r="Q1012" s="4" t="s">
        <v>2308</v>
      </c>
      <c r="R1012" s="4" t="s">
        <v>2308</v>
      </c>
      <c r="S1012" s="4" t="s">
        <v>2308</v>
      </c>
      <c r="T1012" s="4" t="s">
        <v>2308</v>
      </c>
      <c r="U1012" s="4" t="s">
        <v>2308</v>
      </c>
      <c r="V1012" s="4" t="s">
        <v>2308</v>
      </c>
      <c r="W1012" s="4" t="s">
        <v>2308</v>
      </c>
      <c r="X1012" s="4" t="s">
        <v>2308</v>
      </c>
      <c r="Y1012" s="4" t="s">
        <v>2308</v>
      </c>
      <c r="Z1012" s="4" t="s">
        <v>2308</v>
      </c>
      <c r="AA1012" s="5" t="s">
        <v>3197</v>
      </c>
      <c r="AB1012" s="4"/>
    </row>
    <row r="1013" spans="1:28" ht="42" customHeight="1">
      <c r="A1013" s="7" t="str">
        <f>'Reported burning'!A1013</f>
        <v>119c</v>
      </c>
      <c r="B1013" s="7" t="str">
        <f>'Reported burning'!B1013</f>
        <v>119c.1</v>
      </c>
      <c r="C1013" s="7" t="str">
        <f>'Reported burning'!C1013</f>
        <v>Human, deliberate</v>
      </c>
      <c r="D1013" s="7" t="str">
        <f>'Reported burning'!D1013</f>
        <v>Crop field preparation</v>
      </c>
      <c r="E1013" s="7" t="str">
        <f>'Reported burning'!E1013</f>
        <v>Cropping, Swidden</v>
      </c>
      <c r="F1013" s="7" t="str">
        <f>'Reported burning'!F1013</f>
        <v>Secondary Vegetation</v>
      </c>
      <c r="G1013" s="7" t="str">
        <f>'Reported burning'!G1013</f>
        <v>ND</v>
      </c>
      <c r="H1013" s="7" t="str">
        <f>'Reported burning'!H1013</f>
        <v>Presence</v>
      </c>
      <c r="I1013" s="4"/>
      <c r="J1013" s="4" t="s">
        <v>2308</v>
      </c>
      <c r="K1013" s="4" t="s">
        <v>2308</v>
      </c>
      <c r="L1013" s="4" t="s">
        <v>2308</v>
      </c>
      <c r="M1013" s="4" t="s">
        <v>2308</v>
      </c>
      <c r="N1013" s="4" t="s">
        <v>2308</v>
      </c>
      <c r="O1013" s="4" t="s">
        <v>2308</v>
      </c>
      <c r="P1013" s="4" t="s">
        <v>2308</v>
      </c>
      <c r="Q1013" s="4" t="s">
        <v>2308</v>
      </c>
      <c r="R1013" s="4" t="s">
        <v>2308</v>
      </c>
      <c r="S1013" s="4" t="s">
        <v>2308</v>
      </c>
      <c r="T1013" s="4" t="s">
        <v>2308</v>
      </c>
      <c r="U1013" s="4" t="s">
        <v>2308</v>
      </c>
      <c r="V1013" s="4" t="s">
        <v>2308</v>
      </c>
      <c r="W1013" s="4" t="s">
        <v>2435</v>
      </c>
      <c r="X1013" s="4" t="s">
        <v>2308</v>
      </c>
      <c r="Y1013" s="4" t="s">
        <v>2308</v>
      </c>
      <c r="Z1013" s="4" t="s">
        <v>2308</v>
      </c>
      <c r="AA1013" s="4"/>
      <c r="AB1013" s="4" t="s">
        <v>3180</v>
      </c>
    </row>
    <row r="1014" spans="1:28" ht="42" customHeight="1">
      <c r="A1014" s="7" t="str">
        <f>'Reported burning'!A1014</f>
        <v>119c</v>
      </c>
      <c r="B1014" s="7" t="str">
        <f>'Reported burning'!B1014</f>
        <v>119c.2</v>
      </c>
      <c r="C1014" s="7" t="str">
        <f>'Reported burning'!C1014</f>
        <v>Human, deliberate</v>
      </c>
      <c r="D1014" s="7" t="str">
        <f>'Reported burning'!D1014</f>
        <v>Hunting</v>
      </c>
      <c r="E1014" s="7" t="str">
        <f>'Reported burning'!E1014</f>
        <v>Forestry, Traditional</v>
      </c>
      <c r="F1014" s="7" t="str">
        <f>'Reported burning'!F1014</f>
        <v>Forest</v>
      </c>
      <c r="G1014" s="7" t="str">
        <f>'Reported burning'!G1014</f>
        <v>ND</v>
      </c>
      <c r="H1014" s="7" t="str">
        <f>'Reported burning'!H1014</f>
        <v>Presence</v>
      </c>
      <c r="I1014" s="4"/>
      <c r="J1014" s="4" t="s">
        <v>2308</v>
      </c>
      <c r="K1014" s="4" t="s">
        <v>2308</v>
      </c>
      <c r="L1014" s="4" t="s">
        <v>2308</v>
      </c>
      <c r="M1014" s="4" t="s">
        <v>2308</v>
      </c>
      <c r="N1014" s="4" t="s">
        <v>2308</v>
      </c>
      <c r="O1014" s="4" t="s">
        <v>2308</v>
      </c>
      <c r="P1014" s="4" t="s">
        <v>2308</v>
      </c>
      <c r="Q1014" s="4" t="s">
        <v>2308</v>
      </c>
      <c r="R1014" s="4" t="s">
        <v>2308</v>
      </c>
      <c r="S1014" s="4" t="s">
        <v>2308</v>
      </c>
      <c r="T1014" s="4" t="s">
        <v>2308</v>
      </c>
      <c r="U1014" s="4" t="s">
        <v>2308</v>
      </c>
      <c r="V1014" s="4" t="s">
        <v>2308</v>
      </c>
      <c r="W1014" s="4" t="s">
        <v>2308</v>
      </c>
      <c r="X1014" s="4" t="s">
        <v>2308</v>
      </c>
      <c r="Y1014" s="4" t="s">
        <v>2308</v>
      </c>
      <c r="Z1014" s="4" t="s">
        <v>2308</v>
      </c>
      <c r="AA1014" s="4"/>
      <c r="AB1014" s="4"/>
    </row>
    <row r="1015" spans="1:28" ht="42" customHeight="1">
      <c r="A1015" s="7" t="str">
        <f>'Reported burning'!A1015</f>
        <v>119c</v>
      </c>
      <c r="B1015" s="7" t="str">
        <f>'Reported burning'!B1015</f>
        <v>119c.3</v>
      </c>
      <c r="C1015" s="7" t="str">
        <f>'Reported burning'!C1015</f>
        <v>Human, deliberate</v>
      </c>
      <c r="D1015" s="7" t="str">
        <f>'Reported burning'!D1015</f>
        <v>Hunting</v>
      </c>
      <c r="E1015" s="7" t="str">
        <f>'Reported burning'!E1015</f>
        <v>Forestry, Traditional</v>
      </c>
      <c r="F1015" s="7" t="str">
        <f>'Reported burning'!F1015</f>
        <v>Shrubland (Mixed forest &amp; grassland)</v>
      </c>
      <c r="G1015" s="7" t="str">
        <f>'Reported burning'!G1015</f>
        <v>ND</v>
      </c>
      <c r="H1015" s="7" t="str">
        <f>'Reported burning'!H1015</f>
        <v>Presence</v>
      </c>
      <c r="I1015" s="4"/>
      <c r="J1015" s="4" t="s">
        <v>2308</v>
      </c>
      <c r="K1015" s="4" t="s">
        <v>2308</v>
      </c>
      <c r="L1015" s="4" t="s">
        <v>2308</v>
      </c>
      <c r="M1015" s="4" t="s">
        <v>2308</v>
      </c>
      <c r="N1015" s="4" t="s">
        <v>2308</v>
      </c>
      <c r="O1015" s="4" t="s">
        <v>2308</v>
      </c>
      <c r="P1015" s="4" t="s">
        <v>2308</v>
      </c>
      <c r="Q1015" s="4" t="s">
        <v>2308</v>
      </c>
      <c r="R1015" s="4" t="s">
        <v>2308</v>
      </c>
      <c r="S1015" s="4" t="s">
        <v>2308</v>
      </c>
      <c r="T1015" s="4" t="s">
        <v>2308</v>
      </c>
      <c r="U1015" s="4" t="s">
        <v>2308</v>
      </c>
      <c r="V1015" s="4" t="s">
        <v>2308</v>
      </c>
      <c r="W1015" s="4" t="s">
        <v>2308</v>
      </c>
      <c r="X1015" s="4" t="s">
        <v>2308</v>
      </c>
      <c r="Y1015" s="4" t="s">
        <v>2308</v>
      </c>
      <c r="Z1015" s="4" t="s">
        <v>2308</v>
      </c>
      <c r="AA1015" s="4"/>
      <c r="AB1015" s="4"/>
    </row>
    <row r="1016" spans="1:28" ht="42" customHeight="1">
      <c r="A1016" s="7" t="str">
        <f>'Reported burning'!A1016</f>
        <v>119c</v>
      </c>
      <c r="B1016" s="7" t="str">
        <f>'Reported burning'!B1016</f>
        <v>119c.4</v>
      </c>
      <c r="C1016" s="7" t="str">
        <f>'Reported burning'!C1016</f>
        <v>Human, deliberate</v>
      </c>
      <c r="D1016" s="7" t="str">
        <f>'Reported burning'!D1016</f>
        <v>Fishing</v>
      </c>
      <c r="E1016" s="7" t="str">
        <f>'Reported burning'!E1016</f>
        <v>Forestry, Traditional</v>
      </c>
      <c r="F1016" s="7" t="str">
        <f>'Reported burning'!F1016</f>
        <v>ND</v>
      </c>
      <c r="G1016" s="7" t="str">
        <f>'Reported burning'!G1016</f>
        <v>ND</v>
      </c>
      <c r="H1016" s="7" t="str">
        <f>'Reported burning'!H1016</f>
        <v>Presence</v>
      </c>
      <c r="I1016" s="4"/>
      <c r="J1016" s="4" t="s">
        <v>2308</v>
      </c>
      <c r="K1016" s="4" t="s">
        <v>2308</v>
      </c>
      <c r="L1016" s="4" t="s">
        <v>2308</v>
      </c>
      <c r="M1016" s="4" t="s">
        <v>2308</v>
      </c>
      <c r="N1016" s="4" t="s">
        <v>2308</v>
      </c>
      <c r="O1016" s="4" t="s">
        <v>2308</v>
      </c>
      <c r="P1016" s="4" t="s">
        <v>2308</v>
      </c>
      <c r="Q1016" s="4" t="s">
        <v>2308</v>
      </c>
      <c r="R1016" s="4" t="s">
        <v>2308</v>
      </c>
      <c r="S1016" s="4" t="s">
        <v>2308</v>
      </c>
      <c r="T1016" s="4" t="s">
        <v>2308</v>
      </c>
      <c r="U1016" s="4" t="s">
        <v>2308</v>
      </c>
      <c r="V1016" s="4" t="s">
        <v>2308</v>
      </c>
      <c r="W1016" s="4" t="s">
        <v>2308</v>
      </c>
      <c r="X1016" s="4" t="s">
        <v>2308</v>
      </c>
      <c r="Y1016" s="4" t="s">
        <v>2308</v>
      </c>
      <c r="Z1016" s="4" t="s">
        <v>2308</v>
      </c>
      <c r="AA1016" s="5" t="s">
        <v>3193</v>
      </c>
      <c r="AB1016" s="4"/>
    </row>
    <row r="1017" spans="1:28" ht="42" customHeight="1">
      <c r="A1017" s="7" t="str">
        <f>'Reported burning'!A1017</f>
        <v>119c</v>
      </c>
      <c r="B1017" s="7" t="str">
        <f>'Reported burning'!B1017</f>
        <v>119c.5</v>
      </c>
      <c r="C1017" s="7" t="str">
        <f>'Reported burning'!C1017</f>
        <v>Human, deliberate</v>
      </c>
      <c r="D1017" s="7" t="str">
        <f>'Reported burning'!D1017</f>
        <v>Pest management</v>
      </c>
      <c r="E1017" s="7" t="str">
        <f>'Reported burning'!E1017</f>
        <v>Forestry, Traditional</v>
      </c>
      <c r="F1017" s="7" t="str">
        <f>'Reported burning'!F1017</f>
        <v>ND</v>
      </c>
      <c r="G1017" s="7" t="str">
        <f>'Reported burning'!G1017</f>
        <v>ND</v>
      </c>
      <c r="H1017" s="7" t="str">
        <f>'Reported burning'!H1017</f>
        <v>Presence</v>
      </c>
      <c r="I1017" s="4"/>
      <c r="J1017" s="4" t="s">
        <v>2308</v>
      </c>
      <c r="K1017" s="4" t="s">
        <v>2308</v>
      </c>
      <c r="L1017" s="4" t="s">
        <v>2308</v>
      </c>
      <c r="M1017" s="4" t="s">
        <v>2308</v>
      </c>
      <c r="N1017" s="4" t="s">
        <v>2308</v>
      </c>
      <c r="O1017" s="4" t="s">
        <v>2308</v>
      </c>
      <c r="P1017" s="4" t="s">
        <v>2308</v>
      </c>
      <c r="Q1017" s="4" t="s">
        <v>2308</v>
      </c>
      <c r="R1017" s="4" t="s">
        <v>2308</v>
      </c>
      <c r="S1017" s="4" t="s">
        <v>2308</v>
      </c>
      <c r="T1017" s="4" t="s">
        <v>2308</v>
      </c>
      <c r="U1017" s="4" t="s">
        <v>2308</v>
      </c>
      <c r="V1017" s="4" t="s">
        <v>2308</v>
      </c>
      <c r="W1017" s="4" t="s">
        <v>2308</v>
      </c>
      <c r="X1017" s="4" t="s">
        <v>2308</v>
      </c>
      <c r="Y1017" s="4" t="s">
        <v>2308</v>
      </c>
      <c r="Z1017" s="4" t="s">
        <v>2308</v>
      </c>
      <c r="AA1017" s="4"/>
      <c r="AB1017" s="4"/>
    </row>
    <row r="1018" spans="1:28" ht="42" customHeight="1">
      <c r="A1018" s="7" t="str">
        <f>'Reported burning'!A1018</f>
        <v>119c</v>
      </c>
      <c r="B1018" s="7" t="str">
        <f>'Reported burning'!B1018</f>
        <v>119c.6</v>
      </c>
      <c r="C1018" s="7" t="str">
        <f>'Reported burning'!C1018</f>
        <v>Human, deliberate</v>
      </c>
      <c r="D1018" s="7" t="str">
        <f>'Reported burning'!D1018</f>
        <v>Accessibility</v>
      </c>
      <c r="E1018" s="7" t="str">
        <f>'Reported burning'!E1018</f>
        <v>Forestry, Traditional</v>
      </c>
      <c r="F1018" s="7" t="str">
        <f>'Reported burning'!F1018</f>
        <v>ND</v>
      </c>
      <c r="G1018" s="7" t="str">
        <f>'Reported burning'!G1018</f>
        <v>ND</v>
      </c>
      <c r="H1018" s="7" t="str">
        <f>'Reported burning'!H1018</f>
        <v>Presence</v>
      </c>
      <c r="I1018" s="4"/>
      <c r="J1018" s="4" t="s">
        <v>2308</v>
      </c>
      <c r="K1018" s="4" t="s">
        <v>2308</v>
      </c>
      <c r="L1018" s="4" t="s">
        <v>2308</v>
      </c>
      <c r="M1018" s="4" t="s">
        <v>2308</v>
      </c>
      <c r="N1018" s="4" t="s">
        <v>2308</v>
      </c>
      <c r="O1018" s="4" t="s">
        <v>2308</v>
      </c>
      <c r="P1018" s="4" t="s">
        <v>2308</v>
      </c>
      <c r="Q1018" s="4" t="s">
        <v>2308</v>
      </c>
      <c r="R1018" s="4" t="s">
        <v>2308</v>
      </c>
      <c r="S1018" s="4" t="s">
        <v>2308</v>
      </c>
      <c r="T1018" s="4" t="s">
        <v>2308</v>
      </c>
      <c r="U1018" s="4" t="s">
        <v>2308</v>
      </c>
      <c r="V1018" s="4" t="s">
        <v>2308</v>
      </c>
      <c r="W1018" s="4" t="s">
        <v>2308</v>
      </c>
      <c r="X1018" s="4" t="s">
        <v>2308</v>
      </c>
      <c r="Y1018" s="4" t="s">
        <v>2308</v>
      </c>
      <c r="Z1018" s="4" t="s">
        <v>2308</v>
      </c>
      <c r="AA1018" s="4"/>
      <c r="AB1018" s="4"/>
    </row>
    <row r="1019" spans="1:28" ht="42" customHeight="1">
      <c r="A1019" s="7" t="str">
        <f>'Reported burning'!A1019</f>
        <v>119c</v>
      </c>
      <c r="B1019" s="7" t="str">
        <f>'Reported burning'!B1019</f>
        <v>119c.7</v>
      </c>
      <c r="C1019" s="7" t="str">
        <f>'Reported burning'!C1019</f>
        <v>Human, deliberate</v>
      </c>
      <c r="D1019" s="7" t="str">
        <f>'Reported burning'!D1019</f>
        <v>Cultural &amp; Spiritual</v>
      </c>
      <c r="E1019" s="7" t="str">
        <f>'Reported burning'!E1019</f>
        <v>Forestry, Traditional</v>
      </c>
      <c r="F1019" s="7" t="str">
        <f>'Reported burning'!F1019</f>
        <v>ND</v>
      </c>
      <c r="G1019" s="7" t="str">
        <f>'Reported burning'!G1019</f>
        <v>ND</v>
      </c>
      <c r="H1019" s="7" t="str">
        <f>'Reported burning'!H1019</f>
        <v>Presence</v>
      </c>
      <c r="I1019" s="4"/>
      <c r="J1019" s="4" t="s">
        <v>2308</v>
      </c>
      <c r="K1019" s="4" t="s">
        <v>2308</v>
      </c>
      <c r="L1019" s="4" t="s">
        <v>2308</v>
      </c>
      <c r="M1019" s="4" t="s">
        <v>2308</v>
      </c>
      <c r="N1019" s="4" t="s">
        <v>2308</v>
      </c>
      <c r="O1019" s="4" t="s">
        <v>2308</v>
      </c>
      <c r="P1019" s="4" t="s">
        <v>2308</v>
      </c>
      <c r="Q1019" s="4" t="s">
        <v>2308</v>
      </c>
      <c r="R1019" s="4" t="s">
        <v>2308</v>
      </c>
      <c r="S1019" s="4" t="s">
        <v>2308</v>
      </c>
      <c r="T1019" s="4" t="s">
        <v>2308</v>
      </c>
      <c r="U1019" s="4" t="s">
        <v>2308</v>
      </c>
      <c r="V1019" s="4" t="s">
        <v>2308</v>
      </c>
      <c r="W1019" s="4" t="s">
        <v>2308</v>
      </c>
      <c r="X1019" s="4" t="s">
        <v>2308</v>
      </c>
      <c r="Y1019" s="4" t="s">
        <v>2308</v>
      </c>
      <c r="Z1019" s="4" t="s">
        <v>2308</v>
      </c>
      <c r="AA1019" s="4"/>
      <c r="AB1019" s="4"/>
    </row>
    <row r="1020" spans="1:28" ht="42" customHeight="1">
      <c r="A1020" s="7" t="str">
        <f>'Reported burning'!A1020</f>
        <v>119c</v>
      </c>
      <c r="B1020" s="7" t="str">
        <f>'Reported burning'!B1020</f>
        <v>119c.8</v>
      </c>
      <c r="C1020" s="7" t="str">
        <f>'Reported burning'!C1020</f>
        <v>Human, deliberate</v>
      </c>
      <c r="D1020" s="7" t="str">
        <f>'Reported burning'!D1020</f>
        <v>Domestic</v>
      </c>
      <c r="E1020" s="7" t="str">
        <f>'Reported burning'!E1020</f>
        <v>Forestry, Traditional</v>
      </c>
      <c r="F1020" s="7" t="str">
        <f>'Reported burning'!F1020</f>
        <v>ND</v>
      </c>
      <c r="G1020" s="7" t="str">
        <f>'Reported burning'!G1020</f>
        <v>ND</v>
      </c>
      <c r="H1020" s="7" t="str">
        <f>'Reported burning'!H1020</f>
        <v>Presence</v>
      </c>
      <c r="I1020" s="4"/>
      <c r="J1020" s="4" t="s">
        <v>2308</v>
      </c>
      <c r="K1020" s="4" t="s">
        <v>2308</v>
      </c>
      <c r="L1020" s="4" t="s">
        <v>2308</v>
      </c>
      <c r="M1020" s="4" t="s">
        <v>2308</v>
      </c>
      <c r="N1020" s="4" t="s">
        <v>2308</v>
      </c>
      <c r="O1020" s="4" t="s">
        <v>2308</v>
      </c>
      <c r="P1020" s="4" t="s">
        <v>2308</v>
      </c>
      <c r="Q1020" s="4" t="s">
        <v>2308</v>
      </c>
      <c r="R1020" s="4" t="s">
        <v>2308</v>
      </c>
      <c r="S1020" s="4" t="s">
        <v>2308</v>
      </c>
      <c r="T1020" s="4" t="s">
        <v>2308</v>
      </c>
      <c r="U1020" s="4" t="s">
        <v>2308</v>
      </c>
      <c r="V1020" s="4" t="s">
        <v>2308</v>
      </c>
      <c r="W1020" s="4" t="s">
        <v>2308</v>
      </c>
      <c r="X1020" s="4" t="s">
        <v>2308</v>
      </c>
      <c r="Y1020" s="4" t="s">
        <v>2308</v>
      </c>
      <c r="Z1020" s="4" t="s">
        <v>2308</v>
      </c>
      <c r="AA1020" s="4"/>
      <c r="AB1020" s="4"/>
    </row>
    <row r="1021" spans="1:28" ht="42" customHeight="1">
      <c r="A1021" s="7" t="str">
        <f>'Reported burning'!A1021</f>
        <v>119c</v>
      </c>
      <c r="B1021" s="7" t="str">
        <f>'Reported burning'!B1021</f>
        <v>119c.9</v>
      </c>
      <c r="C1021" s="7" t="str">
        <f>'Reported burning'!C1021</f>
        <v>Human, deliberate</v>
      </c>
      <c r="D1021" s="7" t="str">
        <f>'Reported burning'!D1021</f>
        <v>Pest management</v>
      </c>
      <c r="E1021" s="7" t="str">
        <f>'Reported burning'!E1021</f>
        <v>Cropping, Swidden</v>
      </c>
      <c r="F1021" s="7" t="str">
        <f>'Reported burning'!F1021</f>
        <v>ND</v>
      </c>
      <c r="G1021" s="7" t="str">
        <f>'Reported burning'!G1021</f>
        <v>ND</v>
      </c>
      <c r="H1021" s="7" t="str">
        <f>'Reported burning'!H1021</f>
        <v>Presence</v>
      </c>
      <c r="I1021" s="4"/>
      <c r="J1021" s="4" t="s">
        <v>2308</v>
      </c>
      <c r="K1021" s="4" t="s">
        <v>2308</v>
      </c>
      <c r="L1021" s="4" t="s">
        <v>2308</v>
      </c>
      <c r="M1021" s="4" t="s">
        <v>2308</v>
      </c>
      <c r="N1021" s="4" t="s">
        <v>2308</v>
      </c>
      <c r="O1021" s="4" t="s">
        <v>2308</v>
      </c>
      <c r="P1021" s="4" t="s">
        <v>2308</v>
      </c>
      <c r="Q1021" s="4" t="s">
        <v>2308</v>
      </c>
      <c r="R1021" s="4" t="s">
        <v>2308</v>
      </c>
      <c r="S1021" s="4" t="s">
        <v>2308</v>
      </c>
      <c r="T1021" s="4" t="s">
        <v>2308</v>
      </c>
      <c r="U1021" s="4" t="s">
        <v>2308</v>
      </c>
      <c r="V1021" s="4" t="s">
        <v>2308</v>
      </c>
      <c r="W1021" s="4" t="s">
        <v>2308</v>
      </c>
      <c r="X1021" s="4" t="s">
        <v>2308</v>
      </c>
      <c r="Y1021" s="4" t="s">
        <v>2308</v>
      </c>
      <c r="Z1021" s="4" t="s">
        <v>2308</v>
      </c>
      <c r="AA1021" s="4"/>
      <c r="AB1021" s="4"/>
    </row>
    <row r="1022" spans="1:28" ht="42" customHeight="1">
      <c r="A1022" s="7" t="str">
        <f>'Reported burning'!A1022</f>
        <v>119c</v>
      </c>
      <c r="B1022" s="7" t="str">
        <f>'Reported burning'!B1022</f>
        <v>119c.10</v>
      </c>
      <c r="C1022" s="7" t="str">
        <f>'Reported burning'!C1022</f>
        <v>Human, deliberate</v>
      </c>
      <c r="D1022" s="7" t="str">
        <f>'Reported burning'!D1022</f>
        <v>Accessibility</v>
      </c>
      <c r="E1022" s="7" t="str">
        <f>'Reported burning'!E1022</f>
        <v>Cropping, Swidden</v>
      </c>
      <c r="F1022" s="7" t="str">
        <f>'Reported burning'!F1022</f>
        <v>ND</v>
      </c>
      <c r="G1022" s="7" t="str">
        <f>'Reported burning'!G1022</f>
        <v>ND</v>
      </c>
      <c r="H1022" s="7" t="str">
        <f>'Reported burning'!H1022</f>
        <v>Presence</v>
      </c>
      <c r="I1022" s="4"/>
      <c r="J1022" s="4" t="s">
        <v>2308</v>
      </c>
      <c r="K1022" s="4" t="s">
        <v>2308</v>
      </c>
      <c r="L1022" s="4" t="s">
        <v>2308</v>
      </c>
      <c r="M1022" s="4" t="s">
        <v>2308</v>
      </c>
      <c r="N1022" s="4" t="s">
        <v>2308</v>
      </c>
      <c r="O1022" s="4" t="s">
        <v>2308</v>
      </c>
      <c r="P1022" s="4" t="s">
        <v>2308</v>
      </c>
      <c r="Q1022" s="4" t="s">
        <v>2308</v>
      </c>
      <c r="R1022" s="4" t="s">
        <v>2308</v>
      </c>
      <c r="S1022" s="4" t="s">
        <v>2308</v>
      </c>
      <c r="T1022" s="4" t="s">
        <v>2308</v>
      </c>
      <c r="U1022" s="4" t="s">
        <v>2308</v>
      </c>
      <c r="V1022" s="4" t="s">
        <v>2308</v>
      </c>
      <c r="W1022" s="4" t="s">
        <v>2308</v>
      </c>
      <c r="X1022" s="4" t="s">
        <v>2308</v>
      </c>
      <c r="Y1022" s="4" t="s">
        <v>2308</v>
      </c>
      <c r="Z1022" s="4" t="s">
        <v>2308</v>
      </c>
      <c r="AA1022" s="4"/>
      <c r="AB1022" s="4"/>
    </row>
    <row r="1023" spans="1:28" ht="42" customHeight="1">
      <c r="A1023" s="7" t="str">
        <f>'Reported burning'!A1023</f>
        <v>119c</v>
      </c>
      <c r="B1023" s="7" t="str">
        <f>'Reported burning'!B1023</f>
        <v>119c.11</v>
      </c>
      <c r="C1023" s="7" t="str">
        <f>'Reported burning'!C1023</f>
        <v>Human, deliberate</v>
      </c>
      <c r="D1023" s="7" t="str">
        <f>'Reported burning'!D1023</f>
        <v>Cultural &amp; Spiritual</v>
      </c>
      <c r="E1023" s="7" t="str">
        <f>'Reported burning'!E1023</f>
        <v>Cropping, Swidden</v>
      </c>
      <c r="F1023" s="7" t="str">
        <f>'Reported burning'!F1023</f>
        <v>ND</v>
      </c>
      <c r="G1023" s="7" t="str">
        <f>'Reported burning'!G1023</f>
        <v>ND</v>
      </c>
      <c r="H1023" s="7" t="str">
        <f>'Reported burning'!H1023</f>
        <v>Presence</v>
      </c>
      <c r="I1023" s="4"/>
      <c r="J1023" s="4" t="s">
        <v>2308</v>
      </c>
      <c r="K1023" s="4" t="s">
        <v>2308</v>
      </c>
      <c r="L1023" s="4" t="s">
        <v>2308</v>
      </c>
      <c r="M1023" s="4" t="s">
        <v>2308</v>
      </c>
      <c r="N1023" s="4" t="s">
        <v>2308</v>
      </c>
      <c r="O1023" s="4" t="s">
        <v>2308</v>
      </c>
      <c r="P1023" s="4" t="s">
        <v>2308</v>
      </c>
      <c r="Q1023" s="4" t="s">
        <v>2308</v>
      </c>
      <c r="R1023" s="4" t="s">
        <v>2308</v>
      </c>
      <c r="S1023" s="4" t="s">
        <v>2308</v>
      </c>
      <c r="T1023" s="4" t="s">
        <v>2308</v>
      </c>
      <c r="U1023" s="4" t="s">
        <v>2308</v>
      </c>
      <c r="V1023" s="4" t="s">
        <v>2308</v>
      </c>
      <c r="W1023" s="4" t="s">
        <v>2308</v>
      </c>
      <c r="X1023" s="4" t="s">
        <v>2308</v>
      </c>
      <c r="Y1023" s="4" t="s">
        <v>2308</v>
      </c>
      <c r="Z1023" s="4" t="s">
        <v>2308</v>
      </c>
      <c r="AA1023" s="4"/>
      <c r="AB1023" s="4"/>
    </row>
    <row r="1024" spans="1:28" ht="42" customHeight="1">
      <c r="A1024" s="7" t="str">
        <f>'Reported burning'!A1024</f>
        <v>119c</v>
      </c>
      <c r="B1024" s="7" t="str">
        <f>'Reported burning'!B1024</f>
        <v>119c.12</v>
      </c>
      <c r="C1024" s="7" t="str">
        <f>'Reported burning'!C1024</f>
        <v>Human, deliberate</v>
      </c>
      <c r="D1024" s="7" t="str">
        <f>'Reported burning'!D1024</f>
        <v>Domestic</v>
      </c>
      <c r="E1024" s="7" t="str">
        <f>'Reported burning'!E1024</f>
        <v>Cropping, Swidden</v>
      </c>
      <c r="F1024" s="7" t="str">
        <f>'Reported burning'!F1024</f>
        <v>ND</v>
      </c>
      <c r="G1024" s="7" t="str">
        <f>'Reported burning'!G1024</f>
        <v>ND</v>
      </c>
      <c r="H1024" s="7" t="str">
        <f>'Reported burning'!H1024</f>
        <v>Presence</v>
      </c>
      <c r="I1024" s="4"/>
      <c r="J1024" s="4" t="s">
        <v>2308</v>
      </c>
      <c r="K1024" s="4" t="s">
        <v>2308</v>
      </c>
      <c r="L1024" s="4" t="s">
        <v>2308</v>
      </c>
      <c r="M1024" s="4" t="s">
        <v>2308</v>
      </c>
      <c r="N1024" s="4" t="s">
        <v>2308</v>
      </c>
      <c r="O1024" s="4" t="s">
        <v>2308</v>
      </c>
      <c r="P1024" s="4" t="s">
        <v>2308</v>
      </c>
      <c r="Q1024" s="4" t="s">
        <v>2308</v>
      </c>
      <c r="R1024" s="4" t="s">
        <v>2308</v>
      </c>
      <c r="S1024" s="4" t="s">
        <v>2308</v>
      </c>
      <c r="T1024" s="4" t="s">
        <v>2308</v>
      </c>
      <c r="U1024" s="4" t="s">
        <v>2308</v>
      </c>
      <c r="V1024" s="4" t="s">
        <v>2308</v>
      </c>
      <c r="W1024" s="4" t="s">
        <v>2308</v>
      </c>
      <c r="X1024" s="4" t="s">
        <v>2308</v>
      </c>
      <c r="Y1024" s="4" t="s">
        <v>2308</v>
      </c>
      <c r="Z1024" s="4" t="s">
        <v>2308</v>
      </c>
      <c r="AA1024" s="4"/>
      <c r="AB1024" s="4"/>
    </row>
    <row r="1025" spans="1:28" ht="42" customHeight="1">
      <c r="A1025" s="7" t="str">
        <f>'Reported burning'!A1025</f>
        <v>119c</v>
      </c>
      <c r="B1025" s="7" t="str">
        <f>'Reported burning'!B1025</f>
        <v>119c.13</v>
      </c>
      <c r="C1025" s="7" t="str">
        <f>'Reported burning'!C1025</f>
        <v>Human, deliberate</v>
      </c>
      <c r="D1025" s="7" t="str">
        <f>'Reported burning'!D1025</f>
        <v>Pyrome management</v>
      </c>
      <c r="E1025" s="7" t="str">
        <f>'Reported burning'!E1025</f>
        <v>Forestry, Traditional</v>
      </c>
      <c r="F1025" s="7" t="str">
        <f>'Reported burning'!F1025</f>
        <v>Shrubland (Mixed forest &amp; grassland)</v>
      </c>
      <c r="G1025" s="7" t="str">
        <f>'Reported burning'!G1025</f>
        <v>ND</v>
      </c>
      <c r="H1025" s="7" t="str">
        <f>'Reported burning'!H1025</f>
        <v>Presence</v>
      </c>
      <c r="I1025" s="4"/>
      <c r="J1025" s="4" t="s">
        <v>2308</v>
      </c>
      <c r="K1025" s="4" t="s">
        <v>2308</v>
      </c>
      <c r="L1025" s="4" t="s">
        <v>2308</v>
      </c>
      <c r="M1025" s="4" t="s">
        <v>2308</v>
      </c>
      <c r="N1025" s="4" t="s">
        <v>2308</v>
      </c>
      <c r="O1025" s="4" t="s">
        <v>2308</v>
      </c>
      <c r="P1025" s="4" t="s">
        <v>2308</v>
      </c>
      <c r="Q1025" s="4" t="s">
        <v>2308</v>
      </c>
      <c r="R1025" s="4" t="s">
        <v>2308</v>
      </c>
      <c r="S1025" s="4" t="s">
        <v>2308</v>
      </c>
      <c r="T1025" s="4" t="s">
        <v>2308</v>
      </c>
      <c r="U1025" s="4" t="s">
        <v>2308</v>
      </c>
      <c r="V1025" s="4" t="s">
        <v>2308</v>
      </c>
      <c r="W1025" s="4" t="s">
        <v>2308</v>
      </c>
      <c r="X1025" s="4" t="s">
        <v>2308</v>
      </c>
      <c r="Y1025" s="4" t="s">
        <v>2308</v>
      </c>
      <c r="Z1025" s="4" t="s">
        <v>2308</v>
      </c>
      <c r="AA1025" s="4"/>
      <c r="AB1025" s="4"/>
    </row>
    <row r="1026" spans="1:28" ht="42" customHeight="1">
      <c r="A1026" s="7" t="str">
        <f>'Reported burning'!A1026</f>
        <v>119c</v>
      </c>
      <c r="B1026" s="7" t="str">
        <f>'Reported burning'!B1026</f>
        <v>119c.14</v>
      </c>
      <c r="C1026" s="7" t="str">
        <f>'Reported burning'!C1026</f>
        <v>Human, deliberate</v>
      </c>
      <c r="D1026" s="7" t="str">
        <f>'Reported burning'!D1026</f>
        <v>Pyrome management</v>
      </c>
      <c r="E1026" s="7" t="str">
        <f>'Reported burning'!E1026</f>
        <v>Cropping, Swidden</v>
      </c>
      <c r="F1026" s="7" t="str">
        <f>'Reported burning'!F1026</f>
        <v>Shrubland (Mixed forest &amp; grassland)</v>
      </c>
      <c r="G1026" s="7" t="str">
        <f>'Reported burning'!G1026</f>
        <v>ND</v>
      </c>
      <c r="H1026" s="7" t="str">
        <f>'Reported burning'!H1026</f>
        <v>Presence</v>
      </c>
      <c r="I1026" s="4"/>
      <c r="J1026" s="4" t="s">
        <v>2308</v>
      </c>
      <c r="K1026" s="4" t="s">
        <v>2308</v>
      </c>
      <c r="L1026" s="4" t="s">
        <v>2308</v>
      </c>
      <c r="M1026" s="4" t="s">
        <v>2308</v>
      </c>
      <c r="N1026" s="4" t="s">
        <v>2308</v>
      </c>
      <c r="O1026" s="4" t="s">
        <v>2308</v>
      </c>
      <c r="P1026" s="4" t="s">
        <v>2308</v>
      </c>
      <c r="Q1026" s="4" t="s">
        <v>2308</v>
      </c>
      <c r="R1026" s="4" t="s">
        <v>2308</v>
      </c>
      <c r="S1026" s="4" t="s">
        <v>2308</v>
      </c>
      <c r="T1026" s="4" t="s">
        <v>2308</v>
      </c>
      <c r="U1026" s="4" t="s">
        <v>2308</v>
      </c>
      <c r="V1026" s="4" t="s">
        <v>2308</v>
      </c>
      <c r="W1026" s="4" t="s">
        <v>2308</v>
      </c>
      <c r="X1026" s="4" t="s">
        <v>2308</v>
      </c>
      <c r="Y1026" s="4" t="s">
        <v>2308</v>
      </c>
      <c r="Z1026" s="4" t="s">
        <v>2308</v>
      </c>
      <c r="AA1026" s="4"/>
      <c r="AB1026" s="4"/>
    </row>
    <row r="1027" spans="1:28" ht="42" customHeight="1">
      <c r="A1027" s="7" t="str">
        <f>'Reported burning'!A1027</f>
        <v>119d</v>
      </c>
      <c r="B1027" s="7" t="str">
        <f>'Reported burning'!B1027</f>
        <v>119d.1</v>
      </c>
      <c r="C1027" s="7" t="str">
        <f>'Reported burning'!C1027</f>
        <v>Human, deliberate</v>
      </c>
      <c r="D1027" s="7" t="str">
        <f>'Reported burning'!D1027</f>
        <v>Crop field preparation</v>
      </c>
      <c r="E1027" s="7" t="str">
        <f>'Reported burning'!E1027</f>
        <v>Cropping, Swidden</v>
      </c>
      <c r="F1027" s="7" t="str">
        <f>'Reported burning'!F1027</f>
        <v>Secondary Vegetation</v>
      </c>
      <c r="G1027" s="7" t="str">
        <f>'Reported burning'!G1027</f>
        <v>ND</v>
      </c>
      <c r="H1027" s="7" t="str">
        <f>'Reported burning'!H1027</f>
        <v>Presence</v>
      </c>
      <c r="I1027" s="4"/>
      <c r="J1027" s="4" t="s">
        <v>2308</v>
      </c>
      <c r="K1027" s="4" t="s">
        <v>2308</v>
      </c>
      <c r="L1027" s="4" t="s">
        <v>2308</v>
      </c>
      <c r="M1027" s="4" t="s">
        <v>2308</v>
      </c>
      <c r="N1027" s="4" t="s">
        <v>2308</v>
      </c>
      <c r="O1027" s="4" t="s">
        <v>2308</v>
      </c>
      <c r="P1027" s="4" t="s">
        <v>2308</v>
      </c>
      <c r="Q1027" s="4" t="s">
        <v>2308</v>
      </c>
      <c r="R1027" s="4" t="s">
        <v>2308</v>
      </c>
      <c r="S1027" s="4" t="s">
        <v>2308</v>
      </c>
      <c r="T1027" s="4" t="s">
        <v>2308</v>
      </c>
      <c r="U1027" s="4" t="s">
        <v>2308</v>
      </c>
      <c r="V1027" s="4" t="s">
        <v>2308</v>
      </c>
      <c r="W1027" s="4" t="s">
        <v>2308</v>
      </c>
      <c r="X1027" s="4" t="s">
        <v>2308</v>
      </c>
      <c r="Y1027" s="4" t="s">
        <v>2308</v>
      </c>
      <c r="Z1027" s="4" t="s">
        <v>2308</v>
      </c>
      <c r="AA1027" s="4"/>
      <c r="AB1027" s="4"/>
    </row>
    <row r="1028" spans="1:28" ht="42" customHeight="1">
      <c r="A1028" s="7" t="str">
        <f>'Reported burning'!A1028</f>
        <v>119d</v>
      </c>
      <c r="B1028" s="7" t="str">
        <f>'Reported burning'!B1028</f>
        <v>119d.2</v>
      </c>
      <c r="C1028" s="7" t="str">
        <f>'Reported burning'!C1028</f>
        <v>Human, deliberate</v>
      </c>
      <c r="D1028" s="7" t="str">
        <f>'Reported burning'!D1028</f>
        <v>Hunting</v>
      </c>
      <c r="E1028" s="7" t="str">
        <f>'Reported burning'!E1028</f>
        <v>Forestry, Traditional</v>
      </c>
      <c r="F1028" s="7" t="str">
        <f>'Reported burning'!F1028</f>
        <v>Forest</v>
      </c>
      <c r="G1028" s="7" t="str">
        <f>'Reported burning'!G1028</f>
        <v>ND</v>
      </c>
      <c r="H1028" s="7" t="str">
        <f>'Reported burning'!H1028</f>
        <v>Presence</v>
      </c>
      <c r="I1028" s="4"/>
      <c r="J1028" s="4" t="s">
        <v>2308</v>
      </c>
      <c r="K1028" s="4" t="s">
        <v>2308</v>
      </c>
      <c r="L1028" s="4" t="s">
        <v>2308</v>
      </c>
      <c r="M1028" s="4" t="s">
        <v>2308</v>
      </c>
      <c r="N1028" s="4" t="s">
        <v>2308</v>
      </c>
      <c r="O1028" s="4" t="s">
        <v>2308</v>
      </c>
      <c r="P1028" s="4" t="s">
        <v>2308</v>
      </c>
      <c r="Q1028" s="4" t="s">
        <v>2308</v>
      </c>
      <c r="R1028" s="4" t="s">
        <v>2308</v>
      </c>
      <c r="S1028" s="4" t="s">
        <v>2308</v>
      </c>
      <c r="T1028" s="4" t="s">
        <v>2308</v>
      </c>
      <c r="U1028" s="4" t="s">
        <v>2308</v>
      </c>
      <c r="V1028" s="4" t="s">
        <v>2308</v>
      </c>
      <c r="W1028" s="4" t="s">
        <v>2435</v>
      </c>
      <c r="X1028" s="4" t="s">
        <v>2308</v>
      </c>
      <c r="Y1028" s="4" t="s">
        <v>2308</v>
      </c>
      <c r="Z1028" s="4" t="s">
        <v>2308</v>
      </c>
      <c r="AA1028" s="4"/>
      <c r="AB1028" s="4" t="s">
        <v>3180</v>
      </c>
    </row>
    <row r="1029" spans="1:28" ht="42" customHeight="1">
      <c r="A1029" s="7" t="str">
        <f>'Reported burning'!A1029</f>
        <v>119d</v>
      </c>
      <c r="B1029" s="7" t="str">
        <f>'Reported burning'!B1029</f>
        <v>119d.3</v>
      </c>
      <c r="C1029" s="7" t="str">
        <f>'Reported burning'!C1029</f>
        <v>Human, deliberate</v>
      </c>
      <c r="D1029" s="7" t="str">
        <f>'Reported burning'!D1029</f>
        <v>Hunting</v>
      </c>
      <c r="E1029" s="7" t="str">
        <f>'Reported burning'!E1029</f>
        <v>Forestry, Traditional</v>
      </c>
      <c r="F1029" s="7" t="str">
        <f>'Reported burning'!F1029</f>
        <v>Shrubland (Mixed forest &amp; grassland)</v>
      </c>
      <c r="G1029" s="7" t="str">
        <f>'Reported burning'!G1029</f>
        <v>ND</v>
      </c>
      <c r="H1029" s="7" t="str">
        <f>'Reported burning'!H1029</f>
        <v>Presence</v>
      </c>
      <c r="I1029" s="4"/>
      <c r="J1029" s="4" t="s">
        <v>2308</v>
      </c>
      <c r="K1029" s="4" t="s">
        <v>2308</v>
      </c>
      <c r="L1029" s="4" t="s">
        <v>2308</v>
      </c>
      <c r="M1029" s="4" t="s">
        <v>2308</v>
      </c>
      <c r="N1029" s="4" t="s">
        <v>2308</v>
      </c>
      <c r="O1029" s="4" t="s">
        <v>2308</v>
      </c>
      <c r="P1029" s="4" t="s">
        <v>2308</v>
      </c>
      <c r="Q1029" s="4" t="s">
        <v>2308</v>
      </c>
      <c r="R1029" s="4" t="s">
        <v>2308</v>
      </c>
      <c r="S1029" s="4" t="s">
        <v>2308</v>
      </c>
      <c r="T1029" s="4" t="s">
        <v>2308</v>
      </c>
      <c r="U1029" s="4" t="s">
        <v>2308</v>
      </c>
      <c r="V1029" s="4" t="s">
        <v>2308</v>
      </c>
      <c r="W1029" s="4" t="s">
        <v>2308</v>
      </c>
      <c r="X1029" s="4" t="s">
        <v>2308</v>
      </c>
      <c r="Y1029" s="4" t="s">
        <v>2308</v>
      </c>
      <c r="Z1029" s="4" t="s">
        <v>2308</v>
      </c>
      <c r="AA1029" s="4"/>
      <c r="AB1029" s="4"/>
    </row>
    <row r="1030" spans="1:28" ht="42" customHeight="1">
      <c r="A1030" s="7" t="str">
        <f>'Reported burning'!A1030</f>
        <v>119d</v>
      </c>
      <c r="B1030" s="7" t="str">
        <f>'Reported burning'!B1030</f>
        <v>119d.4</v>
      </c>
      <c r="C1030" s="7" t="str">
        <f>'Reported burning'!C1030</f>
        <v>Human, deliberate</v>
      </c>
      <c r="D1030" s="7" t="str">
        <f>'Reported burning'!D1030</f>
        <v>Fishing</v>
      </c>
      <c r="E1030" s="7" t="str">
        <f>'Reported burning'!E1030</f>
        <v>Forestry, Traditional</v>
      </c>
      <c r="F1030" s="7" t="str">
        <f>'Reported burning'!F1030</f>
        <v>ND</v>
      </c>
      <c r="G1030" s="7" t="str">
        <f>'Reported burning'!G1030</f>
        <v>ND</v>
      </c>
      <c r="H1030" s="7" t="str">
        <f>'Reported burning'!H1030</f>
        <v>Presence</v>
      </c>
      <c r="I1030" s="4"/>
      <c r="J1030" s="4" t="s">
        <v>2308</v>
      </c>
      <c r="K1030" s="4" t="s">
        <v>2308</v>
      </c>
      <c r="L1030" s="4" t="s">
        <v>2308</v>
      </c>
      <c r="M1030" s="4" t="s">
        <v>2308</v>
      </c>
      <c r="N1030" s="4" t="s">
        <v>2308</v>
      </c>
      <c r="O1030" s="4" t="s">
        <v>2308</v>
      </c>
      <c r="P1030" s="4" t="s">
        <v>2308</v>
      </c>
      <c r="Q1030" s="4" t="s">
        <v>2308</v>
      </c>
      <c r="R1030" s="4" t="s">
        <v>2308</v>
      </c>
      <c r="S1030" s="4" t="s">
        <v>2308</v>
      </c>
      <c r="T1030" s="4" t="s">
        <v>2308</v>
      </c>
      <c r="U1030" s="4" t="s">
        <v>2308</v>
      </c>
      <c r="V1030" s="4" t="s">
        <v>2308</v>
      </c>
      <c r="W1030" s="4" t="s">
        <v>2308</v>
      </c>
      <c r="X1030" s="4" t="s">
        <v>2308</v>
      </c>
      <c r="Y1030" s="4" t="s">
        <v>2308</v>
      </c>
      <c r="Z1030" s="4" t="s">
        <v>2308</v>
      </c>
      <c r="AA1030" s="4"/>
      <c r="AB1030" s="4"/>
    </row>
    <row r="1031" spans="1:28" ht="42" customHeight="1">
      <c r="A1031" s="7" t="str">
        <f>'Reported burning'!A1031</f>
        <v>119d</v>
      </c>
      <c r="B1031" s="7" t="str">
        <f>'Reported burning'!B1031</f>
        <v>119d.5</v>
      </c>
      <c r="C1031" s="7" t="str">
        <f>'Reported burning'!C1031</f>
        <v>Human, deliberate</v>
      </c>
      <c r="D1031" s="7" t="str">
        <f>'Reported burning'!D1031</f>
        <v>Pest management</v>
      </c>
      <c r="E1031" s="7" t="str">
        <f>'Reported burning'!E1031</f>
        <v>Forestry, Traditional</v>
      </c>
      <c r="F1031" s="7" t="str">
        <f>'Reported burning'!F1031</f>
        <v>ND</v>
      </c>
      <c r="G1031" s="7" t="str">
        <f>'Reported burning'!G1031</f>
        <v>ND</v>
      </c>
      <c r="H1031" s="7" t="str">
        <f>'Reported burning'!H1031</f>
        <v>Presence</v>
      </c>
      <c r="I1031" s="4"/>
      <c r="J1031" s="4" t="s">
        <v>2308</v>
      </c>
      <c r="K1031" s="4" t="s">
        <v>2308</v>
      </c>
      <c r="L1031" s="4" t="s">
        <v>2308</v>
      </c>
      <c r="M1031" s="4" t="s">
        <v>2308</v>
      </c>
      <c r="N1031" s="4" t="s">
        <v>2308</v>
      </c>
      <c r="O1031" s="4" t="s">
        <v>2308</v>
      </c>
      <c r="P1031" s="4" t="s">
        <v>2308</v>
      </c>
      <c r="Q1031" s="4" t="s">
        <v>2308</v>
      </c>
      <c r="R1031" s="4" t="s">
        <v>2308</v>
      </c>
      <c r="S1031" s="4" t="s">
        <v>2308</v>
      </c>
      <c r="T1031" s="4" t="s">
        <v>2308</v>
      </c>
      <c r="U1031" s="4" t="s">
        <v>2308</v>
      </c>
      <c r="V1031" s="4" t="s">
        <v>2308</v>
      </c>
      <c r="W1031" s="4" t="s">
        <v>2308</v>
      </c>
      <c r="X1031" s="4" t="s">
        <v>2308</v>
      </c>
      <c r="Y1031" s="4" t="s">
        <v>2308</v>
      </c>
      <c r="Z1031" s="4" t="s">
        <v>2308</v>
      </c>
      <c r="AA1031" s="5" t="s">
        <v>3193</v>
      </c>
      <c r="AB1031" s="4"/>
    </row>
    <row r="1032" spans="1:28" ht="42" customHeight="1">
      <c r="A1032" s="7" t="str">
        <f>'Reported burning'!A1032</f>
        <v>119d</v>
      </c>
      <c r="B1032" s="7" t="str">
        <f>'Reported burning'!B1032</f>
        <v>119d.6</v>
      </c>
      <c r="C1032" s="7" t="str">
        <f>'Reported burning'!C1032</f>
        <v>Human, deliberate</v>
      </c>
      <c r="D1032" s="7" t="str">
        <f>'Reported burning'!D1032</f>
        <v>Accessibility</v>
      </c>
      <c r="E1032" s="7" t="str">
        <f>'Reported burning'!E1032</f>
        <v>Forestry, Traditional</v>
      </c>
      <c r="F1032" s="7" t="str">
        <f>'Reported burning'!F1032</f>
        <v>ND</v>
      </c>
      <c r="G1032" s="7" t="str">
        <f>'Reported burning'!G1032</f>
        <v>ND</v>
      </c>
      <c r="H1032" s="7" t="str">
        <f>'Reported burning'!H1032</f>
        <v>Presence</v>
      </c>
      <c r="I1032" s="4"/>
      <c r="J1032" s="4" t="s">
        <v>2308</v>
      </c>
      <c r="K1032" s="4" t="s">
        <v>2308</v>
      </c>
      <c r="L1032" s="4" t="s">
        <v>2308</v>
      </c>
      <c r="M1032" s="4" t="s">
        <v>2308</v>
      </c>
      <c r="N1032" s="4" t="s">
        <v>2308</v>
      </c>
      <c r="O1032" s="4" t="s">
        <v>2308</v>
      </c>
      <c r="P1032" s="4" t="s">
        <v>2308</v>
      </c>
      <c r="Q1032" s="4" t="s">
        <v>2308</v>
      </c>
      <c r="R1032" s="4" t="s">
        <v>2308</v>
      </c>
      <c r="S1032" s="4" t="s">
        <v>2308</v>
      </c>
      <c r="T1032" s="4" t="s">
        <v>2308</v>
      </c>
      <c r="U1032" s="4" t="s">
        <v>2308</v>
      </c>
      <c r="V1032" s="4" t="s">
        <v>2308</v>
      </c>
      <c r="W1032" s="4" t="s">
        <v>2308</v>
      </c>
      <c r="X1032" s="4" t="s">
        <v>2308</v>
      </c>
      <c r="Y1032" s="4" t="s">
        <v>2308</v>
      </c>
      <c r="Z1032" s="4" t="s">
        <v>2308</v>
      </c>
      <c r="AA1032" s="4"/>
      <c r="AB1032" s="4"/>
    </row>
    <row r="1033" spans="1:28" ht="42" customHeight="1">
      <c r="A1033" s="7" t="str">
        <f>'Reported burning'!A1033</f>
        <v>119d</v>
      </c>
      <c r="B1033" s="7" t="str">
        <f>'Reported burning'!B1033</f>
        <v>119d.7</v>
      </c>
      <c r="C1033" s="7" t="str">
        <f>'Reported burning'!C1033</f>
        <v>Human, deliberate</v>
      </c>
      <c r="D1033" s="7" t="str">
        <f>'Reported burning'!D1033</f>
        <v>Cultural &amp; Spiritual</v>
      </c>
      <c r="E1033" s="7" t="str">
        <f>'Reported burning'!E1033</f>
        <v>Forestry, Traditional</v>
      </c>
      <c r="F1033" s="7" t="str">
        <f>'Reported burning'!F1033</f>
        <v>ND</v>
      </c>
      <c r="G1033" s="7" t="str">
        <f>'Reported burning'!G1033</f>
        <v>ND</v>
      </c>
      <c r="H1033" s="7" t="str">
        <f>'Reported burning'!H1033</f>
        <v>Presence</v>
      </c>
      <c r="I1033" s="4"/>
      <c r="J1033" s="4" t="s">
        <v>2308</v>
      </c>
      <c r="K1033" s="4" t="s">
        <v>2308</v>
      </c>
      <c r="L1033" s="4" t="s">
        <v>2308</v>
      </c>
      <c r="M1033" s="4" t="s">
        <v>2308</v>
      </c>
      <c r="N1033" s="4" t="s">
        <v>2308</v>
      </c>
      <c r="O1033" s="4" t="s">
        <v>2308</v>
      </c>
      <c r="P1033" s="4" t="s">
        <v>2308</v>
      </c>
      <c r="Q1033" s="4" t="s">
        <v>2308</v>
      </c>
      <c r="R1033" s="4" t="s">
        <v>2308</v>
      </c>
      <c r="S1033" s="4" t="s">
        <v>2308</v>
      </c>
      <c r="T1033" s="4" t="s">
        <v>2308</v>
      </c>
      <c r="U1033" s="4" t="s">
        <v>2308</v>
      </c>
      <c r="V1033" s="4" t="s">
        <v>2308</v>
      </c>
      <c r="W1033" s="4" t="s">
        <v>2308</v>
      </c>
      <c r="X1033" s="4" t="s">
        <v>2308</v>
      </c>
      <c r="Y1033" s="4" t="s">
        <v>2308</v>
      </c>
      <c r="Z1033" s="4" t="s">
        <v>2308</v>
      </c>
      <c r="AA1033" s="4"/>
      <c r="AB1033" s="4"/>
    </row>
    <row r="1034" spans="1:28" ht="42" customHeight="1">
      <c r="A1034" s="7" t="str">
        <f>'Reported burning'!A1034</f>
        <v>119d</v>
      </c>
      <c r="B1034" s="7" t="str">
        <f>'Reported burning'!B1034</f>
        <v>119d.8</v>
      </c>
      <c r="C1034" s="7" t="str">
        <f>'Reported burning'!C1034</f>
        <v>Human, deliberate</v>
      </c>
      <c r="D1034" s="7" t="str">
        <f>'Reported burning'!D1034</f>
        <v>Domestic</v>
      </c>
      <c r="E1034" s="7" t="str">
        <f>'Reported burning'!E1034</f>
        <v>Forestry, Traditional</v>
      </c>
      <c r="F1034" s="7" t="str">
        <f>'Reported burning'!F1034</f>
        <v>ND</v>
      </c>
      <c r="G1034" s="7" t="str">
        <f>'Reported burning'!G1034</f>
        <v>ND</v>
      </c>
      <c r="H1034" s="7" t="str">
        <f>'Reported burning'!H1034</f>
        <v>Presence</v>
      </c>
      <c r="I1034" s="4"/>
      <c r="J1034" s="4" t="s">
        <v>2308</v>
      </c>
      <c r="K1034" s="4" t="s">
        <v>2308</v>
      </c>
      <c r="L1034" s="4" t="s">
        <v>2308</v>
      </c>
      <c r="M1034" s="4" t="s">
        <v>2308</v>
      </c>
      <c r="N1034" s="4" t="s">
        <v>2308</v>
      </c>
      <c r="O1034" s="4" t="s">
        <v>2308</v>
      </c>
      <c r="P1034" s="4" t="s">
        <v>2308</v>
      </c>
      <c r="Q1034" s="4" t="s">
        <v>2308</v>
      </c>
      <c r="R1034" s="4" t="s">
        <v>2308</v>
      </c>
      <c r="S1034" s="4" t="s">
        <v>2308</v>
      </c>
      <c r="T1034" s="4" t="s">
        <v>2308</v>
      </c>
      <c r="U1034" s="4" t="s">
        <v>2308</v>
      </c>
      <c r="V1034" s="4" t="s">
        <v>2308</v>
      </c>
      <c r="W1034" s="4" t="s">
        <v>2308</v>
      </c>
      <c r="X1034" s="4" t="s">
        <v>2308</v>
      </c>
      <c r="Y1034" s="4" t="s">
        <v>2308</v>
      </c>
      <c r="Z1034" s="4" t="s">
        <v>2308</v>
      </c>
      <c r="AA1034" s="4"/>
      <c r="AB1034" s="4"/>
    </row>
    <row r="1035" spans="1:28" ht="42" customHeight="1">
      <c r="A1035" s="7" t="str">
        <f>'Reported burning'!A1035</f>
        <v>119d</v>
      </c>
      <c r="B1035" s="7" t="str">
        <f>'Reported burning'!B1035</f>
        <v>119d.9</v>
      </c>
      <c r="C1035" s="7" t="str">
        <f>'Reported burning'!C1035</f>
        <v>Human, deliberate</v>
      </c>
      <c r="D1035" s="7" t="str">
        <f>'Reported burning'!D1035</f>
        <v>Pest management</v>
      </c>
      <c r="E1035" s="7" t="str">
        <f>'Reported burning'!E1035</f>
        <v>Cropping, Swidden</v>
      </c>
      <c r="F1035" s="7" t="str">
        <f>'Reported burning'!F1035</f>
        <v>ND</v>
      </c>
      <c r="G1035" s="7" t="str">
        <f>'Reported burning'!G1035</f>
        <v>ND</v>
      </c>
      <c r="H1035" s="7" t="str">
        <f>'Reported burning'!H1035</f>
        <v>Presence</v>
      </c>
      <c r="I1035" s="4"/>
      <c r="J1035" s="4" t="s">
        <v>2308</v>
      </c>
      <c r="K1035" s="4" t="s">
        <v>2308</v>
      </c>
      <c r="L1035" s="4" t="s">
        <v>2308</v>
      </c>
      <c r="M1035" s="4" t="s">
        <v>2308</v>
      </c>
      <c r="N1035" s="4" t="s">
        <v>2308</v>
      </c>
      <c r="O1035" s="4" t="s">
        <v>2308</v>
      </c>
      <c r="P1035" s="4" t="s">
        <v>2308</v>
      </c>
      <c r="Q1035" s="4" t="s">
        <v>2308</v>
      </c>
      <c r="R1035" s="4" t="s">
        <v>2308</v>
      </c>
      <c r="S1035" s="4" t="s">
        <v>2308</v>
      </c>
      <c r="T1035" s="4" t="s">
        <v>2308</v>
      </c>
      <c r="U1035" s="4" t="s">
        <v>2308</v>
      </c>
      <c r="V1035" s="4" t="s">
        <v>2308</v>
      </c>
      <c r="W1035" s="4" t="s">
        <v>2308</v>
      </c>
      <c r="X1035" s="4" t="s">
        <v>2308</v>
      </c>
      <c r="Y1035" s="4" t="s">
        <v>2308</v>
      </c>
      <c r="Z1035" s="4" t="s">
        <v>2308</v>
      </c>
      <c r="AA1035" s="4"/>
      <c r="AB1035" s="4"/>
    </row>
    <row r="1036" spans="1:28" ht="42" customHeight="1">
      <c r="A1036" s="7" t="str">
        <f>'Reported burning'!A1036</f>
        <v>119d</v>
      </c>
      <c r="B1036" s="7" t="str">
        <f>'Reported burning'!B1036</f>
        <v>119d.10</v>
      </c>
      <c r="C1036" s="7" t="str">
        <f>'Reported burning'!C1036</f>
        <v>Human, deliberate</v>
      </c>
      <c r="D1036" s="7" t="str">
        <f>'Reported burning'!D1036</f>
        <v>Accessibility</v>
      </c>
      <c r="E1036" s="7" t="str">
        <f>'Reported burning'!E1036</f>
        <v>Cropping, Swidden</v>
      </c>
      <c r="F1036" s="7" t="str">
        <f>'Reported burning'!F1036</f>
        <v>ND</v>
      </c>
      <c r="G1036" s="7" t="str">
        <f>'Reported burning'!G1036</f>
        <v>ND</v>
      </c>
      <c r="H1036" s="7" t="str">
        <f>'Reported burning'!H1036</f>
        <v>Presence</v>
      </c>
      <c r="I1036" s="4"/>
      <c r="J1036" s="4" t="s">
        <v>2308</v>
      </c>
      <c r="K1036" s="4" t="s">
        <v>2308</v>
      </c>
      <c r="L1036" s="4" t="s">
        <v>2308</v>
      </c>
      <c r="M1036" s="4" t="s">
        <v>2308</v>
      </c>
      <c r="N1036" s="4" t="s">
        <v>2308</v>
      </c>
      <c r="O1036" s="4" t="s">
        <v>2308</v>
      </c>
      <c r="P1036" s="4" t="s">
        <v>2308</v>
      </c>
      <c r="Q1036" s="4" t="s">
        <v>2308</v>
      </c>
      <c r="R1036" s="4" t="s">
        <v>2308</v>
      </c>
      <c r="S1036" s="4" t="s">
        <v>2308</v>
      </c>
      <c r="T1036" s="4" t="s">
        <v>2308</v>
      </c>
      <c r="U1036" s="4" t="s">
        <v>2308</v>
      </c>
      <c r="V1036" s="4" t="s">
        <v>2308</v>
      </c>
      <c r="W1036" s="4" t="s">
        <v>2308</v>
      </c>
      <c r="X1036" s="4" t="s">
        <v>2308</v>
      </c>
      <c r="Y1036" s="4" t="s">
        <v>2308</v>
      </c>
      <c r="Z1036" s="4" t="s">
        <v>2308</v>
      </c>
      <c r="AA1036" s="4"/>
      <c r="AB1036" s="4"/>
    </row>
    <row r="1037" spans="1:28" ht="42" customHeight="1">
      <c r="A1037" s="7" t="str">
        <f>'Reported burning'!A1037</f>
        <v>119d</v>
      </c>
      <c r="B1037" s="7" t="str">
        <f>'Reported burning'!B1037</f>
        <v>119d.11</v>
      </c>
      <c r="C1037" s="7" t="str">
        <f>'Reported burning'!C1037</f>
        <v>Human, deliberate</v>
      </c>
      <c r="D1037" s="7" t="str">
        <f>'Reported burning'!D1037</f>
        <v>Cultural &amp; Spiritual</v>
      </c>
      <c r="E1037" s="7" t="str">
        <f>'Reported burning'!E1037</f>
        <v>Cropping, Swidden</v>
      </c>
      <c r="F1037" s="7" t="str">
        <f>'Reported burning'!F1037</f>
        <v>ND</v>
      </c>
      <c r="G1037" s="7" t="str">
        <f>'Reported burning'!G1037</f>
        <v>ND</v>
      </c>
      <c r="H1037" s="7" t="str">
        <f>'Reported burning'!H1037</f>
        <v>Presence</v>
      </c>
      <c r="I1037" s="4"/>
      <c r="J1037" s="4" t="s">
        <v>2308</v>
      </c>
      <c r="K1037" s="4" t="s">
        <v>2308</v>
      </c>
      <c r="L1037" s="4" t="s">
        <v>2308</v>
      </c>
      <c r="M1037" s="4" t="s">
        <v>2308</v>
      </c>
      <c r="N1037" s="4" t="s">
        <v>2308</v>
      </c>
      <c r="O1037" s="4" t="s">
        <v>2308</v>
      </c>
      <c r="P1037" s="4" t="s">
        <v>2308</v>
      </c>
      <c r="Q1037" s="4" t="s">
        <v>2308</v>
      </c>
      <c r="R1037" s="4" t="s">
        <v>2308</v>
      </c>
      <c r="S1037" s="4" t="s">
        <v>2308</v>
      </c>
      <c r="T1037" s="4" t="s">
        <v>2308</v>
      </c>
      <c r="U1037" s="4" t="s">
        <v>2308</v>
      </c>
      <c r="V1037" s="4" t="s">
        <v>2308</v>
      </c>
      <c r="W1037" s="4" t="s">
        <v>2308</v>
      </c>
      <c r="X1037" s="4" t="s">
        <v>2308</v>
      </c>
      <c r="Y1037" s="4" t="s">
        <v>2308</v>
      </c>
      <c r="Z1037" s="4" t="s">
        <v>2308</v>
      </c>
      <c r="AA1037" s="4"/>
      <c r="AB1037" s="4"/>
    </row>
    <row r="1038" spans="1:28" ht="42" customHeight="1">
      <c r="A1038" s="7" t="str">
        <f>'Reported burning'!A1038</f>
        <v>119d</v>
      </c>
      <c r="B1038" s="7" t="str">
        <f>'Reported burning'!B1038</f>
        <v>119d.12</v>
      </c>
      <c r="C1038" s="7" t="str">
        <f>'Reported burning'!C1038</f>
        <v>Human, deliberate</v>
      </c>
      <c r="D1038" s="7" t="str">
        <f>'Reported burning'!D1038</f>
        <v>Domestic</v>
      </c>
      <c r="E1038" s="7" t="str">
        <f>'Reported burning'!E1038</f>
        <v>Cropping, Swidden</v>
      </c>
      <c r="F1038" s="7" t="str">
        <f>'Reported burning'!F1038</f>
        <v>ND</v>
      </c>
      <c r="G1038" s="7" t="str">
        <f>'Reported burning'!G1038</f>
        <v>ND</v>
      </c>
      <c r="H1038" s="7" t="str">
        <f>'Reported burning'!H1038</f>
        <v>Presence</v>
      </c>
      <c r="I1038" s="4"/>
      <c r="J1038" s="4" t="s">
        <v>2308</v>
      </c>
      <c r="K1038" s="4" t="s">
        <v>2308</v>
      </c>
      <c r="L1038" s="4" t="s">
        <v>2308</v>
      </c>
      <c r="M1038" s="4" t="s">
        <v>2308</v>
      </c>
      <c r="N1038" s="4" t="s">
        <v>2308</v>
      </c>
      <c r="O1038" s="4" t="s">
        <v>2308</v>
      </c>
      <c r="P1038" s="4" t="s">
        <v>2308</v>
      </c>
      <c r="Q1038" s="4" t="s">
        <v>2308</v>
      </c>
      <c r="R1038" s="4" t="s">
        <v>2308</v>
      </c>
      <c r="S1038" s="4" t="s">
        <v>2308</v>
      </c>
      <c r="T1038" s="4" t="s">
        <v>2308</v>
      </c>
      <c r="U1038" s="4" t="s">
        <v>2308</v>
      </c>
      <c r="V1038" s="4" t="s">
        <v>2308</v>
      </c>
      <c r="W1038" s="4" t="s">
        <v>2308</v>
      </c>
      <c r="X1038" s="4" t="s">
        <v>2308</v>
      </c>
      <c r="Y1038" s="4" t="s">
        <v>2308</v>
      </c>
      <c r="Z1038" s="4" t="s">
        <v>2308</v>
      </c>
      <c r="AA1038" s="4"/>
      <c r="AB1038" s="4"/>
    </row>
    <row r="1039" spans="1:28" ht="42" customHeight="1">
      <c r="A1039" s="7" t="str">
        <f>'Reported burning'!A1039</f>
        <v>119d</v>
      </c>
      <c r="B1039" s="7" t="str">
        <f>'Reported burning'!B1039</f>
        <v>119d.13</v>
      </c>
      <c r="C1039" s="7" t="str">
        <f>'Reported burning'!C1039</f>
        <v>Human, deliberate</v>
      </c>
      <c r="D1039" s="7" t="str">
        <f>'Reported burning'!D1039</f>
        <v>Pyrome management</v>
      </c>
      <c r="E1039" s="7" t="str">
        <f>'Reported burning'!E1039</f>
        <v>Forestry, Traditional</v>
      </c>
      <c r="F1039" s="7" t="str">
        <f>'Reported burning'!F1039</f>
        <v>Shrubland (Mixed forest &amp; grassland)</v>
      </c>
      <c r="G1039" s="7" t="str">
        <f>'Reported burning'!G1039</f>
        <v>ND</v>
      </c>
      <c r="H1039" s="7" t="str">
        <f>'Reported burning'!H1039</f>
        <v>Presence</v>
      </c>
      <c r="I1039" s="4"/>
      <c r="J1039" s="4" t="s">
        <v>2308</v>
      </c>
      <c r="K1039" s="4" t="s">
        <v>2308</v>
      </c>
      <c r="L1039" s="4" t="s">
        <v>2308</v>
      </c>
      <c r="M1039" s="4" t="s">
        <v>2308</v>
      </c>
      <c r="N1039" s="4" t="s">
        <v>2308</v>
      </c>
      <c r="O1039" s="4" t="s">
        <v>2308</v>
      </c>
      <c r="P1039" s="4" t="s">
        <v>2308</v>
      </c>
      <c r="Q1039" s="4" t="s">
        <v>2308</v>
      </c>
      <c r="R1039" s="4" t="s">
        <v>2308</v>
      </c>
      <c r="S1039" s="4" t="s">
        <v>2308</v>
      </c>
      <c r="T1039" s="4" t="s">
        <v>2308</v>
      </c>
      <c r="U1039" s="4" t="s">
        <v>2308</v>
      </c>
      <c r="V1039" s="4" t="s">
        <v>2308</v>
      </c>
      <c r="W1039" s="4" t="s">
        <v>2308</v>
      </c>
      <c r="X1039" s="4" t="s">
        <v>2308</v>
      </c>
      <c r="Y1039" s="4" t="s">
        <v>2308</v>
      </c>
      <c r="Z1039" s="4" t="s">
        <v>2308</v>
      </c>
      <c r="AA1039" s="4"/>
      <c r="AB1039" s="4"/>
    </row>
    <row r="1040" spans="1:28" ht="42" customHeight="1">
      <c r="A1040" s="7" t="str">
        <f>'Reported burning'!A1040</f>
        <v>119d</v>
      </c>
      <c r="B1040" s="7" t="str">
        <f>'Reported burning'!B1040</f>
        <v>119d.14</v>
      </c>
      <c r="C1040" s="7" t="str">
        <f>'Reported burning'!C1040</f>
        <v>Human, deliberate</v>
      </c>
      <c r="D1040" s="7" t="str">
        <f>'Reported burning'!D1040</f>
        <v>Pyrome management</v>
      </c>
      <c r="E1040" s="7" t="str">
        <f>'Reported burning'!E1040</f>
        <v>Cropping, Swidden</v>
      </c>
      <c r="F1040" s="7" t="str">
        <f>'Reported burning'!F1040</f>
        <v>Shrubland (Mixed forest &amp; grassland)</v>
      </c>
      <c r="G1040" s="7" t="str">
        <f>'Reported burning'!G1040</f>
        <v>ND</v>
      </c>
      <c r="H1040" s="7" t="str">
        <f>'Reported burning'!H1040</f>
        <v>Presence</v>
      </c>
      <c r="I1040" s="4"/>
      <c r="J1040" s="4" t="s">
        <v>2308</v>
      </c>
      <c r="K1040" s="4" t="s">
        <v>2308</v>
      </c>
      <c r="L1040" s="4" t="s">
        <v>2308</v>
      </c>
      <c r="M1040" s="4" t="s">
        <v>2308</v>
      </c>
      <c r="N1040" s="4" t="s">
        <v>2308</v>
      </c>
      <c r="O1040" s="4" t="s">
        <v>2308</v>
      </c>
      <c r="P1040" s="4" t="s">
        <v>2308</v>
      </c>
      <c r="Q1040" s="4" t="s">
        <v>2308</v>
      </c>
      <c r="R1040" s="4" t="s">
        <v>2308</v>
      </c>
      <c r="S1040" s="4" t="s">
        <v>2308</v>
      </c>
      <c r="T1040" s="4" t="s">
        <v>2308</v>
      </c>
      <c r="U1040" s="4" t="s">
        <v>2308</v>
      </c>
      <c r="V1040" s="4" t="s">
        <v>2308</v>
      </c>
      <c r="W1040" s="4"/>
      <c r="X1040" s="4" t="s">
        <v>2308</v>
      </c>
      <c r="Y1040" s="4" t="s">
        <v>2308</v>
      </c>
      <c r="Z1040" s="4" t="s">
        <v>2308</v>
      </c>
      <c r="AA1040" s="4"/>
      <c r="AB1040" s="4"/>
    </row>
    <row r="1041" spans="1:28" ht="31.5" customHeight="1">
      <c r="A1041" s="7" t="str">
        <f>'Reported burning'!A1041</f>
        <v>120a</v>
      </c>
      <c r="B1041" s="7" t="str">
        <f>'Reported burning'!B1041</f>
        <v xml:space="preserve">120a.1 </v>
      </c>
      <c r="C1041" s="7" t="str">
        <f>'Reported burning'!C1041</f>
        <v>Human, deliberate</v>
      </c>
      <c r="D1041" s="7" t="str">
        <f>'Reported burning'!D1041</f>
        <v>Crop field preparation</v>
      </c>
      <c r="E1041" s="7" t="str">
        <f>'Reported burning'!E1041</f>
        <v>Cropping, Swidden</v>
      </c>
      <c r="F1041" s="7" t="str">
        <f>'Reported burning'!F1041</f>
        <v>Forest</v>
      </c>
      <c r="G1041" s="7" t="str">
        <f>'Reported burning'!G1041</f>
        <v>ND</v>
      </c>
      <c r="H1041" s="7" t="str">
        <f>'Reported burning'!H1041</f>
        <v>Presence</v>
      </c>
      <c r="I1041" s="4"/>
      <c r="J1041" s="4" t="s">
        <v>2308</v>
      </c>
      <c r="K1041" s="4" t="s">
        <v>2308</v>
      </c>
      <c r="L1041" s="4" t="s">
        <v>2308</v>
      </c>
      <c r="M1041" s="4" t="s">
        <v>2308</v>
      </c>
      <c r="N1041" s="4" t="s">
        <v>2308</v>
      </c>
      <c r="O1041" s="4" t="s">
        <v>2308</v>
      </c>
      <c r="P1041" s="4" t="s">
        <v>2308</v>
      </c>
      <c r="Q1041" s="4" t="s">
        <v>2308</v>
      </c>
      <c r="R1041" s="4" t="s">
        <v>2308</v>
      </c>
      <c r="S1041" s="4" t="s">
        <v>2308</v>
      </c>
      <c r="T1041" s="4" t="s">
        <v>2308</v>
      </c>
      <c r="U1041" s="4" t="s">
        <v>2308</v>
      </c>
      <c r="V1041" s="4" t="s">
        <v>2308</v>
      </c>
      <c r="W1041" t="s">
        <v>2437</v>
      </c>
      <c r="X1041" s="4" t="s">
        <v>411</v>
      </c>
      <c r="Y1041" s="4" t="s">
        <v>412</v>
      </c>
      <c r="Z1041" s="23" t="s">
        <v>64</v>
      </c>
      <c r="AA1041" s="4"/>
      <c r="AB1041" s="4" t="s">
        <v>3270</v>
      </c>
    </row>
    <row r="1042" spans="1:28" ht="35.5" customHeight="1">
      <c r="A1042" s="7" t="str">
        <f>'Reported burning'!A1042</f>
        <v>120a</v>
      </c>
      <c r="B1042" s="7" t="str">
        <f>'Reported burning'!B1042</f>
        <v>120a.2</v>
      </c>
      <c r="C1042" s="7" t="str">
        <f>'Reported burning'!C1042</f>
        <v>Human, deliberate</v>
      </c>
      <c r="D1042" s="7" t="str">
        <f>'Reported burning'!D1042</f>
        <v>Crop field preparation</v>
      </c>
      <c r="E1042" s="7" t="str">
        <f>'Reported burning'!E1042</f>
        <v>Cropping, Swidden</v>
      </c>
      <c r="F1042" s="7" t="str">
        <f>'Reported burning'!F1042</f>
        <v>Cropland</v>
      </c>
      <c r="G1042" s="7" t="str">
        <f>'Reported burning'!G1042</f>
        <v>ND</v>
      </c>
      <c r="H1042" s="7" t="str">
        <f>'Reported burning'!H1042</f>
        <v>Presence</v>
      </c>
      <c r="I1042" s="4"/>
      <c r="J1042" s="4" t="s">
        <v>2308</v>
      </c>
      <c r="K1042" s="4" t="s">
        <v>2308</v>
      </c>
      <c r="L1042" s="4" t="s">
        <v>2308</v>
      </c>
      <c r="M1042" s="4" t="s">
        <v>2308</v>
      </c>
      <c r="N1042" s="4" t="s">
        <v>2308</v>
      </c>
      <c r="O1042" s="4" t="s">
        <v>2308</v>
      </c>
      <c r="P1042" s="4" t="s">
        <v>2308</v>
      </c>
      <c r="Q1042" s="4" t="s">
        <v>2308</v>
      </c>
      <c r="R1042" s="4" t="s">
        <v>2308</v>
      </c>
      <c r="S1042" s="4" t="s">
        <v>2428</v>
      </c>
      <c r="T1042" s="4" t="s">
        <v>2308</v>
      </c>
      <c r="U1042" s="4" t="s">
        <v>2308</v>
      </c>
      <c r="V1042" s="4" t="s">
        <v>2308</v>
      </c>
      <c r="W1042" s="4" t="s">
        <v>2308</v>
      </c>
      <c r="X1042" s="4" t="s">
        <v>34</v>
      </c>
      <c r="Y1042" s="4" t="s">
        <v>412</v>
      </c>
      <c r="Z1042" s="23" t="s">
        <v>64</v>
      </c>
      <c r="AA1042" s="5" t="s">
        <v>3269</v>
      </c>
      <c r="AB1042" s="4"/>
    </row>
    <row r="1043" spans="1:28" ht="33" customHeight="1">
      <c r="A1043" s="7" t="str">
        <f>'Reported burning'!A1043</f>
        <v>120b</v>
      </c>
      <c r="B1043" s="7" t="str">
        <f>'Reported burning'!B1043</f>
        <v>120b.1</v>
      </c>
      <c r="C1043" s="7" t="str">
        <f>'Reported burning'!C1043</f>
        <v>Human, deliberate</v>
      </c>
      <c r="D1043" s="7" t="str">
        <f>'Reported burning'!D1043</f>
        <v>Crop field preparation</v>
      </c>
      <c r="E1043" s="7" t="str">
        <f>'Reported burning'!E1043</f>
        <v>Cropping, Swidden</v>
      </c>
      <c r="F1043" s="7" t="str">
        <f>'Reported burning'!F1043</f>
        <v>Forest</v>
      </c>
      <c r="G1043" s="7" t="str">
        <f>'Reported burning'!G1043</f>
        <v>ND</v>
      </c>
      <c r="H1043" s="7" t="str">
        <f>'Reported burning'!H1043</f>
        <v>Presence</v>
      </c>
      <c r="I1043" s="4"/>
      <c r="J1043" s="4" t="s">
        <v>2308</v>
      </c>
      <c r="K1043" s="4" t="s">
        <v>2308</v>
      </c>
      <c r="L1043" s="4" t="s">
        <v>2308</v>
      </c>
      <c r="M1043" s="4" t="s">
        <v>2308</v>
      </c>
      <c r="N1043" s="4" t="s">
        <v>2308</v>
      </c>
      <c r="O1043" s="4" t="s">
        <v>2308</v>
      </c>
      <c r="P1043" s="4" t="s">
        <v>2308</v>
      </c>
      <c r="Q1043" s="4" t="s">
        <v>2308</v>
      </c>
      <c r="R1043" s="4" t="s">
        <v>2308</v>
      </c>
      <c r="S1043" s="4" t="s">
        <v>2308</v>
      </c>
      <c r="T1043" s="4" t="s">
        <v>2308</v>
      </c>
      <c r="U1043" s="4" t="s">
        <v>2308</v>
      </c>
      <c r="V1043" s="4" t="s">
        <v>2308</v>
      </c>
      <c r="W1043" t="s">
        <v>2437</v>
      </c>
      <c r="X1043" s="4" t="s">
        <v>411</v>
      </c>
      <c r="Y1043" s="4" t="s">
        <v>412</v>
      </c>
      <c r="Z1043" s="23" t="s">
        <v>64</v>
      </c>
      <c r="AA1043" s="4"/>
      <c r="AB1043" s="4" t="s">
        <v>3270</v>
      </c>
    </row>
    <row r="1044" spans="1:28" ht="32.5" customHeight="1">
      <c r="A1044" s="7" t="str">
        <f>'Reported burning'!A1044</f>
        <v>120b</v>
      </c>
      <c r="B1044" s="7" t="str">
        <f>'Reported burning'!B1044</f>
        <v>120b.2</v>
      </c>
      <c r="C1044" s="7" t="str">
        <f>'Reported burning'!C1044</f>
        <v>Human, deliberate</v>
      </c>
      <c r="D1044" s="7" t="str">
        <f>'Reported burning'!D1044</f>
        <v>Crop field preparation</v>
      </c>
      <c r="E1044" s="7" t="str">
        <f>'Reported burning'!E1044</f>
        <v>Cropping, Swidden</v>
      </c>
      <c r="F1044" s="7" t="str">
        <f>'Reported burning'!F1044</f>
        <v>Cropland</v>
      </c>
      <c r="G1044" s="7" t="str">
        <f>'Reported burning'!G1044</f>
        <v>ND</v>
      </c>
      <c r="H1044" s="7" t="str">
        <f>'Reported burning'!H1044</f>
        <v>Presence</v>
      </c>
      <c r="I1044" s="4"/>
      <c r="J1044" s="4" t="s">
        <v>2308</v>
      </c>
      <c r="K1044" s="4" t="s">
        <v>2308</v>
      </c>
      <c r="L1044" s="4" t="s">
        <v>2308</v>
      </c>
      <c r="M1044" s="4" t="s">
        <v>2308</v>
      </c>
      <c r="N1044" s="4" t="s">
        <v>2308</v>
      </c>
      <c r="O1044" s="4" t="s">
        <v>2308</v>
      </c>
      <c r="P1044" s="4" t="s">
        <v>2308</v>
      </c>
      <c r="Q1044" s="4" t="s">
        <v>2308</v>
      </c>
      <c r="R1044" s="4" t="s">
        <v>2308</v>
      </c>
      <c r="S1044" s="4" t="s">
        <v>2428</v>
      </c>
      <c r="T1044" s="4" t="s">
        <v>2308</v>
      </c>
      <c r="U1044" s="4" t="s">
        <v>2308</v>
      </c>
      <c r="V1044" s="4" t="s">
        <v>2308</v>
      </c>
      <c r="W1044" s="4" t="s">
        <v>2308</v>
      </c>
      <c r="X1044" s="4" t="s">
        <v>34</v>
      </c>
      <c r="Y1044" s="4" t="s">
        <v>412</v>
      </c>
      <c r="Z1044" s="23" t="s">
        <v>64</v>
      </c>
      <c r="AA1044" s="5" t="s">
        <v>3269</v>
      </c>
      <c r="AB1044" s="4"/>
    </row>
    <row r="1045" spans="1:28" ht="32.5" customHeight="1">
      <c r="A1045" s="7" t="str">
        <f>'Reported burning'!A1045</f>
        <v>121a</v>
      </c>
      <c r="B1045" s="7" t="str">
        <f>'Reported burning'!B1045</f>
        <v>121a.1</v>
      </c>
      <c r="C1045" s="7" t="str">
        <f>'Reported burning'!C1045</f>
        <v>Human, deliberate</v>
      </c>
      <c r="D1045" s="7" t="str">
        <f>'Reported burning'!D1045</f>
        <v>Crop field preparation</v>
      </c>
      <c r="E1045" s="7" t="str">
        <f>'Reported burning'!E1045</f>
        <v>Cropping, Swidden</v>
      </c>
      <c r="F1045" s="7" t="str">
        <f>'Reported burning'!F1045</f>
        <v>Secondary Vegetation</v>
      </c>
      <c r="G1045" s="7" t="str">
        <f>'Reported burning'!G1045</f>
        <v>ND</v>
      </c>
      <c r="H1045" s="7" t="str">
        <f>'Reported burning'!H1045</f>
        <v>Presence</v>
      </c>
      <c r="I1045" s="4"/>
      <c r="J1045" s="4" t="s">
        <v>2308</v>
      </c>
      <c r="K1045" s="4" t="s">
        <v>2308</v>
      </c>
      <c r="L1045" s="4" t="s">
        <v>2308</v>
      </c>
      <c r="M1045" s="4" t="s">
        <v>2308</v>
      </c>
      <c r="N1045" s="4" t="s">
        <v>2308</v>
      </c>
      <c r="O1045" s="4" t="s">
        <v>2308</v>
      </c>
      <c r="P1045" s="4" t="s">
        <v>2308</v>
      </c>
      <c r="Q1045" s="4" t="s">
        <v>2308</v>
      </c>
      <c r="R1045" s="4" t="s">
        <v>2308</v>
      </c>
      <c r="S1045" s="4" t="s">
        <v>2308</v>
      </c>
      <c r="T1045" s="4" t="s">
        <v>2308</v>
      </c>
      <c r="U1045" s="4" t="s">
        <v>2308</v>
      </c>
      <c r="V1045" s="4" t="s">
        <v>2308</v>
      </c>
      <c r="W1045" s="4" t="s">
        <v>2435</v>
      </c>
      <c r="X1045" s="4" t="s">
        <v>2308</v>
      </c>
      <c r="Y1045" s="4" t="s">
        <v>2308</v>
      </c>
      <c r="Z1045" s="4" t="s">
        <v>2308</v>
      </c>
      <c r="AA1045" s="4"/>
      <c r="AB1045" s="5" t="s">
        <v>3317</v>
      </c>
    </row>
    <row r="1046" spans="1:28" ht="32.5" customHeight="1">
      <c r="A1046" s="7" t="str">
        <f>'Reported burning'!A1046</f>
        <v>121b</v>
      </c>
      <c r="B1046" s="7" t="str">
        <f>'Reported burning'!B1046</f>
        <v>121b.1</v>
      </c>
      <c r="C1046" s="7" t="str">
        <f>'Reported burning'!C1046</f>
        <v>Human, deliberate</v>
      </c>
      <c r="D1046" s="7" t="str">
        <f>'Reported burning'!D1046</f>
        <v>Crop field preparation</v>
      </c>
      <c r="E1046" s="7" t="str">
        <f>'Reported burning'!E1046</f>
        <v>Cropping, Swidden</v>
      </c>
      <c r="F1046" s="7" t="str">
        <f>'Reported burning'!F1046</f>
        <v>Secondary Vegetation</v>
      </c>
      <c r="G1046" s="7" t="str">
        <f>'Reported burning'!G1046</f>
        <v>ND</v>
      </c>
      <c r="H1046" s="7" t="str">
        <f>'Reported burning'!H1046</f>
        <v>Presence</v>
      </c>
      <c r="I1046" s="4"/>
      <c r="J1046" s="4" t="s">
        <v>2308</v>
      </c>
      <c r="K1046" s="4" t="s">
        <v>2308</v>
      </c>
      <c r="L1046" s="4" t="s">
        <v>2308</v>
      </c>
      <c r="M1046" s="4" t="s">
        <v>2308</v>
      </c>
      <c r="N1046" s="4" t="s">
        <v>2308</v>
      </c>
      <c r="O1046" s="4" t="s">
        <v>2308</v>
      </c>
      <c r="P1046" s="4" t="s">
        <v>2308</v>
      </c>
      <c r="Q1046" s="4" t="s">
        <v>2308</v>
      </c>
      <c r="R1046" s="4" t="s">
        <v>2308</v>
      </c>
      <c r="S1046" s="4" t="s">
        <v>2308</v>
      </c>
      <c r="T1046" s="4" t="s">
        <v>2308</v>
      </c>
      <c r="U1046" s="4" t="s">
        <v>2308</v>
      </c>
      <c r="V1046" s="4" t="s">
        <v>2308</v>
      </c>
      <c r="W1046" s="4" t="s">
        <v>2434</v>
      </c>
      <c r="X1046" s="4" t="s">
        <v>2308</v>
      </c>
      <c r="Y1046" s="4" t="s">
        <v>2308</v>
      </c>
      <c r="Z1046" s="4" t="s">
        <v>2308</v>
      </c>
      <c r="AA1046" s="4"/>
      <c r="AB1046" s="5" t="s">
        <v>3317</v>
      </c>
    </row>
    <row r="1047" spans="1:28" ht="32.5" customHeight="1">
      <c r="A1047" s="7" t="str">
        <f>'Reported burning'!A1047</f>
        <v>121c</v>
      </c>
      <c r="B1047" s="7" t="str">
        <f>'Reported burning'!B1047</f>
        <v>121c.1</v>
      </c>
      <c r="C1047" s="7" t="str">
        <f>'Reported burning'!C1047</f>
        <v>Human, deliberate</v>
      </c>
      <c r="D1047" s="7" t="str">
        <f>'Reported burning'!D1047</f>
        <v>Crop field preparation</v>
      </c>
      <c r="E1047" s="7" t="str">
        <f>'Reported burning'!E1047</f>
        <v>Cropping, Swidden</v>
      </c>
      <c r="F1047" s="7" t="str">
        <f>'Reported burning'!F1047</f>
        <v>Secondary Vegetation</v>
      </c>
      <c r="G1047" s="7" t="str">
        <f>'Reported burning'!G1047</f>
        <v>ND</v>
      </c>
      <c r="H1047" s="7" t="str">
        <f>'Reported burning'!H1047</f>
        <v>Presence</v>
      </c>
      <c r="I1047" s="4"/>
      <c r="J1047" s="4" t="s">
        <v>2308</v>
      </c>
      <c r="K1047" s="4" t="s">
        <v>2308</v>
      </c>
      <c r="L1047" s="4" t="s">
        <v>2308</v>
      </c>
      <c r="M1047" s="4" t="s">
        <v>2308</v>
      </c>
      <c r="N1047" s="4" t="s">
        <v>2308</v>
      </c>
      <c r="O1047" s="4" t="s">
        <v>2308</v>
      </c>
      <c r="P1047" s="4" t="s">
        <v>2308</v>
      </c>
      <c r="Q1047" s="4" t="s">
        <v>2308</v>
      </c>
      <c r="R1047" s="4" t="s">
        <v>2308</v>
      </c>
      <c r="S1047" s="4" t="s">
        <v>2308</v>
      </c>
      <c r="T1047" s="4" t="s">
        <v>2308</v>
      </c>
      <c r="U1047" s="4" t="s">
        <v>2308</v>
      </c>
      <c r="V1047" s="4" t="s">
        <v>2308</v>
      </c>
      <c r="W1047" s="4" t="s">
        <v>2435</v>
      </c>
      <c r="X1047" s="4" t="s">
        <v>2308</v>
      </c>
      <c r="Y1047" s="4" t="s">
        <v>2308</v>
      </c>
      <c r="Z1047" s="4" t="s">
        <v>2308</v>
      </c>
      <c r="AA1047" s="4"/>
      <c r="AB1047" s="5" t="s">
        <v>3317</v>
      </c>
    </row>
    <row r="1048" spans="1:28" ht="32.5" customHeight="1">
      <c r="A1048" s="7" t="str">
        <f>'Reported burning'!A1048</f>
        <v>121d</v>
      </c>
      <c r="B1048" s="7" t="str">
        <f>'Reported burning'!B1048</f>
        <v>121d.1</v>
      </c>
      <c r="C1048" s="7" t="str">
        <f>'Reported burning'!C1048</f>
        <v>Human, deliberate</v>
      </c>
      <c r="D1048" s="7" t="str">
        <f>'Reported burning'!D1048</f>
        <v>Crop field preparation</v>
      </c>
      <c r="E1048" s="7" t="str">
        <f>'Reported burning'!E1048</f>
        <v>Cropping, Swidden</v>
      </c>
      <c r="F1048" s="7" t="str">
        <f>'Reported burning'!F1048</f>
        <v>Secondary Vegetation</v>
      </c>
      <c r="G1048" s="7" t="str">
        <f>'Reported burning'!G1048</f>
        <v>ND</v>
      </c>
      <c r="H1048" s="7" t="str">
        <f>'Reported burning'!H1048</f>
        <v>Presence</v>
      </c>
      <c r="I1048" s="4"/>
      <c r="J1048" s="4" t="s">
        <v>2308</v>
      </c>
      <c r="K1048" s="4" t="s">
        <v>2308</v>
      </c>
      <c r="L1048" s="4" t="s">
        <v>2308</v>
      </c>
      <c r="M1048" s="4" t="s">
        <v>2308</v>
      </c>
      <c r="N1048" s="4" t="s">
        <v>2308</v>
      </c>
      <c r="O1048" s="4" t="s">
        <v>2308</v>
      </c>
      <c r="P1048" s="4" t="s">
        <v>2308</v>
      </c>
      <c r="Q1048" s="4" t="s">
        <v>2308</v>
      </c>
      <c r="R1048" s="4" t="s">
        <v>2308</v>
      </c>
      <c r="S1048" s="4" t="s">
        <v>2308</v>
      </c>
      <c r="T1048" s="4" t="s">
        <v>2308</v>
      </c>
      <c r="U1048" s="4" t="s">
        <v>2308</v>
      </c>
      <c r="V1048" s="4" t="s">
        <v>2308</v>
      </c>
      <c r="W1048" s="4" t="s">
        <v>2435</v>
      </c>
      <c r="X1048" s="4" t="s">
        <v>2308</v>
      </c>
      <c r="Y1048" s="4" t="s">
        <v>2308</v>
      </c>
      <c r="Z1048" s="4" t="s">
        <v>2308</v>
      </c>
      <c r="AA1048" s="4"/>
      <c r="AB1048" s="5" t="s">
        <v>3317</v>
      </c>
    </row>
    <row r="1049" spans="1:28" ht="32.5" customHeight="1">
      <c r="A1049" s="7" t="str">
        <f>'Reported burning'!A1049</f>
        <v>121e</v>
      </c>
      <c r="B1049" s="7" t="str">
        <f>'Reported burning'!B1049</f>
        <v>121e.1</v>
      </c>
      <c r="C1049" s="7" t="str">
        <f>'Reported burning'!C1049</f>
        <v>Human, deliberate</v>
      </c>
      <c r="D1049" s="7" t="str">
        <f>'Reported burning'!D1049</f>
        <v>Crop field preparation</v>
      </c>
      <c r="E1049" s="7" t="str">
        <f>'Reported burning'!E1049</f>
        <v>Cropping, Swidden</v>
      </c>
      <c r="F1049" s="7" t="str">
        <f>'Reported burning'!F1049</f>
        <v>Secondary Vegetation</v>
      </c>
      <c r="G1049" s="7" t="str">
        <f>'Reported burning'!G1049</f>
        <v>ND</v>
      </c>
      <c r="H1049" s="7" t="str">
        <f>'Reported burning'!H1049</f>
        <v>Presence</v>
      </c>
      <c r="I1049" s="4"/>
      <c r="J1049" s="4" t="s">
        <v>2308</v>
      </c>
      <c r="K1049" s="4" t="s">
        <v>2308</v>
      </c>
      <c r="L1049" s="4" t="s">
        <v>2308</v>
      </c>
      <c r="M1049" s="4" t="s">
        <v>2308</v>
      </c>
      <c r="N1049" s="4" t="s">
        <v>2308</v>
      </c>
      <c r="O1049" s="4" t="s">
        <v>2308</v>
      </c>
      <c r="P1049" s="4" t="s">
        <v>2308</v>
      </c>
      <c r="Q1049" s="4" t="s">
        <v>2308</v>
      </c>
      <c r="R1049" s="4" t="s">
        <v>2308</v>
      </c>
      <c r="S1049" s="4" t="s">
        <v>2308</v>
      </c>
      <c r="T1049" s="4" t="s">
        <v>2308</v>
      </c>
      <c r="U1049" s="4" t="s">
        <v>2308</v>
      </c>
      <c r="V1049" s="4" t="s">
        <v>2308</v>
      </c>
      <c r="W1049" s="4" t="s">
        <v>2434</v>
      </c>
      <c r="X1049" s="4" t="s">
        <v>2308</v>
      </c>
      <c r="Y1049" s="4" t="s">
        <v>2308</v>
      </c>
      <c r="Z1049" s="4" t="s">
        <v>2308</v>
      </c>
      <c r="AA1049" s="4"/>
      <c r="AB1049" s="5" t="s">
        <v>3317</v>
      </c>
    </row>
    <row r="1050" spans="1:28" ht="32.5" customHeight="1">
      <c r="A1050" s="7" t="str">
        <f>'Reported burning'!A1050</f>
        <v>121f</v>
      </c>
      <c r="B1050" s="7" t="str">
        <f>'Reported burning'!B1050</f>
        <v>121f.1</v>
      </c>
      <c r="C1050" s="7" t="str">
        <f>'Reported burning'!C1050</f>
        <v>Human, deliberate</v>
      </c>
      <c r="D1050" s="7" t="str">
        <f>'Reported burning'!D1050</f>
        <v>Crop field preparation</v>
      </c>
      <c r="E1050" s="7" t="str">
        <f>'Reported burning'!E1050</f>
        <v>Cropping, Swidden</v>
      </c>
      <c r="F1050" s="7" t="str">
        <f>'Reported burning'!F1050</f>
        <v>Secondary Vegetation</v>
      </c>
      <c r="G1050" s="7" t="str">
        <f>'Reported burning'!G1050</f>
        <v>ND</v>
      </c>
      <c r="H1050" s="7" t="str">
        <f>'Reported burning'!H1050</f>
        <v>Presence</v>
      </c>
      <c r="I1050" s="4"/>
      <c r="J1050" s="4" t="s">
        <v>2308</v>
      </c>
      <c r="K1050" s="4" t="s">
        <v>2308</v>
      </c>
      <c r="L1050" s="4" t="s">
        <v>2308</v>
      </c>
      <c r="M1050" s="4" t="s">
        <v>2308</v>
      </c>
      <c r="N1050" s="4" t="s">
        <v>2308</v>
      </c>
      <c r="O1050" s="4" t="s">
        <v>2308</v>
      </c>
      <c r="P1050" s="4" t="s">
        <v>2308</v>
      </c>
      <c r="Q1050" s="4" t="s">
        <v>2308</v>
      </c>
      <c r="R1050" s="4" t="s">
        <v>2308</v>
      </c>
      <c r="S1050" s="4" t="s">
        <v>2308</v>
      </c>
      <c r="T1050" s="4" t="s">
        <v>2308</v>
      </c>
      <c r="U1050" s="4" t="s">
        <v>2308</v>
      </c>
      <c r="V1050" s="4" t="s">
        <v>2308</v>
      </c>
      <c r="W1050" s="4" t="s">
        <v>2435</v>
      </c>
      <c r="X1050" s="4" t="s">
        <v>2308</v>
      </c>
      <c r="Y1050" s="4" t="s">
        <v>2308</v>
      </c>
      <c r="Z1050" s="4" t="s">
        <v>2308</v>
      </c>
      <c r="AA1050" s="4"/>
      <c r="AB1050" s="5" t="s">
        <v>3317</v>
      </c>
    </row>
    <row r="1051" spans="1:28" ht="32.5" customHeight="1">
      <c r="A1051" s="7" t="str">
        <f>'Reported burning'!A1051</f>
        <v>121g</v>
      </c>
      <c r="B1051" s="7" t="str">
        <f>'Reported burning'!B1051</f>
        <v>121g.1</v>
      </c>
      <c r="C1051" s="7" t="str">
        <f>'Reported burning'!C1051</f>
        <v>Human, deliberate</v>
      </c>
      <c r="D1051" s="7" t="str">
        <f>'Reported burning'!D1051</f>
        <v>Crop field preparation</v>
      </c>
      <c r="E1051" s="7" t="str">
        <f>'Reported burning'!E1051</f>
        <v>Cropping, Swidden</v>
      </c>
      <c r="F1051" s="7" t="str">
        <f>'Reported burning'!F1051</f>
        <v>Secondary Vegetation</v>
      </c>
      <c r="G1051" s="7" t="str">
        <f>'Reported burning'!G1051</f>
        <v>ND</v>
      </c>
      <c r="H1051" s="7" t="str">
        <f>'Reported burning'!H1051</f>
        <v>Presence</v>
      </c>
      <c r="I1051" s="4"/>
      <c r="J1051" s="4" t="s">
        <v>2308</v>
      </c>
      <c r="K1051" s="4" t="s">
        <v>2308</v>
      </c>
      <c r="L1051" s="4" t="s">
        <v>2308</v>
      </c>
      <c r="M1051" s="4" t="s">
        <v>2308</v>
      </c>
      <c r="N1051" s="4" t="s">
        <v>2308</v>
      </c>
      <c r="O1051" s="4" t="s">
        <v>2308</v>
      </c>
      <c r="P1051" s="4" t="s">
        <v>2308</v>
      </c>
      <c r="Q1051" s="4" t="s">
        <v>2308</v>
      </c>
      <c r="R1051" s="4" t="s">
        <v>2308</v>
      </c>
      <c r="S1051" s="4" t="s">
        <v>2308</v>
      </c>
      <c r="T1051" s="4" t="s">
        <v>2308</v>
      </c>
      <c r="U1051" s="4" t="s">
        <v>2308</v>
      </c>
      <c r="V1051" s="4" t="s">
        <v>2308</v>
      </c>
      <c r="W1051" s="4" t="s">
        <v>2434</v>
      </c>
      <c r="X1051" s="4" t="s">
        <v>2308</v>
      </c>
      <c r="Y1051" s="4" t="s">
        <v>2308</v>
      </c>
      <c r="Z1051" s="4" t="s">
        <v>2308</v>
      </c>
      <c r="AA1051" s="4"/>
      <c r="AB1051" s="5" t="s">
        <v>3317</v>
      </c>
    </row>
    <row r="1052" spans="1:28" ht="32.5" customHeight="1">
      <c r="A1052" s="7" t="str">
        <f>'Reported burning'!A1052</f>
        <v>121h</v>
      </c>
      <c r="B1052" s="7" t="str">
        <f>'Reported burning'!B1052</f>
        <v>121h.1</v>
      </c>
      <c r="C1052" s="7" t="str">
        <f>'Reported burning'!C1052</f>
        <v>Human, deliberate</v>
      </c>
      <c r="D1052" s="7" t="str">
        <f>'Reported burning'!D1052</f>
        <v>Crop field preparation</v>
      </c>
      <c r="E1052" s="7" t="str">
        <f>'Reported burning'!E1052</f>
        <v>Cropping, Swidden</v>
      </c>
      <c r="F1052" s="7" t="str">
        <f>'Reported burning'!F1052</f>
        <v>Secondary Vegetation</v>
      </c>
      <c r="G1052" s="7" t="str">
        <f>'Reported burning'!G1052</f>
        <v>ND</v>
      </c>
      <c r="H1052" s="7" t="str">
        <f>'Reported burning'!H1052</f>
        <v>Presence</v>
      </c>
      <c r="I1052" s="4"/>
      <c r="J1052" s="4" t="s">
        <v>2308</v>
      </c>
      <c r="K1052" s="4" t="s">
        <v>2308</v>
      </c>
      <c r="L1052" s="4" t="s">
        <v>2308</v>
      </c>
      <c r="M1052" s="4" t="s">
        <v>2308</v>
      </c>
      <c r="N1052" s="4" t="s">
        <v>2308</v>
      </c>
      <c r="O1052" s="4" t="s">
        <v>2308</v>
      </c>
      <c r="P1052" s="4" t="s">
        <v>2308</v>
      </c>
      <c r="Q1052" s="4" t="s">
        <v>2308</v>
      </c>
      <c r="R1052" s="4" t="s">
        <v>2308</v>
      </c>
      <c r="S1052" s="4" t="s">
        <v>2308</v>
      </c>
      <c r="T1052" s="4" t="s">
        <v>2308</v>
      </c>
      <c r="U1052" s="4" t="s">
        <v>2308</v>
      </c>
      <c r="V1052" s="4" t="s">
        <v>2308</v>
      </c>
      <c r="W1052" s="4" t="s">
        <v>2435</v>
      </c>
      <c r="X1052" s="4" t="s">
        <v>2308</v>
      </c>
      <c r="Y1052" s="4" t="s">
        <v>2308</v>
      </c>
      <c r="Z1052" s="4" t="s">
        <v>2308</v>
      </c>
      <c r="AA1052" s="4"/>
      <c r="AB1052" s="5" t="s">
        <v>3317</v>
      </c>
    </row>
    <row r="1053" spans="1:28" ht="32.5" customHeight="1">
      <c r="A1053" s="7" t="str">
        <f>'Reported burning'!A1053</f>
        <v>121i</v>
      </c>
      <c r="B1053" s="7" t="str">
        <f>'Reported burning'!B1053</f>
        <v>121i.1</v>
      </c>
      <c r="C1053" s="7" t="str">
        <f>'Reported burning'!C1053</f>
        <v>Human, deliberate</v>
      </c>
      <c r="D1053" s="7" t="str">
        <f>'Reported burning'!D1053</f>
        <v>Crop field preparation</v>
      </c>
      <c r="E1053" s="7" t="str">
        <f>'Reported burning'!E1053</f>
        <v>Cropping, Swidden</v>
      </c>
      <c r="F1053" s="7" t="str">
        <f>'Reported burning'!F1053</f>
        <v>Secondary Vegetation</v>
      </c>
      <c r="G1053" s="7" t="str">
        <f>'Reported burning'!G1053</f>
        <v>ND</v>
      </c>
      <c r="H1053" s="7" t="str">
        <f>'Reported burning'!H1053</f>
        <v>Presence</v>
      </c>
      <c r="I1053" s="4"/>
      <c r="J1053" s="4" t="s">
        <v>2308</v>
      </c>
      <c r="K1053" s="4" t="s">
        <v>2308</v>
      </c>
      <c r="L1053" s="4" t="s">
        <v>2308</v>
      </c>
      <c r="M1053" s="4" t="s">
        <v>2308</v>
      </c>
      <c r="N1053" s="4" t="s">
        <v>2308</v>
      </c>
      <c r="O1053" s="4" t="s">
        <v>2308</v>
      </c>
      <c r="P1053" s="4" t="s">
        <v>2308</v>
      </c>
      <c r="Q1053" s="4" t="s">
        <v>2308</v>
      </c>
      <c r="R1053" s="4" t="s">
        <v>2308</v>
      </c>
      <c r="S1053" s="4" t="s">
        <v>2308</v>
      </c>
      <c r="T1053" s="4" t="s">
        <v>2308</v>
      </c>
      <c r="U1053" s="4" t="s">
        <v>2308</v>
      </c>
      <c r="V1053" s="4" t="s">
        <v>2308</v>
      </c>
      <c r="W1053" s="4" t="s">
        <v>2435</v>
      </c>
      <c r="X1053" s="4" t="s">
        <v>2308</v>
      </c>
      <c r="Y1053" s="4" t="s">
        <v>2308</v>
      </c>
      <c r="Z1053" s="4" t="s">
        <v>2308</v>
      </c>
      <c r="AA1053" s="4"/>
      <c r="AB1053" s="5" t="s">
        <v>3317</v>
      </c>
    </row>
    <row r="1054" spans="1:28" ht="32.5" customHeight="1">
      <c r="A1054" s="7" t="str">
        <f>'Reported burning'!A1054</f>
        <v>121j</v>
      </c>
      <c r="B1054" s="7" t="str">
        <f>'Reported burning'!B1054</f>
        <v>121j.1</v>
      </c>
      <c r="C1054" s="7" t="str">
        <f>'Reported burning'!C1054</f>
        <v>Human, deliberate</v>
      </c>
      <c r="D1054" s="7" t="str">
        <f>'Reported burning'!D1054</f>
        <v>Crop field preparation</v>
      </c>
      <c r="E1054" s="7" t="str">
        <f>'Reported burning'!E1054</f>
        <v>Cropping, Swidden</v>
      </c>
      <c r="F1054" s="7" t="str">
        <f>'Reported burning'!F1054</f>
        <v>Secondary Vegetation</v>
      </c>
      <c r="G1054" s="7" t="str">
        <f>'Reported burning'!G1054</f>
        <v>ND</v>
      </c>
      <c r="H1054" s="7" t="str">
        <f>'Reported burning'!H1054</f>
        <v>Presence</v>
      </c>
      <c r="I1054" s="4"/>
      <c r="J1054" s="4" t="s">
        <v>2308</v>
      </c>
      <c r="K1054" s="4" t="s">
        <v>2308</v>
      </c>
      <c r="L1054" s="4" t="s">
        <v>2308</v>
      </c>
      <c r="M1054" s="4" t="s">
        <v>2308</v>
      </c>
      <c r="N1054" s="4" t="s">
        <v>2308</v>
      </c>
      <c r="O1054" s="4" t="s">
        <v>2308</v>
      </c>
      <c r="P1054" s="4" t="s">
        <v>2308</v>
      </c>
      <c r="Q1054" s="4" t="s">
        <v>2308</v>
      </c>
      <c r="R1054" s="4" t="s">
        <v>2308</v>
      </c>
      <c r="S1054" s="4" t="s">
        <v>2308</v>
      </c>
      <c r="T1054" s="4" t="s">
        <v>2308</v>
      </c>
      <c r="U1054" s="4" t="s">
        <v>2308</v>
      </c>
      <c r="V1054" s="4" t="s">
        <v>2308</v>
      </c>
      <c r="W1054" s="4" t="s">
        <v>2435</v>
      </c>
      <c r="X1054" s="4" t="s">
        <v>2308</v>
      </c>
      <c r="Y1054" s="4" t="s">
        <v>2308</v>
      </c>
      <c r="Z1054" s="4" t="s">
        <v>2308</v>
      </c>
      <c r="AA1054" s="4"/>
      <c r="AB1054" s="5" t="s">
        <v>3317</v>
      </c>
    </row>
    <row r="1055" spans="1:28" ht="32.5" customHeight="1">
      <c r="A1055" s="7" t="str">
        <f>'Reported burning'!A1055</f>
        <v>121k</v>
      </c>
      <c r="B1055" s="7" t="str">
        <f>'Reported burning'!B1055</f>
        <v>121k.1</v>
      </c>
      <c r="C1055" s="7" t="str">
        <f>'Reported burning'!C1055</f>
        <v>Human, deliberate</v>
      </c>
      <c r="D1055" s="7" t="str">
        <f>'Reported burning'!D1055</f>
        <v>Crop field preparation</v>
      </c>
      <c r="E1055" s="7" t="str">
        <f>'Reported burning'!E1055</f>
        <v>Cropping, Swidden</v>
      </c>
      <c r="F1055" s="7" t="str">
        <f>'Reported burning'!F1055</f>
        <v>Secondary Vegetation</v>
      </c>
      <c r="G1055" s="7" t="str">
        <f>'Reported burning'!G1055</f>
        <v>ND</v>
      </c>
      <c r="H1055" s="7" t="str">
        <f>'Reported burning'!H1055</f>
        <v>Presence</v>
      </c>
      <c r="I1055" s="4"/>
      <c r="J1055" s="4" t="s">
        <v>2308</v>
      </c>
      <c r="K1055" s="4" t="s">
        <v>2308</v>
      </c>
      <c r="L1055" s="4" t="s">
        <v>2308</v>
      </c>
      <c r="M1055" s="4" t="s">
        <v>2308</v>
      </c>
      <c r="N1055" s="4" t="s">
        <v>2308</v>
      </c>
      <c r="O1055" s="4" t="s">
        <v>2308</v>
      </c>
      <c r="P1055" s="4" t="s">
        <v>2308</v>
      </c>
      <c r="Q1055" s="4" t="s">
        <v>2308</v>
      </c>
      <c r="R1055" s="4" t="s">
        <v>2308</v>
      </c>
      <c r="S1055" s="4" t="s">
        <v>2308</v>
      </c>
      <c r="T1055" s="4" t="s">
        <v>2308</v>
      </c>
      <c r="U1055" s="4" t="s">
        <v>2308</v>
      </c>
      <c r="V1055" s="4" t="s">
        <v>2308</v>
      </c>
      <c r="W1055" s="4" t="s">
        <v>2435</v>
      </c>
      <c r="X1055" s="4" t="s">
        <v>2308</v>
      </c>
      <c r="Y1055" s="4" t="s">
        <v>2308</v>
      </c>
      <c r="Z1055" s="4" t="s">
        <v>2308</v>
      </c>
      <c r="AA1055" s="4"/>
      <c r="AB1055" s="5" t="s">
        <v>3317</v>
      </c>
    </row>
    <row r="1056" spans="1:28" ht="32.5" customHeight="1">
      <c r="A1056" s="7" t="str">
        <f>'Reported burning'!A1056</f>
        <v>121l</v>
      </c>
      <c r="B1056" s="7" t="str">
        <f>'Reported burning'!B1056</f>
        <v>121l.1</v>
      </c>
      <c r="C1056" s="7" t="str">
        <f>'Reported burning'!C1056</f>
        <v>Human, deliberate</v>
      </c>
      <c r="D1056" s="7" t="str">
        <f>'Reported burning'!D1056</f>
        <v>Crop field preparation</v>
      </c>
      <c r="E1056" s="7" t="str">
        <f>'Reported burning'!E1056</f>
        <v>Cropping, Swidden</v>
      </c>
      <c r="F1056" s="7" t="str">
        <f>'Reported burning'!F1056</f>
        <v>Secondary Vegetation</v>
      </c>
      <c r="G1056" s="7" t="str">
        <f>'Reported burning'!G1056</f>
        <v>ND</v>
      </c>
      <c r="H1056" s="7" t="str">
        <f>'Reported burning'!H1056</f>
        <v>Presence</v>
      </c>
      <c r="I1056" s="4"/>
      <c r="J1056" s="4" t="s">
        <v>2308</v>
      </c>
      <c r="K1056" s="4" t="s">
        <v>2308</v>
      </c>
      <c r="L1056" s="4" t="s">
        <v>2308</v>
      </c>
      <c r="M1056" s="4" t="s">
        <v>2308</v>
      </c>
      <c r="N1056" s="4" t="s">
        <v>2308</v>
      </c>
      <c r="O1056" s="4" t="s">
        <v>2308</v>
      </c>
      <c r="P1056" s="4" t="s">
        <v>2308</v>
      </c>
      <c r="Q1056" s="4" t="s">
        <v>2308</v>
      </c>
      <c r="R1056" s="4" t="s">
        <v>2308</v>
      </c>
      <c r="S1056" s="4" t="s">
        <v>2308</v>
      </c>
      <c r="T1056" s="4" t="s">
        <v>2308</v>
      </c>
      <c r="U1056" s="4" t="s">
        <v>2308</v>
      </c>
      <c r="V1056" s="4" t="s">
        <v>2308</v>
      </c>
      <c r="W1056" s="4" t="s">
        <v>2435</v>
      </c>
      <c r="X1056" s="4" t="s">
        <v>2308</v>
      </c>
      <c r="Y1056" s="4" t="s">
        <v>2308</v>
      </c>
      <c r="Z1056" s="4" t="s">
        <v>2308</v>
      </c>
      <c r="AA1056" s="4"/>
      <c r="AB1056" s="5" t="s">
        <v>3317</v>
      </c>
    </row>
    <row r="1057" spans="1:28" ht="32.5" customHeight="1">
      <c r="A1057" s="7" t="str">
        <f>'Reported burning'!A1057</f>
        <v>121m</v>
      </c>
      <c r="B1057" s="7" t="str">
        <f>'Reported burning'!B1057</f>
        <v>121m.1</v>
      </c>
      <c r="C1057" s="7" t="str">
        <f>'Reported burning'!C1057</f>
        <v>Human, deliberate</v>
      </c>
      <c r="D1057" s="7" t="str">
        <f>'Reported burning'!D1057</f>
        <v>Crop field preparation</v>
      </c>
      <c r="E1057" s="7" t="str">
        <f>'Reported burning'!E1057</f>
        <v>Cropping, Swidden</v>
      </c>
      <c r="F1057" s="7" t="str">
        <f>'Reported burning'!F1057</f>
        <v>Secondary Vegetation</v>
      </c>
      <c r="G1057" s="7" t="str">
        <f>'Reported burning'!G1057</f>
        <v>ND</v>
      </c>
      <c r="H1057" s="7" t="str">
        <f>'Reported burning'!H1057</f>
        <v>Presence</v>
      </c>
      <c r="I1057" s="4"/>
      <c r="J1057" s="4" t="s">
        <v>2308</v>
      </c>
      <c r="K1057" s="4" t="s">
        <v>2308</v>
      </c>
      <c r="L1057" s="4" t="s">
        <v>2308</v>
      </c>
      <c r="M1057" s="4" t="s">
        <v>2308</v>
      </c>
      <c r="N1057" s="4" t="s">
        <v>2308</v>
      </c>
      <c r="O1057" s="4" t="s">
        <v>2308</v>
      </c>
      <c r="P1057" s="4" t="s">
        <v>2308</v>
      </c>
      <c r="Q1057" s="4" t="s">
        <v>2308</v>
      </c>
      <c r="R1057" s="4" t="s">
        <v>2308</v>
      </c>
      <c r="S1057" s="4" t="s">
        <v>2308</v>
      </c>
      <c r="T1057" s="4" t="s">
        <v>2308</v>
      </c>
      <c r="U1057" s="4" t="s">
        <v>2308</v>
      </c>
      <c r="V1057" s="4" t="s">
        <v>2308</v>
      </c>
      <c r="W1057" s="4" t="s">
        <v>2435</v>
      </c>
      <c r="X1057" s="4" t="s">
        <v>2308</v>
      </c>
      <c r="Y1057" s="4" t="s">
        <v>2308</v>
      </c>
      <c r="Z1057" s="4" t="s">
        <v>2308</v>
      </c>
      <c r="AA1057" s="4"/>
      <c r="AB1057" s="5" t="s">
        <v>3317</v>
      </c>
    </row>
    <row r="1058" spans="1:28" ht="32.5" customHeight="1">
      <c r="A1058" s="7" t="str">
        <f>'Reported burning'!A1058</f>
        <v>121n</v>
      </c>
      <c r="B1058" s="7" t="str">
        <f>'Reported burning'!B1058</f>
        <v>121n.1</v>
      </c>
      <c r="C1058" s="7" t="str">
        <f>'Reported burning'!C1058</f>
        <v>Human, deliberate</v>
      </c>
      <c r="D1058" s="7" t="str">
        <f>'Reported burning'!D1058</f>
        <v>Crop field preparation</v>
      </c>
      <c r="E1058" s="7" t="str">
        <f>'Reported burning'!E1058</f>
        <v>Cropping, Swidden</v>
      </c>
      <c r="F1058" s="7" t="str">
        <f>'Reported burning'!F1058</f>
        <v>Secondary Vegetation</v>
      </c>
      <c r="G1058" s="7" t="str">
        <f>'Reported burning'!G1058</f>
        <v>ND</v>
      </c>
      <c r="H1058" s="7" t="str">
        <f>'Reported burning'!H1058</f>
        <v>Presence</v>
      </c>
      <c r="I1058" s="4"/>
      <c r="J1058" s="4" t="s">
        <v>2308</v>
      </c>
      <c r="K1058" s="4" t="s">
        <v>2308</v>
      </c>
      <c r="L1058" s="4" t="s">
        <v>2308</v>
      </c>
      <c r="M1058" s="4" t="s">
        <v>2308</v>
      </c>
      <c r="N1058" s="4" t="s">
        <v>2308</v>
      </c>
      <c r="O1058" s="4" t="s">
        <v>2308</v>
      </c>
      <c r="P1058" s="4" t="s">
        <v>2308</v>
      </c>
      <c r="Q1058" s="4" t="s">
        <v>2308</v>
      </c>
      <c r="R1058" s="4" t="s">
        <v>2308</v>
      </c>
      <c r="S1058" s="4" t="s">
        <v>2308</v>
      </c>
      <c r="T1058" s="4" t="s">
        <v>2308</v>
      </c>
      <c r="U1058" s="4" t="s">
        <v>2308</v>
      </c>
      <c r="V1058" s="4" t="s">
        <v>2308</v>
      </c>
      <c r="W1058" s="4" t="s">
        <v>2435</v>
      </c>
      <c r="X1058" s="4" t="s">
        <v>2308</v>
      </c>
      <c r="Y1058" s="4" t="s">
        <v>2308</v>
      </c>
      <c r="Z1058" s="4" t="s">
        <v>2308</v>
      </c>
      <c r="AA1058" s="4"/>
      <c r="AB1058" s="5" t="s">
        <v>3317</v>
      </c>
    </row>
    <row r="1059" spans="1:28" ht="82" customHeight="1">
      <c r="A1059" s="7" t="str">
        <f>'Reported burning'!A1059</f>
        <v>122a</v>
      </c>
      <c r="B1059" s="7" t="str">
        <f>'Reported burning'!B1059</f>
        <v>122a.1</v>
      </c>
      <c r="C1059" s="7" t="str">
        <f>'Reported burning'!C1059</f>
        <v>Human, deliberate</v>
      </c>
      <c r="D1059" s="7" t="str">
        <f>'Reported burning'!D1059</f>
        <v>Hunting</v>
      </c>
      <c r="E1059" s="7" t="str">
        <f>'Reported burning'!E1059</f>
        <v>Forestry, Traditional</v>
      </c>
      <c r="F1059" s="7" t="str">
        <f>'Reported burning'!F1059</f>
        <v>Grassland</v>
      </c>
      <c r="G1059" s="7" t="str">
        <f>'Reported burning'!G1059</f>
        <v>ND</v>
      </c>
      <c r="H1059" s="7" t="str">
        <f>'Reported burning'!H1059</f>
        <v>Presence</v>
      </c>
      <c r="I1059" s="4"/>
      <c r="J1059" s="4" t="s">
        <v>2308</v>
      </c>
      <c r="K1059" s="4" t="s">
        <v>2308</v>
      </c>
      <c r="L1059" s="4" t="s">
        <v>2308</v>
      </c>
      <c r="M1059" s="4" t="s">
        <v>2308</v>
      </c>
      <c r="N1059" s="4" t="s">
        <v>2308</v>
      </c>
      <c r="O1059" s="4" t="s">
        <v>2308</v>
      </c>
      <c r="P1059" s="4" t="s">
        <v>2308</v>
      </c>
      <c r="Q1059" s="4" t="s">
        <v>2308</v>
      </c>
      <c r="R1059" s="4" t="s">
        <v>2308</v>
      </c>
      <c r="S1059" s="4" t="s">
        <v>2308</v>
      </c>
      <c r="T1059" s="4" t="s">
        <v>2308</v>
      </c>
      <c r="U1059" s="4" t="s">
        <v>2308</v>
      </c>
      <c r="V1059" s="4" t="s">
        <v>2308</v>
      </c>
      <c r="W1059" s="4" t="s">
        <v>2308</v>
      </c>
      <c r="X1059" s="4" t="s">
        <v>34</v>
      </c>
      <c r="Y1059" s="4" t="s">
        <v>411</v>
      </c>
      <c r="Z1059" s="4" t="s">
        <v>76</v>
      </c>
      <c r="AA1059" s="5" t="s">
        <v>3328</v>
      </c>
      <c r="AB1059" s="5" t="s">
        <v>3326</v>
      </c>
    </row>
    <row r="1060" spans="1:28" ht="76.5" customHeight="1">
      <c r="A1060" s="7" t="str">
        <f>'Reported burning'!A1060</f>
        <v>122a</v>
      </c>
      <c r="B1060" s="7" t="str">
        <f>'Reported burning'!B1060</f>
        <v>122a.2</v>
      </c>
      <c r="C1060" s="7" t="str">
        <f>'Reported burning'!C1060</f>
        <v>Human, deliberate</v>
      </c>
      <c r="D1060" s="7" t="str">
        <f>'Reported burning'!D1060</f>
        <v>Hunting</v>
      </c>
      <c r="E1060" s="7" t="str">
        <f>'Reported burning'!E1060</f>
        <v>Forestry, Traditional</v>
      </c>
      <c r="F1060" s="7" t="str">
        <f>'Reported burning'!F1060</f>
        <v>Shrubland (Mixed forest &amp; grassland)</v>
      </c>
      <c r="G1060" s="7" t="str">
        <f>'Reported burning'!G1060</f>
        <v>ND</v>
      </c>
      <c r="H1060" s="7" t="str">
        <f>'Reported burning'!H1060</f>
        <v>Presence</v>
      </c>
      <c r="I1060" s="4"/>
      <c r="J1060" s="4" t="s">
        <v>2308</v>
      </c>
      <c r="K1060" s="4" t="s">
        <v>2308</v>
      </c>
      <c r="L1060" s="4" t="s">
        <v>2308</v>
      </c>
      <c r="M1060" s="4" t="s">
        <v>2308</v>
      </c>
      <c r="N1060" s="4" t="s">
        <v>2308</v>
      </c>
      <c r="O1060" s="4" t="s">
        <v>2308</v>
      </c>
      <c r="P1060" s="4" t="s">
        <v>2308</v>
      </c>
      <c r="Q1060" s="4" t="s">
        <v>2308</v>
      </c>
      <c r="R1060" s="4" t="s">
        <v>2308</v>
      </c>
      <c r="S1060" s="4" t="s">
        <v>2308</v>
      </c>
      <c r="T1060" s="4" t="s">
        <v>2308</v>
      </c>
      <c r="U1060" s="4" t="s">
        <v>2308</v>
      </c>
      <c r="V1060" s="4" t="s">
        <v>2308</v>
      </c>
      <c r="W1060" s="4" t="s">
        <v>2308</v>
      </c>
      <c r="X1060" s="4" t="s">
        <v>412</v>
      </c>
      <c r="Y1060" s="4" t="s">
        <v>432</v>
      </c>
      <c r="Z1060" s="4" t="s">
        <v>76</v>
      </c>
      <c r="AA1060" s="4"/>
      <c r="AB1060" s="4"/>
    </row>
    <row r="1061" spans="1:28" ht="49.5" customHeight="1">
      <c r="A1061" s="7" t="str">
        <f>'Reported burning'!A1061</f>
        <v>123a</v>
      </c>
      <c r="B1061" s="7" t="str">
        <f>'Reported burning'!B1061</f>
        <v>123a.1</v>
      </c>
      <c r="C1061" s="7" t="str">
        <f>'Reported burning'!C1061</f>
        <v>Human, deliberate</v>
      </c>
      <c r="D1061" s="7" t="str">
        <f>'Reported burning'!D1061</f>
        <v>Pasture renewal</v>
      </c>
      <c r="E1061" s="7" t="str">
        <f>'Reported burning'!E1061</f>
        <v>Pastoralism, Migratory</v>
      </c>
      <c r="F1061" s="7" t="str">
        <f>'Reported burning'!F1061</f>
        <v>Grassland</v>
      </c>
      <c r="G1061" s="7" t="str">
        <f>'Reported burning'!G1061</f>
        <v>ND</v>
      </c>
      <c r="H1061" s="7" t="str">
        <f>'Reported burning'!H1061</f>
        <v>Presence</v>
      </c>
      <c r="I1061" s="4"/>
      <c r="J1061" s="4" t="s">
        <v>2308</v>
      </c>
      <c r="K1061" s="4" t="s">
        <v>2308</v>
      </c>
      <c r="L1061" s="4" t="s">
        <v>2308</v>
      </c>
      <c r="M1061" s="4" t="s">
        <v>2308</v>
      </c>
      <c r="N1061" s="4" t="s">
        <v>2308</v>
      </c>
      <c r="O1061" s="4" t="s">
        <v>2308</v>
      </c>
      <c r="P1061" s="4" t="s">
        <v>2308</v>
      </c>
      <c r="Q1061" s="4" t="s">
        <v>2308</v>
      </c>
      <c r="R1061" s="4" t="s">
        <v>2308</v>
      </c>
      <c r="S1061" s="4" t="s">
        <v>2308</v>
      </c>
      <c r="T1061" s="4" t="s">
        <v>2308</v>
      </c>
      <c r="U1061" s="4" t="s">
        <v>2308</v>
      </c>
      <c r="V1061" s="4" t="s">
        <v>2308</v>
      </c>
      <c r="W1061" s="4" t="s">
        <v>2308</v>
      </c>
      <c r="X1061" s="4" t="s">
        <v>194</v>
      </c>
      <c r="Y1061" s="4" t="s">
        <v>195</v>
      </c>
      <c r="Z1061" s="4" t="s">
        <v>2688</v>
      </c>
      <c r="AA1061" s="5" t="s">
        <v>3353</v>
      </c>
      <c r="AB1061" s="5" t="s">
        <v>3344</v>
      </c>
    </row>
    <row r="1062" spans="1:28" ht="49.5" customHeight="1">
      <c r="A1062" s="7" t="str">
        <f>'Reported burning'!A1062</f>
        <v>123a</v>
      </c>
      <c r="B1062" s="7" t="str">
        <f>'Reported burning'!B1062</f>
        <v>123a.2</v>
      </c>
      <c r="C1062" s="7" t="str">
        <f>'Reported burning'!C1062</f>
        <v>Human, deliberate</v>
      </c>
      <c r="D1062" s="7" t="str">
        <f>'Reported burning'!D1062</f>
        <v>Pasture renewal</v>
      </c>
      <c r="E1062" s="7" t="str">
        <f>'Reported burning'!E1062</f>
        <v>Pastoralism, Migratory</v>
      </c>
      <c r="F1062" s="7" t="str">
        <f>'Reported burning'!F1062</f>
        <v>Shrubland (Mixed forest &amp; grassland)</v>
      </c>
      <c r="G1062" s="7" t="str">
        <f>'Reported burning'!G1062</f>
        <v>ND</v>
      </c>
      <c r="H1062" s="7" t="str">
        <f>'Reported burning'!H1062</f>
        <v>Presence</v>
      </c>
      <c r="I1062" s="4"/>
      <c r="J1062" s="4" t="s">
        <v>2308</v>
      </c>
      <c r="K1062" s="4" t="s">
        <v>2308</v>
      </c>
      <c r="L1062" s="4" t="s">
        <v>2308</v>
      </c>
      <c r="M1062" s="4" t="s">
        <v>2308</v>
      </c>
      <c r="N1062" s="4" t="s">
        <v>2308</v>
      </c>
      <c r="O1062" s="4" t="s">
        <v>2308</v>
      </c>
      <c r="P1062" s="4" t="s">
        <v>2308</v>
      </c>
      <c r="Q1062" s="4" t="s">
        <v>2308</v>
      </c>
      <c r="R1062" s="4" t="s">
        <v>2308</v>
      </c>
      <c r="S1062" s="4" t="s">
        <v>2308</v>
      </c>
      <c r="T1062" s="4" t="s">
        <v>2308</v>
      </c>
      <c r="U1062" s="4" t="s">
        <v>2308</v>
      </c>
      <c r="V1062" s="4" t="s">
        <v>2308</v>
      </c>
      <c r="W1062" s="4" t="s">
        <v>2308</v>
      </c>
      <c r="X1062" s="4" t="s">
        <v>194</v>
      </c>
      <c r="Y1062" s="4" t="s">
        <v>195</v>
      </c>
      <c r="Z1062" s="4" t="s">
        <v>2688</v>
      </c>
      <c r="AA1062" s="5" t="s">
        <v>3353</v>
      </c>
      <c r="AB1062" s="5" t="s">
        <v>3344</v>
      </c>
    </row>
    <row r="1063" spans="1:28" ht="49.5" customHeight="1">
      <c r="A1063" s="7" t="str">
        <f>'Reported burning'!A1063</f>
        <v>123b</v>
      </c>
      <c r="B1063" s="7" t="str">
        <f>'Reported burning'!B1063</f>
        <v>123b.1</v>
      </c>
      <c r="C1063" s="7" t="str">
        <f>'Reported burning'!C1063</f>
        <v>Human, deliberate</v>
      </c>
      <c r="D1063" s="7" t="str">
        <f>'Reported burning'!D1063</f>
        <v>Pasture renewal</v>
      </c>
      <c r="E1063" s="7" t="str">
        <f>'Reported burning'!E1063</f>
        <v>Pastoralism, Migratory</v>
      </c>
      <c r="F1063" s="7" t="str">
        <f>'Reported burning'!F1063</f>
        <v>Grassland</v>
      </c>
      <c r="G1063" s="7" t="str">
        <f>'Reported burning'!G1063</f>
        <v>ND</v>
      </c>
      <c r="H1063" s="7" t="str">
        <f>'Reported burning'!H1063</f>
        <v>Presence</v>
      </c>
      <c r="I1063" s="4"/>
      <c r="J1063" s="4" t="s">
        <v>2308</v>
      </c>
      <c r="K1063" s="4" t="s">
        <v>2308</v>
      </c>
      <c r="L1063" s="4" t="s">
        <v>2308</v>
      </c>
      <c r="M1063" s="4" t="s">
        <v>2308</v>
      </c>
      <c r="N1063" s="4" t="s">
        <v>2308</v>
      </c>
      <c r="O1063" s="4" t="s">
        <v>2308</v>
      </c>
      <c r="P1063" s="4" t="s">
        <v>2308</v>
      </c>
      <c r="Q1063" s="4" t="s">
        <v>2308</v>
      </c>
      <c r="R1063" s="4" t="s">
        <v>2308</v>
      </c>
      <c r="S1063" s="4" t="s">
        <v>2308</v>
      </c>
      <c r="T1063" s="4" t="s">
        <v>2308</v>
      </c>
      <c r="U1063" s="4" t="s">
        <v>2308</v>
      </c>
      <c r="V1063" s="4" t="s">
        <v>2308</v>
      </c>
      <c r="W1063" s="4" t="s">
        <v>2308</v>
      </c>
      <c r="X1063" s="4" t="s">
        <v>194</v>
      </c>
      <c r="Y1063" s="4" t="s">
        <v>195</v>
      </c>
      <c r="Z1063" s="4" t="s">
        <v>2688</v>
      </c>
      <c r="AA1063" s="5" t="s">
        <v>3353</v>
      </c>
      <c r="AB1063" s="5" t="s">
        <v>3344</v>
      </c>
    </row>
    <row r="1064" spans="1:28" ht="49.5" customHeight="1">
      <c r="A1064" s="7" t="str">
        <f>'Reported burning'!A1064</f>
        <v>123b</v>
      </c>
      <c r="B1064" s="7" t="str">
        <f>'Reported burning'!B1064</f>
        <v>123b.2</v>
      </c>
      <c r="C1064" s="7" t="str">
        <f>'Reported burning'!C1064</f>
        <v>Human, deliberate</v>
      </c>
      <c r="D1064" s="7" t="str">
        <f>'Reported burning'!D1064</f>
        <v>Pasture renewal</v>
      </c>
      <c r="E1064" s="7" t="str">
        <f>'Reported burning'!E1064</f>
        <v>Pastoralism, Migratory</v>
      </c>
      <c r="F1064" s="7" t="str">
        <f>'Reported burning'!F1064</f>
        <v>Shrubland (Mixed forest &amp; grassland)</v>
      </c>
      <c r="G1064" s="7" t="str">
        <f>'Reported burning'!G1064</f>
        <v>ND</v>
      </c>
      <c r="H1064" s="7" t="str">
        <f>'Reported burning'!H1064</f>
        <v>Presence</v>
      </c>
      <c r="I1064" s="4"/>
      <c r="J1064" s="4" t="s">
        <v>2308</v>
      </c>
      <c r="K1064" s="4" t="s">
        <v>2308</v>
      </c>
      <c r="L1064" s="4" t="s">
        <v>2308</v>
      </c>
      <c r="M1064" s="4" t="s">
        <v>2308</v>
      </c>
      <c r="N1064" s="4" t="s">
        <v>2308</v>
      </c>
      <c r="O1064" s="4" t="s">
        <v>2308</v>
      </c>
      <c r="P1064" s="4" t="s">
        <v>2308</v>
      </c>
      <c r="Q1064" s="4" t="s">
        <v>2308</v>
      </c>
      <c r="R1064" s="4" t="s">
        <v>2308</v>
      </c>
      <c r="S1064" s="4" t="s">
        <v>2308</v>
      </c>
      <c r="T1064" s="4" t="s">
        <v>2308</v>
      </c>
      <c r="U1064" s="4" t="s">
        <v>2308</v>
      </c>
      <c r="V1064" s="4" t="s">
        <v>2308</v>
      </c>
      <c r="W1064" s="4" t="s">
        <v>2308</v>
      </c>
      <c r="X1064" s="4" t="s">
        <v>194</v>
      </c>
      <c r="Y1064" s="4" t="s">
        <v>195</v>
      </c>
      <c r="Z1064" s="4" t="s">
        <v>2688</v>
      </c>
      <c r="AA1064" s="5" t="s">
        <v>3353</v>
      </c>
      <c r="AB1064" s="5" t="s">
        <v>3344</v>
      </c>
    </row>
    <row r="1065" spans="1:28" ht="49.5" customHeight="1">
      <c r="A1065" s="7" t="str">
        <f>'Reported burning'!A1065</f>
        <v>123c</v>
      </c>
      <c r="B1065" s="7" t="str">
        <f>'Reported burning'!B1065</f>
        <v>123c.1</v>
      </c>
      <c r="C1065" s="7" t="str">
        <f>'Reported burning'!C1065</f>
        <v>Human, deliberate</v>
      </c>
      <c r="D1065" s="7" t="str">
        <f>'Reported burning'!D1065</f>
        <v>Pasture renewal</v>
      </c>
      <c r="E1065" s="7" t="str">
        <f>'Reported burning'!E1065</f>
        <v>Pastoralism, Migratory</v>
      </c>
      <c r="F1065" s="7" t="str">
        <f>'Reported burning'!F1065</f>
        <v>Grassland</v>
      </c>
      <c r="G1065" s="7" t="str">
        <f>'Reported burning'!G1065</f>
        <v>ND</v>
      </c>
      <c r="H1065" s="7" t="str">
        <f>'Reported burning'!H1065</f>
        <v>Presence</v>
      </c>
      <c r="I1065" s="4"/>
      <c r="J1065" s="4" t="s">
        <v>2308</v>
      </c>
      <c r="K1065" s="4" t="s">
        <v>2308</v>
      </c>
      <c r="L1065" s="4" t="s">
        <v>2308</v>
      </c>
      <c r="M1065" s="4" t="s">
        <v>2308</v>
      </c>
      <c r="N1065" s="4" t="s">
        <v>2308</v>
      </c>
      <c r="O1065" s="4" t="s">
        <v>2308</v>
      </c>
      <c r="P1065" s="4" t="s">
        <v>2308</v>
      </c>
      <c r="Q1065" s="4" t="s">
        <v>2308</v>
      </c>
      <c r="R1065" s="4" t="s">
        <v>2308</v>
      </c>
      <c r="S1065" s="4" t="s">
        <v>2308</v>
      </c>
      <c r="T1065" s="4" t="s">
        <v>2308</v>
      </c>
      <c r="U1065" s="4" t="s">
        <v>2308</v>
      </c>
      <c r="V1065" s="4" t="s">
        <v>2308</v>
      </c>
      <c r="W1065" s="4" t="s">
        <v>2308</v>
      </c>
      <c r="X1065" s="4" t="s">
        <v>194</v>
      </c>
      <c r="Y1065" s="4" t="s">
        <v>195</v>
      </c>
      <c r="Z1065" s="4" t="s">
        <v>2688</v>
      </c>
      <c r="AA1065" s="5" t="s">
        <v>3353</v>
      </c>
      <c r="AB1065" s="5" t="s">
        <v>3344</v>
      </c>
    </row>
    <row r="1066" spans="1:28" ht="49.5" customHeight="1">
      <c r="A1066" s="7" t="str">
        <f>'Reported burning'!A1066</f>
        <v>123c</v>
      </c>
      <c r="B1066" s="7" t="str">
        <f>'Reported burning'!B1066</f>
        <v>123c.2</v>
      </c>
      <c r="C1066" s="7" t="str">
        <f>'Reported burning'!C1066</f>
        <v>Human, deliberate</v>
      </c>
      <c r="D1066" s="7" t="str">
        <f>'Reported burning'!D1066</f>
        <v>Pasture renewal</v>
      </c>
      <c r="E1066" s="7" t="str">
        <f>'Reported burning'!E1066</f>
        <v>Pastoralism, Migratory</v>
      </c>
      <c r="F1066" s="7" t="str">
        <f>'Reported burning'!F1066</f>
        <v>Shrubland (Mixed forest &amp; grassland)</v>
      </c>
      <c r="G1066" s="7" t="str">
        <f>'Reported burning'!G1066</f>
        <v>ND</v>
      </c>
      <c r="H1066" s="7" t="str">
        <f>'Reported burning'!H1066</f>
        <v>Presence</v>
      </c>
      <c r="I1066" s="4"/>
      <c r="J1066" s="4" t="s">
        <v>2308</v>
      </c>
      <c r="K1066" s="4" t="s">
        <v>2308</v>
      </c>
      <c r="L1066" s="4" t="s">
        <v>2308</v>
      </c>
      <c r="M1066" s="4" t="s">
        <v>2308</v>
      </c>
      <c r="N1066" s="4" t="s">
        <v>2308</v>
      </c>
      <c r="O1066" s="4" t="s">
        <v>2308</v>
      </c>
      <c r="P1066" s="4" t="s">
        <v>2308</v>
      </c>
      <c r="Q1066" s="4" t="s">
        <v>2308</v>
      </c>
      <c r="R1066" s="4" t="s">
        <v>2308</v>
      </c>
      <c r="S1066" s="4" t="s">
        <v>2308</v>
      </c>
      <c r="T1066" s="4" t="s">
        <v>2308</v>
      </c>
      <c r="U1066" s="4" t="s">
        <v>2308</v>
      </c>
      <c r="V1066" s="4" t="s">
        <v>2308</v>
      </c>
      <c r="W1066" s="4" t="s">
        <v>2308</v>
      </c>
      <c r="X1066" s="4" t="s">
        <v>194</v>
      </c>
      <c r="Y1066" s="4" t="s">
        <v>195</v>
      </c>
      <c r="Z1066" s="4" t="s">
        <v>2688</v>
      </c>
      <c r="AA1066" s="5" t="s">
        <v>3353</v>
      </c>
      <c r="AB1066" s="5" t="s">
        <v>3344</v>
      </c>
    </row>
    <row r="1067" spans="1:28" ht="49.5" customHeight="1">
      <c r="A1067" s="7" t="str">
        <f>'Reported burning'!A1067</f>
        <v>123d</v>
      </c>
      <c r="B1067" s="7" t="str">
        <f>'Reported burning'!B1067</f>
        <v>123d.1</v>
      </c>
      <c r="C1067" s="7" t="str">
        <f>'Reported burning'!C1067</f>
        <v>Human, deliberate</v>
      </c>
      <c r="D1067" s="7" t="str">
        <f>'Reported burning'!D1067</f>
        <v>Pasture renewal</v>
      </c>
      <c r="E1067" s="7" t="str">
        <f>'Reported burning'!E1067</f>
        <v>Pastoralism, Migratory</v>
      </c>
      <c r="F1067" s="7" t="str">
        <f>'Reported burning'!F1067</f>
        <v>Grassland</v>
      </c>
      <c r="G1067" s="7" t="str">
        <f>'Reported burning'!G1067</f>
        <v>ND</v>
      </c>
      <c r="H1067" s="7" t="str">
        <f>'Reported burning'!H1067</f>
        <v>Presence</v>
      </c>
      <c r="I1067" s="4"/>
      <c r="J1067" s="4" t="s">
        <v>2308</v>
      </c>
      <c r="K1067" s="4" t="s">
        <v>2308</v>
      </c>
      <c r="L1067" s="4" t="s">
        <v>2308</v>
      </c>
      <c r="M1067" s="4" t="s">
        <v>2308</v>
      </c>
      <c r="N1067" s="4" t="s">
        <v>2308</v>
      </c>
      <c r="O1067" s="4" t="s">
        <v>2308</v>
      </c>
      <c r="P1067" s="4" t="s">
        <v>2308</v>
      </c>
      <c r="Q1067" s="4" t="s">
        <v>2308</v>
      </c>
      <c r="R1067" s="4" t="s">
        <v>2308</v>
      </c>
      <c r="S1067" s="4" t="s">
        <v>2308</v>
      </c>
      <c r="T1067" s="4" t="s">
        <v>2308</v>
      </c>
      <c r="U1067" s="4" t="s">
        <v>2308</v>
      </c>
      <c r="V1067" s="4" t="s">
        <v>2308</v>
      </c>
      <c r="W1067" s="4" t="s">
        <v>2433</v>
      </c>
      <c r="X1067" s="4" t="s">
        <v>194</v>
      </c>
      <c r="Y1067" s="4" t="s">
        <v>195</v>
      </c>
      <c r="Z1067" s="4" t="s">
        <v>2688</v>
      </c>
      <c r="AA1067" s="5" t="s">
        <v>3352</v>
      </c>
      <c r="AB1067" s="5" t="s">
        <v>3344</v>
      </c>
    </row>
    <row r="1068" spans="1:28" ht="43.5">
      <c r="A1068" s="7" t="str">
        <f>'Reported burning'!A1068</f>
        <v>123e</v>
      </c>
      <c r="B1068" s="7" t="str">
        <f>'Reported burning'!B1068</f>
        <v>123e.1</v>
      </c>
      <c r="C1068" s="7" t="str">
        <f>'Reported burning'!C1068</f>
        <v>Human, deliberate</v>
      </c>
      <c r="D1068" s="7" t="str">
        <f>'Reported burning'!D1068</f>
        <v>Pasture renewal</v>
      </c>
      <c r="E1068" s="7" t="str">
        <f>'Reported burning'!E1068</f>
        <v>Pastoralism, Migratory</v>
      </c>
      <c r="F1068" s="7" t="str">
        <f>'Reported burning'!F1068</f>
        <v>Grassland</v>
      </c>
      <c r="G1068" s="7" t="str">
        <f>'Reported burning'!G1068</f>
        <v>ND</v>
      </c>
      <c r="H1068" s="7" t="str">
        <f>'Reported burning'!H1068</f>
        <v>Presence</v>
      </c>
      <c r="I1068" s="4"/>
      <c r="J1068" s="4" t="s">
        <v>2308</v>
      </c>
      <c r="K1068" s="4" t="s">
        <v>2308</v>
      </c>
      <c r="L1068" s="4" t="s">
        <v>2308</v>
      </c>
      <c r="M1068" s="4" t="s">
        <v>2308</v>
      </c>
      <c r="N1068" s="4" t="s">
        <v>2308</v>
      </c>
      <c r="O1068" s="4" t="s">
        <v>2308</v>
      </c>
      <c r="P1068" s="4" t="s">
        <v>2308</v>
      </c>
      <c r="Q1068" s="4" t="s">
        <v>2308</v>
      </c>
      <c r="R1068" s="4" t="s">
        <v>2308</v>
      </c>
      <c r="S1068" s="4" t="s">
        <v>2308</v>
      </c>
      <c r="T1068" s="4" t="s">
        <v>2308</v>
      </c>
      <c r="U1068" s="4" t="s">
        <v>2308</v>
      </c>
      <c r="V1068" s="4" t="s">
        <v>2308</v>
      </c>
      <c r="W1068" s="4" t="s">
        <v>2433</v>
      </c>
      <c r="X1068" s="4" t="s">
        <v>194</v>
      </c>
      <c r="Y1068" s="4" t="s">
        <v>195</v>
      </c>
      <c r="Z1068" s="4" t="s">
        <v>2688</v>
      </c>
      <c r="AA1068" s="5" t="s">
        <v>3352</v>
      </c>
      <c r="AB1068" s="5" t="s">
        <v>3344</v>
      </c>
    </row>
    <row r="1069" spans="1:28" ht="43.5">
      <c r="A1069" s="7" t="str">
        <f>'Reported burning'!A1069</f>
        <v>123f</v>
      </c>
      <c r="B1069" s="7" t="str">
        <f>'Reported burning'!B1069</f>
        <v>123f.1</v>
      </c>
      <c r="C1069" s="7" t="str">
        <f>'Reported burning'!C1069</f>
        <v>Human, deliberate</v>
      </c>
      <c r="D1069" s="7" t="str">
        <f>'Reported burning'!D1069</f>
        <v>Pasture renewal</v>
      </c>
      <c r="E1069" s="7" t="str">
        <f>'Reported burning'!E1069</f>
        <v>Pastoralism, Migratory</v>
      </c>
      <c r="F1069" s="7" t="str">
        <f>'Reported burning'!F1069</f>
        <v>Grassland</v>
      </c>
      <c r="G1069" s="7" t="str">
        <f>'Reported burning'!G1069</f>
        <v>ND</v>
      </c>
      <c r="H1069" s="7" t="str">
        <f>'Reported burning'!H1069</f>
        <v>Presence</v>
      </c>
      <c r="I1069" s="4"/>
      <c r="J1069" s="4" t="s">
        <v>2308</v>
      </c>
      <c r="K1069" s="4" t="s">
        <v>2308</v>
      </c>
      <c r="L1069" s="4" t="s">
        <v>2308</v>
      </c>
      <c r="M1069" s="4" t="s">
        <v>2308</v>
      </c>
      <c r="N1069" s="4" t="s">
        <v>2308</v>
      </c>
      <c r="O1069" s="4" t="s">
        <v>2308</v>
      </c>
      <c r="P1069" s="4" t="s">
        <v>2308</v>
      </c>
      <c r="Q1069" s="4" t="s">
        <v>2308</v>
      </c>
      <c r="R1069" s="4" t="s">
        <v>2308</v>
      </c>
      <c r="S1069" s="4" t="s">
        <v>2308</v>
      </c>
      <c r="T1069" s="4" t="s">
        <v>2308</v>
      </c>
      <c r="U1069" s="4" t="s">
        <v>2308</v>
      </c>
      <c r="V1069" s="4" t="s">
        <v>2308</v>
      </c>
      <c r="W1069" s="4" t="s">
        <v>2433</v>
      </c>
      <c r="X1069" s="4" t="s">
        <v>194</v>
      </c>
      <c r="Y1069" s="4" t="s">
        <v>195</v>
      </c>
      <c r="Z1069" s="4" t="s">
        <v>2688</v>
      </c>
      <c r="AA1069" s="5" t="s">
        <v>3352</v>
      </c>
      <c r="AB1069" s="5" t="s">
        <v>3344</v>
      </c>
    </row>
    <row r="1070" spans="1:28" ht="32" customHeight="1">
      <c r="A1070" s="7" t="str">
        <f>'Reported burning'!A1070</f>
        <v>123a</v>
      </c>
      <c r="B1070" s="7" t="str">
        <f>'Reported burning'!B1070</f>
        <v>123a.3</v>
      </c>
      <c r="C1070" s="7" t="str">
        <f>'Reported burning'!C1070</f>
        <v>Human, deliberate</v>
      </c>
      <c r="D1070" s="7" t="str">
        <f>'Reported burning'!D1070</f>
        <v>Conservation</v>
      </c>
      <c r="E1070" s="7" t="str">
        <f>'Reported burning'!E1070</f>
        <v>Biodiversity conservation</v>
      </c>
      <c r="F1070" s="7" t="str">
        <f>'Reported burning'!F1070</f>
        <v>Grassland</v>
      </c>
      <c r="G1070" s="7" t="str">
        <f>'Reported burning'!G1070</f>
        <v>ND</v>
      </c>
      <c r="H1070" s="7" t="str">
        <f>'Reported burning'!H1070</f>
        <v>Presence</v>
      </c>
      <c r="I1070" s="4"/>
      <c r="J1070" s="4" t="s">
        <v>2308</v>
      </c>
      <c r="K1070" s="4" t="s">
        <v>2308</v>
      </c>
      <c r="L1070" s="4" t="s">
        <v>2308</v>
      </c>
      <c r="M1070" s="4" t="s">
        <v>2308</v>
      </c>
      <c r="N1070" s="4" t="s">
        <v>2308</v>
      </c>
      <c r="O1070" s="4" t="s">
        <v>2308</v>
      </c>
      <c r="P1070" s="4" t="s">
        <v>2308</v>
      </c>
      <c r="Q1070" s="4" t="s">
        <v>2308</v>
      </c>
      <c r="R1070" s="4" t="s">
        <v>2308</v>
      </c>
      <c r="S1070" s="4" t="s">
        <v>2308</v>
      </c>
      <c r="T1070" s="4" t="s">
        <v>2308</v>
      </c>
      <c r="U1070" s="4" t="s">
        <v>2308</v>
      </c>
      <c r="V1070" s="4" t="s">
        <v>2308</v>
      </c>
      <c r="W1070" s="4" t="s">
        <v>2308</v>
      </c>
      <c r="X1070" s="4" t="s">
        <v>2308</v>
      </c>
      <c r="Y1070" s="4" t="s">
        <v>2308</v>
      </c>
      <c r="Z1070" s="4" t="s">
        <v>2308</v>
      </c>
      <c r="AA1070" s="5" t="s">
        <v>3362</v>
      </c>
      <c r="AB1070" s="5"/>
    </row>
    <row r="1071" spans="1:28" ht="32" customHeight="1">
      <c r="A1071" s="7" t="str">
        <f>'Reported burning'!A1071</f>
        <v>123a</v>
      </c>
      <c r="B1071" s="7" t="str">
        <f>'Reported burning'!B1071</f>
        <v>123a.4</v>
      </c>
      <c r="C1071" s="7" t="str">
        <f>'Reported burning'!C1071</f>
        <v>Human, deliberate</v>
      </c>
      <c r="D1071" s="7" t="str">
        <f>'Reported burning'!D1071</f>
        <v>Conservation</v>
      </c>
      <c r="E1071" s="7" t="str">
        <f>'Reported burning'!E1071</f>
        <v>Biodiversity conservation</v>
      </c>
      <c r="F1071" s="7" t="str">
        <f>'Reported burning'!F1071</f>
        <v>Shrubland (Mixed forest &amp; grassland)</v>
      </c>
      <c r="G1071" s="7" t="str">
        <f>'Reported burning'!G1071</f>
        <v>ND</v>
      </c>
      <c r="H1071" s="7" t="str">
        <f>'Reported burning'!H1071</f>
        <v>Presence</v>
      </c>
      <c r="I1071" s="4"/>
      <c r="J1071" s="4" t="s">
        <v>2308</v>
      </c>
      <c r="K1071" s="4" t="s">
        <v>2308</v>
      </c>
      <c r="L1071" s="4" t="s">
        <v>2308</v>
      </c>
      <c r="M1071" s="4" t="s">
        <v>2308</v>
      </c>
      <c r="N1071" s="4" t="s">
        <v>2308</v>
      </c>
      <c r="O1071" s="4" t="s">
        <v>2308</v>
      </c>
      <c r="P1071" s="4" t="s">
        <v>2308</v>
      </c>
      <c r="Q1071" s="4" t="s">
        <v>2308</v>
      </c>
      <c r="R1071" s="4" t="s">
        <v>2308</v>
      </c>
      <c r="S1071" s="4" t="s">
        <v>2308</v>
      </c>
      <c r="T1071" s="4" t="s">
        <v>2308</v>
      </c>
      <c r="U1071" s="4" t="s">
        <v>2308</v>
      </c>
      <c r="V1071" s="4" t="s">
        <v>2308</v>
      </c>
      <c r="W1071" s="4" t="s">
        <v>2308</v>
      </c>
      <c r="X1071" s="4" t="s">
        <v>2308</v>
      </c>
      <c r="Y1071" s="4" t="s">
        <v>2308</v>
      </c>
      <c r="Z1071" s="4" t="s">
        <v>2308</v>
      </c>
      <c r="AA1071" s="5" t="s">
        <v>3362</v>
      </c>
      <c r="AB1071" s="5"/>
    </row>
    <row r="1072" spans="1:28" ht="32" customHeight="1">
      <c r="A1072" s="7" t="str">
        <f>'Reported burning'!A1072</f>
        <v>123b</v>
      </c>
      <c r="B1072" s="7" t="str">
        <f>'Reported burning'!B1072</f>
        <v>123b.3</v>
      </c>
      <c r="C1072" s="7" t="str">
        <f>'Reported burning'!C1072</f>
        <v>Human, deliberate</v>
      </c>
      <c r="D1072" s="7" t="str">
        <f>'Reported burning'!D1072</f>
        <v>Conservation</v>
      </c>
      <c r="E1072" s="7" t="str">
        <f>'Reported burning'!E1072</f>
        <v>Biodiversity conservation</v>
      </c>
      <c r="F1072" s="7" t="str">
        <f>'Reported burning'!F1072</f>
        <v>Grassland</v>
      </c>
      <c r="G1072" s="7" t="str">
        <f>'Reported burning'!G1072</f>
        <v>ND</v>
      </c>
      <c r="H1072" s="7" t="str">
        <f>'Reported burning'!H1072</f>
        <v>Presence</v>
      </c>
      <c r="I1072" s="4"/>
      <c r="J1072" s="4" t="s">
        <v>2308</v>
      </c>
      <c r="K1072" s="4" t="s">
        <v>2308</v>
      </c>
      <c r="L1072" s="4" t="s">
        <v>2308</v>
      </c>
      <c r="M1072" s="4" t="s">
        <v>2308</v>
      </c>
      <c r="N1072" s="4" t="s">
        <v>2308</v>
      </c>
      <c r="O1072" s="4" t="s">
        <v>2308</v>
      </c>
      <c r="P1072" s="4" t="s">
        <v>2308</v>
      </c>
      <c r="Q1072" s="4" t="s">
        <v>2308</v>
      </c>
      <c r="R1072" s="4" t="s">
        <v>2308</v>
      </c>
      <c r="S1072" s="4" t="s">
        <v>2308</v>
      </c>
      <c r="T1072" s="4" t="s">
        <v>2308</v>
      </c>
      <c r="U1072" s="4" t="s">
        <v>2308</v>
      </c>
      <c r="V1072" s="4" t="s">
        <v>2308</v>
      </c>
      <c r="W1072" s="4" t="s">
        <v>2308</v>
      </c>
      <c r="X1072" s="4" t="s">
        <v>2308</v>
      </c>
      <c r="Y1072" s="4" t="s">
        <v>2308</v>
      </c>
      <c r="Z1072" s="4" t="s">
        <v>2308</v>
      </c>
      <c r="AA1072" s="5" t="s">
        <v>3362</v>
      </c>
      <c r="AB1072" s="5"/>
    </row>
    <row r="1073" spans="1:28" ht="32" customHeight="1">
      <c r="A1073" s="7" t="str">
        <f>'Reported burning'!A1073</f>
        <v>123b</v>
      </c>
      <c r="B1073" s="7" t="str">
        <f>'Reported burning'!B1073</f>
        <v>123b.4</v>
      </c>
      <c r="C1073" s="7" t="str">
        <f>'Reported burning'!C1073</f>
        <v>Human, deliberate</v>
      </c>
      <c r="D1073" s="7" t="str">
        <f>'Reported burning'!D1073</f>
        <v>Conservation</v>
      </c>
      <c r="E1073" s="7" t="str">
        <f>'Reported burning'!E1073</f>
        <v>Biodiversity conservation</v>
      </c>
      <c r="F1073" s="7" t="str">
        <f>'Reported burning'!F1073</f>
        <v>Shrubland (Mixed forest &amp; grassland)</v>
      </c>
      <c r="G1073" s="7" t="str">
        <f>'Reported burning'!G1073</f>
        <v>ND</v>
      </c>
      <c r="H1073" s="7" t="str">
        <f>'Reported burning'!H1073</f>
        <v>Presence</v>
      </c>
      <c r="I1073" s="4"/>
      <c r="J1073" s="4" t="s">
        <v>2308</v>
      </c>
      <c r="K1073" s="4" t="s">
        <v>2308</v>
      </c>
      <c r="L1073" s="4" t="s">
        <v>2308</v>
      </c>
      <c r="M1073" s="4" t="s">
        <v>2308</v>
      </c>
      <c r="N1073" s="4" t="s">
        <v>2308</v>
      </c>
      <c r="O1073" s="4" t="s">
        <v>2308</v>
      </c>
      <c r="P1073" s="4" t="s">
        <v>2308</v>
      </c>
      <c r="Q1073" s="4" t="s">
        <v>2308</v>
      </c>
      <c r="R1073" s="4" t="s">
        <v>2308</v>
      </c>
      <c r="S1073" s="4" t="s">
        <v>2308</v>
      </c>
      <c r="T1073" s="4" t="s">
        <v>2308</v>
      </c>
      <c r="U1073" s="4" t="s">
        <v>2308</v>
      </c>
      <c r="V1073" s="4" t="s">
        <v>2308</v>
      </c>
      <c r="W1073" s="4" t="s">
        <v>2308</v>
      </c>
      <c r="X1073" s="4" t="s">
        <v>2308</v>
      </c>
      <c r="Y1073" s="4" t="s">
        <v>2308</v>
      </c>
      <c r="Z1073" s="4" t="s">
        <v>2308</v>
      </c>
      <c r="AA1073" s="5" t="s">
        <v>3362</v>
      </c>
      <c r="AB1073" s="4"/>
    </row>
    <row r="1074" spans="1:28" ht="32" customHeight="1">
      <c r="A1074" s="7" t="str">
        <f>'Reported burning'!A1074</f>
        <v>123c</v>
      </c>
      <c r="B1074" s="7" t="str">
        <f>'Reported burning'!B1074</f>
        <v>123c.3</v>
      </c>
      <c r="C1074" s="7" t="str">
        <f>'Reported burning'!C1074</f>
        <v>Human, deliberate</v>
      </c>
      <c r="D1074" s="7" t="str">
        <f>'Reported burning'!D1074</f>
        <v>Conservation</v>
      </c>
      <c r="E1074" s="7" t="str">
        <f>'Reported burning'!E1074</f>
        <v>Biodiversity conservation</v>
      </c>
      <c r="F1074" s="7" t="str">
        <f>'Reported burning'!F1074</f>
        <v>Grassland</v>
      </c>
      <c r="G1074" s="7" t="str">
        <f>'Reported burning'!G1074</f>
        <v>ND</v>
      </c>
      <c r="H1074" s="7" t="str">
        <f>'Reported burning'!H1074</f>
        <v>Presence</v>
      </c>
      <c r="I1074" s="4"/>
      <c r="J1074" s="4" t="s">
        <v>2308</v>
      </c>
      <c r="K1074" s="4" t="s">
        <v>2308</v>
      </c>
      <c r="L1074" s="4" t="s">
        <v>2308</v>
      </c>
      <c r="M1074" s="4" t="s">
        <v>2308</v>
      </c>
      <c r="N1074" s="4" t="s">
        <v>2308</v>
      </c>
      <c r="O1074" s="4" t="s">
        <v>2308</v>
      </c>
      <c r="P1074" s="4" t="s">
        <v>2308</v>
      </c>
      <c r="Q1074" s="4" t="s">
        <v>2308</v>
      </c>
      <c r="R1074" s="4" t="s">
        <v>2308</v>
      </c>
      <c r="S1074" s="4" t="s">
        <v>2308</v>
      </c>
      <c r="T1074" s="4" t="s">
        <v>2308</v>
      </c>
      <c r="U1074" s="4" t="s">
        <v>2308</v>
      </c>
      <c r="V1074" s="4" t="s">
        <v>2308</v>
      </c>
      <c r="W1074" s="4" t="s">
        <v>2308</v>
      </c>
      <c r="X1074" s="4" t="s">
        <v>2308</v>
      </c>
      <c r="Y1074" s="4" t="s">
        <v>2308</v>
      </c>
      <c r="Z1074" s="4" t="s">
        <v>2308</v>
      </c>
      <c r="AA1074" s="5" t="s">
        <v>3362</v>
      </c>
      <c r="AB1074" s="4"/>
    </row>
    <row r="1075" spans="1:28" ht="32" customHeight="1">
      <c r="A1075" s="7" t="str">
        <f>'Reported burning'!A1075</f>
        <v>123c</v>
      </c>
      <c r="B1075" s="7" t="str">
        <f>'Reported burning'!B1075</f>
        <v>123c.4</v>
      </c>
      <c r="C1075" s="7" t="str">
        <f>'Reported burning'!C1075</f>
        <v>Human, deliberate</v>
      </c>
      <c r="D1075" s="7" t="str">
        <f>'Reported burning'!D1075</f>
        <v>Conservation</v>
      </c>
      <c r="E1075" s="7" t="str">
        <f>'Reported burning'!E1075</f>
        <v>Biodiversity conservation</v>
      </c>
      <c r="F1075" s="7" t="str">
        <f>'Reported burning'!F1075</f>
        <v>Shrubland (Mixed forest &amp; grassland)</v>
      </c>
      <c r="G1075" s="7" t="str">
        <f>'Reported burning'!G1075</f>
        <v>ND</v>
      </c>
      <c r="H1075" s="7" t="str">
        <f>'Reported burning'!H1075</f>
        <v>Presence</v>
      </c>
      <c r="I1075" s="4"/>
      <c r="J1075" s="4" t="s">
        <v>2308</v>
      </c>
      <c r="K1075" s="4" t="s">
        <v>2308</v>
      </c>
      <c r="L1075" s="4" t="s">
        <v>2308</v>
      </c>
      <c r="M1075" s="4" t="s">
        <v>2308</v>
      </c>
      <c r="N1075" s="4" t="s">
        <v>2308</v>
      </c>
      <c r="O1075" s="4" t="s">
        <v>2308</v>
      </c>
      <c r="P1075" s="4" t="s">
        <v>2308</v>
      </c>
      <c r="Q1075" s="4" t="s">
        <v>2308</v>
      </c>
      <c r="R1075" s="4" t="s">
        <v>2308</v>
      </c>
      <c r="S1075" s="4" t="s">
        <v>2308</v>
      </c>
      <c r="T1075" s="4" t="s">
        <v>2308</v>
      </c>
      <c r="U1075" s="4" t="s">
        <v>2308</v>
      </c>
      <c r="V1075" s="4" t="s">
        <v>2308</v>
      </c>
      <c r="W1075" s="4" t="s">
        <v>2308</v>
      </c>
      <c r="X1075" s="4" t="s">
        <v>2308</v>
      </c>
      <c r="Y1075" s="4" t="s">
        <v>2308</v>
      </c>
      <c r="Z1075" s="4" t="s">
        <v>2308</v>
      </c>
      <c r="AA1075" s="5" t="s">
        <v>3362</v>
      </c>
      <c r="AB1075" s="4"/>
    </row>
    <row r="1076" spans="1:28" ht="27" customHeight="1">
      <c r="A1076" s="7" t="str">
        <f>'Reported burning'!A1076</f>
        <v>124a</v>
      </c>
      <c r="B1076" s="7" t="str">
        <f>'Reported burning'!B1076</f>
        <v>124a.1</v>
      </c>
      <c r="C1076" s="7" t="str">
        <f>'Reported burning'!C1076</f>
        <v>Human, deliberate</v>
      </c>
      <c r="D1076" s="7" t="str">
        <f>'Reported burning'!D1076</f>
        <v>Fishing</v>
      </c>
      <c r="E1076" s="7" t="str">
        <f>'Reported burning'!E1076</f>
        <v>Forestry, Traditional</v>
      </c>
      <c r="F1076" s="7" t="str">
        <f>'Reported burning'!F1076</f>
        <v>Grassland</v>
      </c>
      <c r="G1076" s="7" t="str">
        <f>'Reported burning'!G1076</f>
        <v>ND</v>
      </c>
      <c r="H1076" s="7" t="str">
        <f>'Reported burning'!H1076</f>
        <v>Presence</v>
      </c>
      <c r="I1076" s="4"/>
      <c r="J1076" s="4" t="s">
        <v>2308</v>
      </c>
      <c r="K1076" s="4" t="s">
        <v>2308</v>
      </c>
      <c r="L1076" s="4" t="s">
        <v>2308</v>
      </c>
      <c r="M1076" s="4" t="s">
        <v>2308</v>
      </c>
      <c r="N1076" s="4" t="s">
        <v>2308</v>
      </c>
      <c r="O1076" s="4" t="s">
        <v>2308</v>
      </c>
      <c r="P1076" s="4" t="s">
        <v>2308</v>
      </c>
      <c r="Q1076" s="4" t="s">
        <v>2308</v>
      </c>
      <c r="R1076" s="4" t="s">
        <v>2308</v>
      </c>
      <c r="S1076" s="4" t="s">
        <v>2308</v>
      </c>
      <c r="T1076" s="4" t="s">
        <v>2308</v>
      </c>
      <c r="U1076" s="4" t="s">
        <v>2308</v>
      </c>
      <c r="V1076" s="4" t="s">
        <v>2308</v>
      </c>
      <c r="W1076" s="4" t="s">
        <v>2308</v>
      </c>
      <c r="X1076" s="4" t="s">
        <v>2308</v>
      </c>
      <c r="Y1076" s="4" t="s">
        <v>2308</v>
      </c>
      <c r="Z1076" s="4" t="s">
        <v>2308</v>
      </c>
      <c r="AA1076" s="20" t="s">
        <v>3374</v>
      </c>
      <c r="AB1076" s="4"/>
    </row>
    <row r="1077" spans="1:28" ht="27" customHeight="1">
      <c r="A1077" s="7" t="str">
        <f>'Reported burning'!A1077</f>
        <v>124a</v>
      </c>
      <c r="B1077" s="7" t="str">
        <f>'Reported burning'!B1077</f>
        <v>124a.2</v>
      </c>
      <c r="C1077" s="7" t="str">
        <f>'Reported burning'!C1077</f>
        <v>Human, deliberate</v>
      </c>
      <c r="D1077" s="7" t="str">
        <f>'Reported burning'!D1077</f>
        <v>Fishing</v>
      </c>
      <c r="E1077" s="7" t="str">
        <f>'Reported burning'!E1077</f>
        <v>Forestry, Traditional</v>
      </c>
      <c r="F1077" s="7" t="str">
        <f>'Reported burning'!F1077</f>
        <v>Secondary Vegetation</v>
      </c>
      <c r="G1077" s="7" t="str">
        <f>'Reported burning'!G1077</f>
        <v>ND</v>
      </c>
      <c r="H1077" s="7" t="str">
        <f>'Reported burning'!H1077</f>
        <v>Presence</v>
      </c>
      <c r="I1077" s="4"/>
      <c r="J1077" s="4" t="s">
        <v>2308</v>
      </c>
      <c r="K1077" s="4" t="s">
        <v>2308</v>
      </c>
      <c r="L1077" s="4" t="s">
        <v>2308</v>
      </c>
      <c r="M1077" s="4" t="s">
        <v>2308</v>
      </c>
      <c r="N1077" s="4" t="s">
        <v>2308</v>
      </c>
      <c r="O1077" s="4" t="s">
        <v>2308</v>
      </c>
      <c r="P1077" s="4" t="s">
        <v>2308</v>
      </c>
      <c r="Q1077" s="4" t="s">
        <v>2308</v>
      </c>
      <c r="R1077" s="4" t="s">
        <v>2308</v>
      </c>
      <c r="S1077" s="4" t="s">
        <v>2308</v>
      </c>
      <c r="T1077" s="4" t="s">
        <v>2308</v>
      </c>
      <c r="U1077" s="4" t="s">
        <v>2308</v>
      </c>
      <c r="V1077" s="4" t="s">
        <v>2308</v>
      </c>
      <c r="W1077" s="4" t="s">
        <v>2308</v>
      </c>
      <c r="X1077" s="4" t="s">
        <v>2308</v>
      </c>
      <c r="Y1077" s="4" t="s">
        <v>2308</v>
      </c>
      <c r="Z1077" s="4" t="s">
        <v>2308</v>
      </c>
      <c r="AA1077" s="20" t="s">
        <v>3377</v>
      </c>
      <c r="AB1077" s="4"/>
    </row>
    <row r="1078" spans="1:28" ht="36" customHeight="1">
      <c r="A1078" s="7" t="str">
        <f>'Reported burning'!A1078</f>
        <v>124a</v>
      </c>
      <c r="B1078" s="7" t="str">
        <f>'Reported burning'!B1078</f>
        <v>124a.3</v>
      </c>
      <c r="C1078" s="7" t="str">
        <f>'Reported burning'!C1078</f>
        <v>Human, deliberate</v>
      </c>
      <c r="D1078" s="7" t="str">
        <f>'Reported burning'!D1078</f>
        <v>Land clearance</v>
      </c>
      <c r="E1078" s="7" t="str">
        <f>'Reported burning'!E1078</f>
        <v>Cropping, Monoculture, Subsistence-oriented</v>
      </c>
      <c r="F1078" s="7" t="str">
        <f>'Reported burning'!F1078</f>
        <v>Grassland</v>
      </c>
      <c r="G1078" s="7" t="str">
        <f>'Reported burning'!G1078</f>
        <v>ND</v>
      </c>
      <c r="H1078" s="7" t="str">
        <f>'Reported burning'!H1078</f>
        <v>Presence</v>
      </c>
      <c r="I1078" s="4"/>
      <c r="J1078" s="4" t="s">
        <v>2308</v>
      </c>
      <c r="K1078" s="4" t="s">
        <v>2308</v>
      </c>
      <c r="L1078" s="4" t="s">
        <v>2308</v>
      </c>
      <c r="M1078" s="4" t="s">
        <v>2308</v>
      </c>
      <c r="N1078" s="4" t="s">
        <v>2308</v>
      </c>
      <c r="O1078" s="4" t="s">
        <v>2308</v>
      </c>
      <c r="P1078" s="4" t="s">
        <v>2308</v>
      </c>
      <c r="Q1078" s="4" t="s">
        <v>2308</v>
      </c>
      <c r="R1078" s="4" t="s">
        <v>2308</v>
      </c>
      <c r="S1078" s="4" t="s">
        <v>2308</v>
      </c>
      <c r="T1078" s="4" t="s">
        <v>2308</v>
      </c>
      <c r="U1078" s="4" t="s">
        <v>2308</v>
      </c>
      <c r="V1078" s="4" t="s">
        <v>2308</v>
      </c>
      <c r="W1078" s="4" t="s">
        <v>2308</v>
      </c>
      <c r="X1078" s="4" t="s">
        <v>2308</v>
      </c>
      <c r="Y1078" s="4" t="s">
        <v>2308</v>
      </c>
      <c r="Z1078" s="4" t="s">
        <v>2308</v>
      </c>
      <c r="AA1078" s="20" t="s">
        <v>3380</v>
      </c>
      <c r="AB1078" s="4"/>
    </row>
    <row r="1079" spans="1:28" ht="36" customHeight="1">
      <c r="A1079" s="7" t="str">
        <f>'Reported burning'!A1079</f>
        <v>124a</v>
      </c>
      <c r="B1079" s="7" t="str">
        <f>'Reported burning'!B1079</f>
        <v>124a.4</v>
      </c>
      <c r="C1079" s="7" t="str">
        <f>'Reported burning'!C1079</f>
        <v>Human, deliberate</v>
      </c>
      <c r="D1079" s="7" t="str">
        <f>'Reported burning'!D1079</f>
        <v>Land clearance</v>
      </c>
      <c r="E1079" s="7" t="str">
        <f>'Reported burning'!E1079</f>
        <v>Cropping, Monoculture, Subsistence-oriented</v>
      </c>
      <c r="F1079" s="7" t="str">
        <f>'Reported burning'!F1079</f>
        <v>Secondary Vegetation</v>
      </c>
      <c r="G1079" s="7" t="str">
        <f>'Reported burning'!G1079</f>
        <v>ND</v>
      </c>
      <c r="H1079" s="7" t="str">
        <f>'Reported burning'!H1079</f>
        <v>Presence</v>
      </c>
      <c r="I1079" s="4"/>
      <c r="J1079" s="4" t="s">
        <v>2308</v>
      </c>
      <c r="K1079" s="4" t="s">
        <v>2308</v>
      </c>
      <c r="L1079" s="4" t="s">
        <v>2308</v>
      </c>
      <c r="M1079" s="4" t="s">
        <v>2308</v>
      </c>
      <c r="N1079" s="4" t="s">
        <v>2308</v>
      </c>
      <c r="O1079" s="4" t="s">
        <v>2308</v>
      </c>
      <c r="P1079" s="4" t="s">
        <v>2308</v>
      </c>
      <c r="Q1079" s="4" t="s">
        <v>2308</v>
      </c>
      <c r="R1079" s="4" t="s">
        <v>2308</v>
      </c>
      <c r="S1079" s="4" t="s">
        <v>2308</v>
      </c>
      <c r="T1079" s="4" t="s">
        <v>2308</v>
      </c>
      <c r="U1079" s="4" t="s">
        <v>2308</v>
      </c>
      <c r="V1079" s="4" t="s">
        <v>2308</v>
      </c>
      <c r="W1079" s="4" t="s">
        <v>2308</v>
      </c>
      <c r="X1079" s="4" t="s">
        <v>2308</v>
      </c>
      <c r="Y1079" s="4" t="s">
        <v>2308</v>
      </c>
      <c r="Z1079" s="4" t="s">
        <v>2308</v>
      </c>
      <c r="AA1079" s="20" t="s">
        <v>3379</v>
      </c>
      <c r="AB1079" s="4"/>
    </row>
    <row r="1080" spans="1:28" ht="27" customHeight="1">
      <c r="A1080" s="7" t="str">
        <f>'Reported burning'!A1080</f>
        <v>124a</v>
      </c>
      <c r="B1080" s="7" t="str">
        <f>'Reported burning'!B1080</f>
        <v>124a.5</v>
      </c>
      <c r="C1080" s="7" t="str">
        <f>'Reported burning'!C1080</f>
        <v>Human, deliberate</v>
      </c>
      <c r="D1080" s="7" t="str">
        <f>'Reported burning'!D1080</f>
        <v>Land clearance</v>
      </c>
      <c r="E1080" s="7" t="str">
        <f>'Reported burning'!E1080</f>
        <v>Cattle, Extensive</v>
      </c>
      <c r="F1080" s="7" t="str">
        <f>'Reported burning'!F1080</f>
        <v>ND</v>
      </c>
      <c r="G1080" s="7" t="str">
        <f>'Reported burning'!G1080</f>
        <v>ND</v>
      </c>
      <c r="H1080" s="7" t="str">
        <f>'Reported burning'!H1080</f>
        <v>Absence</v>
      </c>
      <c r="I1080" s="4"/>
      <c r="J1080" s="4" t="s">
        <v>2308</v>
      </c>
      <c r="K1080" s="4" t="s">
        <v>2308</v>
      </c>
      <c r="L1080" s="4" t="s">
        <v>2308</v>
      </c>
      <c r="M1080" s="4" t="s">
        <v>2308</v>
      </c>
      <c r="N1080" s="4" t="s">
        <v>2308</v>
      </c>
      <c r="O1080" s="4" t="s">
        <v>2308</v>
      </c>
      <c r="P1080" s="4" t="s">
        <v>2308</v>
      </c>
      <c r="Q1080" s="4" t="s">
        <v>2308</v>
      </c>
      <c r="R1080" s="4" t="s">
        <v>2308</v>
      </c>
      <c r="S1080" s="4" t="s">
        <v>2308</v>
      </c>
      <c r="T1080" s="4" t="s">
        <v>2308</v>
      </c>
      <c r="U1080" s="4" t="s">
        <v>2308</v>
      </c>
      <c r="V1080" s="4" t="s">
        <v>2308</v>
      </c>
      <c r="W1080" s="4" t="s">
        <v>2308</v>
      </c>
      <c r="X1080" s="4" t="s">
        <v>2308</v>
      </c>
      <c r="Y1080" s="4" t="s">
        <v>2308</v>
      </c>
      <c r="Z1080" s="4" t="s">
        <v>2308</v>
      </c>
      <c r="AA1080" s="4"/>
      <c r="AB1080" s="4"/>
    </row>
    <row r="1081" spans="1:28" ht="27" customHeight="1">
      <c r="A1081" s="7" t="str">
        <f>'Reported burning'!A1081</f>
        <v>124a</v>
      </c>
      <c r="B1081" s="7" t="str">
        <f>'Reported burning'!B1081</f>
        <v>124a.6</v>
      </c>
      <c r="C1081" s="7" t="str">
        <f>'Reported burning'!C1081</f>
        <v>Human, accidental</v>
      </c>
      <c r="D1081" s="7" t="str">
        <f>'Reported burning'!D1081</f>
        <v>All</v>
      </c>
      <c r="E1081" s="7" t="str">
        <f>'Reported burning'!E1081</f>
        <v>All</v>
      </c>
      <c r="F1081" s="7" t="str">
        <f>'Reported burning'!F1081</f>
        <v>ND</v>
      </c>
      <c r="G1081" s="7" t="str">
        <f>'Reported burning'!G1081</f>
        <v>ND</v>
      </c>
      <c r="H1081" s="7" t="str">
        <f>'Reported burning'!H1081</f>
        <v>Presence</v>
      </c>
      <c r="I1081" s="4"/>
      <c r="J1081" s="4" t="s">
        <v>2308</v>
      </c>
      <c r="K1081" s="4" t="s">
        <v>2308</v>
      </c>
      <c r="L1081" s="4" t="s">
        <v>2308</v>
      </c>
      <c r="M1081" s="4" t="s">
        <v>2308</v>
      </c>
      <c r="N1081" s="4" t="s">
        <v>2308</v>
      </c>
      <c r="O1081" s="4" t="s">
        <v>2308</v>
      </c>
      <c r="P1081" s="4" t="s">
        <v>2308</v>
      </c>
      <c r="Q1081" s="4" t="s">
        <v>2308</v>
      </c>
      <c r="R1081" s="4" t="s">
        <v>2308</v>
      </c>
      <c r="S1081" s="4" t="s">
        <v>2308</v>
      </c>
      <c r="T1081" s="4" t="s">
        <v>2308</v>
      </c>
      <c r="U1081" s="4" t="s">
        <v>2308</v>
      </c>
      <c r="V1081" s="4" t="s">
        <v>2308</v>
      </c>
      <c r="W1081" s="4" t="s">
        <v>2308</v>
      </c>
      <c r="X1081" s="4" t="s">
        <v>2308</v>
      </c>
      <c r="Y1081" s="4" t="s">
        <v>2308</v>
      </c>
      <c r="Z1081" s="4" t="s">
        <v>2308</v>
      </c>
      <c r="AA1081" s="4"/>
      <c r="AB1081" s="4"/>
    </row>
    <row r="1082" spans="1:28" ht="27" customHeight="1">
      <c r="A1082" s="7" t="str">
        <f>'Reported burning'!A1082</f>
        <v>124a</v>
      </c>
      <c r="B1082" s="7" t="str">
        <f>'Reported burning'!B1082</f>
        <v>124a.7</v>
      </c>
      <c r="C1082" s="7" t="str">
        <f>'Reported burning'!C1082</f>
        <v>Human, deliberate</v>
      </c>
      <c r="D1082" s="7" t="str">
        <f>'Reported burning'!D1082</f>
        <v>Hunting</v>
      </c>
      <c r="E1082" s="7" t="str">
        <f>'Reported burning'!E1082</f>
        <v>Forestry, Traditional</v>
      </c>
      <c r="F1082" s="7" t="str">
        <f>'Reported burning'!F1082</f>
        <v>Grassland</v>
      </c>
      <c r="G1082" s="7" t="str">
        <f>'Reported burning'!G1082</f>
        <v>ND</v>
      </c>
      <c r="H1082" s="7" t="str">
        <f>'Reported burning'!H1082</f>
        <v>Presence</v>
      </c>
      <c r="I1082" s="4"/>
      <c r="J1082" s="4" t="s">
        <v>2308</v>
      </c>
      <c r="K1082" s="4" t="s">
        <v>2308</v>
      </c>
      <c r="L1082" s="4" t="s">
        <v>2308</v>
      </c>
      <c r="M1082" s="4" t="s">
        <v>2308</v>
      </c>
      <c r="N1082" s="4" t="s">
        <v>2308</v>
      </c>
      <c r="O1082" s="4" t="s">
        <v>2308</v>
      </c>
      <c r="P1082" s="4" t="s">
        <v>2308</v>
      </c>
      <c r="Q1082" s="4" t="s">
        <v>2308</v>
      </c>
      <c r="R1082" s="4" t="s">
        <v>2308</v>
      </c>
      <c r="S1082" s="4" t="s">
        <v>2308</v>
      </c>
      <c r="T1082" s="4" t="s">
        <v>2308</v>
      </c>
      <c r="U1082" s="4" t="s">
        <v>2308</v>
      </c>
      <c r="V1082" s="4" t="s">
        <v>2308</v>
      </c>
      <c r="W1082" s="4" t="s">
        <v>2308</v>
      </c>
      <c r="X1082" s="4" t="s">
        <v>2308</v>
      </c>
      <c r="Y1082" s="4" t="s">
        <v>2308</v>
      </c>
      <c r="Z1082" s="4" t="s">
        <v>2308</v>
      </c>
      <c r="AA1082" s="4" t="s">
        <v>3384</v>
      </c>
      <c r="AB1082" s="4"/>
    </row>
    <row r="1083" spans="1:28" ht="33" customHeight="1">
      <c r="A1083" s="7" t="str">
        <f>'Reported burning'!A1083</f>
        <v>125a</v>
      </c>
      <c r="B1083" s="7" t="str">
        <f>'Reported burning'!B1083</f>
        <v>125a.1</v>
      </c>
      <c r="C1083" s="7" t="str">
        <f>'Reported burning'!C1083</f>
        <v>Human, deliberate</v>
      </c>
      <c r="D1083" s="7" t="str">
        <f>'Reported burning'!D1083</f>
        <v>Fishing</v>
      </c>
      <c r="E1083" s="7" t="str">
        <f>'Reported burning'!E1083</f>
        <v>Forestry, Traditional</v>
      </c>
      <c r="F1083" s="7" t="str">
        <f>'Reported burning'!F1083</f>
        <v>Grassland</v>
      </c>
      <c r="G1083" s="7" t="str">
        <f>'Reported burning'!G1083</f>
        <v>ND</v>
      </c>
      <c r="H1083" s="7" t="str">
        <f>'Reported burning'!H1083</f>
        <v>Presence</v>
      </c>
      <c r="I1083" s="4">
        <v>2001</v>
      </c>
      <c r="J1083" s="4" t="s">
        <v>2308</v>
      </c>
      <c r="K1083" s="4" t="s">
        <v>2308</v>
      </c>
      <c r="L1083" s="4" t="s">
        <v>2308</v>
      </c>
      <c r="M1083" s="4" t="s">
        <v>2308</v>
      </c>
      <c r="N1083" s="4" t="s">
        <v>2308</v>
      </c>
      <c r="O1083" s="4" t="s">
        <v>2308</v>
      </c>
      <c r="P1083" s="4" t="s">
        <v>2308</v>
      </c>
      <c r="Q1083" s="4" t="s">
        <v>2308</v>
      </c>
      <c r="R1083" s="4" t="s">
        <v>2308</v>
      </c>
      <c r="S1083" s="4" t="s">
        <v>2308</v>
      </c>
      <c r="T1083" s="4" t="s">
        <v>2421</v>
      </c>
      <c r="U1083" s="4" t="s">
        <v>2308</v>
      </c>
      <c r="V1083" s="4" t="s">
        <v>2308</v>
      </c>
      <c r="W1083" s="4" t="s">
        <v>2308</v>
      </c>
      <c r="X1083" s="4" t="s">
        <v>432</v>
      </c>
      <c r="Y1083" s="4" t="s">
        <v>133</v>
      </c>
      <c r="Z1083" s="4" t="s">
        <v>64</v>
      </c>
      <c r="AA1083" s="4"/>
      <c r="AB1083" s="5" t="s">
        <v>3393</v>
      </c>
    </row>
    <row r="1084" spans="1:28" ht="33" customHeight="1">
      <c r="A1084" s="7" t="str">
        <f>'Reported burning'!A1084</f>
        <v>125a</v>
      </c>
      <c r="B1084" s="7" t="str">
        <f>'Reported burning'!B1084</f>
        <v>125a.2</v>
      </c>
      <c r="C1084" s="7" t="str">
        <f>'Reported burning'!C1084</f>
        <v>Human, deliberate</v>
      </c>
      <c r="D1084" s="7" t="str">
        <f>'Reported burning'!D1084</f>
        <v>Land clearance</v>
      </c>
      <c r="E1084" s="7" t="str">
        <f>'Reported burning'!E1084</f>
        <v>Cropping, Monoculture, Subsistence-oriented</v>
      </c>
      <c r="F1084" s="7" t="str">
        <f>'Reported burning'!F1084</f>
        <v>Grassland</v>
      </c>
      <c r="G1084" s="7" t="str">
        <f>'Reported burning'!G1084</f>
        <v>ND</v>
      </c>
      <c r="H1084" s="7" t="str">
        <f>'Reported burning'!H1084</f>
        <v>Presence</v>
      </c>
      <c r="I1084" s="4">
        <v>2001</v>
      </c>
      <c r="J1084" s="4" t="s">
        <v>2308</v>
      </c>
      <c r="K1084" s="4" t="s">
        <v>2308</v>
      </c>
      <c r="L1084" s="4" t="s">
        <v>2308</v>
      </c>
      <c r="M1084" s="4" t="s">
        <v>2308</v>
      </c>
      <c r="N1084" s="4" t="s">
        <v>2308</v>
      </c>
      <c r="O1084" s="4" t="s">
        <v>2308</v>
      </c>
      <c r="P1084" s="4" t="s">
        <v>2308</v>
      </c>
      <c r="Q1084" s="4" t="s">
        <v>2308</v>
      </c>
      <c r="R1084" s="4" t="s">
        <v>2308</v>
      </c>
      <c r="S1084" s="4" t="s">
        <v>2308</v>
      </c>
      <c r="T1084" s="4" t="s">
        <v>2560</v>
      </c>
      <c r="U1084" s="4" t="s">
        <v>2308</v>
      </c>
      <c r="V1084" s="4" t="s">
        <v>2308</v>
      </c>
      <c r="W1084" s="4" t="s">
        <v>2308</v>
      </c>
      <c r="X1084" s="4" t="s">
        <v>432</v>
      </c>
      <c r="Y1084" s="4" t="s">
        <v>133</v>
      </c>
      <c r="Z1084" s="4" t="s">
        <v>64</v>
      </c>
      <c r="AA1084" s="4"/>
      <c r="AB1084" s="5" t="s">
        <v>3393</v>
      </c>
    </row>
    <row r="1085" spans="1:28" ht="33" customHeight="1">
      <c r="A1085" s="7" t="str">
        <f>'Reported burning'!A1085</f>
        <v>125a</v>
      </c>
      <c r="B1085" s="7" t="str">
        <f>'Reported burning'!B1085</f>
        <v>125a.3</v>
      </c>
      <c r="C1085" s="7" t="str">
        <f>'Reported burning'!C1085</f>
        <v>Human, accidental</v>
      </c>
      <c r="D1085" s="7" t="str">
        <f>'Reported burning'!D1085</f>
        <v>All</v>
      </c>
      <c r="E1085" s="7" t="str">
        <f>'Reported burning'!E1085</f>
        <v>All</v>
      </c>
      <c r="F1085" s="7" t="str">
        <f>'Reported burning'!F1085</f>
        <v>ND</v>
      </c>
      <c r="G1085" s="7" t="str">
        <f>'Reported burning'!G1085</f>
        <v>ND</v>
      </c>
      <c r="H1085" s="7" t="str">
        <f>'Reported burning'!H1085</f>
        <v>Presence</v>
      </c>
      <c r="I1085" s="4">
        <v>2001</v>
      </c>
      <c r="J1085" s="4" t="s">
        <v>2308</v>
      </c>
      <c r="K1085" s="4" t="s">
        <v>2308</v>
      </c>
      <c r="L1085" s="4" t="s">
        <v>2308</v>
      </c>
      <c r="M1085" s="4" t="s">
        <v>2308</v>
      </c>
      <c r="N1085" s="4" t="s">
        <v>2308</v>
      </c>
      <c r="O1085" s="4" t="s">
        <v>2308</v>
      </c>
      <c r="P1085" s="4" t="s">
        <v>2308</v>
      </c>
      <c r="Q1085" s="4" t="s">
        <v>2308</v>
      </c>
      <c r="R1085" s="4" t="s">
        <v>2308</v>
      </c>
      <c r="S1085" s="4" t="s">
        <v>2308</v>
      </c>
      <c r="T1085" s="4" t="s">
        <v>2560</v>
      </c>
      <c r="U1085" s="4" t="s">
        <v>2308</v>
      </c>
      <c r="V1085" s="4" t="s">
        <v>2308</v>
      </c>
      <c r="W1085" s="4" t="s">
        <v>2308</v>
      </c>
      <c r="X1085" s="4" t="s">
        <v>432</v>
      </c>
      <c r="Y1085" s="4" t="s">
        <v>133</v>
      </c>
      <c r="Z1085" s="4" t="s">
        <v>64</v>
      </c>
      <c r="AA1085" s="4"/>
      <c r="AB1085" s="5" t="s">
        <v>3393</v>
      </c>
    </row>
    <row r="1086" spans="1:28" ht="33" customHeight="1">
      <c r="A1086" s="7" t="str">
        <f>'Reported burning'!A1086</f>
        <v>125a</v>
      </c>
      <c r="B1086" s="7" t="str">
        <f>'Reported burning'!B1086</f>
        <v>125a.4</v>
      </c>
      <c r="C1086" s="7" t="str">
        <f>'Reported burning'!C1086</f>
        <v>Human, deliberate</v>
      </c>
      <c r="D1086" s="7" t="str">
        <f>'Reported burning'!D1086</f>
        <v>Hunting</v>
      </c>
      <c r="E1086" s="7" t="str">
        <f>'Reported burning'!E1086</f>
        <v>Forestry, Traditional</v>
      </c>
      <c r="F1086" s="7" t="str">
        <f>'Reported burning'!F1086</f>
        <v>Grassland</v>
      </c>
      <c r="G1086" s="7" t="str">
        <f>'Reported burning'!G1086</f>
        <v>ND</v>
      </c>
      <c r="H1086" s="7" t="str">
        <f>'Reported burning'!H1086</f>
        <v>Presence</v>
      </c>
      <c r="I1086" s="4">
        <v>2001</v>
      </c>
      <c r="J1086" s="4" t="s">
        <v>2308</v>
      </c>
      <c r="K1086" s="4" t="s">
        <v>2308</v>
      </c>
      <c r="L1086" s="4" t="s">
        <v>2308</v>
      </c>
      <c r="M1086" s="4" t="s">
        <v>2308</v>
      </c>
      <c r="N1086" s="4" t="s">
        <v>2308</v>
      </c>
      <c r="O1086" s="4" t="s">
        <v>2308</v>
      </c>
      <c r="P1086" s="4" t="s">
        <v>2308</v>
      </c>
      <c r="Q1086" s="4" t="s">
        <v>2308</v>
      </c>
      <c r="R1086" s="4" t="s">
        <v>2308</v>
      </c>
      <c r="S1086" s="4" t="s">
        <v>2308</v>
      </c>
      <c r="T1086" s="4" t="s">
        <v>2560</v>
      </c>
      <c r="U1086" s="4" t="s">
        <v>2308</v>
      </c>
      <c r="V1086" s="4" t="s">
        <v>2308</v>
      </c>
      <c r="W1086" s="4" t="s">
        <v>2308</v>
      </c>
      <c r="X1086" s="4" t="s">
        <v>432</v>
      </c>
      <c r="Y1086" s="4" t="s">
        <v>133</v>
      </c>
      <c r="Z1086" s="4" t="s">
        <v>64</v>
      </c>
      <c r="AA1086" s="4"/>
      <c r="AB1086" s="5" t="s">
        <v>3393</v>
      </c>
    </row>
    <row r="1087" spans="1:28" ht="29">
      <c r="A1087" s="7" t="str">
        <f>'Reported burning'!A1087</f>
        <v>125b</v>
      </c>
      <c r="B1087" s="7" t="str">
        <f>'Reported burning'!B1087</f>
        <v>125b.1</v>
      </c>
      <c r="C1087" s="7" t="str">
        <f>'Reported burning'!C1087</f>
        <v>Human, deliberate</v>
      </c>
      <c r="D1087" s="7" t="str">
        <f>'Reported burning'!D1087</f>
        <v>Fishing</v>
      </c>
      <c r="E1087" s="7" t="str">
        <f>'Reported burning'!E1087</f>
        <v>Forestry, Traditional</v>
      </c>
      <c r="F1087" s="7" t="str">
        <f>'Reported burning'!F1087</f>
        <v>Grassland</v>
      </c>
      <c r="G1087" s="7" t="str">
        <f>'Reported burning'!G1087</f>
        <v>ND</v>
      </c>
      <c r="H1087" s="7" t="str">
        <f>'Reported burning'!H1087</f>
        <v>Presence</v>
      </c>
      <c r="I1087" s="4">
        <v>2002</v>
      </c>
      <c r="J1087" s="4" t="s">
        <v>2308</v>
      </c>
      <c r="K1087" s="4" t="s">
        <v>2308</v>
      </c>
      <c r="L1087" s="4" t="s">
        <v>2308</v>
      </c>
      <c r="M1087" s="4" t="s">
        <v>2308</v>
      </c>
      <c r="N1087" s="4" t="s">
        <v>2308</v>
      </c>
      <c r="O1087" s="4" t="s">
        <v>2308</v>
      </c>
      <c r="P1087" s="4" t="s">
        <v>2308</v>
      </c>
      <c r="Q1087" s="4" t="s">
        <v>2308</v>
      </c>
      <c r="R1087" s="4" t="s">
        <v>2308</v>
      </c>
      <c r="S1087" s="4" t="s">
        <v>2308</v>
      </c>
      <c r="T1087" s="4" t="s">
        <v>2408</v>
      </c>
      <c r="U1087" s="4" t="s">
        <v>2308</v>
      </c>
      <c r="V1087" s="4" t="s">
        <v>2308</v>
      </c>
      <c r="W1087" s="4" t="s">
        <v>2308</v>
      </c>
      <c r="X1087" s="4" t="s">
        <v>432</v>
      </c>
      <c r="Y1087" s="4" t="s">
        <v>133</v>
      </c>
      <c r="Z1087" s="4" t="s">
        <v>64</v>
      </c>
      <c r="AA1087" s="4"/>
      <c r="AB1087" s="5" t="s">
        <v>3393</v>
      </c>
    </row>
    <row r="1088" spans="1:28" ht="29">
      <c r="A1088" s="7" t="str">
        <f>'Reported burning'!A1088</f>
        <v>125b</v>
      </c>
      <c r="B1088" s="7" t="str">
        <f>'Reported burning'!B1088</f>
        <v>125b.2</v>
      </c>
      <c r="C1088" s="7" t="str">
        <f>'Reported burning'!C1088</f>
        <v>Human, deliberate</v>
      </c>
      <c r="D1088" s="7" t="str">
        <f>'Reported burning'!D1088</f>
        <v>Land clearance</v>
      </c>
      <c r="E1088" s="7" t="str">
        <f>'Reported burning'!E1088</f>
        <v>Cropping, Monoculture, Subsistence-oriented</v>
      </c>
      <c r="F1088" s="7" t="str">
        <f>'Reported burning'!F1088</f>
        <v>Grassland</v>
      </c>
      <c r="G1088" s="7" t="str">
        <f>'Reported burning'!G1088</f>
        <v>ND</v>
      </c>
      <c r="H1088" s="7" t="str">
        <f>'Reported burning'!H1088</f>
        <v>Presence</v>
      </c>
      <c r="I1088" s="4">
        <v>2002</v>
      </c>
      <c r="J1088" s="4" t="s">
        <v>2308</v>
      </c>
      <c r="K1088" s="4" t="s">
        <v>2308</v>
      </c>
      <c r="L1088" s="4" t="s">
        <v>2308</v>
      </c>
      <c r="M1088" s="4" t="s">
        <v>2308</v>
      </c>
      <c r="N1088" s="4" t="s">
        <v>2308</v>
      </c>
      <c r="O1088" s="4" t="s">
        <v>2308</v>
      </c>
      <c r="P1088" s="4" t="s">
        <v>2308</v>
      </c>
      <c r="Q1088" s="4" t="s">
        <v>2308</v>
      </c>
      <c r="R1088" s="4" t="s">
        <v>2308</v>
      </c>
      <c r="S1088" s="4" t="s">
        <v>2308</v>
      </c>
      <c r="T1088" s="4" t="s">
        <v>2560</v>
      </c>
      <c r="U1088" s="4" t="s">
        <v>2308</v>
      </c>
      <c r="V1088" s="4" t="s">
        <v>2308</v>
      </c>
      <c r="W1088" s="4" t="s">
        <v>2308</v>
      </c>
      <c r="X1088" s="4" t="s">
        <v>432</v>
      </c>
      <c r="Y1088" s="4" t="s">
        <v>133</v>
      </c>
      <c r="Z1088" s="4" t="s">
        <v>64</v>
      </c>
      <c r="AA1088" s="4"/>
      <c r="AB1088" s="5" t="s">
        <v>3393</v>
      </c>
    </row>
    <row r="1089" spans="1:28" ht="29">
      <c r="A1089" s="7" t="str">
        <f>'Reported burning'!A1089</f>
        <v>125b</v>
      </c>
      <c r="B1089" s="7" t="str">
        <f>'Reported burning'!B1089</f>
        <v>125b.3</v>
      </c>
      <c r="C1089" s="7" t="str">
        <f>'Reported burning'!C1089</f>
        <v>Human, accidental</v>
      </c>
      <c r="D1089" s="7" t="str">
        <f>'Reported burning'!D1089</f>
        <v>All</v>
      </c>
      <c r="E1089" s="7" t="str">
        <f>'Reported burning'!E1089</f>
        <v>All</v>
      </c>
      <c r="F1089" s="7" t="str">
        <f>'Reported burning'!F1089</f>
        <v>ND</v>
      </c>
      <c r="G1089" s="7" t="str">
        <f>'Reported burning'!G1089</f>
        <v>ND</v>
      </c>
      <c r="H1089" s="7" t="str">
        <f>'Reported burning'!H1089</f>
        <v>Presence</v>
      </c>
      <c r="I1089" s="4">
        <v>2002</v>
      </c>
      <c r="J1089" s="4" t="s">
        <v>2308</v>
      </c>
      <c r="K1089" s="4" t="s">
        <v>2308</v>
      </c>
      <c r="L1089" s="4" t="s">
        <v>2308</v>
      </c>
      <c r="M1089" s="4" t="s">
        <v>2308</v>
      </c>
      <c r="N1089" s="4" t="s">
        <v>2308</v>
      </c>
      <c r="O1089" s="4" t="s">
        <v>2308</v>
      </c>
      <c r="P1089" s="4" t="s">
        <v>2308</v>
      </c>
      <c r="Q1089" s="4" t="s">
        <v>2308</v>
      </c>
      <c r="R1089" s="4" t="s">
        <v>2308</v>
      </c>
      <c r="S1089" s="4" t="s">
        <v>2308</v>
      </c>
      <c r="T1089" s="4" t="s">
        <v>2560</v>
      </c>
      <c r="U1089" s="4" t="s">
        <v>2308</v>
      </c>
      <c r="V1089" s="4" t="s">
        <v>2308</v>
      </c>
      <c r="W1089" s="4" t="s">
        <v>2308</v>
      </c>
      <c r="X1089" s="4" t="s">
        <v>432</v>
      </c>
      <c r="Y1089" s="4" t="s">
        <v>133</v>
      </c>
      <c r="Z1089" s="4" t="s">
        <v>64</v>
      </c>
      <c r="AA1089" s="4"/>
      <c r="AB1089" s="5" t="s">
        <v>3393</v>
      </c>
    </row>
    <row r="1090" spans="1:28" ht="29">
      <c r="A1090" s="7" t="str">
        <f>'Reported burning'!A1090</f>
        <v>125b</v>
      </c>
      <c r="B1090" s="7" t="str">
        <f>'Reported burning'!B1090</f>
        <v>125b.4</v>
      </c>
      <c r="C1090" s="7" t="str">
        <f>'Reported burning'!C1090</f>
        <v>Human, deliberate</v>
      </c>
      <c r="D1090" s="7" t="str">
        <f>'Reported burning'!D1090</f>
        <v>Hunting</v>
      </c>
      <c r="E1090" s="7" t="str">
        <f>'Reported burning'!E1090</f>
        <v>Forestry, Traditional</v>
      </c>
      <c r="F1090" s="7" t="str">
        <f>'Reported burning'!F1090</f>
        <v>Grassland</v>
      </c>
      <c r="G1090" s="7" t="str">
        <f>'Reported burning'!G1090</f>
        <v>ND</v>
      </c>
      <c r="H1090" s="7" t="str">
        <f>'Reported burning'!H1090</f>
        <v>Presence</v>
      </c>
      <c r="I1090" s="4">
        <v>2002</v>
      </c>
      <c r="J1090" s="4" t="s">
        <v>2308</v>
      </c>
      <c r="K1090" s="4" t="s">
        <v>2308</v>
      </c>
      <c r="L1090" s="4" t="s">
        <v>2308</v>
      </c>
      <c r="M1090" s="4" t="s">
        <v>2308</v>
      </c>
      <c r="N1090" s="4" t="s">
        <v>2308</v>
      </c>
      <c r="O1090" s="4" t="s">
        <v>2308</v>
      </c>
      <c r="P1090" s="4" t="s">
        <v>2308</v>
      </c>
      <c r="Q1090" s="4" t="s">
        <v>2308</v>
      </c>
      <c r="R1090" s="4" t="s">
        <v>2308</v>
      </c>
      <c r="S1090" s="4" t="s">
        <v>2308</v>
      </c>
      <c r="T1090" s="4" t="s">
        <v>2560</v>
      </c>
      <c r="U1090" s="4" t="s">
        <v>2308</v>
      </c>
      <c r="V1090" s="4" t="s">
        <v>2308</v>
      </c>
      <c r="W1090" s="4" t="s">
        <v>2308</v>
      </c>
      <c r="X1090" s="4" t="s">
        <v>432</v>
      </c>
      <c r="Y1090" s="4" t="s">
        <v>133</v>
      </c>
      <c r="Z1090" s="4" t="s">
        <v>64</v>
      </c>
      <c r="AA1090" s="4"/>
      <c r="AB1090" s="5" t="s">
        <v>3393</v>
      </c>
    </row>
    <row r="1091" spans="1:28" ht="29">
      <c r="A1091" s="7" t="str">
        <f>'Reported burning'!A1091</f>
        <v>125c</v>
      </c>
      <c r="B1091" s="7" t="str">
        <f>'Reported burning'!B1091</f>
        <v>125c.1</v>
      </c>
      <c r="C1091" s="7" t="str">
        <f>'Reported burning'!C1091</f>
        <v>Human, deliberate</v>
      </c>
      <c r="D1091" s="7" t="str">
        <f>'Reported burning'!D1091</f>
        <v>Fishing</v>
      </c>
      <c r="E1091" s="7" t="str">
        <f>'Reported burning'!E1091</f>
        <v>Forestry, Traditional</v>
      </c>
      <c r="F1091" s="7" t="str">
        <f>'Reported burning'!F1091</f>
        <v>Grassland</v>
      </c>
      <c r="G1091" s="7" t="str">
        <f>'Reported burning'!G1091</f>
        <v>ND</v>
      </c>
      <c r="H1091" s="7" t="str">
        <f>'Reported burning'!H1091</f>
        <v>Presence</v>
      </c>
      <c r="I1091" s="4">
        <v>2003</v>
      </c>
      <c r="J1091" s="4" t="s">
        <v>2308</v>
      </c>
      <c r="K1091" s="4" t="s">
        <v>2308</v>
      </c>
      <c r="L1091" s="4" t="s">
        <v>2308</v>
      </c>
      <c r="M1091" s="4" t="s">
        <v>2308</v>
      </c>
      <c r="N1091" s="4" t="s">
        <v>2308</v>
      </c>
      <c r="O1091" s="4" t="s">
        <v>2308</v>
      </c>
      <c r="P1091" s="4" t="s">
        <v>2308</v>
      </c>
      <c r="Q1091" s="4" t="s">
        <v>2308</v>
      </c>
      <c r="R1091" s="4" t="s">
        <v>2308</v>
      </c>
      <c r="S1091" s="4" t="s">
        <v>2308</v>
      </c>
      <c r="T1091" s="4" t="s">
        <v>2560</v>
      </c>
      <c r="U1091" s="4" t="s">
        <v>2308</v>
      </c>
      <c r="V1091" s="4" t="s">
        <v>2308</v>
      </c>
      <c r="W1091" s="4" t="s">
        <v>2308</v>
      </c>
      <c r="X1091" s="4" t="s">
        <v>432</v>
      </c>
      <c r="Y1091" s="4" t="s">
        <v>133</v>
      </c>
      <c r="Z1091" s="4" t="s">
        <v>64</v>
      </c>
      <c r="AA1091" s="4"/>
      <c r="AB1091" s="5" t="s">
        <v>3393</v>
      </c>
    </row>
    <row r="1092" spans="1:28" ht="29">
      <c r="A1092" s="7" t="str">
        <f>'Reported burning'!A1092</f>
        <v>125c</v>
      </c>
      <c r="B1092" s="7" t="str">
        <f>'Reported burning'!B1092</f>
        <v>125c.2</v>
      </c>
      <c r="C1092" s="7" t="str">
        <f>'Reported burning'!C1092</f>
        <v>Human, deliberate</v>
      </c>
      <c r="D1092" s="7" t="str">
        <f>'Reported burning'!D1092</f>
        <v>Land clearance</v>
      </c>
      <c r="E1092" s="7" t="str">
        <f>'Reported burning'!E1092</f>
        <v>Cropping, Monoculture, Subsistence-oriented</v>
      </c>
      <c r="F1092" s="7" t="str">
        <f>'Reported burning'!F1092</f>
        <v>Grassland</v>
      </c>
      <c r="G1092" s="7" t="str">
        <f>'Reported burning'!G1092</f>
        <v>ND</v>
      </c>
      <c r="H1092" s="7" t="str">
        <f>'Reported burning'!H1092</f>
        <v>Presence</v>
      </c>
      <c r="I1092" s="4">
        <v>2003</v>
      </c>
      <c r="J1092" s="4" t="s">
        <v>2308</v>
      </c>
      <c r="K1092" s="4" t="s">
        <v>2308</v>
      </c>
      <c r="L1092" s="4" t="s">
        <v>2308</v>
      </c>
      <c r="M1092" s="4" t="s">
        <v>2308</v>
      </c>
      <c r="N1092" s="4" t="s">
        <v>2308</v>
      </c>
      <c r="O1092" s="4" t="s">
        <v>2308</v>
      </c>
      <c r="P1092" s="4" t="s">
        <v>2308</v>
      </c>
      <c r="Q1092" s="4" t="s">
        <v>2308</v>
      </c>
      <c r="R1092" s="4" t="s">
        <v>2308</v>
      </c>
      <c r="S1092" s="4" t="s">
        <v>2308</v>
      </c>
      <c r="T1092" s="4" t="s">
        <v>2560</v>
      </c>
      <c r="U1092" s="4" t="s">
        <v>2308</v>
      </c>
      <c r="V1092" s="4" t="s">
        <v>2308</v>
      </c>
      <c r="W1092" s="4" t="s">
        <v>2308</v>
      </c>
      <c r="X1092" s="4" t="s">
        <v>432</v>
      </c>
      <c r="Y1092" s="4" t="s">
        <v>133</v>
      </c>
      <c r="Z1092" s="4" t="s">
        <v>64</v>
      </c>
      <c r="AA1092" s="4"/>
      <c r="AB1092" s="5" t="s">
        <v>3393</v>
      </c>
    </row>
    <row r="1093" spans="1:28" ht="29">
      <c r="A1093" s="7" t="str">
        <f>'Reported burning'!A1093</f>
        <v>125c</v>
      </c>
      <c r="B1093" s="7" t="str">
        <f>'Reported burning'!B1093</f>
        <v>125c.3</v>
      </c>
      <c r="C1093" s="7" t="str">
        <f>'Reported burning'!C1093</f>
        <v>Human, accidental</v>
      </c>
      <c r="D1093" s="7" t="str">
        <f>'Reported burning'!D1093</f>
        <v>All</v>
      </c>
      <c r="E1093" s="7" t="str">
        <f>'Reported burning'!E1093</f>
        <v>All</v>
      </c>
      <c r="F1093" s="7" t="str">
        <f>'Reported burning'!F1093</f>
        <v>ND</v>
      </c>
      <c r="G1093" s="7" t="str">
        <f>'Reported burning'!G1093</f>
        <v>ND</v>
      </c>
      <c r="H1093" s="7" t="str">
        <f>'Reported burning'!H1093</f>
        <v>Presence</v>
      </c>
      <c r="I1093" s="4">
        <v>2003</v>
      </c>
      <c r="J1093" s="4" t="s">
        <v>2308</v>
      </c>
      <c r="K1093" s="4" t="s">
        <v>2308</v>
      </c>
      <c r="L1093" s="4" t="s">
        <v>2308</v>
      </c>
      <c r="M1093" s="4" t="s">
        <v>2308</v>
      </c>
      <c r="N1093" s="4" t="s">
        <v>2308</v>
      </c>
      <c r="O1093" s="4" t="s">
        <v>2308</v>
      </c>
      <c r="P1093" s="4" t="s">
        <v>2308</v>
      </c>
      <c r="Q1093" s="4" t="s">
        <v>2308</v>
      </c>
      <c r="R1093" s="4" t="s">
        <v>2308</v>
      </c>
      <c r="S1093" s="4" t="s">
        <v>2308</v>
      </c>
      <c r="T1093" s="4" t="s">
        <v>2560</v>
      </c>
      <c r="U1093" s="4" t="s">
        <v>2308</v>
      </c>
      <c r="V1093" s="4" t="s">
        <v>2308</v>
      </c>
      <c r="W1093" s="4" t="s">
        <v>2308</v>
      </c>
      <c r="X1093" s="4" t="s">
        <v>432</v>
      </c>
      <c r="Y1093" s="4" t="s">
        <v>133</v>
      </c>
      <c r="Z1093" s="4" t="s">
        <v>64</v>
      </c>
      <c r="AA1093" s="4"/>
      <c r="AB1093" s="5" t="s">
        <v>3393</v>
      </c>
    </row>
    <row r="1094" spans="1:28" ht="45.5" customHeight="1">
      <c r="A1094" s="7" t="str">
        <f>'Reported burning'!A1094</f>
        <v>125c</v>
      </c>
      <c r="B1094" s="7" t="str">
        <f>'Reported burning'!B1094</f>
        <v>125c.4</v>
      </c>
      <c r="C1094" s="7" t="str">
        <f>'Reported burning'!C1094</f>
        <v>Human, deliberate</v>
      </c>
      <c r="D1094" s="7" t="str">
        <f>'Reported burning'!D1094</f>
        <v>Hunting</v>
      </c>
      <c r="E1094" s="7" t="str">
        <f>'Reported burning'!E1094</f>
        <v>Forestry, Traditional</v>
      </c>
      <c r="F1094" s="7" t="str">
        <f>'Reported burning'!F1094</f>
        <v>Grassland</v>
      </c>
      <c r="G1094" s="7" t="str">
        <f>'Reported burning'!G1094</f>
        <v>ND</v>
      </c>
      <c r="H1094" s="7" t="str">
        <f>'Reported burning'!H1094</f>
        <v>Presence</v>
      </c>
      <c r="I1094" s="4">
        <v>2003</v>
      </c>
      <c r="J1094" s="4" t="s">
        <v>2308</v>
      </c>
      <c r="K1094" s="4" t="s">
        <v>2308</v>
      </c>
      <c r="L1094" s="4" t="s">
        <v>2308</v>
      </c>
      <c r="M1094" s="4" t="s">
        <v>2308</v>
      </c>
      <c r="N1094" s="4" t="s">
        <v>2308</v>
      </c>
      <c r="O1094" s="4" t="s">
        <v>2308</v>
      </c>
      <c r="P1094" s="4" t="s">
        <v>2308</v>
      </c>
      <c r="Q1094" s="4" t="s">
        <v>2308</v>
      </c>
      <c r="R1094" s="4" t="s">
        <v>2308</v>
      </c>
      <c r="S1094" s="4" t="s">
        <v>2308</v>
      </c>
      <c r="T1094" s="4" t="s">
        <v>2560</v>
      </c>
      <c r="U1094" s="4" t="s">
        <v>2308</v>
      </c>
      <c r="V1094" s="4" t="s">
        <v>2308</v>
      </c>
      <c r="W1094" s="4" t="s">
        <v>2308</v>
      </c>
      <c r="X1094" s="4" t="s">
        <v>432</v>
      </c>
      <c r="Y1094" s="4" t="s">
        <v>133</v>
      </c>
      <c r="Z1094" s="4" t="s">
        <v>64</v>
      </c>
      <c r="AA1094" s="4"/>
      <c r="AB1094" s="5" t="s">
        <v>3393</v>
      </c>
    </row>
    <row r="1095" spans="1:28" ht="51.5" customHeight="1">
      <c r="A1095" s="7" t="str">
        <f>'Reported burning'!A1095</f>
        <v>125d</v>
      </c>
      <c r="B1095" s="7" t="str">
        <f>'Reported burning'!B1095</f>
        <v>125d.1</v>
      </c>
      <c r="C1095" s="7" t="str">
        <f>'Reported burning'!C1095</f>
        <v>Human, deliberate</v>
      </c>
      <c r="D1095" s="7" t="str">
        <f>'Reported burning'!D1095</f>
        <v>Fishing</v>
      </c>
      <c r="E1095" s="7" t="str">
        <f>'Reported burning'!E1095</f>
        <v>Forestry, Traditional</v>
      </c>
      <c r="F1095" s="7" t="str">
        <f>'Reported burning'!F1095</f>
        <v>Grassland</v>
      </c>
      <c r="G1095" s="7" t="str">
        <f>'Reported burning'!G1095</f>
        <v>ND</v>
      </c>
      <c r="H1095" s="7" t="str">
        <f>'Reported burning'!H1095</f>
        <v>Presence</v>
      </c>
      <c r="I1095" s="4">
        <v>2004</v>
      </c>
      <c r="J1095" s="4" t="s">
        <v>2308</v>
      </c>
      <c r="K1095" s="4" t="s">
        <v>2308</v>
      </c>
      <c r="L1095" s="4" t="s">
        <v>2308</v>
      </c>
      <c r="M1095" s="4" t="s">
        <v>2308</v>
      </c>
      <c r="N1095" s="4" t="s">
        <v>2308</v>
      </c>
      <c r="O1095" s="4" t="s">
        <v>2308</v>
      </c>
      <c r="P1095" s="4" t="s">
        <v>2308</v>
      </c>
      <c r="Q1095" s="4" t="s">
        <v>2308</v>
      </c>
      <c r="R1095" s="4" t="s">
        <v>2308</v>
      </c>
      <c r="S1095" s="4" t="s">
        <v>2308</v>
      </c>
      <c r="T1095" s="4" t="s">
        <v>2406</v>
      </c>
      <c r="U1095" s="4" t="s">
        <v>2308</v>
      </c>
      <c r="V1095" s="4" t="s">
        <v>2308</v>
      </c>
      <c r="W1095" s="4" t="s">
        <v>2308</v>
      </c>
      <c r="X1095" s="4" t="s">
        <v>432</v>
      </c>
      <c r="Y1095" s="4" t="s">
        <v>133</v>
      </c>
      <c r="Z1095" s="4" t="s">
        <v>64</v>
      </c>
      <c r="AA1095" s="4"/>
      <c r="AB1095" s="5" t="s">
        <v>3393</v>
      </c>
    </row>
    <row r="1096" spans="1:28" ht="51" customHeight="1">
      <c r="A1096" s="7" t="str">
        <f>'Reported burning'!A1096</f>
        <v>125d</v>
      </c>
      <c r="B1096" s="7" t="str">
        <f>'Reported burning'!B1096</f>
        <v>125d.2</v>
      </c>
      <c r="C1096" s="7" t="str">
        <f>'Reported burning'!C1096</f>
        <v>Human, deliberate</v>
      </c>
      <c r="D1096" s="7" t="str">
        <f>'Reported burning'!D1096</f>
        <v>Land clearance</v>
      </c>
      <c r="E1096" s="7" t="str">
        <f>'Reported burning'!E1096</f>
        <v>Cropping, Monoculture, Subsistence-oriented</v>
      </c>
      <c r="F1096" s="7" t="str">
        <f>'Reported burning'!F1096</f>
        <v>Grassland</v>
      </c>
      <c r="G1096" s="7" t="str">
        <f>'Reported burning'!G1096</f>
        <v>ND</v>
      </c>
      <c r="H1096" s="7" t="str">
        <f>'Reported burning'!H1096</f>
        <v>Presence</v>
      </c>
      <c r="I1096" s="4">
        <v>2004</v>
      </c>
      <c r="J1096" s="4" t="s">
        <v>2308</v>
      </c>
      <c r="K1096" s="4" t="s">
        <v>2308</v>
      </c>
      <c r="L1096" s="4" t="s">
        <v>2308</v>
      </c>
      <c r="M1096" s="4" t="s">
        <v>2308</v>
      </c>
      <c r="N1096" s="4" t="s">
        <v>2308</v>
      </c>
      <c r="O1096" s="4" t="s">
        <v>2308</v>
      </c>
      <c r="P1096" s="4" t="s">
        <v>2308</v>
      </c>
      <c r="Q1096" s="4" t="s">
        <v>2308</v>
      </c>
      <c r="R1096" s="4" t="s">
        <v>2308</v>
      </c>
      <c r="S1096" s="4" t="s">
        <v>2308</v>
      </c>
      <c r="T1096" s="4" t="s">
        <v>2560</v>
      </c>
      <c r="U1096" s="4" t="s">
        <v>2308</v>
      </c>
      <c r="V1096" s="4" t="s">
        <v>2308</v>
      </c>
      <c r="W1096" s="4" t="s">
        <v>2308</v>
      </c>
      <c r="X1096" s="4" t="s">
        <v>432</v>
      </c>
      <c r="Y1096" s="4" t="s">
        <v>133</v>
      </c>
      <c r="Z1096" s="4" t="s">
        <v>64</v>
      </c>
      <c r="AA1096" s="4"/>
      <c r="AB1096" s="5" t="s">
        <v>3393</v>
      </c>
    </row>
    <row r="1097" spans="1:28" ht="48" customHeight="1">
      <c r="A1097" s="7" t="str">
        <f>'Reported burning'!A1097</f>
        <v>125d</v>
      </c>
      <c r="B1097" s="7" t="str">
        <f>'Reported burning'!B1097</f>
        <v>125d.3</v>
      </c>
      <c r="C1097" s="7" t="str">
        <f>'Reported burning'!C1097</f>
        <v>Human, accidental</v>
      </c>
      <c r="D1097" s="7" t="str">
        <f>'Reported burning'!D1097</f>
        <v>All</v>
      </c>
      <c r="E1097" s="7" t="str">
        <f>'Reported burning'!E1097</f>
        <v>All</v>
      </c>
      <c r="F1097" s="7" t="str">
        <f>'Reported burning'!F1097</f>
        <v>ND</v>
      </c>
      <c r="G1097" s="7" t="str">
        <f>'Reported burning'!G1097</f>
        <v>ND</v>
      </c>
      <c r="H1097" s="7" t="str">
        <f>'Reported burning'!H1097</f>
        <v>Presence</v>
      </c>
      <c r="I1097" s="4">
        <v>2004</v>
      </c>
      <c r="J1097" s="4" t="s">
        <v>2308</v>
      </c>
      <c r="K1097" s="4" t="s">
        <v>2308</v>
      </c>
      <c r="L1097" s="4" t="s">
        <v>2308</v>
      </c>
      <c r="M1097" s="4" t="s">
        <v>2308</v>
      </c>
      <c r="N1097" s="4" t="s">
        <v>2308</v>
      </c>
      <c r="O1097" s="4" t="s">
        <v>2308</v>
      </c>
      <c r="P1097" s="4" t="s">
        <v>2308</v>
      </c>
      <c r="Q1097" s="4" t="s">
        <v>2308</v>
      </c>
      <c r="R1097" s="4" t="s">
        <v>2308</v>
      </c>
      <c r="S1097" s="4" t="s">
        <v>2308</v>
      </c>
      <c r="T1097" s="4" t="s">
        <v>2560</v>
      </c>
      <c r="U1097" s="4" t="s">
        <v>2308</v>
      </c>
      <c r="V1097" s="4" t="s">
        <v>2308</v>
      </c>
      <c r="W1097" s="4" t="s">
        <v>2308</v>
      </c>
      <c r="X1097" s="4" t="s">
        <v>432</v>
      </c>
      <c r="Y1097" s="4" t="s">
        <v>133</v>
      </c>
      <c r="Z1097" s="4" t="s">
        <v>64</v>
      </c>
      <c r="AA1097" s="4"/>
      <c r="AB1097" s="5" t="s">
        <v>3393</v>
      </c>
    </row>
    <row r="1098" spans="1:28" ht="47" customHeight="1">
      <c r="A1098" s="7" t="str">
        <f>'Reported burning'!A1098</f>
        <v>125d</v>
      </c>
      <c r="B1098" s="7" t="str">
        <f>'Reported burning'!B1098</f>
        <v>125d.4</v>
      </c>
      <c r="C1098" s="7" t="str">
        <f>'Reported burning'!C1098</f>
        <v>Human, deliberate</v>
      </c>
      <c r="D1098" s="7" t="str">
        <f>'Reported burning'!D1098</f>
        <v>Hunting</v>
      </c>
      <c r="E1098" s="7" t="str">
        <f>'Reported burning'!E1098</f>
        <v>Forestry, Traditional</v>
      </c>
      <c r="F1098" s="7" t="str">
        <f>'Reported burning'!F1098</f>
        <v>Grassland</v>
      </c>
      <c r="G1098" s="7" t="str">
        <f>'Reported burning'!G1098</f>
        <v>ND</v>
      </c>
      <c r="H1098" s="7" t="str">
        <f>'Reported burning'!H1098</f>
        <v>Presence</v>
      </c>
      <c r="I1098" s="4">
        <v>2004</v>
      </c>
      <c r="J1098" s="4" t="s">
        <v>2308</v>
      </c>
      <c r="K1098" s="4" t="s">
        <v>2308</v>
      </c>
      <c r="L1098" s="4" t="s">
        <v>2308</v>
      </c>
      <c r="M1098" s="4" t="s">
        <v>2308</v>
      </c>
      <c r="N1098" s="4" t="s">
        <v>2308</v>
      </c>
      <c r="O1098" s="4" t="s">
        <v>2308</v>
      </c>
      <c r="P1098" s="4" t="s">
        <v>2308</v>
      </c>
      <c r="Q1098" s="4" t="s">
        <v>2308</v>
      </c>
      <c r="R1098" s="4" t="s">
        <v>2308</v>
      </c>
      <c r="S1098" s="4" t="s">
        <v>2308</v>
      </c>
      <c r="T1098" s="4" t="s">
        <v>2560</v>
      </c>
      <c r="U1098" s="4" t="s">
        <v>2308</v>
      </c>
      <c r="V1098" s="4" t="s">
        <v>2308</v>
      </c>
      <c r="W1098" s="4" t="s">
        <v>2308</v>
      </c>
      <c r="X1098" s="4" t="s">
        <v>432</v>
      </c>
      <c r="Y1098" s="4" t="s">
        <v>133</v>
      </c>
      <c r="Z1098" s="4" t="s">
        <v>64</v>
      </c>
      <c r="AA1098" s="4"/>
      <c r="AB1098" s="5" t="s">
        <v>3393</v>
      </c>
    </row>
    <row r="1099" spans="1:28" ht="98" customHeight="1">
      <c r="A1099" s="7" t="str">
        <f>'Reported burning'!A1099</f>
        <v>126a</v>
      </c>
      <c r="B1099" s="7" t="str">
        <f>'Reported burning'!B1099</f>
        <v>126a.1</v>
      </c>
      <c r="C1099" s="7" t="str">
        <f>'Reported burning'!C1099</f>
        <v>Human, deliberate</v>
      </c>
      <c r="D1099" s="7" t="str">
        <f>'Reported burning'!D1099</f>
        <v>Conservation</v>
      </c>
      <c r="E1099" s="7" t="str">
        <f>'Reported burning'!E1099</f>
        <v>Biodiversity conservation</v>
      </c>
      <c r="F1099" s="7" t="str">
        <f>'Reported burning'!F1099</f>
        <v>Shrubland (Mixed forest &amp; grassland)</v>
      </c>
      <c r="G1099" s="7" t="str">
        <f>'Reported burning'!G1099</f>
        <v>ND</v>
      </c>
      <c r="H1099" s="7" t="str">
        <f>'Reported burning'!H1099</f>
        <v>Presence</v>
      </c>
      <c r="I1099" s="4"/>
      <c r="J1099" s="4" t="s">
        <v>2399</v>
      </c>
      <c r="K1099" s="4" t="s">
        <v>2308</v>
      </c>
      <c r="L1099" s="4" t="s">
        <v>2308</v>
      </c>
      <c r="M1099" s="4" t="s">
        <v>2308</v>
      </c>
      <c r="N1099" s="4" t="s">
        <v>2308</v>
      </c>
      <c r="O1099" s="4" t="s">
        <v>2308</v>
      </c>
      <c r="P1099" s="22" t="s">
        <v>2413</v>
      </c>
      <c r="Q1099" s="4" t="s">
        <v>2308</v>
      </c>
      <c r="R1099" s="4" t="s">
        <v>2308</v>
      </c>
      <c r="S1099" s="4" t="s">
        <v>2308</v>
      </c>
      <c r="T1099" s="4" t="s">
        <v>2308</v>
      </c>
      <c r="U1099" s="4" t="s">
        <v>2308</v>
      </c>
      <c r="V1099" s="4" t="s">
        <v>2308</v>
      </c>
      <c r="W1099" s="4" t="s">
        <v>2308</v>
      </c>
      <c r="X1099" s="4" t="s">
        <v>35</v>
      </c>
      <c r="Y1099" s="4" t="s">
        <v>194</v>
      </c>
      <c r="Z1099" s="4" t="s">
        <v>64</v>
      </c>
      <c r="AA1099" s="5"/>
      <c r="AB1099" s="5" t="s">
        <v>3416</v>
      </c>
    </row>
    <row r="1100" spans="1:28" ht="101.5" customHeight="1">
      <c r="A1100" s="7" t="str">
        <f>'Reported burning'!A1100</f>
        <v>127a</v>
      </c>
      <c r="B1100" s="7" t="str">
        <f>'Reported burning'!B1100</f>
        <v>127a.1</v>
      </c>
      <c r="C1100" s="7" t="str">
        <f>'Reported burning'!C1100</f>
        <v>Human, deliberate</v>
      </c>
      <c r="D1100" s="7" t="str">
        <f>'Reported burning'!D1100</f>
        <v>Pasture renewal</v>
      </c>
      <c r="E1100" s="7" t="str">
        <f>'Reported burning'!E1100</f>
        <v>Pastoralism, Migratory</v>
      </c>
      <c r="F1100" s="7" t="str">
        <f>'Reported burning'!F1100</f>
        <v>Shrubland (Mixed forest &amp; grassland)</v>
      </c>
      <c r="G1100" s="7" t="str">
        <f>'Reported burning'!G1100</f>
        <v>ND</v>
      </c>
      <c r="H1100" s="7" t="str">
        <f>'Reported burning'!H1100</f>
        <v>Absence</v>
      </c>
      <c r="I1100" s="4"/>
      <c r="J1100" s="22">
        <v>0</v>
      </c>
      <c r="K1100" s="22">
        <v>0</v>
      </c>
      <c r="L1100" s="22">
        <v>0</v>
      </c>
      <c r="M1100" s="22">
        <v>0</v>
      </c>
      <c r="N1100" s="22">
        <v>0</v>
      </c>
      <c r="O1100" s="22">
        <v>0</v>
      </c>
      <c r="P1100" s="22">
        <v>0</v>
      </c>
      <c r="Q1100" s="22">
        <v>0</v>
      </c>
      <c r="R1100" s="22">
        <v>0</v>
      </c>
      <c r="S1100" s="22">
        <v>0</v>
      </c>
      <c r="T1100" s="22">
        <v>0</v>
      </c>
      <c r="U1100" s="22">
        <v>0</v>
      </c>
      <c r="V1100" s="22">
        <v>0</v>
      </c>
      <c r="W1100" s="22">
        <v>0</v>
      </c>
      <c r="X1100" s="4" t="s">
        <v>2308</v>
      </c>
      <c r="Y1100" s="4" t="s">
        <v>2308</v>
      </c>
      <c r="Z1100" s="4" t="s">
        <v>2308</v>
      </c>
      <c r="AA1100" s="5" t="s">
        <v>3425</v>
      </c>
      <c r="AB1100" s="4"/>
    </row>
    <row r="1101" spans="1:28" ht="101.5" customHeight="1">
      <c r="A1101" s="7" t="str">
        <f>'Reported burning'!A1101</f>
        <v>127b</v>
      </c>
      <c r="B1101" s="7" t="str">
        <f>'Reported burning'!B1101</f>
        <v>127b.1</v>
      </c>
      <c r="C1101" s="7" t="str">
        <f>'Reported burning'!C1101</f>
        <v>Human, deliberate</v>
      </c>
      <c r="D1101" s="7" t="str">
        <f>'Reported burning'!D1101</f>
        <v>Pasture renewal</v>
      </c>
      <c r="E1101" s="7" t="str">
        <f>'Reported burning'!E1101</f>
        <v>Pastoralism, Migratory</v>
      </c>
      <c r="F1101" s="7" t="str">
        <f>'Reported burning'!F1101</f>
        <v>Shrubland (Mixed forest &amp; grassland)</v>
      </c>
      <c r="G1101" s="7" t="str">
        <f>'Reported burning'!G1101</f>
        <v>ND</v>
      </c>
      <c r="H1101" s="7" t="str">
        <f>'Reported burning'!H1101</f>
        <v>Absence</v>
      </c>
      <c r="I1101" s="4"/>
      <c r="J1101" s="22">
        <v>0</v>
      </c>
      <c r="K1101" s="22">
        <v>0</v>
      </c>
      <c r="L1101" s="22">
        <v>0</v>
      </c>
      <c r="M1101" s="22">
        <v>0</v>
      </c>
      <c r="N1101" s="22">
        <v>0</v>
      </c>
      <c r="O1101" s="22">
        <v>0</v>
      </c>
      <c r="P1101" s="22">
        <v>0</v>
      </c>
      <c r="Q1101" s="22">
        <v>0</v>
      </c>
      <c r="R1101" s="22">
        <v>0</v>
      </c>
      <c r="S1101" s="22">
        <v>0</v>
      </c>
      <c r="T1101" s="22">
        <v>0</v>
      </c>
      <c r="U1101" s="22">
        <v>0</v>
      </c>
      <c r="V1101" s="22">
        <v>0</v>
      </c>
      <c r="W1101" s="22">
        <v>0</v>
      </c>
      <c r="X1101" s="4" t="s">
        <v>2308</v>
      </c>
      <c r="Y1101" s="4" t="s">
        <v>2308</v>
      </c>
      <c r="Z1101" s="4" t="s">
        <v>2308</v>
      </c>
      <c r="AA1101" s="5" t="s">
        <v>3425</v>
      </c>
      <c r="AB1101" s="4"/>
    </row>
    <row r="1102" spans="1:28" ht="64.5" customHeight="1">
      <c r="A1102" s="7" t="str">
        <f>'Reported burning'!A1102</f>
        <v>128a</v>
      </c>
      <c r="B1102" s="7" t="str">
        <f>'Reported burning'!B1102</f>
        <v>128a.1</v>
      </c>
      <c r="C1102" s="7" t="str">
        <f>'Reported burning'!C1102</f>
        <v>Human, deliberate</v>
      </c>
      <c r="D1102" s="7" t="str">
        <f>'Reported burning'!D1102</f>
        <v>Rangeland management</v>
      </c>
      <c r="E1102" s="7" t="str">
        <f>'Reported burning'!E1102</f>
        <v>Pastoralism, Migratory</v>
      </c>
      <c r="F1102" s="7" t="str">
        <f>'Reported burning'!F1102</f>
        <v>Shrubland (Mixed forest &amp; grassland)</v>
      </c>
      <c r="G1102" s="7" t="str">
        <f>'Reported burning'!G1102</f>
        <v>ND</v>
      </c>
      <c r="H1102" s="7" t="str">
        <f>'Reported burning'!H1102</f>
        <v>Presence</v>
      </c>
      <c r="I1102" s="4"/>
      <c r="J1102" s="165" t="str">
        <f>'Reported burning'!J1102</f>
        <v>ND</v>
      </c>
      <c r="K1102" s="165" t="str">
        <f>'Reported burning'!K1102</f>
        <v>ND</v>
      </c>
      <c r="L1102" s="165" t="str">
        <f>'Reported burning'!L1102</f>
        <v>ND</v>
      </c>
      <c r="M1102" s="165" t="str">
        <f>'Reported burning'!M1102</f>
        <v>ND</v>
      </c>
      <c r="N1102" s="165" t="str">
        <f>'Reported burning'!N1102</f>
        <v>ND</v>
      </c>
      <c r="O1102" s="165" t="str">
        <f>'Reported burning'!O1102</f>
        <v>ND</v>
      </c>
      <c r="P1102" s="165" t="str">
        <f>'Reported burning'!P1102</f>
        <v>ND</v>
      </c>
      <c r="Q1102" s="165" t="str">
        <f>'Reported burning'!Q1102</f>
        <v>ND</v>
      </c>
      <c r="R1102" s="165" t="str">
        <f>'Reported burning'!R1102</f>
        <v>ND</v>
      </c>
      <c r="S1102" s="165" t="str">
        <f>'Reported burning'!S1102</f>
        <v>ND</v>
      </c>
      <c r="T1102" s="165" t="str">
        <f>'Reported burning'!T1102</f>
        <v>ND</v>
      </c>
      <c r="U1102" t="s">
        <v>2421</v>
      </c>
      <c r="V1102" s="165" t="str">
        <f>'Reported burning'!V1102</f>
        <v>ND</v>
      </c>
      <c r="W1102" s="4" t="s">
        <v>2433</v>
      </c>
      <c r="X1102" s="4" t="s">
        <v>133</v>
      </c>
      <c r="Y1102" s="4" t="s">
        <v>194</v>
      </c>
      <c r="Z1102" s="4" t="s">
        <v>64</v>
      </c>
      <c r="AA1102" s="5" t="s">
        <v>3447</v>
      </c>
      <c r="AB1102" s="5" t="s">
        <v>3448</v>
      </c>
    </row>
    <row r="1103" spans="1:28" ht="64.5" customHeight="1">
      <c r="A1103" s="7" t="str">
        <f>'Reported burning'!A1103</f>
        <v>128b</v>
      </c>
      <c r="B1103" s="7" t="str">
        <f>'Reported burning'!B1103</f>
        <v>128b.1</v>
      </c>
      <c r="C1103" s="7" t="str">
        <f>'Reported burning'!C1103</f>
        <v>Human, deliberate</v>
      </c>
      <c r="D1103" s="7" t="str">
        <f>'Reported burning'!D1103</f>
        <v>Rangeland management</v>
      </c>
      <c r="E1103" s="7" t="str">
        <f>'Reported burning'!E1103</f>
        <v>Pastoralism, Migratory</v>
      </c>
      <c r="F1103" s="7" t="str">
        <f>'Reported burning'!F1103</f>
        <v>Shrubland (Mixed forest &amp; grassland)</v>
      </c>
      <c r="G1103" s="7" t="str">
        <f>'Reported burning'!G1103</f>
        <v>ND</v>
      </c>
      <c r="H1103" s="7" t="str">
        <f>'Reported burning'!H1103</f>
        <v>Presence</v>
      </c>
      <c r="I1103" s="4"/>
      <c r="J1103" s="165" t="str">
        <f>'Reported burning'!J1103</f>
        <v>ND</v>
      </c>
      <c r="K1103" s="165" t="str">
        <f>'Reported burning'!K1103</f>
        <v>ND</v>
      </c>
      <c r="L1103" s="165" t="str">
        <f>'Reported burning'!L1103</f>
        <v>ND</v>
      </c>
      <c r="M1103" s="165" t="str">
        <f>'Reported burning'!M1103</f>
        <v>ND</v>
      </c>
      <c r="N1103" s="165" t="str">
        <f>'Reported burning'!N1103</f>
        <v>ND</v>
      </c>
      <c r="O1103" s="165" t="str">
        <f>'Reported burning'!O1103</f>
        <v>ND</v>
      </c>
      <c r="P1103" s="165" t="str">
        <f>'Reported burning'!P1103</f>
        <v>ND</v>
      </c>
      <c r="Q1103" s="165" t="str">
        <f>'Reported burning'!Q1103</f>
        <v>ND</v>
      </c>
      <c r="R1103" s="165" t="str">
        <f>'Reported burning'!R1103</f>
        <v>ND</v>
      </c>
      <c r="S1103" s="165" t="str">
        <f>'Reported burning'!S1103</f>
        <v>ND</v>
      </c>
      <c r="T1103" s="165" t="str">
        <f>'Reported burning'!T1103</f>
        <v>ND</v>
      </c>
      <c r="U1103" s="4" t="s">
        <v>2421</v>
      </c>
      <c r="V1103" s="165" t="str">
        <f>'Reported burning'!V1103</f>
        <v>ND</v>
      </c>
      <c r="W1103" s="4" t="s">
        <v>2433</v>
      </c>
      <c r="X1103" s="4" t="s">
        <v>133</v>
      </c>
      <c r="Y1103" s="4" t="s">
        <v>194</v>
      </c>
      <c r="Z1103" s="4" t="s">
        <v>64</v>
      </c>
      <c r="AA1103" s="5" t="s">
        <v>3447</v>
      </c>
      <c r="AB1103" s="5" t="s">
        <v>3448</v>
      </c>
    </row>
    <row r="1104" spans="1:28" ht="64.5" customHeight="1">
      <c r="A1104" s="7" t="str">
        <f>'Reported burning'!A1104</f>
        <v>128c</v>
      </c>
      <c r="B1104" s="7" t="str">
        <f>'Reported burning'!B1104</f>
        <v>128c.1</v>
      </c>
      <c r="C1104" s="7" t="str">
        <f>'Reported burning'!C1104</f>
        <v>Human, deliberate</v>
      </c>
      <c r="D1104" s="7" t="str">
        <f>'Reported burning'!D1104</f>
        <v>Rangeland management</v>
      </c>
      <c r="E1104" s="7" t="str">
        <f>'Reported burning'!E1104</f>
        <v>Pastoralism, Migratory</v>
      </c>
      <c r="F1104" s="7" t="str">
        <f>'Reported burning'!F1104</f>
        <v>Shrubland (Mixed forest &amp; grassland)</v>
      </c>
      <c r="G1104" s="7" t="str">
        <f>'Reported burning'!G1104</f>
        <v>ND</v>
      </c>
      <c r="H1104" s="7" t="str">
        <f>'Reported burning'!H1104</f>
        <v>Presence</v>
      </c>
      <c r="I1104" s="4"/>
      <c r="J1104" s="165" t="str">
        <f>'Reported burning'!J1104</f>
        <v>ND</v>
      </c>
      <c r="K1104" s="165" t="str">
        <f>'Reported burning'!K1104</f>
        <v>ND</v>
      </c>
      <c r="L1104" s="165" t="str">
        <f>'Reported burning'!L1104</f>
        <v>ND</v>
      </c>
      <c r="M1104" s="165" t="str">
        <f>'Reported burning'!M1104</f>
        <v>ND</v>
      </c>
      <c r="N1104" s="165" t="str">
        <f>'Reported burning'!N1104</f>
        <v>ND</v>
      </c>
      <c r="O1104" s="165" t="str">
        <f>'Reported burning'!O1104</f>
        <v>ND</v>
      </c>
      <c r="P1104" s="165" t="str">
        <f>'Reported burning'!P1104</f>
        <v>ND</v>
      </c>
      <c r="Q1104" s="165" t="str">
        <f>'Reported burning'!Q1104</f>
        <v>ND</v>
      </c>
      <c r="R1104" s="165" t="str">
        <f>'Reported burning'!R1104</f>
        <v>ND</v>
      </c>
      <c r="S1104" s="165" t="str">
        <f>'Reported burning'!S1104</f>
        <v>ND</v>
      </c>
      <c r="T1104" s="165" t="str">
        <f>'Reported burning'!T1104</f>
        <v>ND</v>
      </c>
      <c r="U1104" s="4" t="s">
        <v>2421</v>
      </c>
      <c r="V1104" s="165" t="str">
        <f>'Reported burning'!V1104</f>
        <v>ND</v>
      </c>
      <c r="W1104" s="4" t="s">
        <v>2433</v>
      </c>
      <c r="X1104" s="4" t="s">
        <v>133</v>
      </c>
      <c r="Y1104" s="4" t="s">
        <v>194</v>
      </c>
      <c r="Z1104" s="4" t="s">
        <v>64</v>
      </c>
      <c r="AA1104" s="5" t="s">
        <v>3447</v>
      </c>
      <c r="AB1104" s="5" t="s">
        <v>3448</v>
      </c>
    </row>
    <row r="1105" spans="1:30" ht="64.5" customHeight="1">
      <c r="A1105" s="7" t="str">
        <f>'Reported burning'!A1105</f>
        <v>128a</v>
      </c>
      <c r="B1105" s="7" t="str">
        <f>'Reported burning'!B1105</f>
        <v>128a.2</v>
      </c>
      <c r="C1105" s="7" t="str">
        <f>'Reported burning'!C1105</f>
        <v>Human, deliberate</v>
      </c>
      <c r="D1105" s="7" t="str">
        <f>'Reported burning'!D1105</f>
        <v>Pest management</v>
      </c>
      <c r="E1105" s="7" t="str">
        <f>'Reported burning'!E1105</f>
        <v>Pastoralism, Migratory</v>
      </c>
      <c r="F1105" s="7" t="str">
        <f>'Reported burning'!F1105</f>
        <v>Shrubland (Mixed forest &amp; grassland)</v>
      </c>
      <c r="G1105" s="7" t="str">
        <f>'Reported burning'!G1105</f>
        <v>ND</v>
      </c>
      <c r="H1105" s="7" t="str">
        <f>'Reported burning'!H1105</f>
        <v>Presence</v>
      </c>
      <c r="I1105" s="4"/>
      <c r="J1105" s="165" t="str">
        <f>'Reported burning'!J1105</f>
        <v>ND</v>
      </c>
      <c r="K1105" s="165" t="str">
        <f>'Reported burning'!K1105</f>
        <v>ND</v>
      </c>
      <c r="L1105" s="165" t="str">
        <f>'Reported burning'!L1105</f>
        <v>ND</v>
      </c>
      <c r="M1105" s="165" t="str">
        <f>'Reported burning'!M1105</f>
        <v>ND</v>
      </c>
      <c r="N1105" s="165" t="str">
        <f>'Reported burning'!N1105</f>
        <v>ND</v>
      </c>
      <c r="O1105" s="165" t="str">
        <f>'Reported burning'!O1105</f>
        <v>ND</v>
      </c>
      <c r="P1105" s="165" t="str">
        <f>'Reported burning'!P1105</f>
        <v>ND</v>
      </c>
      <c r="Q1105" s="165" t="str">
        <f>'Reported burning'!Q1105</f>
        <v>ND</v>
      </c>
      <c r="R1105" s="165" t="str">
        <f>'Reported burning'!R1105</f>
        <v>ND</v>
      </c>
      <c r="S1105" s="165" t="str">
        <f>'Reported burning'!S1105</f>
        <v>ND</v>
      </c>
      <c r="T1105" s="165" t="str">
        <f>'Reported burning'!T1105</f>
        <v>ND</v>
      </c>
      <c r="U1105" s="165" t="str">
        <f>'Reported burning'!U1105</f>
        <v>ND</v>
      </c>
      <c r="V1105" s="165" t="str">
        <f>'Reported burning'!V1105</f>
        <v>ND</v>
      </c>
      <c r="W1105" s="161" t="str">
        <f>'Reported burning'!W1105</f>
        <v>ND</v>
      </c>
      <c r="X1105" s="165" t="str">
        <f>'Reported burning'!X1105</f>
        <v>ND</v>
      </c>
      <c r="Y1105" s="165" t="str">
        <f>'Reported burning'!Y1105</f>
        <v>ND</v>
      </c>
      <c r="Z1105" s="165" t="str">
        <f>'Reported burning'!Z1105</f>
        <v>ND</v>
      </c>
      <c r="AA1105" s="5" t="s">
        <v>3447</v>
      </c>
      <c r="AB1105" s="4"/>
    </row>
    <row r="1106" spans="1:30" ht="64.5" customHeight="1">
      <c r="A1106" s="7" t="str">
        <f>'Reported burning'!A1106</f>
        <v>128b</v>
      </c>
      <c r="B1106" s="7" t="str">
        <f>'Reported burning'!B1106</f>
        <v>128b.2</v>
      </c>
      <c r="C1106" s="7" t="str">
        <f>'Reported burning'!C1106</f>
        <v>Human, deliberate</v>
      </c>
      <c r="D1106" s="7" t="str">
        <f>'Reported burning'!D1106</f>
        <v>Pest management</v>
      </c>
      <c r="E1106" s="7" t="str">
        <f>'Reported burning'!E1106</f>
        <v>Pastoralism, Migratory</v>
      </c>
      <c r="F1106" s="7" t="str">
        <f>'Reported burning'!F1106</f>
        <v>Shrubland (Mixed forest &amp; grassland)</v>
      </c>
      <c r="G1106" s="7" t="str">
        <f>'Reported burning'!G1106</f>
        <v>ND</v>
      </c>
      <c r="H1106" s="7" t="str">
        <f>'Reported burning'!H1106</f>
        <v>Presence</v>
      </c>
      <c r="I1106" s="4"/>
      <c r="J1106" s="165" t="str">
        <f>'Reported burning'!J1106</f>
        <v>ND</v>
      </c>
      <c r="K1106" s="165" t="str">
        <f>'Reported burning'!K1106</f>
        <v>ND</v>
      </c>
      <c r="L1106" s="165" t="str">
        <f>'Reported burning'!L1106</f>
        <v>ND</v>
      </c>
      <c r="M1106" s="165" t="str">
        <f>'Reported burning'!M1106</f>
        <v>ND</v>
      </c>
      <c r="N1106" s="165" t="str">
        <f>'Reported burning'!N1106</f>
        <v>ND</v>
      </c>
      <c r="O1106" s="165" t="str">
        <f>'Reported burning'!O1106</f>
        <v>ND</v>
      </c>
      <c r="P1106" s="165" t="str">
        <f>'Reported burning'!P1106</f>
        <v>ND</v>
      </c>
      <c r="Q1106" s="165" t="str">
        <f>'Reported burning'!Q1106</f>
        <v>ND</v>
      </c>
      <c r="R1106" s="165" t="str">
        <f>'Reported burning'!R1106</f>
        <v>ND</v>
      </c>
      <c r="S1106" s="165" t="str">
        <f>'Reported burning'!S1106</f>
        <v>ND</v>
      </c>
      <c r="T1106" s="165" t="str">
        <f>'Reported burning'!T1106</f>
        <v>ND</v>
      </c>
      <c r="U1106" s="165" t="str">
        <f>'Reported burning'!U1106</f>
        <v>ND</v>
      </c>
      <c r="V1106" s="165" t="str">
        <f>'Reported burning'!V1106</f>
        <v>ND</v>
      </c>
      <c r="W1106" s="161" t="str">
        <f>'Reported burning'!W1106</f>
        <v>ND</v>
      </c>
      <c r="X1106" s="165" t="str">
        <f>'Reported burning'!X1106</f>
        <v>ND</v>
      </c>
      <c r="Y1106" s="165" t="str">
        <f>'Reported burning'!Y1106</f>
        <v>ND</v>
      </c>
      <c r="Z1106" s="165" t="str">
        <f>'Reported burning'!Z1106</f>
        <v>ND</v>
      </c>
      <c r="AA1106" s="5" t="s">
        <v>3447</v>
      </c>
      <c r="AB1106" s="4"/>
    </row>
    <row r="1107" spans="1:30" ht="64.5" customHeight="1">
      <c r="A1107" s="7" t="str">
        <f>'Reported burning'!A1107</f>
        <v>128c</v>
      </c>
      <c r="B1107" s="7" t="str">
        <f>'Reported burning'!B1107</f>
        <v>128c.2</v>
      </c>
      <c r="C1107" s="7" t="str">
        <f>'Reported burning'!C1107</f>
        <v>Human, deliberate</v>
      </c>
      <c r="D1107" s="7" t="str">
        <f>'Reported burning'!D1107</f>
        <v>Pest management</v>
      </c>
      <c r="E1107" s="7" t="str">
        <f>'Reported burning'!E1107</f>
        <v>Pastoralism, Migratory</v>
      </c>
      <c r="F1107" s="7" t="str">
        <f>'Reported burning'!F1107</f>
        <v>Shrubland (Mixed forest &amp; grassland)</v>
      </c>
      <c r="G1107" s="7" t="str">
        <f>'Reported burning'!G1107</f>
        <v>ND</v>
      </c>
      <c r="H1107" s="7" t="str">
        <f>'Reported burning'!H1107</f>
        <v>Presence</v>
      </c>
      <c r="I1107" s="4"/>
      <c r="J1107" s="165" t="str">
        <f>'Reported burning'!J1107</f>
        <v>ND</v>
      </c>
      <c r="K1107" s="165" t="str">
        <f>'Reported burning'!K1107</f>
        <v>ND</v>
      </c>
      <c r="L1107" s="165" t="str">
        <f>'Reported burning'!L1107</f>
        <v>ND</v>
      </c>
      <c r="M1107" s="165" t="str">
        <f>'Reported burning'!M1107</f>
        <v>ND</v>
      </c>
      <c r="N1107" s="165" t="str">
        <f>'Reported burning'!N1107</f>
        <v>ND</v>
      </c>
      <c r="O1107" s="165" t="str">
        <f>'Reported burning'!O1107</f>
        <v>ND</v>
      </c>
      <c r="P1107" s="165" t="str">
        <f>'Reported burning'!P1107</f>
        <v>ND</v>
      </c>
      <c r="Q1107" s="165" t="str">
        <f>'Reported burning'!Q1107</f>
        <v>ND</v>
      </c>
      <c r="R1107" s="165" t="str">
        <f>'Reported burning'!R1107</f>
        <v>ND</v>
      </c>
      <c r="S1107" s="165" t="str">
        <f>'Reported burning'!S1107</f>
        <v>ND</v>
      </c>
      <c r="T1107" s="165" t="str">
        <f>'Reported burning'!T1107</f>
        <v>ND</v>
      </c>
      <c r="U1107" s="165" t="str">
        <f>'Reported burning'!U1107</f>
        <v>ND</v>
      </c>
      <c r="V1107" s="165" t="str">
        <f>'Reported burning'!V1107</f>
        <v>ND</v>
      </c>
      <c r="W1107" s="165" t="str">
        <f>'Reported burning'!W1107</f>
        <v>ND</v>
      </c>
      <c r="X1107" s="165" t="str">
        <f>'Reported burning'!X1107</f>
        <v>ND</v>
      </c>
      <c r="Y1107" s="165" t="str">
        <f>'Reported burning'!Y1107</f>
        <v>ND</v>
      </c>
      <c r="Z1107" s="165" t="str">
        <f>'Reported burning'!Z1107</f>
        <v>ND</v>
      </c>
      <c r="AA1107" s="5" t="s">
        <v>3447</v>
      </c>
      <c r="AB1107" s="4"/>
    </row>
    <row r="1108" spans="1:30" ht="64.5" customHeight="1">
      <c r="A1108" s="7" t="str">
        <f>'Reported burning'!A1108</f>
        <v>128a</v>
      </c>
      <c r="B1108" s="7" t="str">
        <f>'Reported burning'!B1108</f>
        <v>128a.3</v>
      </c>
      <c r="C1108" s="7" t="str">
        <f>'Reported burning'!C1108</f>
        <v>Human, deliberate</v>
      </c>
      <c r="D1108" s="7" t="str">
        <f>'Reported burning'!D1108</f>
        <v>Accessibility</v>
      </c>
      <c r="E1108" s="7" t="str">
        <f>'Reported burning'!E1108</f>
        <v>Pastoralism, Migratory</v>
      </c>
      <c r="F1108" s="7" t="str">
        <f>'Reported burning'!F1108</f>
        <v>Shrubland (Mixed forest &amp; grassland)</v>
      </c>
      <c r="G1108" s="7" t="str">
        <f>'Reported burning'!G1108</f>
        <v>ND</v>
      </c>
      <c r="H1108" s="7" t="str">
        <f>'Reported burning'!H1108</f>
        <v>Presence</v>
      </c>
      <c r="I1108" s="4"/>
      <c r="J1108" s="165" t="str">
        <f>'Reported burning'!J1108</f>
        <v>ND</v>
      </c>
      <c r="K1108" s="165" t="str">
        <f>'Reported burning'!K1108</f>
        <v>ND</v>
      </c>
      <c r="L1108" s="165" t="str">
        <f>'Reported burning'!L1108</f>
        <v>ND</v>
      </c>
      <c r="M1108" s="165" t="str">
        <f>'Reported burning'!M1108</f>
        <v>ND</v>
      </c>
      <c r="N1108" s="165" t="str">
        <f>'Reported burning'!N1108</f>
        <v>ND</v>
      </c>
      <c r="O1108" s="165" t="str">
        <f>'Reported burning'!O1108</f>
        <v>ND</v>
      </c>
      <c r="P1108" s="165" t="str">
        <f>'Reported burning'!P1108</f>
        <v>ND</v>
      </c>
      <c r="Q1108" s="165" t="str">
        <f>'Reported burning'!Q1108</f>
        <v>ND</v>
      </c>
      <c r="R1108" s="165" t="str">
        <f>'Reported burning'!R1108</f>
        <v>ND</v>
      </c>
      <c r="S1108" s="165" t="str">
        <f>'Reported burning'!S1108</f>
        <v>ND</v>
      </c>
      <c r="T1108" s="165" t="str">
        <f>'Reported burning'!T1108</f>
        <v>ND</v>
      </c>
      <c r="U1108" s="165" t="str">
        <f>'Reported burning'!U1108</f>
        <v>ND</v>
      </c>
      <c r="V1108" s="165" t="str">
        <f>'Reported burning'!V1108</f>
        <v>ND</v>
      </c>
      <c r="W1108" s="165" t="str">
        <f>'Reported burning'!W1108</f>
        <v>ND</v>
      </c>
      <c r="X1108" s="165" t="str">
        <f>'Reported burning'!X1108</f>
        <v>ND</v>
      </c>
      <c r="Y1108" s="165" t="str">
        <f>'Reported burning'!Y1108</f>
        <v>ND</v>
      </c>
      <c r="Z1108" s="165" t="str">
        <f>'Reported burning'!Z1108</f>
        <v>ND</v>
      </c>
      <c r="AA1108" s="5" t="s">
        <v>3447</v>
      </c>
      <c r="AB1108" s="4"/>
    </row>
    <row r="1109" spans="1:30" ht="64.5" customHeight="1">
      <c r="A1109" s="7" t="str">
        <f>'Reported burning'!A1109</f>
        <v>128b</v>
      </c>
      <c r="B1109" s="7" t="str">
        <f>'Reported burning'!B1109</f>
        <v>128b.3</v>
      </c>
      <c r="C1109" s="7" t="str">
        <f>'Reported burning'!C1109</f>
        <v>Human, deliberate</v>
      </c>
      <c r="D1109" s="7" t="str">
        <f>'Reported burning'!D1109</f>
        <v>Accessibility</v>
      </c>
      <c r="E1109" s="7" t="str">
        <f>'Reported burning'!E1109</f>
        <v>Pastoralism, Migratory</v>
      </c>
      <c r="F1109" s="7" t="str">
        <f>'Reported burning'!F1109</f>
        <v>Shrubland (Mixed forest &amp; grassland)</v>
      </c>
      <c r="G1109" s="7" t="str">
        <f>'Reported burning'!G1109</f>
        <v>ND</v>
      </c>
      <c r="H1109" s="7" t="str">
        <f>'Reported burning'!H1109</f>
        <v>Presence</v>
      </c>
      <c r="I1109" s="4"/>
      <c r="J1109" s="165" t="str">
        <f>'Reported burning'!J1109</f>
        <v>ND</v>
      </c>
      <c r="K1109" s="165" t="str">
        <f>'Reported burning'!K1109</f>
        <v>ND</v>
      </c>
      <c r="L1109" s="165" t="str">
        <f>'Reported burning'!L1109</f>
        <v>ND</v>
      </c>
      <c r="M1109" s="165" t="str">
        <f>'Reported burning'!M1109</f>
        <v>ND</v>
      </c>
      <c r="N1109" s="165" t="str">
        <f>'Reported burning'!N1109</f>
        <v>ND</v>
      </c>
      <c r="O1109" s="165" t="str">
        <f>'Reported burning'!O1109</f>
        <v>ND</v>
      </c>
      <c r="P1109" s="165" t="str">
        <f>'Reported burning'!P1109</f>
        <v>ND</v>
      </c>
      <c r="Q1109" s="165" t="str">
        <f>'Reported burning'!Q1109</f>
        <v>ND</v>
      </c>
      <c r="R1109" s="165" t="str">
        <f>'Reported burning'!R1109</f>
        <v>ND</v>
      </c>
      <c r="S1109" s="165" t="str">
        <f>'Reported burning'!S1109</f>
        <v>ND</v>
      </c>
      <c r="T1109" s="165" t="str">
        <f>'Reported burning'!T1109</f>
        <v>ND</v>
      </c>
      <c r="U1109" s="165" t="str">
        <f>'Reported burning'!U1109</f>
        <v>ND</v>
      </c>
      <c r="V1109" s="165" t="str">
        <f>'Reported burning'!V1109</f>
        <v>ND</v>
      </c>
      <c r="W1109" s="165" t="str">
        <f>'Reported burning'!W1109</f>
        <v>ND</v>
      </c>
      <c r="X1109" s="165" t="str">
        <f>'Reported burning'!X1109</f>
        <v>ND</v>
      </c>
      <c r="Y1109" s="165" t="str">
        <f>'Reported burning'!Y1109</f>
        <v>ND</v>
      </c>
      <c r="Z1109" s="165" t="str">
        <f>'Reported burning'!Z1109</f>
        <v>ND</v>
      </c>
      <c r="AA1109" s="5" t="s">
        <v>3447</v>
      </c>
      <c r="AB1109" s="4"/>
    </row>
    <row r="1110" spans="1:30" ht="64.5" customHeight="1">
      <c r="A1110" s="7" t="str">
        <f>'Reported burning'!A1110</f>
        <v>128c</v>
      </c>
      <c r="B1110" s="7" t="str">
        <f>'Reported burning'!B1110</f>
        <v>128c.3</v>
      </c>
      <c r="C1110" s="7" t="str">
        <f>'Reported burning'!C1110</f>
        <v>Human, deliberate</v>
      </c>
      <c r="D1110" s="7" t="str">
        <f>'Reported burning'!D1110</f>
        <v>Accessibility</v>
      </c>
      <c r="E1110" s="7" t="str">
        <f>'Reported burning'!E1110</f>
        <v>Pastoralism, Migratory</v>
      </c>
      <c r="F1110" s="7" t="str">
        <f>'Reported burning'!F1110</f>
        <v>Shrubland (Mixed forest &amp; grassland)</v>
      </c>
      <c r="G1110" s="7" t="str">
        <f>'Reported burning'!G1110</f>
        <v>ND</v>
      </c>
      <c r="H1110" s="7" t="str">
        <f>'Reported burning'!H1110</f>
        <v>Presence</v>
      </c>
      <c r="I1110" s="4"/>
      <c r="J1110" s="165" t="str">
        <f>'Reported burning'!J1110</f>
        <v>ND</v>
      </c>
      <c r="K1110" s="165" t="str">
        <f>'Reported burning'!K1110</f>
        <v>ND</v>
      </c>
      <c r="L1110" s="165" t="str">
        <f>'Reported burning'!L1110</f>
        <v>ND</v>
      </c>
      <c r="M1110" s="165" t="str">
        <f>'Reported burning'!M1110</f>
        <v>ND</v>
      </c>
      <c r="N1110" s="165" t="str">
        <f>'Reported burning'!N1110</f>
        <v>ND</v>
      </c>
      <c r="O1110" s="165" t="str">
        <f>'Reported burning'!O1110</f>
        <v>ND</v>
      </c>
      <c r="P1110" s="165" t="str">
        <f>'Reported burning'!P1110</f>
        <v>ND</v>
      </c>
      <c r="Q1110" s="165" t="str">
        <f>'Reported burning'!Q1110</f>
        <v>ND</v>
      </c>
      <c r="R1110" s="165" t="str">
        <f>'Reported burning'!R1110</f>
        <v>ND</v>
      </c>
      <c r="S1110" s="165" t="str">
        <f>'Reported burning'!S1110</f>
        <v>ND</v>
      </c>
      <c r="T1110" s="165" t="str">
        <f>'Reported burning'!T1110</f>
        <v>ND</v>
      </c>
      <c r="U1110" s="165" t="str">
        <f>'Reported burning'!U1110</f>
        <v>ND</v>
      </c>
      <c r="V1110" s="165" t="str">
        <f>'Reported burning'!V1110</f>
        <v>ND</v>
      </c>
      <c r="W1110" s="165" t="str">
        <f>'Reported burning'!W1110</f>
        <v>ND</v>
      </c>
      <c r="X1110" s="165" t="str">
        <f>'Reported burning'!X1110</f>
        <v>ND</v>
      </c>
      <c r="Y1110" s="165" t="str">
        <f>'Reported burning'!Y1110</f>
        <v>ND</v>
      </c>
      <c r="Z1110" s="165" t="str">
        <f>'Reported burning'!Z1110</f>
        <v>ND</v>
      </c>
      <c r="AA1110" s="5" t="s">
        <v>3447</v>
      </c>
      <c r="AB1110" s="4"/>
    </row>
    <row r="1111" spans="1:30" ht="35" customHeight="1">
      <c r="A1111" s="7" t="str">
        <f>'Reported burning'!A1111</f>
        <v>129a</v>
      </c>
      <c r="B1111" s="7" t="str">
        <f>'Reported burning'!B1111</f>
        <v>129a.1</v>
      </c>
      <c r="C1111" s="7" t="str">
        <f>'Reported burning'!C1111</f>
        <v>Human, deliberate</v>
      </c>
      <c r="D1111" s="7" t="str">
        <f>'Reported burning'!D1111</f>
        <v>Rangeland management</v>
      </c>
      <c r="E1111" s="7" t="str">
        <f>'Reported burning'!E1111</f>
        <v>Pastoralism, Migratory</v>
      </c>
      <c r="F1111" s="7" t="str">
        <f>'Reported burning'!F1111</f>
        <v>Shrubland (Mixed forest &amp; grassland)</v>
      </c>
      <c r="G1111" s="7" t="str">
        <f>'Reported burning'!G1111</f>
        <v>ND</v>
      </c>
      <c r="H1111" s="7" t="str">
        <f>'Reported burning'!H1111</f>
        <v>Presence</v>
      </c>
      <c r="I1111" s="4"/>
      <c r="J1111" s="4" t="s">
        <v>2308</v>
      </c>
      <c r="K1111" s="4" t="s">
        <v>2308</v>
      </c>
      <c r="L1111" s="4" t="s">
        <v>2308</v>
      </c>
      <c r="M1111" s="4" t="s">
        <v>2308</v>
      </c>
      <c r="N1111" s="4" t="s">
        <v>2308</v>
      </c>
      <c r="O1111" s="4" t="s">
        <v>2308</v>
      </c>
      <c r="P1111" s="4" t="s">
        <v>2308</v>
      </c>
      <c r="Q1111" s="4" t="s">
        <v>2308</v>
      </c>
      <c r="R1111" s="4" t="s">
        <v>2308</v>
      </c>
      <c r="S1111" s="4" t="s">
        <v>2308</v>
      </c>
      <c r="T1111" s="4" t="s">
        <v>2308</v>
      </c>
      <c r="U1111" s="4" t="s">
        <v>2308</v>
      </c>
      <c r="V1111" s="4" t="s">
        <v>2308</v>
      </c>
      <c r="W1111" s="4" t="s">
        <v>2308</v>
      </c>
      <c r="X1111" s="4" t="s">
        <v>133</v>
      </c>
      <c r="Y1111" s="4" t="s">
        <v>194</v>
      </c>
      <c r="Z1111" s="4" t="s">
        <v>64</v>
      </c>
      <c r="AA1111" s="4"/>
      <c r="AB1111" s="4"/>
      <c r="AC1111" s="131"/>
      <c r="AD1111" s="131"/>
    </row>
    <row r="1112" spans="1:30" ht="131.5" customHeight="1">
      <c r="A1112" s="7" t="str">
        <f>'Reported burning'!A1112</f>
        <v>129b</v>
      </c>
      <c r="B1112" s="7" t="str">
        <f>'Reported burning'!B1112</f>
        <v>129b.1</v>
      </c>
      <c r="C1112" s="7" t="str">
        <f>'Reported burning'!C1112</f>
        <v>Human, deliberate</v>
      </c>
      <c r="D1112" s="7" t="str">
        <f>'Reported burning'!D1112</f>
        <v>Rangeland management</v>
      </c>
      <c r="E1112" s="7" t="str">
        <f>'Reported burning'!E1112</f>
        <v>Pastoralism, Migratory</v>
      </c>
      <c r="F1112" s="7" t="str">
        <f>'Reported burning'!F1112</f>
        <v>Shrubland (Mixed forest &amp; grassland)</v>
      </c>
      <c r="G1112" s="7" t="str">
        <f>'Reported burning'!G1112</f>
        <v>ND</v>
      </c>
      <c r="H1112" s="7" t="str">
        <f>'Reported burning'!H1112</f>
        <v>Absence</v>
      </c>
      <c r="I1112" s="4"/>
      <c r="J1112" s="22">
        <v>0</v>
      </c>
      <c r="K1112" s="22">
        <v>0</v>
      </c>
      <c r="L1112" s="22">
        <v>0</v>
      </c>
      <c r="M1112" s="22">
        <v>0</v>
      </c>
      <c r="N1112" s="22">
        <v>0</v>
      </c>
      <c r="O1112" s="22">
        <v>0</v>
      </c>
      <c r="P1112" s="22">
        <v>0</v>
      </c>
      <c r="Q1112" s="22">
        <v>0</v>
      </c>
      <c r="R1112" s="22">
        <v>0</v>
      </c>
      <c r="S1112" s="22">
        <v>0</v>
      </c>
      <c r="T1112" s="22">
        <v>0</v>
      </c>
      <c r="U1112" s="22">
        <v>0</v>
      </c>
      <c r="V1112" s="22">
        <v>0</v>
      </c>
      <c r="W1112" s="22">
        <v>0</v>
      </c>
      <c r="X1112" s="22">
        <v>0</v>
      </c>
      <c r="Y1112" s="4" t="s">
        <v>2308</v>
      </c>
      <c r="Z1112" s="4" t="s">
        <v>2308</v>
      </c>
      <c r="AA1112" s="5" t="s">
        <v>3459</v>
      </c>
      <c r="AB1112" s="4" t="s">
        <v>2308</v>
      </c>
      <c r="AC1112" s="131"/>
      <c r="AD1112" s="131"/>
    </row>
    <row r="1113" spans="1:30" ht="44" customHeight="1">
      <c r="A1113" s="7" t="str">
        <f>'Reported burning'!A1113</f>
        <v>129c</v>
      </c>
      <c r="B1113" s="7" t="str">
        <f>'Reported burning'!B1113</f>
        <v>129c.1</v>
      </c>
      <c r="C1113" s="7" t="str">
        <f>'Reported burning'!C1113</f>
        <v>Human, deliberate</v>
      </c>
      <c r="D1113" s="7" t="str">
        <f>'Reported burning'!D1113</f>
        <v>Rangeland management</v>
      </c>
      <c r="E1113" s="7" t="str">
        <f>'Reported burning'!E1113</f>
        <v>Pastoralism, Migratory</v>
      </c>
      <c r="F1113" s="7" t="str">
        <f>'Reported burning'!F1113</f>
        <v>Shrubland (Mixed forest &amp; grassland)</v>
      </c>
      <c r="G1113" s="7" t="str">
        <f>'Reported burning'!G1113</f>
        <v>ND</v>
      </c>
      <c r="H1113" s="7" t="str">
        <f>'Reported burning'!H1113</f>
        <v>Absence</v>
      </c>
      <c r="I1113" s="4"/>
      <c r="J1113" s="22">
        <v>0</v>
      </c>
      <c r="K1113" s="22">
        <v>0</v>
      </c>
      <c r="L1113" s="22">
        <v>0</v>
      </c>
      <c r="M1113" s="22">
        <v>0</v>
      </c>
      <c r="N1113" s="22">
        <v>0</v>
      </c>
      <c r="O1113" s="22">
        <v>0</v>
      </c>
      <c r="P1113" s="22">
        <v>0</v>
      </c>
      <c r="Q1113" s="22">
        <v>0</v>
      </c>
      <c r="R1113" s="22">
        <v>0</v>
      </c>
      <c r="S1113" s="22">
        <v>0</v>
      </c>
      <c r="T1113" s="22">
        <v>0</v>
      </c>
      <c r="U1113" s="22">
        <v>0</v>
      </c>
      <c r="V1113" s="22">
        <v>0</v>
      </c>
      <c r="W1113" s="22">
        <v>0</v>
      </c>
      <c r="X1113" s="4" t="s">
        <v>2308</v>
      </c>
      <c r="Y1113" s="4" t="s">
        <v>2308</v>
      </c>
      <c r="Z1113" s="4" t="s">
        <v>2308</v>
      </c>
      <c r="AA1113" s="5" t="s">
        <v>3460</v>
      </c>
      <c r="AB1113" s="4" t="s">
        <v>2308</v>
      </c>
      <c r="AC1113" s="131"/>
      <c r="AD1113" s="131"/>
    </row>
    <row r="1114" spans="1:30" ht="105.5" customHeight="1">
      <c r="A1114" s="7" t="str">
        <f>'Reported burning'!A1114</f>
        <v>130a</v>
      </c>
      <c r="B1114" s="7" t="str">
        <f>'Reported burning'!B1114</f>
        <v>130a.1</v>
      </c>
      <c r="C1114" s="7" t="str">
        <f>'Reported burning'!C1114</f>
        <v>Human, deliberate</v>
      </c>
      <c r="D1114" s="7" t="str">
        <f>'Reported burning'!D1114</f>
        <v>Hunting</v>
      </c>
      <c r="E1114" s="7" t="str">
        <f>'Reported burning'!E1114</f>
        <v>Forestry, Traditional</v>
      </c>
      <c r="F1114" s="7" t="str">
        <f>'Reported burning'!F1114</f>
        <v>Shrubland (Mixed forest &amp; grassland)</v>
      </c>
      <c r="G1114" s="7" t="str">
        <f>'Reported burning'!G1114</f>
        <v>Shrubland (Mixed forest &amp; grassland)</v>
      </c>
      <c r="H1114" s="7" t="str">
        <f>'Reported burning'!H1114</f>
        <v>Presence</v>
      </c>
      <c r="I1114" s="4"/>
      <c r="J1114" s="4" t="s">
        <v>2308</v>
      </c>
      <c r="K1114" s="4" t="s">
        <v>2308</v>
      </c>
      <c r="L1114" s="4" t="s">
        <v>2406</v>
      </c>
      <c r="M1114" s="4" t="s">
        <v>2308</v>
      </c>
      <c r="N1114" s="4" t="s">
        <v>2417</v>
      </c>
      <c r="O1114" s="4" t="s">
        <v>2308</v>
      </c>
      <c r="P1114" s="4" t="s">
        <v>2308</v>
      </c>
      <c r="Q1114" s="4" t="s">
        <v>2308</v>
      </c>
      <c r="R1114" s="4" t="s">
        <v>2308</v>
      </c>
      <c r="S1114" s="4" t="s">
        <v>2308</v>
      </c>
      <c r="T1114" s="4" t="s">
        <v>2308</v>
      </c>
      <c r="U1114" s="4" t="s">
        <v>2308</v>
      </c>
      <c r="V1114" s="4" t="s">
        <v>2308</v>
      </c>
      <c r="W1114" s="4" t="s">
        <v>2434</v>
      </c>
      <c r="X1114" s="4" t="s">
        <v>86</v>
      </c>
      <c r="Y1114" s="4" t="s">
        <v>412</v>
      </c>
      <c r="Z1114" s="4" t="s">
        <v>64</v>
      </c>
      <c r="AA1114" s="5" t="s">
        <v>3470</v>
      </c>
      <c r="AB1114" s="5" t="s">
        <v>5082</v>
      </c>
    </row>
    <row r="1115" spans="1:30" ht="90.5" customHeight="1">
      <c r="A1115" s="7" t="str">
        <f>'Reported burning'!A1115</f>
        <v>130a</v>
      </c>
      <c r="B1115" s="7" t="str">
        <f>'Reported burning'!B1115</f>
        <v>130a.2</v>
      </c>
      <c r="C1115" s="7" t="str">
        <f>'Reported burning'!C1115</f>
        <v>Human, deliberate</v>
      </c>
      <c r="D1115" s="7" t="str">
        <f>'Reported burning'!D1115</f>
        <v>Accessibility</v>
      </c>
      <c r="E1115" s="7" t="str">
        <f>'Reported burning'!E1115</f>
        <v>Forestry, Traditional</v>
      </c>
      <c r="F1115" s="7" t="str">
        <f>'Reported burning'!F1115</f>
        <v>Shrubland (Mixed forest &amp; grassland)</v>
      </c>
      <c r="G1115" s="7" t="str">
        <f>'Reported burning'!G1115</f>
        <v>Shrubland (Mixed forest &amp; grassland)</v>
      </c>
      <c r="H1115" s="7" t="str">
        <f>'Reported burning'!H1115</f>
        <v>Presence</v>
      </c>
      <c r="I1115" s="4"/>
      <c r="J1115" s="4" t="s">
        <v>2308</v>
      </c>
      <c r="K1115" s="4" t="s">
        <v>2308</v>
      </c>
      <c r="L1115" s="4" t="s">
        <v>2308</v>
      </c>
      <c r="M1115" s="4" t="s">
        <v>2308</v>
      </c>
      <c r="N1115" s="4" t="s">
        <v>2308</v>
      </c>
      <c r="O1115" s="4" t="s">
        <v>2308</v>
      </c>
      <c r="P1115" s="4" t="s">
        <v>2308</v>
      </c>
      <c r="Q1115" s="4" t="s">
        <v>2308</v>
      </c>
      <c r="R1115" s="4" t="s">
        <v>2308</v>
      </c>
      <c r="S1115" s="4" t="s">
        <v>2308</v>
      </c>
      <c r="T1115" s="4" t="s">
        <v>2308</v>
      </c>
      <c r="U1115" s="4" t="s">
        <v>2308</v>
      </c>
      <c r="V1115" s="4" t="s">
        <v>2308</v>
      </c>
      <c r="W1115" s="4" t="s">
        <v>2308</v>
      </c>
      <c r="X1115" s="4" t="s">
        <v>86</v>
      </c>
      <c r="Y1115" s="4" t="s">
        <v>412</v>
      </c>
      <c r="Z1115" s="4" t="s">
        <v>64</v>
      </c>
      <c r="AA1115" s="5" t="s">
        <v>3470</v>
      </c>
      <c r="AB1115" s="4"/>
    </row>
    <row r="1116" spans="1:30" ht="114" customHeight="1">
      <c r="A1116" s="7" t="str">
        <f>'Reported burning'!A1116</f>
        <v>131a</v>
      </c>
      <c r="B1116" s="7" t="str">
        <f>'Reported burning'!B1116</f>
        <v>131a.1</v>
      </c>
      <c r="C1116" s="7" t="str">
        <f>'Reported burning'!C1116</f>
        <v>Human, deliberate</v>
      </c>
      <c r="D1116" s="7" t="str">
        <f>'Reported burning'!D1116</f>
        <v>Hunting</v>
      </c>
      <c r="E1116" s="7" t="str">
        <f>'Reported burning'!E1116</f>
        <v>Forestry, Traditional</v>
      </c>
      <c r="F1116" s="7" t="str">
        <f>'Reported burning'!F1116</f>
        <v>Shrubland (Mixed forest &amp; grassland)</v>
      </c>
      <c r="G1116" s="7" t="str">
        <f>'Reported burning'!G1116</f>
        <v>Shrubland (Mixed forest &amp; grassland)</v>
      </c>
      <c r="H1116" s="7" t="str">
        <f>'Reported burning'!H1116</f>
        <v>Presence</v>
      </c>
      <c r="I1116" s="4">
        <v>1953</v>
      </c>
      <c r="J1116" s="4" t="s">
        <v>2401</v>
      </c>
      <c r="K1116" s="4" t="s">
        <v>2308</v>
      </c>
      <c r="L1116" s="4" t="s">
        <v>2308</v>
      </c>
      <c r="M1116" s="4" t="s">
        <v>2308</v>
      </c>
      <c r="N1116" s="4" t="s">
        <v>2308</v>
      </c>
      <c r="O1116" s="4" t="s">
        <v>2308</v>
      </c>
      <c r="P1116" s="4" t="s">
        <v>2308</v>
      </c>
      <c r="Q1116" s="4" t="s">
        <v>2308</v>
      </c>
      <c r="R1116" s="4" t="s">
        <v>2308</v>
      </c>
      <c r="S1116" s="4" t="s">
        <v>2308</v>
      </c>
      <c r="T1116" s="4" t="s">
        <v>2308</v>
      </c>
      <c r="U1116" s="4" t="s">
        <v>2308</v>
      </c>
      <c r="V1116" s="4" t="s">
        <v>2308</v>
      </c>
      <c r="W1116" s="4" t="s">
        <v>2434</v>
      </c>
      <c r="X1116" s="4" t="s">
        <v>406</v>
      </c>
      <c r="Y1116" s="4" t="s">
        <v>133</v>
      </c>
      <c r="Z1116" s="4" t="s">
        <v>2344</v>
      </c>
      <c r="AA1116" s="5" t="s">
        <v>3491</v>
      </c>
      <c r="AB1116" s="5" t="s">
        <v>3492</v>
      </c>
    </row>
    <row r="1117" spans="1:30" ht="114" customHeight="1">
      <c r="A1117" s="7" t="str">
        <f>'Reported burning'!A1117</f>
        <v>131a</v>
      </c>
      <c r="B1117" s="7" t="str">
        <f>'Reported burning'!B1117</f>
        <v>131a.2</v>
      </c>
      <c r="C1117" s="7" t="str">
        <f>'Reported burning'!C1117</f>
        <v>All</v>
      </c>
      <c r="D1117" s="7" t="str">
        <f>'Reported burning'!D1117</f>
        <v>All</v>
      </c>
      <c r="E1117" s="7" t="str">
        <f>'Reported burning'!E1117</f>
        <v>ND</v>
      </c>
      <c r="F1117" s="7" t="str">
        <f>'Reported burning'!F1117</f>
        <v>ND</v>
      </c>
      <c r="G1117" s="7" t="str">
        <f>'Reported burning'!G1117</f>
        <v>Shrubland (Mixed forest &amp; grassland)</v>
      </c>
      <c r="H1117" s="7" t="str">
        <f>'Reported burning'!H1117</f>
        <v>Presence</v>
      </c>
      <c r="I1117" s="4">
        <v>1953</v>
      </c>
      <c r="J1117" s="4" t="s">
        <v>2308</v>
      </c>
      <c r="K1117" s="4" t="s">
        <v>2308</v>
      </c>
      <c r="L1117" s="4" t="s">
        <v>2308</v>
      </c>
      <c r="M1117" s="4" t="s">
        <v>2308</v>
      </c>
      <c r="N1117" s="4" t="s">
        <v>2308</v>
      </c>
      <c r="O1117" s="4" t="s">
        <v>2308</v>
      </c>
      <c r="P1117" s="4" t="s">
        <v>2308</v>
      </c>
      <c r="Q1117" s="4" t="s">
        <v>2308</v>
      </c>
      <c r="R1117" s="4" t="s">
        <v>2308</v>
      </c>
      <c r="S1117" s="4" t="s">
        <v>2308</v>
      </c>
      <c r="T1117" s="4" t="s">
        <v>2308</v>
      </c>
      <c r="U1117" s="4" t="s">
        <v>2308</v>
      </c>
      <c r="V1117" s="4" t="s">
        <v>2308</v>
      </c>
      <c r="W1117" s="4" t="s">
        <v>2308</v>
      </c>
      <c r="X1117" s="4" t="s">
        <v>406</v>
      </c>
      <c r="Y1117" s="4" t="s">
        <v>133</v>
      </c>
      <c r="Z1117" s="4" t="s">
        <v>2344</v>
      </c>
      <c r="AA1117" s="5"/>
      <c r="AB1117" s="5"/>
    </row>
    <row r="1118" spans="1:30" ht="44.5" customHeight="1">
      <c r="A1118" s="7" t="str">
        <f>'Reported burning'!A1118</f>
        <v>131a</v>
      </c>
      <c r="B1118" s="7" t="str">
        <f>'Reported burning'!B1118</f>
        <v>131a.3</v>
      </c>
      <c r="C1118" s="7" t="str">
        <f>'Reported burning'!C1118</f>
        <v>Human, deliberate</v>
      </c>
      <c r="D1118" s="7" t="str">
        <f>'Reported burning'!D1118</f>
        <v>Hunting</v>
      </c>
      <c r="E1118" s="7" t="str">
        <f>'Reported burning'!E1118</f>
        <v>Forestry, Traditional</v>
      </c>
      <c r="F1118" s="7" t="str">
        <f>'Reported burning'!F1118</f>
        <v>Shrubland (Mixed forest &amp; grassland)</v>
      </c>
      <c r="G1118" s="7" t="str">
        <f>'Reported burning'!G1118</f>
        <v>Shrubland (Mixed forest &amp; grassland)</v>
      </c>
      <c r="H1118" s="7" t="str">
        <f>'Reported burning'!H1118</f>
        <v>Absence</v>
      </c>
      <c r="I1118" s="4">
        <f>'Reported burning'!I1118</f>
        <v>1973</v>
      </c>
      <c r="J1118" s="4" t="s">
        <v>2308</v>
      </c>
      <c r="K1118" s="4" t="s">
        <v>2308</v>
      </c>
      <c r="L1118" s="4" t="s">
        <v>2308</v>
      </c>
      <c r="M1118" s="4" t="s">
        <v>2308</v>
      </c>
      <c r="N1118" s="4" t="s">
        <v>2308</v>
      </c>
      <c r="O1118" s="4" t="s">
        <v>2308</v>
      </c>
      <c r="P1118" s="4" t="s">
        <v>2308</v>
      </c>
      <c r="Q1118" s="4" t="s">
        <v>2308</v>
      </c>
      <c r="R1118" s="4" t="s">
        <v>2308</v>
      </c>
      <c r="S1118" s="4" t="s">
        <v>2308</v>
      </c>
      <c r="T1118" s="4" t="s">
        <v>2308</v>
      </c>
      <c r="U1118" s="4" t="s">
        <v>2308</v>
      </c>
      <c r="V1118" s="4" t="s">
        <v>2308</v>
      </c>
      <c r="W1118" s="4" t="s">
        <v>2308</v>
      </c>
      <c r="X1118" s="4" t="s">
        <v>2308</v>
      </c>
      <c r="Y1118" s="4" t="s">
        <v>2308</v>
      </c>
      <c r="Z1118" s="4" t="s">
        <v>2308</v>
      </c>
      <c r="AA1118" s="5" t="s">
        <v>3472</v>
      </c>
      <c r="AB1118" s="4"/>
    </row>
    <row r="1119" spans="1:30" ht="44.5" customHeight="1">
      <c r="A1119" s="7" t="str">
        <f>'Reported burning'!A1119</f>
        <v>131a</v>
      </c>
      <c r="B1119" s="7" t="str">
        <f>'Reported burning'!B1119</f>
        <v>131a.4</v>
      </c>
      <c r="C1119" s="7" t="str">
        <f>'Reported burning'!C1119</f>
        <v>All</v>
      </c>
      <c r="D1119" s="7" t="str">
        <f>'Reported burning'!D1119</f>
        <v>All</v>
      </c>
      <c r="E1119" s="7" t="str">
        <f>'Reported burning'!E1119</f>
        <v>All</v>
      </c>
      <c r="F1119" s="7" t="str">
        <f>'Reported burning'!F1119</f>
        <v>All</v>
      </c>
      <c r="G1119" s="7" t="str">
        <f>'Reported burning'!G1119</f>
        <v>ND</v>
      </c>
      <c r="H1119" s="7" t="str">
        <f>'Reported burning'!H1119</f>
        <v>Presence</v>
      </c>
      <c r="I1119" s="4">
        <f>'Reported burning'!I1119</f>
        <v>1973</v>
      </c>
      <c r="J1119" s="4" t="s">
        <v>2308</v>
      </c>
      <c r="K1119" s="4" t="s">
        <v>2308</v>
      </c>
      <c r="L1119" s="4" t="s">
        <v>2308</v>
      </c>
      <c r="M1119" s="4" t="s">
        <v>2308</v>
      </c>
      <c r="N1119" s="4" t="s">
        <v>2308</v>
      </c>
      <c r="O1119" s="4" t="s">
        <v>2308</v>
      </c>
      <c r="P1119" s="4" t="s">
        <v>2308</v>
      </c>
      <c r="Q1119" s="4" t="s">
        <v>2308</v>
      </c>
      <c r="R1119" s="4" t="s">
        <v>2308</v>
      </c>
      <c r="S1119" s="4" t="s">
        <v>2308</v>
      </c>
      <c r="T1119" s="4" t="s">
        <v>2308</v>
      </c>
      <c r="U1119" s="4" t="s">
        <v>2308</v>
      </c>
      <c r="V1119" s="4" t="s">
        <v>2308</v>
      </c>
      <c r="W1119" s="4" t="s">
        <v>2308</v>
      </c>
      <c r="X1119" s="4" t="s">
        <v>2308</v>
      </c>
      <c r="Y1119" s="4" t="s">
        <v>2308</v>
      </c>
      <c r="Z1119" s="4" t="s">
        <v>2308</v>
      </c>
      <c r="AA1119" s="5" t="s">
        <v>3473</v>
      </c>
      <c r="AB1119" s="4"/>
    </row>
    <row r="1120" spans="1:30" ht="44.5" customHeight="1">
      <c r="A1120" s="7" t="str">
        <f>'Reported burning'!A1120</f>
        <v>131a</v>
      </c>
      <c r="B1120" s="7" t="str">
        <f>'Reported burning'!B1120</f>
        <v>131a.5</v>
      </c>
      <c r="C1120" s="7" t="str">
        <f>'Reported burning'!C1120</f>
        <v>Human, deliberate</v>
      </c>
      <c r="D1120" s="7" t="str">
        <f>'Reported burning'!D1120</f>
        <v>Hunting</v>
      </c>
      <c r="E1120" s="7" t="str">
        <f>'Reported burning'!E1120</f>
        <v>Forestry, Traditional</v>
      </c>
      <c r="F1120" s="7" t="str">
        <f>'Reported burning'!F1120</f>
        <v>Shrubland (Mixed forest &amp; grassland)</v>
      </c>
      <c r="G1120" s="7" t="str">
        <f>'Reported burning'!G1120</f>
        <v>Shrubland (Mixed forest &amp; grassland)</v>
      </c>
      <c r="H1120" s="7" t="str">
        <f>'Reported burning'!H1120</f>
        <v>Absence</v>
      </c>
      <c r="I1120" s="4">
        <f>'Reported burning'!I1120</f>
        <v>1981</v>
      </c>
      <c r="J1120" s="4" t="s">
        <v>2308</v>
      </c>
      <c r="K1120" s="4" t="s">
        <v>2308</v>
      </c>
      <c r="L1120" s="4" t="s">
        <v>2308</v>
      </c>
      <c r="M1120" s="4" t="s">
        <v>2308</v>
      </c>
      <c r="N1120" s="4" t="s">
        <v>2308</v>
      </c>
      <c r="O1120" s="4" t="s">
        <v>2308</v>
      </c>
      <c r="P1120" s="4" t="s">
        <v>2308</v>
      </c>
      <c r="Q1120" s="4" t="s">
        <v>2308</v>
      </c>
      <c r="R1120" s="4" t="s">
        <v>2308</v>
      </c>
      <c r="S1120" s="4" t="s">
        <v>2308</v>
      </c>
      <c r="T1120" s="4" t="s">
        <v>2308</v>
      </c>
      <c r="U1120" s="4" t="s">
        <v>2308</v>
      </c>
      <c r="V1120" s="4" t="s">
        <v>2308</v>
      </c>
      <c r="W1120" s="4" t="s">
        <v>2308</v>
      </c>
      <c r="X1120" s="4" t="s">
        <v>2308</v>
      </c>
      <c r="Y1120" s="4" t="s">
        <v>2308</v>
      </c>
      <c r="Z1120" s="4" t="s">
        <v>2308</v>
      </c>
      <c r="AA1120" s="5" t="s">
        <v>3472</v>
      </c>
      <c r="AB1120" s="4"/>
    </row>
    <row r="1121" spans="1:28" ht="44.5" customHeight="1">
      <c r="A1121" s="7" t="str">
        <f>'Reported burning'!A1121</f>
        <v>131a</v>
      </c>
      <c r="B1121" s="7" t="str">
        <f>'Reported burning'!B1121</f>
        <v>131a.6</v>
      </c>
      <c r="C1121" s="7" t="str">
        <f>'Reported burning'!C1121</f>
        <v>All</v>
      </c>
      <c r="D1121" s="7" t="str">
        <f>'Reported burning'!D1121</f>
        <v>All</v>
      </c>
      <c r="E1121" s="7" t="str">
        <f>'Reported burning'!E1121</f>
        <v>All</v>
      </c>
      <c r="F1121" s="7" t="str">
        <f>'Reported burning'!F1121</f>
        <v>All</v>
      </c>
      <c r="G1121" s="7" t="str">
        <f>'Reported burning'!G1121</f>
        <v>ND</v>
      </c>
      <c r="H1121" s="7" t="str">
        <f>'Reported burning'!H1121</f>
        <v>Presence</v>
      </c>
      <c r="I1121" s="4">
        <f>'Reported burning'!I1121</f>
        <v>1981</v>
      </c>
      <c r="J1121" s="4" t="s">
        <v>2308</v>
      </c>
      <c r="K1121" s="4" t="s">
        <v>2308</v>
      </c>
      <c r="L1121" s="4" t="s">
        <v>2308</v>
      </c>
      <c r="M1121" s="4" t="s">
        <v>2308</v>
      </c>
      <c r="N1121" s="4" t="s">
        <v>2308</v>
      </c>
      <c r="O1121" s="4" t="s">
        <v>2308</v>
      </c>
      <c r="P1121" s="4" t="s">
        <v>2308</v>
      </c>
      <c r="Q1121" s="4" t="s">
        <v>2308</v>
      </c>
      <c r="R1121" s="4" t="s">
        <v>2308</v>
      </c>
      <c r="S1121" s="4" t="s">
        <v>2308</v>
      </c>
      <c r="T1121" s="4" t="s">
        <v>2308</v>
      </c>
      <c r="U1121" s="4" t="s">
        <v>2308</v>
      </c>
      <c r="V1121" s="4" t="s">
        <v>2308</v>
      </c>
      <c r="W1121" s="4" t="s">
        <v>2308</v>
      </c>
      <c r="X1121" s="4" t="s">
        <v>2308</v>
      </c>
      <c r="Y1121" s="4" t="s">
        <v>2308</v>
      </c>
      <c r="Z1121" s="4" t="s">
        <v>2308</v>
      </c>
      <c r="AA1121" s="5" t="s">
        <v>3473</v>
      </c>
      <c r="AB1121" s="4"/>
    </row>
    <row r="1122" spans="1:28" ht="47" customHeight="1">
      <c r="A1122" s="7" t="str">
        <f>'Reported burning'!A1122</f>
        <v>131a</v>
      </c>
      <c r="B1122" s="7" t="str">
        <f>'Reported burning'!B1122</f>
        <v>131a.7</v>
      </c>
      <c r="C1122" s="7" t="str">
        <f>'Reported burning'!C1122</f>
        <v>Human, deliberate</v>
      </c>
      <c r="D1122" s="7" t="str">
        <f>'Reported burning'!D1122</f>
        <v>Hunting</v>
      </c>
      <c r="E1122" s="7" t="str">
        <f>'Reported burning'!E1122</f>
        <v>Forestry, Traditional</v>
      </c>
      <c r="F1122" s="7" t="str">
        <f>'Reported burning'!F1122</f>
        <v>Shrubland (Mixed forest &amp; grassland)</v>
      </c>
      <c r="G1122" s="7" t="str">
        <f>'Reported burning'!G1122</f>
        <v>Shrubland (Mixed forest &amp; grassland)</v>
      </c>
      <c r="H1122" s="7" t="str">
        <f>'Reported burning'!H1122</f>
        <v>Absence</v>
      </c>
      <c r="I1122" s="4">
        <f>'Reported burning'!I1122</f>
        <v>1988</v>
      </c>
      <c r="J1122" s="4" t="s">
        <v>2308</v>
      </c>
      <c r="K1122" s="4" t="s">
        <v>2308</v>
      </c>
      <c r="L1122" s="4" t="s">
        <v>2308</v>
      </c>
      <c r="M1122" s="4" t="s">
        <v>2308</v>
      </c>
      <c r="N1122" s="4" t="s">
        <v>2308</v>
      </c>
      <c r="O1122" s="4" t="s">
        <v>2308</v>
      </c>
      <c r="P1122" s="4" t="s">
        <v>2308</v>
      </c>
      <c r="Q1122" s="4" t="s">
        <v>2308</v>
      </c>
      <c r="R1122" s="4" t="s">
        <v>2308</v>
      </c>
      <c r="S1122" s="4" t="s">
        <v>2308</v>
      </c>
      <c r="T1122" s="4" t="s">
        <v>2308</v>
      </c>
      <c r="U1122" s="4" t="s">
        <v>2308</v>
      </c>
      <c r="V1122" s="4" t="s">
        <v>2308</v>
      </c>
      <c r="W1122" s="4" t="s">
        <v>2308</v>
      </c>
      <c r="X1122" s="4" t="s">
        <v>2308</v>
      </c>
      <c r="Y1122" s="4" t="s">
        <v>2308</v>
      </c>
      <c r="Z1122" s="4" t="s">
        <v>2308</v>
      </c>
      <c r="AA1122" s="5" t="s">
        <v>3472</v>
      </c>
      <c r="AB1122" s="4"/>
    </row>
    <row r="1123" spans="1:28" ht="47" customHeight="1">
      <c r="A1123" s="7" t="str">
        <f>'Reported burning'!A1123</f>
        <v>131a</v>
      </c>
      <c r="B1123" s="7" t="str">
        <f>'Reported burning'!B1123</f>
        <v>131a.8</v>
      </c>
      <c r="C1123" s="7" t="str">
        <f>'Reported burning'!C1123</f>
        <v>All</v>
      </c>
      <c r="D1123" s="7" t="str">
        <f>'Reported burning'!D1123</f>
        <v>All</v>
      </c>
      <c r="E1123" s="7" t="str">
        <f>'Reported burning'!E1123</f>
        <v>All</v>
      </c>
      <c r="F1123" s="7" t="str">
        <f>'Reported burning'!F1123</f>
        <v>All</v>
      </c>
      <c r="G1123" s="7" t="str">
        <f>'Reported burning'!G1123</f>
        <v>ND</v>
      </c>
      <c r="H1123" s="7" t="str">
        <f>'Reported burning'!H1123</f>
        <v>Presence</v>
      </c>
      <c r="I1123" s="4">
        <f>'Reported burning'!I1123</f>
        <v>1988</v>
      </c>
      <c r="J1123" s="4" t="s">
        <v>2308</v>
      </c>
      <c r="K1123" s="4" t="s">
        <v>2308</v>
      </c>
      <c r="L1123" s="4" t="s">
        <v>2308</v>
      </c>
      <c r="M1123" s="4" t="s">
        <v>2308</v>
      </c>
      <c r="N1123" s="4" t="s">
        <v>2308</v>
      </c>
      <c r="O1123" s="4" t="s">
        <v>2308</v>
      </c>
      <c r="P1123" s="4" t="s">
        <v>2308</v>
      </c>
      <c r="Q1123" s="4" t="s">
        <v>2308</v>
      </c>
      <c r="R1123" s="4" t="s">
        <v>2308</v>
      </c>
      <c r="S1123" s="4" t="s">
        <v>2308</v>
      </c>
      <c r="T1123" s="4" t="s">
        <v>2308</v>
      </c>
      <c r="U1123" s="4" t="s">
        <v>2308</v>
      </c>
      <c r="V1123" s="4" t="s">
        <v>2308</v>
      </c>
      <c r="W1123" s="4" t="s">
        <v>2308</v>
      </c>
      <c r="X1123" s="4" t="s">
        <v>2308</v>
      </c>
      <c r="Y1123" s="4" t="s">
        <v>2308</v>
      </c>
      <c r="Z1123" s="4" t="s">
        <v>2308</v>
      </c>
      <c r="AA1123" s="5" t="s">
        <v>3473</v>
      </c>
      <c r="AB1123" s="4"/>
    </row>
    <row r="1124" spans="1:28" ht="47" customHeight="1">
      <c r="A1124" s="7" t="str">
        <f>'Reported burning'!A1124</f>
        <v>131a</v>
      </c>
      <c r="B1124" s="7" t="str">
        <f>'Reported burning'!B1124</f>
        <v>131a.9</v>
      </c>
      <c r="C1124" s="7" t="str">
        <f>'Reported burning'!C1124</f>
        <v>Human, deliberate</v>
      </c>
      <c r="D1124" s="7" t="str">
        <f>'Reported burning'!D1124</f>
        <v>Hunting</v>
      </c>
      <c r="E1124" s="7" t="str">
        <f>'Reported burning'!E1124</f>
        <v>Forestry, Traditional</v>
      </c>
      <c r="F1124" s="7" t="str">
        <f>'Reported burning'!F1124</f>
        <v>Shrubland (Mixed forest &amp; grassland)</v>
      </c>
      <c r="G1124" s="7" t="str">
        <f>'Reported burning'!G1124</f>
        <v>Shrubland (Mixed forest &amp; grassland)</v>
      </c>
      <c r="H1124" s="7" t="str">
        <f>'Reported burning'!H1124</f>
        <v>Absence</v>
      </c>
      <c r="I1124" s="4">
        <f>'Reported burning'!I1124</f>
        <v>1994</v>
      </c>
      <c r="J1124" s="4" t="s">
        <v>2308</v>
      </c>
      <c r="K1124" s="4" t="s">
        <v>2308</v>
      </c>
      <c r="L1124" s="4" t="s">
        <v>2308</v>
      </c>
      <c r="M1124" s="4" t="s">
        <v>2308</v>
      </c>
      <c r="N1124" s="4" t="s">
        <v>2308</v>
      </c>
      <c r="O1124" s="4" t="s">
        <v>2308</v>
      </c>
      <c r="P1124" s="4" t="s">
        <v>2308</v>
      </c>
      <c r="Q1124" s="4" t="s">
        <v>2308</v>
      </c>
      <c r="R1124" s="4" t="s">
        <v>2308</v>
      </c>
      <c r="S1124" s="4" t="s">
        <v>2308</v>
      </c>
      <c r="T1124" s="4" t="s">
        <v>2308</v>
      </c>
      <c r="U1124" s="4" t="s">
        <v>2308</v>
      </c>
      <c r="V1124" s="4" t="s">
        <v>2308</v>
      </c>
      <c r="W1124" s="4" t="s">
        <v>2308</v>
      </c>
      <c r="X1124" s="4" t="s">
        <v>2308</v>
      </c>
      <c r="Y1124" s="4" t="s">
        <v>2308</v>
      </c>
      <c r="Z1124" s="4" t="s">
        <v>2308</v>
      </c>
      <c r="AA1124" s="5" t="s">
        <v>3472</v>
      </c>
      <c r="AB1124" s="4"/>
    </row>
    <row r="1125" spans="1:28" ht="47" customHeight="1">
      <c r="A1125" s="7" t="str">
        <f>'Reported burning'!A1125</f>
        <v>131a</v>
      </c>
      <c r="B1125" s="7" t="str">
        <f>'Reported burning'!B1125</f>
        <v>131a.10</v>
      </c>
      <c r="C1125" s="7" t="str">
        <f>'Reported burning'!C1125</f>
        <v>All</v>
      </c>
      <c r="D1125" s="7" t="str">
        <f>'Reported burning'!D1125</f>
        <v>All</v>
      </c>
      <c r="E1125" s="7" t="str">
        <f>'Reported burning'!E1125</f>
        <v>All</v>
      </c>
      <c r="F1125" s="7" t="str">
        <f>'Reported burning'!F1125</f>
        <v>All</v>
      </c>
      <c r="G1125" s="7" t="str">
        <f>'Reported burning'!G1125</f>
        <v>ND</v>
      </c>
      <c r="H1125" s="7" t="str">
        <f>'Reported burning'!H1125</f>
        <v>Presence</v>
      </c>
      <c r="I1125" s="4">
        <f>'Reported burning'!I1125</f>
        <v>1994</v>
      </c>
      <c r="J1125" s="4" t="s">
        <v>2308</v>
      </c>
      <c r="K1125" s="4" t="s">
        <v>2308</v>
      </c>
      <c r="L1125" s="4" t="s">
        <v>2308</v>
      </c>
      <c r="M1125" s="4" t="s">
        <v>2308</v>
      </c>
      <c r="N1125" s="4" t="s">
        <v>2308</v>
      </c>
      <c r="O1125" s="4" t="s">
        <v>2308</v>
      </c>
      <c r="P1125" s="4" t="s">
        <v>2308</v>
      </c>
      <c r="Q1125" s="4" t="s">
        <v>2308</v>
      </c>
      <c r="R1125" s="4" t="s">
        <v>2308</v>
      </c>
      <c r="S1125" s="4" t="s">
        <v>2308</v>
      </c>
      <c r="T1125" s="4" t="s">
        <v>2308</v>
      </c>
      <c r="U1125" s="4" t="s">
        <v>2308</v>
      </c>
      <c r="V1125" s="4" t="s">
        <v>2308</v>
      </c>
      <c r="W1125" s="4" t="s">
        <v>2308</v>
      </c>
      <c r="X1125" s="4" t="s">
        <v>2308</v>
      </c>
      <c r="Y1125" s="4" t="s">
        <v>2308</v>
      </c>
      <c r="Z1125" s="4" t="s">
        <v>2308</v>
      </c>
      <c r="AA1125" s="5" t="s">
        <v>3473</v>
      </c>
      <c r="AB1125" s="4"/>
    </row>
    <row r="1126" spans="1:28" ht="47" customHeight="1">
      <c r="A1126" s="7" t="str">
        <f>'Reported burning'!A1126</f>
        <v>131a</v>
      </c>
      <c r="B1126" s="7" t="str">
        <f>'Reported burning'!B1126</f>
        <v>131a.11</v>
      </c>
      <c r="C1126" s="7" t="str">
        <f>'Reported burning'!C1126</f>
        <v>Human, deliberate</v>
      </c>
      <c r="D1126" s="7" t="str">
        <f>'Reported burning'!D1126</f>
        <v>Hunting</v>
      </c>
      <c r="E1126" s="7" t="str">
        <f>'Reported burning'!E1126</f>
        <v>Forestry, Traditional</v>
      </c>
      <c r="F1126" s="7" t="str">
        <f>'Reported burning'!F1126</f>
        <v>Shrubland (Mixed forest &amp; grassland)</v>
      </c>
      <c r="G1126" s="7" t="str">
        <f>'Reported burning'!G1126</f>
        <v>Shrubland (Mixed forest &amp; grassland)</v>
      </c>
      <c r="H1126" s="7" t="str">
        <f>'Reported burning'!H1126</f>
        <v>Absence</v>
      </c>
      <c r="I1126" s="4">
        <f>'Reported burning'!I1126</f>
        <v>2000</v>
      </c>
      <c r="J1126" s="4" t="s">
        <v>2308</v>
      </c>
      <c r="K1126" s="4" t="s">
        <v>2308</v>
      </c>
      <c r="L1126" s="4" t="s">
        <v>2308</v>
      </c>
      <c r="M1126" s="4" t="s">
        <v>2308</v>
      </c>
      <c r="N1126" s="4" t="s">
        <v>2308</v>
      </c>
      <c r="O1126" s="4" t="s">
        <v>2308</v>
      </c>
      <c r="P1126" s="4" t="s">
        <v>2308</v>
      </c>
      <c r="Q1126" s="4" t="s">
        <v>2308</v>
      </c>
      <c r="R1126" s="4" t="s">
        <v>2308</v>
      </c>
      <c r="S1126" s="4" t="s">
        <v>2308</v>
      </c>
      <c r="T1126" s="4" t="s">
        <v>2308</v>
      </c>
      <c r="U1126" s="4" t="s">
        <v>2308</v>
      </c>
      <c r="V1126" s="4" t="s">
        <v>2308</v>
      </c>
      <c r="W1126" s="4" t="s">
        <v>2308</v>
      </c>
      <c r="X1126" s="4" t="s">
        <v>2308</v>
      </c>
      <c r="Y1126" s="4" t="s">
        <v>2308</v>
      </c>
      <c r="Z1126" s="4" t="s">
        <v>2308</v>
      </c>
      <c r="AA1126" s="5" t="s">
        <v>3472</v>
      </c>
      <c r="AB1126" s="4"/>
    </row>
    <row r="1127" spans="1:28" ht="47" customHeight="1">
      <c r="A1127" s="7" t="str">
        <f>'Reported burning'!A1127</f>
        <v>131a</v>
      </c>
      <c r="B1127" s="7" t="str">
        <f>'Reported burning'!B1127</f>
        <v>131a.12</v>
      </c>
      <c r="C1127" s="7" t="str">
        <f>'Reported burning'!C1127</f>
        <v>All</v>
      </c>
      <c r="D1127" s="7" t="str">
        <f>'Reported burning'!D1127</f>
        <v>All</v>
      </c>
      <c r="E1127" s="7" t="str">
        <f>'Reported burning'!E1127</f>
        <v>All</v>
      </c>
      <c r="F1127" s="7" t="str">
        <f>'Reported burning'!F1127</f>
        <v>All</v>
      </c>
      <c r="G1127" s="7" t="str">
        <f>'Reported burning'!G1127</f>
        <v>ND</v>
      </c>
      <c r="H1127" s="7" t="str">
        <f>'Reported burning'!H1127</f>
        <v>Presence</v>
      </c>
      <c r="I1127" s="4">
        <f>'Reported burning'!I1127</f>
        <v>2000</v>
      </c>
      <c r="J1127" s="4" t="s">
        <v>2308</v>
      </c>
      <c r="K1127" s="4" t="s">
        <v>2308</v>
      </c>
      <c r="L1127" s="4" t="s">
        <v>2308</v>
      </c>
      <c r="M1127" s="4" t="s">
        <v>2308</v>
      </c>
      <c r="N1127" s="4" t="s">
        <v>2308</v>
      </c>
      <c r="O1127" s="4" t="s">
        <v>2308</v>
      </c>
      <c r="P1127" s="4" t="s">
        <v>2308</v>
      </c>
      <c r="Q1127" s="4" t="s">
        <v>2308</v>
      </c>
      <c r="R1127" s="4" t="s">
        <v>2308</v>
      </c>
      <c r="S1127" s="4" t="s">
        <v>2308</v>
      </c>
      <c r="T1127" s="4" t="s">
        <v>2308</v>
      </c>
      <c r="U1127" s="4" t="s">
        <v>2308</v>
      </c>
      <c r="V1127" s="4" t="s">
        <v>2308</v>
      </c>
      <c r="W1127" s="4" t="s">
        <v>2308</v>
      </c>
      <c r="X1127" s="4" t="s">
        <v>2308</v>
      </c>
      <c r="Y1127" s="4" t="s">
        <v>2308</v>
      </c>
      <c r="Z1127" s="4" t="s">
        <v>2308</v>
      </c>
      <c r="AA1127" s="5" t="s">
        <v>3473</v>
      </c>
      <c r="AB1127" s="4"/>
    </row>
    <row r="1128" spans="1:28" ht="42.5" customHeight="1">
      <c r="A1128" s="7" t="str">
        <f>'Reported burning'!A1128</f>
        <v>132a</v>
      </c>
      <c r="B1128" s="7" t="str">
        <f>'Reported burning'!B1128</f>
        <v>132a.1</v>
      </c>
      <c r="C1128" s="7" t="str">
        <f>'Reported burning'!C1128</f>
        <v>Human, deliberate</v>
      </c>
      <c r="D1128" s="7" t="str">
        <f>'Reported burning'!D1128</f>
        <v>Hunting</v>
      </c>
      <c r="E1128" s="7" t="str">
        <f>'Reported burning'!E1128</f>
        <v>Forestry, Traditional</v>
      </c>
      <c r="F1128" s="7" t="str">
        <f>'Reported burning'!F1128</f>
        <v>Shrubland (Mixed forest &amp; grassland)</v>
      </c>
      <c r="G1128" s="7" t="str">
        <f>'Reported burning'!G1128</f>
        <v>Shrubland (Mixed forest &amp; grassland)</v>
      </c>
      <c r="H1128" s="7" t="str">
        <f>'Reported burning'!H1128</f>
        <v>Presence</v>
      </c>
      <c r="I1128" s="4"/>
      <c r="J1128" s="4" t="s">
        <v>2308</v>
      </c>
      <c r="K1128" s="4" t="s">
        <v>2308</v>
      </c>
      <c r="L1128" s="4" t="s">
        <v>2308</v>
      </c>
      <c r="M1128" s="4" t="s">
        <v>2308</v>
      </c>
      <c r="N1128" s="4" t="s">
        <v>2308</v>
      </c>
      <c r="O1128" s="4" t="s">
        <v>2308</v>
      </c>
      <c r="P1128" s="4" t="s">
        <v>2308</v>
      </c>
      <c r="Q1128" s="4" t="s">
        <v>2308</v>
      </c>
      <c r="R1128" s="4" t="s">
        <v>2308</v>
      </c>
      <c r="S1128" s="4" t="s">
        <v>2308</v>
      </c>
      <c r="T1128" s="4" t="s">
        <v>2308</v>
      </c>
      <c r="U1128" s="4" t="s">
        <v>2308</v>
      </c>
      <c r="V1128" s="4" t="s">
        <v>2308</v>
      </c>
      <c r="W1128" s="4" t="s">
        <v>2308</v>
      </c>
      <c r="X1128" s="4" t="s">
        <v>2308</v>
      </c>
      <c r="Y1128" s="4" t="s">
        <v>86</v>
      </c>
      <c r="Z1128" s="4" t="s">
        <v>68</v>
      </c>
      <c r="AA1128" s="4" t="s">
        <v>2688</v>
      </c>
      <c r="AB1128" s="5" t="s">
        <v>3498</v>
      </c>
    </row>
    <row r="1129" spans="1:28" ht="42.5" customHeight="1">
      <c r="A1129" s="7" t="str">
        <f>'Reported burning'!A1129</f>
        <v>132a</v>
      </c>
      <c r="B1129" s="7" t="str">
        <f>'Reported burning'!B1129</f>
        <v>132a.2</v>
      </c>
      <c r="C1129" s="7" t="str">
        <f>'Reported burning'!C1129</f>
        <v>Human, deliberate</v>
      </c>
      <c r="D1129" s="7" t="str">
        <f>'Reported burning'!D1129</f>
        <v>Pyrome management</v>
      </c>
      <c r="E1129" s="7" t="str">
        <f>'Reported burning'!E1129</f>
        <v>Forestry, Traditional</v>
      </c>
      <c r="F1129" s="7" t="str">
        <f>'Reported burning'!F1129</f>
        <v>Shrubland (Mixed forest &amp; grassland)</v>
      </c>
      <c r="G1129" s="7" t="str">
        <f>'Reported burning'!G1129</f>
        <v>Shrubland (Mixed forest &amp; grassland)</v>
      </c>
      <c r="H1129" s="7" t="str">
        <f>'Reported burning'!H1129</f>
        <v>Presence</v>
      </c>
      <c r="I1129" s="4"/>
      <c r="J1129" s="4" t="s">
        <v>2308</v>
      </c>
      <c r="K1129" s="4" t="s">
        <v>2308</v>
      </c>
      <c r="L1129" s="4" t="s">
        <v>2308</v>
      </c>
      <c r="M1129" s="4" t="s">
        <v>2308</v>
      </c>
      <c r="N1129" s="4" t="s">
        <v>2308</v>
      </c>
      <c r="O1129" s="4" t="s">
        <v>2308</v>
      </c>
      <c r="P1129" s="4" t="s">
        <v>2308</v>
      </c>
      <c r="Q1129" s="4" t="s">
        <v>2308</v>
      </c>
      <c r="R1129" s="4" t="s">
        <v>2308</v>
      </c>
      <c r="S1129" s="4" t="s">
        <v>2308</v>
      </c>
      <c r="T1129" s="4" t="s">
        <v>2308</v>
      </c>
      <c r="U1129" s="4" t="s">
        <v>2308</v>
      </c>
      <c r="V1129" s="4" t="s">
        <v>2308</v>
      </c>
      <c r="W1129" s="4" t="s">
        <v>2308</v>
      </c>
      <c r="X1129" s="4" t="s">
        <v>2308</v>
      </c>
      <c r="Y1129" s="4" t="s">
        <v>86</v>
      </c>
      <c r="Z1129" s="4" t="s">
        <v>412</v>
      </c>
      <c r="AA1129" s="4" t="s">
        <v>2688</v>
      </c>
      <c r="AB1129" s="5" t="s">
        <v>3499</v>
      </c>
    </row>
    <row r="1130" spans="1:28" ht="42.5" customHeight="1">
      <c r="A1130" s="7" t="str">
        <f>'Reported burning'!A1130</f>
        <v>132a</v>
      </c>
      <c r="B1130" s="7" t="str">
        <f>'Reported burning'!B1130</f>
        <v>132a.3</v>
      </c>
      <c r="C1130" s="7" t="str">
        <f>'Reported burning'!C1130</f>
        <v>Human, deliberate</v>
      </c>
      <c r="D1130" s="7" t="str">
        <f>'Reported burning'!D1130</f>
        <v>Fishing</v>
      </c>
      <c r="E1130" s="7" t="str">
        <f>'Reported burning'!E1130</f>
        <v>Forestry, Traditional</v>
      </c>
      <c r="F1130" s="7" t="str">
        <f>'Reported burning'!F1130</f>
        <v>Grassland</v>
      </c>
      <c r="G1130" s="7" t="str">
        <f>'Reported burning'!G1130</f>
        <v>Grassland</v>
      </c>
      <c r="H1130" s="7" t="str">
        <f>'Reported burning'!H1130</f>
        <v>Presence</v>
      </c>
      <c r="I1130" s="4"/>
      <c r="J1130" s="4" t="s">
        <v>2308</v>
      </c>
      <c r="K1130" s="4" t="s">
        <v>2308</v>
      </c>
      <c r="L1130" s="4" t="s">
        <v>2308</v>
      </c>
      <c r="M1130" s="4" t="s">
        <v>2308</v>
      </c>
      <c r="N1130" s="4" t="s">
        <v>2308</v>
      </c>
      <c r="O1130" s="4" t="s">
        <v>2308</v>
      </c>
      <c r="P1130" s="4" t="s">
        <v>2308</v>
      </c>
      <c r="Q1130" s="4" t="s">
        <v>2308</v>
      </c>
      <c r="R1130" s="4" t="s">
        <v>2308</v>
      </c>
      <c r="S1130" s="4" t="s">
        <v>2308</v>
      </c>
      <c r="T1130" s="4" t="s">
        <v>2308</v>
      </c>
      <c r="U1130" s="4" t="s">
        <v>2308</v>
      </c>
      <c r="V1130" s="4" t="s">
        <v>2308</v>
      </c>
      <c r="W1130" s="4" t="s">
        <v>2308</v>
      </c>
      <c r="X1130" s="4" t="s">
        <v>2308</v>
      </c>
      <c r="Y1130" s="4" t="s">
        <v>86</v>
      </c>
      <c r="Z1130" s="4" t="s">
        <v>68</v>
      </c>
      <c r="AA1130" s="4" t="s">
        <v>64</v>
      </c>
      <c r="AB1130" s="5" t="s">
        <v>3502</v>
      </c>
    </row>
    <row r="1131" spans="1:28" ht="42.5" customHeight="1">
      <c r="A1131" s="7" t="str">
        <f>'Reported burning'!A1131</f>
        <v>132a</v>
      </c>
      <c r="B1131" s="7" t="str">
        <f>'Reported burning'!B1131</f>
        <v>132a.4</v>
      </c>
      <c r="C1131" s="7" t="str">
        <f>'Reported burning'!C1131</f>
        <v>Lightning</v>
      </c>
      <c r="D1131" s="7" t="str">
        <f>'Reported burning'!D1131</f>
        <v>ND</v>
      </c>
      <c r="E1131" s="7" t="str">
        <f>'Reported burning'!E1131</f>
        <v>ND</v>
      </c>
      <c r="F1131" s="7" t="str">
        <f>'Reported burning'!F1131</f>
        <v>ND</v>
      </c>
      <c r="G1131" s="7" t="str">
        <f>'Reported burning'!G1131</f>
        <v>ND</v>
      </c>
      <c r="H1131" s="7" t="str">
        <f>'Reported burning'!H1131</f>
        <v>Presence</v>
      </c>
      <c r="I1131" s="4"/>
      <c r="J1131" s="4" t="s">
        <v>2308</v>
      </c>
      <c r="K1131" s="4" t="s">
        <v>2308</v>
      </c>
      <c r="L1131" s="4" t="s">
        <v>2308</v>
      </c>
      <c r="M1131" s="4" t="s">
        <v>2308</v>
      </c>
      <c r="N1131" s="4" t="s">
        <v>2308</v>
      </c>
      <c r="O1131" s="4" t="s">
        <v>2308</v>
      </c>
      <c r="P1131" s="4" t="s">
        <v>2308</v>
      </c>
      <c r="Q1131" s="4" t="s">
        <v>2308</v>
      </c>
      <c r="R1131" s="4" t="s">
        <v>2308</v>
      </c>
      <c r="S1131" s="4" t="s">
        <v>2308</v>
      </c>
      <c r="T1131" s="4" t="s">
        <v>2308</v>
      </c>
      <c r="U1131" s="4" t="s">
        <v>2308</v>
      </c>
      <c r="V1131" s="4" t="s">
        <v>2308</v>
      </c>
      <c r="W1131" s="4" t="s">
        <v>2308</v>
      </c>
      <c r="X1131" s="4" t="s">
        <v>2308</v>
      </c>
      <c r="Y1131" s="12" t="s">
        <v>68</v>
      </c>
      <c r="Z1131" s="12" t="s">
        <v>133</v>
      </c>
      <c r="AA1131" s="12" t="s">
        <v>64</v>
      </c>
      <c r="AB1131" s="5" t="s">
        <v>3505</v>
      </c>
    </row>
    <row r="1132" spans="1:28" ht="44.5" customHeight="1">
      <c r="A1132" s="7" t="str">
        <f>'Reported burning'!A1132</f>
        <v>132a</v>
      </c>
      <c r="B1132" s="7" t="str">
        <f>'Reported burning'!B1132</f>
        <v>132a.5</v>
      </c>
      <c r="C1132" s="7" t="str">
        <f>'Reported burning'!C1132</f>
        <v>Human, escaped</v>
      </c>
      <c r="D1132" s="7" t="str">
        <f>'Reported burning'!D1132</f>
        <v>Hunting</v>
      </c>
      <c r="E1132" s="7" t="str">
        <f>'Reported burning'!E1132</f>
        <v>Forestry, Traditional</v>
      </c>
      <c r="F1132" s="7" t="str">
        <f>'Reported burning'!F1132</f>
        <v>Shrubland (Mixed forest &amp; grassland)</v>
      </c>
      <c r="G1132" s="7" t="str">
        <f>'Reported burning'!G1132</f>
        <v>ND</v>
      </c>
      <c r="H1132" s="7" t="str">
        <f>'Reported burning'!H1132</f>
        <v>Presence</v>
      </c>
      <c r="I1132" s="4"/>
      <c r="J1132" s="4" t="s">
        <v>2308</v>
      </c>
      <c r="K1132" s="4" t="s">
        <v>2308</v>
      </c>
      <c r="L1132" s="4" t="s">
        <v>2308</v>
      </c>
      <c r="M1132" s="4" t="s">
        <v>2308</v>
      </c>
      <c r="N1132" s="4" t="s">
        <v>2308</v>
      </c>
      <c r="O1132" s="4" t="s">
        <v>2308</v>
      </c>
      <c r="P1132" s="4" t="s">
        <v>2308</v>
      </c>
      <c r="Q1132" s="4" t="s">
        <v>2308</v>
      </c>
      <c r="R1132" s="4" t="s">
        <v>2308</v>
      </c>
      <c r="S1132" s="4" t="s">
        <v>2308</v>
      </c>
      <c r="T1132" s="4" t="s">
        <v>2308</v>
      </c>
      <c r="U1132" s="4" t="s">
        <v>2308</v>
      </c>
      <c r="V1132" s="4" t="s">
        <v>2308</v>
      </c>
      <c r="W1132" s="4" t="s">
        <v>2308</v>
      </c>
      <c r="X1132" s="4" t="s">
        <v>2308</v>
      </c>
      <c r="Y1132" s="4" t="s">
        <v>432</v>
      </c>
      <c r="Z1132" s="4" t="s">
        <v>68</v>
      </c>
      <c r="AA1132" s="4" t="s">
        <v>64</v>
      </c>
      <c r="AB1132" s="5" t="s">
        <v>3504</v>
      </c>
    </row>
    <row r="1133" spans="1:28" ht="44.5" customHeight="1">
      <c r="A1133" s="7" t="str">
        <f>'Reported burning'!A1133</f>
        <v>133a</v>
      </c>
      <c r="B1133" s="7" t="str">
        <f>'Reported burning'!B1133</f>
        <v>133a.1</v>
      </c>
      <c r="C1133" s="7" t="str">
        <f>'Reported burning'!C1133</f>
        <v>Human, deliberate</v>
      </c>
      <c r="D1133" s="7" t="str">
        <f>'Reported burning'!D1133</f>
        <v>Rangeland management</v>
      </c>
      <c r="E1133" s="7" t="str">
        <f>'Reported burning'!E1133</f>
        <v>Pastoralism, Migratory</v>
      </c>
      <c r="F1133" s="7" t="str">
        <f>'Reported burning'!F1133</f>
        <v>Shrubland (Mixed forest &amp; grassland)</v>
      </c>
      <c r="G1133" s="7" t="str">
        <f>'Reported burning'!G1133</f>
        <v>ND</v>
      </c>
      <c r="H1133" s="7" t="str">
        <f>'Reported burning'!H1133</f>
        <v>Presence</v>
      </c>
      <c r="I1133" s="4"/>
      <c r="J1133" s="4" t="s">
        <v>2308</v>
      </c>
      <c r="K1133" s="4" t="s">
        <v>2308</v>
      </c>
      <c r="L1133" s="4" t="s">
        <v>2308</v>
      </c>
      <c r="M1133" s="4" t="s">
        <v>2308</v>
      </c>
      <c r="N1133" s="4" t="s">
        <v>2308</v>
      </c>
      <c r="O1133" s="4" t="s">
        <v>2308</v>
      </c>
      <c r="P1133" s="4" t="s">
        <v>2308</v>
      </c>
      <c r="Q1133" s="4" t="s">
        <v>2308</v>
      </c>
      <c r="R1133" s="4" t="s">
        <v>2308</v>
      </c>
      <c r="S1133" s="4" t="s">
        <v>2308</v>
      </c>
      <c r="T1133" s="4" t="s">
        <v>2308</v>
      </c>
      <c r="U1133" s="4" t="s">
        <v>2308</v>
      </c>
      <c r="V1133" s="4" t="s">
        <v>2308</v>
      </c>
      <c r="W1133" s="4" t="s">
        <v>2433</v>
      </c>
      <c r="X1133" s="4" t="s">
        <v>195</v>
      </c>
      <c r="Y1133" s="4" t="s">
        <v>38</v>
      </c>
      <c r="Z1133" s="4" t="s">
        <v>64</v>
      </c>
      <c r="AA1133" s="5" t="s">
        <v>3515</v>
      </c>
      <c r="AB1133" s="4"/>
    </row>
    <row r="1134" spans="1:28" ht="44.5" customHeight="1">
      <c r="A1134" s="7" t="str">
        <f>'Reported burning'!A1134</f>
        <v>133a</v>
      </c>
      <c r="B1134" s="7" t="str">
        <f>'Reported burning'!B1134</f>
        <v>133a.2</v>
      </c>
      <c r="C1134" s="7" t="str">
        <f>'Reported burning'!C1134</f>
        <v>Human, deliberate</v>
      </c>
      <c r="D1134" s="7" t="str">
        <f>'Reported burning'!D1134</f>
        <v>Pasture renewal</v>
      </c>
      <c r="E1134" s="7" t="str">
        <f>'Reported burning'!E1134</f>
        <v>Pastoralism, Migratory</v>
      </c>
      <c r="F1134" s="7" t="str">
        <f>'Reported burning'!F1134</f>
        <v>Shrubland (Mixed forest &amp; grassland)</v>
      </c>
      <c r="G1134" s="7" t="str">
        <f>'Reported burning'!G1134</f>
        <v>ND</v>
      </c>
      <c r="H1134" s="7" t="str">
        <f>'Reported burning'!H1134</f>
        <v>Absence</v>
      </c>
      <c r="I1134" s="4"/>
      <c r="J1134" s="4" t="s">
        <v>2308</v>
      </c>
      <c r="K1134" s="4" t="s">
        <v>2308</v>
      </c>
      <c r="L1134" s="4" t="s">
        <v>2308</v>
      </c>
      <c r="M1134" s="4" t="s">
        <v>2308</v>
      </c>
      <c r="N1134" s="4" t="s">
        <v>2308</v>
      </c>
      <c r="O1134" s="4" t="s">
        <v>2308</v>
      </c>
      <c r="P1134" s="4" t="s">
        <v>2308</v>
      </c>
      <c r="Q1134" s="4" t="s">
        <v>2308</v>
      </c>
      <c r="R1134" s="4" t="s">
        <v>2308</v>
      </c>
      <c r="S1134" s="4" t="s">
        <v>2308</v>
      </c>
      <c r="T1134" s="4" t="s">
        <v>2308</v>
      </c>
      <c r="U1134" s="4" t="s">
        <v>2308</v>
      </c>
      <c r="V1134" s="4" t="s">
        <v>2308</v>
      </c>
      <c r="W1134" s="4" t="s">
        <v>2308</v>
      </c>
      <c r="X1134" s="4" t="s">
        <v>68</v>
      </c>
      <c r="Y1134" s="4" t="s">
        <v>35</v>
      </c>
      <c r="Z1134" s="4" t="s">
        <v>2308</v>
      </c>
      <c r="AA1134" s="5" t="s">
        <v>3517</v>
      </c>
      <c r="AB1134" s="4"/>
    </row>
    <row r="1135" spans="1:28" ht="44.5" customHeight="1">
      <c r="A1135" s="7" t="str">
        <f>'Reported burning'!A1135</f>
        <v>133a</v>
      </c>
      <c r="B1135" s="7" t="str">
        <f>'Reported burning'!B1135</f>
        <v>133a.3</v>
      </c>
      <c r="C1135" s="7" t="str">
        <f>'Reported burning'!C1135</f>
        <v>Human, deliberate</v>
      </c>
      <c r="D1135" s="7" t="str">
        <f>'Reported burning'!D1135</f>
        <v>Forest clearance</v>
      </c>
      <c r="E1135" s="7" t="str">
        <f>'Reported burning'!E1135</f>
        <v>Cropping, Swidden</v>
      </c>
      <c r="F1135" s="7" t="str">
        <f>'Reported burning'!F1135</f>
        <v>Forest</v>
      </c>
      <c r="G1135" s="7" t="str">
        <f>'Reported burning'!G1135</f>
        <v>ND</v>
      </c>
      <c r="H1135" s="7" t="str">
        <f>'Reported burning'!H1135</f>
        <v>Presence</v>
      </c>
      <c r="I1135" s="4"/>
      <c r="J1135" s="4" t="s">
        <v>2308</v>
      </c>
      <c r="K1135" s="4" t="s">
        <v>2308</v>
      </c>
      <c r="L1135" s="4" t="s">
        <v>2308</v>
      </c>
      <c r="M1135" s="4" t="s">
        <v>2308</v>
      </c>
      <c r="N1135" s="4" t="s">
        <v>2308</v>
      </c>
      <c r="O1135" s="4" t="s">
        <v>2308</v>
      </c>
      <c r="P1135" s="4" t="s">
        <v>2308</v>
      </c>
      <c r="Q1135" s="4" t="s">
        <v>2308</v>
      </c>
      <c r="R1135" s="4" t="s">
        <v>2308</v>
      </c>
      <c r="S1135" s="4" t="s">
        <v>2308</v>
      </c>
      <c r="T1135" s="4" t="s">
        <v>2308</v>
      </c>
      <c r="U1135" s="4" t="s">
        <v>2308</v>
      </c>
      <c r="V1135" s="4" t="s">
        <v>2308</v>
      </c>
      <c r="W1135" s="4" t="s">
        <v>2308</v>
      </c>
      <c r="X1135" s="4" t="s">
        <v>2308</v>
      </c>
      <c r="Y1135" s="4" t="s">
        <v>2308</v>
      </c>
      <c r="Z1135" s="4" t="s">
        <v>2308</v>
      </c>
      <c r="AA1135" s="4"/>
      <c r="AB1135" s="4"/>
    </row>
    <row r="1136" spans="1:28" ht="44.5" customHeight="1">
      <c r="A1136" s="7" t="str">
        <f>'Reported burning'!A1136</f>
        <v>133a</v>
      </c>
      <c r="B1136" s="7" t="str">
        <f>'Reported burning'!B1136</f>
        <v>133a.4</v>
      </c>
      <c r="C1136" s="7" t="str">
        <f>'Reported burning'!C1136</f>
        <v>Human, deliberate</v>
      </c>
      <c r="D1136" s="7" t="str">
        <f>'Reported burning'!D1136</f>
        <v>Crop residue burning</v>
      </c>
      <c r="E1136" s="7" t="str">
        <f>'Reported burning'!E1136</f>
        <v>Cropping, Swidden</v>
      </c>
      <c r="F1136" s="7" t="str">
        <f>'Reported burning'!F1136</f>
        <v>Cropland</v>
      </c>
      <c r="G1136" s="7" t="str">
        <f>'Reported burning'!G1136</f>
        <v>ND</v>
      </c>
      <c r="H1136" s="7" t="str">
        <f>'Reported burning'!H1136</f>
        <v>Presence</v>
      </c>
      <c r="I1136" s="4"/>
      <c r="J1136" s="4" t="s">
        <v>2308</v>
      </c>
      <c r="K1136" s="4" t="s">
        <v>2308</v>
      </c>
      <c r="L1136" s="4" t="s">
        <v>2308</v>
      </c>
      <c r="M1136" s="4" t="s">
        <v>2308</v>
      </c>
      <c r="N1136" s="4" t="s">
        <v>2308</v>
      </c>
      <c r="O1136" s="4" t="s">
        <v>2308</v>
      </c>
      <c r="P1136" s="4" t="s">
        <v>2308</v>
      </c>
      <c r="Q1136" s="4" t="s">
        <v>2308</v>
      </c>
      <c r="R1136" s="4" t="s">
        <v>2308</v>
      </c>
      <c r="S1136" s="4" t="s">
        <v>2308</v>
      </c>
      <c r="T1136" s="4" t="s">
        <v>2308</v>
      </c>
      <c r="U1136" s="4" t="s">
        <v>2308</v>
      </c>
      <c r="V1136" s="4" t="s">
        <v>2308</v>
      </c>
      <c r="W1136" s="4" t="s">
        <v>2308</v>
      </c>
      <c r="X1136" s="4" t="s">
        <v>195</v>
      </c>
      <c r="Y1136" s="4" t="s">
        <v>38</v>
      </c>
      <c r="Z1136" s="4" t="s">
        <v>64</v>
      </c>
      <c r="AA1136" s="4" t="s">
        <v>3521</v>
      </c>
      <c r="AB1136" s="4"/>
    </row>
    <row r="1137" spans="1:28" ht="44.5" customHeight="1">
      <c r="A1137" s="7" t="str">
        <f>'Reported burning'!A1137</f>
        <v>133a</v>
      </c>
      <c r="B1137" s="7" t="str">
        <f>'Reported burning'!B1137</f>
        <v>133a.5</v>
      </c>
      <c r="C1137" s="7" t="str">
        <f>'Reported burning'!C1137</f>
        <v>Human, deliberate</v>
      </c>
      <c r="D1137" s="7" t="str">
        <f>'Reported burning'!D1137</f>
        <v>Crop field preparation</v>
      </c>
      <c r="E1137" s="7" t="str">
        <f>'Reported burning'!E1137</f>
        <v>Cropping, Swidden</v>
      </c>
      <c r="F1137" s="7" t="str">
        <f>'Reported burning'!F1137</f>
        <v>Secondary Vegetation</v>
      </c>
      <c r="G1137" s="7" t="str">
        <f>'Reported burning'!G1137</f>
        <v>ND</v>
      </c>
      <c r="H1137" s="7" t="str">
        <f>'Reported burning'!H1137</f>
        <v>Presence</v>
      </c>
      <c r="I1137" s="4"/>
      <c r="J1137" s="4" t="s">
        <v>2308</v>
      </c>
      <c r="K1137" s="4" t="s">
        <v>2308</v>
      </c>
      <c r="L1137" s="4" t="s">
        <v>2308</v>
      </c>
      <c r="M1137" s="4" t="s">
        <v>2308</v>
      </c>
      <c r="N1137" s="4" t="s">
        <v>2308</v>
      </c>
      <c r="O1137" s="4" t="s">
        <v>2308</v>
      </c>
      <c r="P1137" s="4" t="s">
        <v>2308</v>
      </c>
      <c r="Q1137" s="4" t="s">
        <v>2308</v>
      </c>
      <c r="R1137" s="4" t="s">
        <v>2308</v>
      </c>
      <c r="S1137" s="4" t="s">
        <v>2308</v>
      </c>
      <c r="T1137" s="4" t="s">
        <v>2308</v>
      </c>
      <c r="U1137" s="4" t="s">
        <v>2308</v>
      </c>
      <c r="V1137" s="4" t="s">
        <v>2308</v>
      </c>
      <c r="W1137" s="4" t="s">
        <v>2308</v>
      </c>
      <c r="X1137" s="4" t="s">
        <v>195</v>
      </c>
      <c r="Y1137" s="4" t="s">
        <v>38</v>
      </c>
      <c r="Z1137" s="4" t="s">
        <v>64</v>
      </c>
      <c r="AA1137" s="4" t="s">
        <v>3521</v>
      </c>
      <c r="AB1137" s="4"/>
    </row>
    <row r="1138" spans="1:28" ht="44.5" customHeight="1">
      <c r="A1138" s="7" t="str">
        <f>'Reported burning'!A1138</f>
        <v>133a</v>
      </c>
      <c r="B1138" s="7" t="str">
        <f>'Reported burning'!B1138</f>
        <v>133a.6</v>
      </c>
      <c r="C1138" s="7" t="str">
        <f>'Reported burning'!C1138</f>
        <v>Human, deliberate</v>
      </c>
      <c r="D1138" s="7" t="str">
        <f>'Reported burning'!D1138</f>
        <v>Charcoal production</v>
      </c>
      <c r="E1138" s="7" t="str">
        <f>'Reported burning'!E1138</f>
        <v>Forestry, Small-scale</v>
      </c>
      <c r="F1138" s="7" t="str">
        <f>'Reported burning'!F1138</f>
        <v>Secondary Vegetation</v>
      </c>
      <c r="G1138" s="7" t="str">
        <f>'Reported burning'!G1138</f>
        <v>ND</v>
      </c>
      <c r="H1138" s="7" t="str">
        <f>'Reported burning'!H1138</f>
        <v>Presence</v>
      </c>
      <c r="I1138" s="4"/>
      <c r="J1138" s="4" t="s">
        <v>2308</v>
      </c>
      <c r="K1138" s="4" t="s">
        <v>2308</v>
      </c>
      <c r="L1138" s="4" t="s">
        <v>2308</v>
      </c>
      <c r="M1138" s="4" t="s">
        <v>2308</v>
      </c>
      <c r="N1138" s="4" t="s">
        <v>2308</v>
      </c>
      <c r="O1138" s="4" t="s">
        <v>2308</v>
      </c>
      <c r="P1138" s="4" t="s">
        <v>2308</v>
      </c>
      <c r="Q1138" s="4" t="s">
        <v>2308</v>
      </c>
      <c r="R1138" s="4" t="s">
        <v>2308</v>
      </c>
      <c r="S1138" s="4" t="s">
        <v>2308</v>
      </c>
      <c r="T1138" s="4" t="s">
        <v>2308</v>
      </c>
      <c r="U1138" s="4" t="s">
        <v>2308</v>
      </c>
      <c r="V1138" s="4" t="s">
        <v>2308</v>
      </c>
      <c r="W1138" s="4" t="s">
        <v>2308</v>
      </c>
      <c r="X1138" s="4" t="s">
        <v>2308</v>
      </c>
      <c r="Y1138" s="4" t="s">
        <v>2308</v>
      </c>
      <c r="Z1138" s="4" t="s">
        <v>2308</v>
      </c>
      <c r="AA1138" s="4"/>
      <c r="AB1138" s="4"/>
    </row>
    <row r="1139" spans="1:28" ht="44.5" customHeight="1">
      <c r="A1139" s="7" t="str">
        <f>'Reported burning'!A1139</f>
        <v>133a</v>
      </c>
      <c r="B1139" s="7" t="str">
        <f>'Reported burning'!B1139</f>
        <v>133a.7</v>
      </c>
      <c r="C1139" s="7" t="str">
        <f>'Reported burning'!C1139</f>
        <v>Human, escaped</v>
      </c>
      <c r="D1139" s="7" t="str">
        <f>'Reported burning'!D1139</f>
        <v>Charcoal production</v>
      </c>
      <c r="E1139" s="7" t="str">
        <f>'Reported burning'!E1139</f>
        <v>Forestry, Small-scale</v>
      </c>
      <c r="F1139" s="7" t="str">
        <f>'Reported burning'!F1139</f>
        <v>Secondary Vegetation</v>
      </c>
      <c r="G1139" s="7" t="str">
        <f>'Reported burning'!G1139</f>
        <v>Forest</v>
      </c>
      <c r="H1139" s="7" t="str">
        <f>'Reported burning'!H1139</f>
        <v>Presence</v>
      </c>
      <c r="I1139" s="4"/>
      <c r="J1139" s="4" t="s">
        <v>2308</v>
      </c>
      <c r="K1139" s="4" t="s">
        <v>2308</v>
      </c>
      <c r="L1139" s="4" t="s">
        <v>2308</v>
      </c>
      <c r="M1139" s="4" t="s">
        <v>2308</v>
      </c>
      <c r="N1139" s="4" t="s">
        <v>2308</v>
      </c>
      <c r="O1139" s="4" t="s">
        <v>2308</v>
      </c>
      <c r="P1139" s="4" t="s">
        <v>2308</v>
      </c>
      <c r="Q1139" s="4" t="s">
        <v>2308</v>
      </c>
      <c r="R1139" s="4" t="s">
        <v>2308</v>
      </c>
      <c r="S1139" s="4" t="s">
        <v>2308</v>
      </c>
      <c r="T1139" s="4" t="s">
        <v>2308</v>
      </c>
      <c r="U1139" s="4" t="s">
        <v>2308</v>
      </c>
      <c r="V1139" s="4" t="s">
        <v>2308</v>
      </c>
      <c r="W1139" s="4" t="s">
        <v>2308</v>
      </c>
      <c r="X1139" s="4" t="s">
        <v>2308</v>
      </c>
      <c r="Y1139" s="4" t="s">
        <v>2308</v>
      </c>
      <c r="Z1139" s="4" t="s">
        <v>2308</v>
      </c>
      <c r="AA1139" s="12" t="s">
        <v>3526</v>
      </c>
      <c r="AB1139" s="4"/>
    </row>
    <row r="1140" spans="1:28" ht="48.5" customHeight="1">
      <c r="A1140" s="7" t="str">
        <f>'Reported burning'!A1140</f>
        <v>133a</v>
      </c>
      <c r="B1140" s="7" t="str">
        <f>'Reported burning'!B1140</f>
        <v>133a.8</v>
      </c>
      <c r="C1140" s="7" t="str">
        <f>'Reported burning'!C1140</f>
        <v>Human, deliberate</v>
      </c>
      <c r="D1140" s="7" t="str">
        <f>'Reported burning'!D1140</f>
        <v>Harvesting of NTFP</v>
      </c>
      <c r="E1140" s="7" t="str">
        <f>'Reported burning'!E1140</f>
        <v>Forestry, Traditional</v>
      </c>
      <c r="F1140" s="7" t="str">
        <f>'Reported burning'!F1140</f>
        <v>Forest</v>
      </c>
      <c r="G1140" s="7" t="str">
        <f>'Reported burning'!G1140</f>
        <v>Forest</v>
      </c>
      <c r="H1140" s="7" t="str">
        <f>'Reported burning'!H1140</f>
        <v>Presence</v>
      </c>
      <c r="I1140" s="4"/>
      <c r="J1140" s="4" t="s">
        <v>2308</v>
      </c>
      <c r="K1140" s="4" t="s">
        <v>2308</v>
      </c>
      <c r="L1140" s="4" t="s">
        <v>2308</v>
      </c>
      <c r="M1140" s="4" t="s">
        <v>2308</v>
      </c>
      <c r="N1140" s="4" t="s">
        <v>2308</v>
      </c>
      <c r="O1140" s="4" t="s">
        <v>2308</v>
      </c>
      <c r="P1140" s="4" t="s">
        <v>2308</v>
      </c>
      <c r="Q1140" s="4" t="s">
        <v>2308</v>
      </c>
      <c r="R1140" s="4" t="s">
        <v>2308</v>
      </c>
      <c r="S1140" s="4" t="s">
        <v>2308</v>
      </c>
      <c r="T1140" s="4" t="s">
        <v>2308</v>
      </c>
      <c r="U1140" s="4" t="s">
        <v>2308</v>
      </c>
      <c r="V1140" s="4" t="s">
        <v>2308</v>
      </c>
      <c r="W1140" s="4" t="s">
        <v>2308</v>
      </c>
      <c r="X1140" s="4" t="s">
        <v>2308</v>
      </c>
      <c r="Y1140" s="4" t="s">
        <v>2308</v>
      </c>
      <c r="Z1140" s="4" t="s">
        <v>2308</v>
      </c>
      <c r="AA1140" s="20" t="s">
        <v>3530</v>
      </c>
      <c r="AB1140" s="4"/>
    </row>
    <row r="1141" spans="1:28" ht="46" customHeight="1">
      <c r="A1141" s="7" t="str">
        <f>'Reported burning'!A1141</f>
        <v>133a</v>
      </c>
      <c r="B1141" s="7" t="str">
        <f>'Reported burning'!B1141</f>
        <v>133a.9</v>
      </c>
      <c r="C1141" s="7" t="str">
        <f>'Reported burning'!C1141</f>
        <v>Human, escaped</v>
      </c>
      <c r="D1141" s="7" t="str">
        <f>'Reported burning'!D1141</f>
        <v>Harvesting of NTFP</v>
      </c>
      <c r="E1141" s="7" t="str">
        <f>'Reported burning'!E1141</f>
        <v>Forestry, Traditional</v>
      </c>
      <c r="F1141" s="7" t="str">
        <f>'Reported burning'!F1141</f>
        <v>Forest</v>
      </c>
      <c r="G1141" s="7" t="str">
        <f>'Reported burning'!G1141</f>
        <v>Forest</v>
      </c>
      <c r="H1141" s="7" t="str">
        <f>'Reported burning'!H1141</f>
        <v>Presence</v>
      </c>
      <c r="I1141" s="4"/>
      <c r="J1141" s="4" t="s">
        <v>2308</v>
      </c>
      <c r="K1141" s="4" t="s">
        <v>2308</v>
      </c>
      <c r="L1141" s="4" t="s">
        <v>2308</v>
      </c>
      <c r="M1141" s="4" t="s">
        <v>2308</v>
      </c>
      <c r="N1141" s="4" t="s">
        <v>2308</v>
      </c>
      <c r="O1141" s="4" t="s">
        <v>2308</v>
      </c>
      <c r="P1141" s="4" t="s">
        <v>2308</v>
      </c>
      <c r="Q1141" s="4" t="s">
        <v>2308</v>
      </c>
      <c r="R1141" s="4" t="s">
        <v>2308</v>
      </c>
      <c r="S1141" s="4" t="s">
        <v>2308</v>
      </c>
      <c r="T1141" s="4" t="s">
        <v>2308</v>
      </c>
      <c r="U1141" s="4" t="s">
        <v>2308</v>
      </c>
      <c r="V1141" s="4" t="s">
        <v>2308</v>
      </c>
      <c r="W1141" s="4" t="s">
        <v>2308</v>
      </c>
      <c r="X1141" s="4" t="s">
        <v>2308</v>
      </c>
      <c r="Y1141" s="4" t="s">
        <v>2308</v>
      </c>
      <c r="Z1141" s="4" t="s">
        <v>2308</v>
      </c>
      <c r="AA1141" s="20" t="s">
        <v>3530</v>
      </c>
      <c r="AB1141" s="4"/>
    </row>
    <row r="1142" spans="1:28" ht="98.5" customHeight="1">
      <c r="A1142" s="7" t="str">
        <f>'Reported burning'!A1142</f>
        <v>133a</v>
      </c>
      <c r="B1142" s="7" t="str">
        <f>'Reported burning'!B1142</f>
        <v>133a.10</v>
      </c>
      <c r="C1142" s="7" t="str">
        <f>'Reported burning'!C1142</f>
        <v>Human, deliberate</v>
      </c>
      <c r="D1142" s="7" t="str">
        <f>'Reported burning'!D1142</f>
        <v>Arson</v>
      </c>
      <c r="E1142" s="7" t="str">
        <f>'Reported burning'!E1142</f>
        <v>Pastoralism, Migratory</v>
      </c>
      <c r="F1142" s="7" t="str">
        <f>'Reported burning'!F1142</f>
        <v>Cropland</v>
      </c>
      <c r="G1142" s="7" t="str">
        <f>'Reported burning'!G1142</f>
        <v>ND</v>
      </c>
      <c r="H1142" s="7" t="str">
        <f>'Reported burning'!H1142</f>
        <v>Presence</v>
      </c>
      <c r="I1142" s="4"/>
      <c r="J1142" s="4" t="s">
        <v>2308</v>
      </c>
      <c r="K1142" s="4" t="s">
        <v>2308</v>
      </c>
      <c r="L1142" s="4" t="s">
        <v>2308</v>
      </c>
      <c r="M1142" s="4" t="s">
        <v>2308</v>
      </c>
      <c r="N1142" s="4" t="s">
        <v>2308</v>
      </c>
      <c r="O1142" s="4" t="s">
        <v>2308</v>
      </c>
      <c r="P1142" s="4" t="s">
        <v>2308</v>
      </c>
      <c r="Q1142" s="4" t="s">
        <v>2308</v>
      </c>
      <c r="R1142" s="4" t="s">
        <v>2308</v>
      </c>
      <c r="S1142" s="4" t="s">
        <v>2308</v>
      </c>
      <c r="T1142" s="4" t="s">
        <v>2308</v>
      </c>
      <c r="U1142" s="4" t="s">
        <v>2308</v>
      </c>
      <c r="V1142" s="4" t="s">
        <v>2308</v>
      </c>
      <c r="W1142" s="4" t="s">
        <v>2308</v>
      </c>
      <c r="X1142" s="4" t="s">
        <v>2308</v>
      </c>
      <c r="Y1142" s="4" t="s">
        <v>2308</v>
      </c>
      <c r="Z1142" s="4" t="s">
        <v>2308</v>
      </c>
      <c r="AA1142" s="5" t="s">
        <v>3533</v>
      </c>
      <c r="AB1142" s="4"/>
    </row>
    <row r="1143" spans="1:28" ht="32" customHeight="1">
      <c r="A1143" s="7" t="str">
        <f>'Reported burning'!A1143</f>
        <v>134a</v>
      </c>
      <c r="B1143" s="7" t="str">
        <f>'Reported burning'!B1143</f>
        <v>134a.1</v>
      </c>
      <c r="C1143" s="7" t="str">
        <f>'Reported burning'!C1143</f>
        <v>All</v>
      </c>
      <c r="D1143" s="7" t="str">
        <f>'Reported burning'!D1143</f>
        <v>All</v>
      </c>
      <c r="E1143" s="7" t="str">
        <f>'Reported burning'!E1143</f>
        <v>All</v>
      </c>
      <c r="F1143" s="7" t="str">
        <f>'Reported burning'!F1143</f>
        <v>All</v>
      </c>
      <c r="G1143" s="7" t="str">
        <f>'Reported burning'!G1143</f>
        <v>All</v>
      </c>
      <c r="H1143" s="7" t="str">
        <f>'Reported burning'!H1143</f>
        <v>Presence</v>
      </c>
      <c r="I1143" s="4">
        <f>'Reported burning'!I1143</f>
        <v>2009</v>
      </c>
      <c r="J1143" s="4" t="s">
        <v>2308</v>
      </c>
      <c r="K1143" s="4" t="s">
        <v>2308</v>
      </c>
      <c r="L1143" s="4" t="s">
        <v>2308</v>
      </c>
      <c r="M1143" s="4" t="s">
        <v>2308</v>
      </c>
      <c r="N1143" s="4" t="s">
        <v>2308</v>
      </c>
      <c r="O1143" s="4" t="s">
        <v>2308</v>
      </c>
      <c r="P1143" s="4" t="s">
        <v>2308</v>
      </c>
      <c r="Q1143" s="4" t="s">
        <v>2308</v>
      </c>
      <c r="R1143" s="4" t="s">
        <v>2308</v>
      </c>
      <c r="S1143" s="4" t="s">
        <v>2308</v>
      </c>
      <c r="T1143" s="4" t="s">
        <v>2308</v>
      </c>
      <c r="U1143" s="4" t="s">
        <v>2308</v>
      </c>
      <c r="V1143" s="4" t="s">
        <v>2308</v>
      </c>
      <c r="W1143" s="4" t="s">
        <v>2308</v>
      </c>
      <c r="X1143" s="4" t="s">
        <v>2308</v>
      </c>
      <c r="Y1143" s="4" t="s">
        <v>2308</v>
      </c>
      <c r="Z1143" s="4" t="s">
        <v>2308</v>
      </c>
      <c r="AA1143" s="4"/>
      <c r="AB1143" s="4"/>
    </row>
    <row r="1144" spans="1:28" ht="32" customHeight="1">
      <c r="A1144" s="7" t="str">
        <f>'Reported burning'!A1144</f>
        <v>134a</v>
      </c>
      <c r="B1144" s="7" t="str">
        <f>'Reported burning'!B1144</f>
        <v>134a.2</v>
      </c>
      <c r="C1144" s="7" t="str">
        <f>'Reported burning'!C1144</f>
        <v>All</v>
      </c>
      <c r="D1144" s="7" t="str">
        <f>'Reported burning'!D1144</f>
        <v>All</v>
      </c>
      <c r="E1144" s="7" t="str">
        <f>'Reported burning'!E1144</f>
        <v>All</v>
      </c>
      <c r="F1144" s="7" t="str">
        <f>'Reported burning'!F1144</f>
        <v>All</v>
      </c>
      <c r="G1144" s="7" t="str">
        <f>'Reported burning'!G1144</f>
        <v>All</v>
      </c>
      <c r="H1144" s="7" t="str">
        <f>'Reported burning'!H1144</f>
        <v>Presence</v>
      </c>
      <c r="I1144" s="4">
        <f>'Reported burning'!I1144</f>
        <v>2010</v>
      </c>
      <c r="J1144" s="4" t="s">
        <v>2308</v>
      </c>
      <c r="K1144" s="4" t="s">
        <v>2308</v>
      </c>
      <c r="L1144" s="4" t="s">
        <v>2308</v>
      </c>
      <c r="M1144" s="4" t="s">
        <v>2308</v>
      </c>
      <c r="N1144" s="4" t="s">
        <v>2308</v>
      </c>
      <c r="O1144" s="4" t="s">
        <v>2308</v>
      </c>
      <c r="P1144" s="4" t="s">
        <v>2308</v>
      </c>
      <c r="Q1144" s="4" t="s">
        <v>2308</v>
      </c>
      <c r="R1144" s="4" t="s">
        <v>2308</v>
      </c>
      <c r="S1144" s="4" t="s">
        <v>2308</v>
      </c>
      <c r="T1144" s="4" t="s">
        <v>2308</v>
      </c>
      <c r="U1144" s="4" t="s">
        <v>2308</v>
      </c>
      <c r="V1144" s="4" t="s">
        <v>2308</v>
      </c>
      <c r="W1144" s="4" t="s">
        <v>2308</v>
      </c>
      <c r="X1144" s="4" t="s">
        <v>2308</v>
      </c>
      <c r="Y1144" s="4" t="s">
        <v>2308</v>
      </c>
      <c r="Z1144" s="4" t="s">
        <v>2308</v>
      </c>
      <c r="AA1144" s="4"/>
      <c r="AB1144" s="4"/>
    </row>
    <row r="1145" spans="1:28" ht="32" customHeight="1">
      <c r="A1145" s="7" t="str">
        <f>'Reported burning'!A1145</f>
        <v>134a</v>
      </c>
      <c r="B1145" s="7" t="str">
        <f>'Reported burning'!B1145</f>
        <v>134a.3</v>
      </c>
      <c r="C1145" s="7" t="str">
        <f>'Reported burning'!C1145</f>
        <v>All</v>
      </c>
      <c r="D1145" s="7" t="str">
        <f>'Reported burning'!D1145</f>
        <v>All</v>
      </c>
      <c r="E1145" s="7" t="str">
        <f>'Reported burning'!E1145</f>
        <v>All</v>
      </c>
      <c r="F1145" s="7" t="str">
        <f>'Reported burning'!F1145</f>
        <v>All</v>
      </c>
      <c r="G1145" s="7" t="str">
        <f>'Reported burning'!G1145</f>
        <v>All</v>
      </c>
      <c r="H1145" s="7" t="str">
        <f>'Reported burning'!H1145</f>
        <v>Presence</v>
      </c>
      <c r="I1145" s="4">
        <f>'Reported burning'!I1145</f>
        <v>2011</v>
      </c>
      <c r="J1145" s="4" t="s">
        <v>2308</v>
      </c>
      <c r="K1145" s="4" t="s">
        <v>2308</v>
      </c>
      <c r="L1145" s="4" t="s">
        <v>2308</v>
      </c>
      <c r="M1145" s="4" t="s">
        <v>2308</v>
      </c>
      <c r="N1145" s="4" t="s">
        <v>2308</v>
      </c>
      <c r="O1145" s="4" t="s">
        <v>2308</v>
      </c>
      <c r="P1145" s="4" t="s">
        <v>2308</v>
      </c>
      <c r="Q1145" s="4" t="s">
        <v>2308</v>
      </c>
      <c r="R1145" s="4" t="s">
        <v>2308</v>
      </c>
      <c r="S1145" s="4" t="s">
        <v>2308</v>
      </c>
      <c r="T1145" s="4" t="s">
        <v>2308</v>
      </c>
      <c r="U1145" s="4" t="s">
        <v>2308</v>
      </c>
      <c r="V1145" s="4" t="s">
        <v>2308</v>
      </c>
      <c r="W1145" s="4" t="s">
        <v>2308</v>
      </c>
      <c r="X1145" s="4" t="s">
        <v>2308</v>
      </c>
      <c r="Y1145" s="4" t="s">
        <v>2308</v>
      </c>
      <c r="Z1145" s="4" t="s">
        <v>2308</v>
      </c>
      <c r="AA1145" s="4"/>
      <c r="AB1145" s="4"/>
    </row>
    <row r="1146" spans="1:28" ht="32" customHeight="1">
      <c r="A1146" s="7" t="str">
        <f>'Reported burning'!A1146</f>
        <v>134a</v>
      </c>
      <c r="B1146" s="7" t="str">
        <f>'Reported burning'!B1146</f>
        <v>134a.4</v>
      </c>
      <c r="C1146" s="7" t="str">
        <f>'Reported burning'!C1146</f>
        <v>All</v>
      </c>
      <c r="D1146" s="7" t="str">
        <f>'Reported burning'!D1146</f>
        <v>All</v>
      </c>
      <c r="E1146" s="7" t="str">
        <f>'Reported burning'!E1146</f>
        <v>All</v>
      </c>
      <c r="F1146" s="7" t="str">
        <f>'Reported burning'!F1146</f>
        <v>All</v>
      </c>
      <c r="G1146" s="7" t="str">
        <f>'Reported burning'!G1146</f>
        <v>All</v>
      </c>
      <c r="H1146" s="7" t="str">
        <f>'Reported burning'!H1146</f>
        <v>Presence</v>
      </c>
      <c r="I1146" s="4">
        <f>'Reported burning'!I1146</f>
        <v>2012</v>
      </c>
      <c r="J1146" s="4" t="s">
        <v>2308</v>
      </c>
      <c r="K1146" s="4" t="s">
        <v>2308</v>
      </c>
      <c r="L1146" s="4" t="s">
        <v>2308</v>
      </c>
      <c r="M1146" s="4" t="s">
        <v>2308</v>
      </c>
      <c r="N1146" s="4" t="s">
        <v>2308</v>
      </c>
      <c r="O1146" s="4" t="s">
        <v>2308</v>
      </c>
      <c r="P1146" s="4" t="s">
        <v>2308</v>
      </c>
      <c r="Q1146" s="4" t="s">
        <v>2308</v>
      </c>
      <c r="R1146" s="4" t="s">
        <v>2308</v>
      </c>
      <c r="S1146" s="4" t="s">
        <v>2308</v>
      </c>
      <c r="T1146" s="4" t="s">
        <v>2308</v>
      </c>
      <c r="U1146" s="4" t="s">
        <v>2308</v>
      </c>
      <c r="V1146" s="4" t="s">
        <v>2308</v>
      </c>
      <c r="W1146" s="4" t="s">
        <v>2308</v>
      </c>
      <c r="X1146" s="4" t="s">
        <v>2308</v>
      </c>
      <c r="Y1146" s="4" t="s">
        <v>2308</v>
      </c>
      <c r="Z1146" s="4" t="s">
        <v>2308</v>
      </c>
      <c r="AA1146" s="4"/>
      <c r="AB1146" s="4"/>
    </row>
    <row r="1147" spans="1:28" ht="32" customHeight="1">
      <c r="A1147" s="7" t="str">
        <f>'Reported burning'!A1147</f>
        <v>134a</v>
      </c>
      <c r="B1147" s="7" t="str">
        <f>'Reported burning'!B1147</f>
        <v>134a.5</v>
      </c>
      <c r="C1147" s="7" t="str">
        <f>'Reported burning'!C1147</f>
        <v>All</v>
      </c>
      <c r="D1147" s="7" t="str">
        <f>'Reported burning'!D1147</f>
        <v>All</v>
      </c>
      <c r="E1147" s="7" t="str">
        <f>'Reported burning'!E1147</f>
        <v>All</v>
      </c>
      <c r="F1147" s="7" t="str">
        <f>'Reported burning'!F1147</f>
        <v>All</v>
      </c>
      <c r="G1147" s="7" t="str">
        <f>'Reported burning'!G1147</f>
        <v>All</v>
      </c>
      <c r="H1147" s="7" t="str">
        <f>'Reported burning'!H1147</f>
        <v>Presence</v>
      </c>
      <c r="I1147" s="4">
        <f>'Reported burning'!I1147</f>
        <v>2013</v>
      </c>
      <c r="J1147" s="4" t="s">
        <v>2308</v>
      </c>
      <c r="K1147" s="4" t="s">
        <v>2308</v>
      </c>
      <c r="L1147" s="4" t="s">
        <v>2308</v>
      </c>
      <c r="M1147" s="4" t="s">
        <v>2308</v>
      </c>
      <c r="N1147" s="4" t="s">
        <v>2308</v>
      </c>
      <c r="O1147" s="4" t="s">
        <v>2308</v>
      </c>
      <c r="P1147" s="4" t="s">
        <v>2308</v>
      </c>
      <c r="Q1147" s="4" t="s">
        <v>2308</v>
      </c>
      <c r="R1147" s="4" t="s">
        <v>2308</v>
      </c>
      <c r="S1147" s="4" t="s">
        <v>2308</v>
      </c>
      <c r="T1147" s="4" t="s">
        <v>2308</v>
      </c>
      <c r="U1147" s="4" t="s">
        <v>2308</v>
      </c>
      <c r="V1147" s="4" t="s">
        <v>2308</v>
      </c>
      <c r="W1147" s="4" t="s">
        <v>2308</v>
      </c>
      <c r="X1147" s="4" t="s">
        <v>2308</v>
      </c>
      <c r="Y1147" s="4" t="s">
        <v>2308</v>
      </c>
      <c r="Z1147" s="4" t="s">
        <v>2308</v>
      </c>
      <c r="AA1147" s="4"/>
      <c r="AB1147" s="4"/>
    </row>
    <row r="1148" spans="1:28" ht="32" customHeight="1">
      <c r="A1148" s="7" t="str">
        <f>'Reported burning'!A1148</f>
        <v>134a</v>
      </c>
      <c r="B1148" s="7" t="str">
        <f>'Reported burning'!B1148</f>
        <v>134a.6</v>
      </c>
      <c r="C1148" s="7" t="str">
        <f>'Reported burning'!C1148</f>
        <v>All</v>
      </c>
      <c r="D1148" s="7" t="str">
        <f>'Reported burning'!D1148</f>
        <v>All</v>
      </c>
      <c r="E1148" s="7" t="str">
        <f>'Reported burning'!E1148</f>
        <v>All</v>
      </c>
      <c r="F1148" s="7" t="str">
        <f>'Reported burning'!F1148</f>
        <v>All</v>
      </c>
      <c r="G1148" s="7" t="str">
        <f>'Reported burning'!G1148</f>
        <v>All</v>
      </c>
      <c r="H1148" s="7" t="str">
        <f>'Reported burning'!H1148</f>
        <v>Presence</v>
      </c>
      <c r="I1148" s="4">
        <f>'Reported burning'!I1148</f>
        <v>2014</v>
      </c>
      <c r="J1148" s="4" t="s">
        <v>2308</v>
      </c>
      <c r="K1148" s="4" t="s">
        <v>2308</v>
      </c>
      <c r="L1148" s="4" t="s">
        <v>2308</v>
      </c>
      <c r="M1148" s="4" t="s">
        <v>2308</v>
      </c>
      <c r="N1148" s="4" t="s">
        <v>2308</v>
      </c>
      <c r="O1148" s="4" t="s">
        <v>2308</v>
      </c>
      <c r="P1148" s="4" t="s">
        <v>2308</v>
      </c>
      <c r="Q1148" s="4" t="s">
        <v>2308</v>
      </c>
      <c r="R1148" s="4" t="s">
        <v>2308</v>
      </c>
      <c r="S1148" s="4" t="s">
        <v>2308</v>
      </c>
      <c r="T1148" s="4" t="s">
        <v>2308</v>
      </c>
      <c r="U1148" s="4" t="s">
        <v>2308</v>
      </c>
      <c r="V1148" s="4" t="s">
        <v>2308</v>
      </c>
      <c r="W1148" s="4" t="s">
        <v>2308</v>
      </c>
      <c r="X1148" s="4" t="s">
        <v>2308</v>
      </c>
      <c r="Y1148" s="4" t="s">
        <v>2308</v>
      </c>
      <c r="Z1148" s="4" t="s">
        <v>2308</v>
      </c>
      <c r="AA1148" s="4"/>
      <c r="AB1148" s="4"/>
    </row>
    <row r="1149" spans="1:28" ht="32.5" customHeight="1">
      <c r="A1149" s="7" t="str">
        <f>'Reported burning'!A1149</f>
        <v>135a</v>
      </c>
      <c r="B1149" s="7" t="str">
        <f>'Reported burning'!B1149</f>
        <v>135a.1</v>
      </c>
      <c r="C1149" s="7" t="str">
        <f>'Reported burning'!C1149</f>
        <v>Human, deliberate</v>
      </c>
      <c r="D1149" s="7" t="str">
        <f>'Reported burning'!D1149</f>
        <v>Pyrome management</v>
      </c>
      <c r="E1149" s="7" t="str">
        <f>'Reported burning'!E1149</f>
        <v>Pastoralism, Migratory</v>
      </c>
      <c r="F1149" s="7" t="str">
        <f>'Reported burning'!F1149</f>
        <v>Shrubland (Mixed forest &amp; grassland)</v>
      </c>
      <c r="G1149" s="7" t="str">
        <f>'Reported burning'!G1149</f>
        <v>ND</v>
      </c>
      <c r="H1149" s="7" t="str">
        <f>'Reported burning'!H1149</f>
        <v>Presence</v>
      </c>
      <c r="I1149" s="4"/>
      <c r="J1149" s="4" t="s">
        <v>2308</v>
      </c>
      <c r="K1149" s="4" t="s">
        <v>2308</v>
      </c>
      <c r="L1149" s="4" t="s">
        <v>2308</v>
      </c>
      <c r="M1149" s="4" t="s">
        <v>2308</v>
      </c>
      <c r="N1149" s="4" t="s">
        <v>2308</v>
      </c>
      <c r="O1149" s="4" t="s">
        <v>2308</v>
      </c>
      <c r="P1149" s="4" t="s">
        <v>2308</v>
      </c>
      <c r="Q1149" s="4" t="s">
        <v>2308</v>
      </c>
      <c r="R1149" s="4" t="s">
        <v>2308</v>
      </c>
      <c r="S1149" s="4" t="s">
        <v>2308</v>
      </c>
      <c r="T1149" s="4" t="s">
        <v>2308</v>
      </c>
      <c r="U1149" s="4" t="s">
        <v>2308</v>
      </c>
      <c r="V1149" s="4" t="s">
        <v>2308</v>
      </c>
      <c r="W1149" s="4" t="s">
        <v>2308</v>
      </c>
      <c r="X1149" s="4" t="s">
        <v>432</v>
      </c>
      <c r="Y1149" s="4" t="s">
        <v>68</v>
      </c>
      <c r="Z1149" s="4" t="s">
        <v>64</v>
      </c>
      <c r="AA1149" s="4"/>
      <c r="AB1149" s="4"/>
    </row>
    <row r="1150" spans="1:28">
      <c r="A1150" s="7" t="str">
        <f>'Reported burning'!A1150</f>
        <v>135a</v>
      </c>
      <c r="B1150" s="7" t="str">
        <f>'Reported burning'!B1150</f>
        <v>135a.2</v>
      </c>
      <c r="C1150" s="7" t="str">
        <f>'Reported burning'!C1150</f>
        <v>Human, deliberate</v>
      </c>
      <c r="D1150" s="7" t="str">
        <f>'Reported burning'!D1150</f>
        <v>Pyrome management</v>
      </c>
      <c r="E1150" s="7" t="str">
        <f>'Reported burning'!E1150</f>
        <v>Pastoralism, Migratory</v>
      </c>
      <c r="F1150" s="7" t="str">
        <f>'Reported burning'!F1150</f>
        <v>Forest</v>
      </c>
      <c r="G1150" s="7" t="str">
        <f>'Reported burning'!G1150</f>
        <v>ND</v>
      </c>
      <c r="H1150" s="7" t="str">
        <f>'Reported burning'!H1150</f>
        <v>Absence</v>
      </c>
      <c r="I1150" s="4"/>
      <c r="J1150" s="4" t="s">
        <v>2308</v>
      </c>
      <c r="K1150" s="4" t="s">
        <v>2308</v>
      </c>
      <c r="L1150" s="4" t="s">
        <v>2308</v>
      </c>
      <c r="M1150" s="4" t="s">
        <v>2308</v>
      </c>
      <c r="N1150" s="4" t="s">
        <v>2308</v>
      </c>
      <c r="O1150" s="4" t="s">
        <v>2308</v>
      </c>
      <c r="P1150" s="4" t="s">
        <v>2308</v>
      </c>
      <c r="Q1150" s="4" t="s">
        <v>2308</v>
      </c>
      <c r="R1150" s="4" t="s">
        <v>2308</v>
      </c>
      <c r="S1150" s="4" t="s">
        <v>2308</v>
      </c>
      <c r="T1150" s="4" t="s">
        <v>2308</v>
      </c>
      <c r="U1150" s="4" t="s">
        <v>2308</v>
      </c>
      <c r="V1150" s="4" t="s">
        <v>2308</v>
      </c>
      <c r="W1150" s="4" t="s">
        <v>2308</v>
      </c>
      <c r="X1150" s="4" t="s">
        <v>2308</v>
      </c>
      <c r="Y1150" s="4" t="s">
        <v>2308</v>
      </c>
      <c r="Z1150" s="4" t="s">
        <v>2308</v>
      </c>
      <c r="AA1150" s="4"/>
      <c r="AB1150" s="4"/>
    </row>
    <row r="1151" spans="1:28" ht="29">
      <c r="A1151" s="7" t="str">
        <f>'Reported burning'!A1151</f>
        <v>135a</v>
      </c>
      <c r="B1151" s="7" t="str">
        <f>'Reported burning'!B1151</f>
        <v>135a.3</v>
      </c>
      <c r="C1151" s="7" t="str">
        <f>'Reported burning'!C1151</f>
        <v>Human, deliberate</v>
      </c>
      <c r="D1151" s="7" t="str">
        <f>'Reported burning'!D1151</f>
        <v>Rangeland management</v>
      </c>
      <c r="E1151" s="7" t="str">
        <f>'Reported burning'!E1151</f>
        <v>Pastoralism, Migratory</v>
      </c>
      <c r="F1151" s="7" t="str">
        <f>'Reported burning'!F1151</f>
        <v>Shrubland (Mixed forest &amp; grassland)</v>
      </c>
      <c r="G1151" s="7" t="str">
        <f>'Reported burning'!G1151</f>
        <v>ND</v>
      </c>
      <c r="H1151" s="7" t="str">
        <f>'Reported burning'!H1151</f>
        <v>Presence</v>
      </c>
      <c r="I1151" s="4"/>
      <c r="J1151" s="4" t="s">
        <v>2308</v>
      </c>
      <c r="K1151" s="4" t="s">
        <v>2308</v>
      </c>
      <c r="L1151" s="4" t="s">
        <v>2308</v>
      </c>
      <c r="M1151" s="4" t="s">
        <v>2308</v>
      </c>
      <c r="N1151" s="4" t="s">
        <v>2308</v>
      </c>
      <c r="O1151" s="4" t="s">
        <v>2308</v>
      </c>
      <c r="P1151" s="4" t="s">
        <v>2308</v>
      </c>
      <c r="Q1151" s="4" t="s">
        <v>2308</v>
      </c>
      <c r="R1151" s="4" t="s">
        <v>2308</v>
      </c>
      <c r="S1151" s="4" t="s">
        <v>2308</v>
      </c>
      <c r="T1151" s="4" t="s">
        <v>2308</v>
      </c>
      <c r="U1151" s="4" t="s">
        <v>2308</v>
      </c>
      <c r="V1151" s="4" t="s">
        <v>2308</v>
      </c>
      <c r="W1151" s="4" t="s">
        <v>2308</v>
      </c>
      <c r="X1151" s="4" t="s">
        <v>411</v>
      </c>
      <c r="Y1151" s="4" t="s">
        <v>68</v>
      </c>
      <c r="Z1151" s="4" t="s">
        <v>64</v>
      </c>
      <c r="AA1151" s="4"/>
      <c r="AB1151" s="4"/>
    </row>
    <row r="1152" spans="1:28" ht="29">
      <c r="A1152" s="7" t="str">
        <f>'Reported burning'!A1152</f>
        <v>135a</v>
      </c>
      <c r="B1152" s="7" t="str">
        <f>'Reported burning'!B1152</f>
        <v>135a.4</v>
      </c>
      <c r="C1152" s="7" t="str">
        <f>'Reported burning'!C1152</f>
        <v>Human, deliberate</v>
      </c>
      <c r="D1152" s="7" t="str">
        <f>'Reported burning'!D1152</f>
        <v>Rangeland management</v>
      </c>
      <c r="E1152" s="7" t="str">
        <f>'Reported burning'!E1152</f>
        <v>Pastoralism, Migratory</v>
      </c>
      <c r="F1152" s="7" t="str">
        <f>'Reported burning'!F1152</f>
        <v>Shrubland (Mixed forest &amp; grassland)</v>
      </c>
      <c r="G1152" s="7" t="str">
        <f>'Reported burning'!G1152</f>
        <v>ND</v>
      </c>
      <c r="H1152" s="7" t="str">
        <f>'Reported burning'!H1152</f>
        <v>Presence</v>
      </c>
      <c r="I1152" s="4"/>
      <c r="J1152" s="4" t="s">
        <v>2308</v>
      </c>
      <c r="K1152" s="4" t="s">
        <v>2308</v>
      </c>
      <c r="L1152" s="4" t="s">
        <v>2308</v>
      </c>
      <c r="M1152" s="4" t="s">
        <v>2308</v>
      </c>
      <c r="N1152" s="4" t="s">
        <v>2308</v>
      </c>
      <c r="O1152" s="4" t="s">
        <v>2308</v>
      </c>
      <c r="P1152" s="4" t="s">
        <v>2308</v>
      </c>
      <c r="Q1152" s="4" t="s">
        <v>2308</v>
      </c>
      <c r="R1152" s="4" t="s">
        <v>2308</v>
      </c>
      <c r="S1152" s="4" t="s">
        <v>2308</v>
      </c>
      <c r="T1152" s="4" t="s">
        <v>2308</v>
      </c>
      <c r="U1152" s="4" t="s">
        <v>2308</v>
      </c>
      <c r="V1152" s="4" t="s">
        <v>2308</v>
      </c>
      <c r="W1152" s="4" t="s">
        <v>2308</v>
      </c>
      <c r="X1152" s="4" t="s">
        <v>406</v>
      </c>
      <c r="Y1152" s="4" t="s">
        <v>38</v>
      </c>
      <c r="Z1152" s="4" t="s">
        <v>64</v>
      </c>
      <c r="AA1152" s="4"/>
      <c r="AB1152" s="4"/>
    </row>
    <row r="1153" spans="1:28" ht="29">
      <c r="A1153" s="7" t="str">
        <f>'Reported burning'!A1153</f>
        <v>135a</v>
      </c>
      <c r="B1153" s="7" t="str">
        <f>'Reported burning'!B1153</f>
        <v>135a.5</v>
      </c>
      <c r="C1153" s="7" t="str">
        <f>'Reported burning'!C1153</f>
        <v>Human, deliberate</v>
      </c>
      <c r="D1153" s="7" t="str">
        <f>'Reported burning'!D1153</f>
        <v>Pasture renewal</v>
      </c>
      <c r="E1153" s="7" t="str">
        <f>'Reported burning'!E1153</f>
        <v>Pastoralism, Migratory</v>
      </c>
      <c r="F1153" s="7" t="str">
        <f>'Reported burning'!F1153</f>
        <v>Shrubland (Mixed forest &amp; grassland)</v>
      </c>
      <c r="G1153" s="7" t="str">
        <f>'Reported burning'!G1153</f>
        <v>ND</v>
      </c>
      <c r="H1153" s="7" t="str">
        <f>'Reported burning'!H1153</f>
        <v>Presence</v>
      </c>
      <c r="I1153" s="4"/>
      <c r="J1153" s="4" t="s">
        <v>2308</v>
      </c>
      <c r="K1153" s="4" t="s">
        <v>2308</v>
      </c>
      <c r="L1153" s="4" t="s">
        <v>2308</v>
      </c>
      <c r="M1153" s="4" t="s">
        <v>2308</v>
      </c>
      <c r="N1153" s="4" t="s">
        <v>2308</v>
      </c>
      <c r="O1153" s="4" t="s">
        <v>2308</v>
      </c>
      <c r="P1153" s="4" t="s">
        <v>2308</v>
      </c>
      <c r="Q1153" s="4" t="s">
        <v>2308</v>
      </c>
      <c r="R1153" s="4" t="s">
        <v>2308</v>
      </c>
      <c r="S1153" s="4" t="s">
        <v>2308</v>
      </c>
      <c r="T1153" s="4" t="s">
        <v>2308</v>
      </c>
      <c r="U1153" s="4" t="s">
        <v>2308</v>
      </c>
      <c r="V1153" s="4" t="s">
        <v>2308</v>
      </c>
      <c r="W1153" s="4" t="s">
        <v>2308</v>
      </c>
      <c r="X1153" s="4" t="s">
        <v>411</v>
      </c>
      <c r="Y1153" s="4" t="s">
        <v>68</v>
      </c>
      <c r="Z1153" s="4" t="s">
        <v>64</v>
      </c>
      <c r="AA1153" s="4"/>
      <c r="AB1153" s="4"/>
    </row>
    <row r="1154" spans="1:28" ht="29">
      <c r="A1154" s="7" t="str">
        <f>'Reported burning'!A1154</f>
        <v>135a</v>
      </c>
      <c r="B1154" s="7" t="str">
        <f>'Reported burning'!B1154</f>
        <v>135a.6</v>
      </c>
      <c r="C1154" s="7" t="str">
        <f>'Reported burning'!C1154</f>
        <v>Human, deliberate</v>
      </c>
      <c r="D1154" s="7" t="str">
        <f>'Reported burning'!D1154</f>
        <v>Pasture renewal</v>
      </c>
      <c r="E1154" s="7" t="str">
        <f>'Reported burning'!E1154</f>
        <v>Pastoralism, Migratory</v>
      </c>
      <c r="F1154" s="7" t="str">
        <f>'Reported burning'!F1154</f>
        <v>Shrubland (Mixed forest &amp; grassland)</v>
      </c>
      <c r="G1154" s="7" t="str">
        <f>'Reported burning'!G1154</f>
        <v>ND</v>
      </c>
      <c r="H1154" s="7" t="str">
        <f>'Reported burning'!H1154</f>
        <v>Presence</v>
      </c>
      <c r="I1154" s="4"/>
      <c r="J1154" s="4" t="s">
        <v>2308</v>
      </c>
      <c r="K1154" s="4" t="s">
        <v>2308</v>
      </c>
      <c r="L1154" s="4" t="s">
        <v>2308</v>
      </c>
      <c r="M1154" s="4" t="s">
        <v>2308</v>
      </c>
      <c r="N1154" s="4" t="s">
        <v>2308</v>
      </c>
      <c r="O1154" s="4" t="s">
        <v>2308</v>
      </c>
      <c r="P1154" s="4" t="s">
        <v>2308</v>
      </c>
      <c r="Q1154" s="4" t="s">
        <v>2308</v>
      </c>
      <c r="R1154" s="4" t="s">
        <v>2308</v>
      </c>
      <c r="S1154" s="4" t="s">
        <v>2308</v>
      </c>
      <c r="T1154" s="4" t="s">
        <v>2308</v>
      </c>
      <c r="U1154" s="4" t="s">
        <v>2308</v>
      </c>
      <c r="V1154" s="4" t="s">
        <v>2308</v>
      </c>
      <c r="W1154" s="4" t="s">
        <v>2308</v>
      </c>
      <c r="X1154" s="4" t="s">
        <v>406</v>
      </c>
      <c r="Y1154" s="4" t="s">
        <v>38</v>
      </c>
      <c r="Z1154" s="4" t="s">
        <v>64</v>
      </c>
      <c r="AA1154" s="4"/>
      <c r="AB1154" s="4"/>
    </row>
    <row r="1155" spans="1:28" ht="29">
      <c r="A1155" s="7" t="str">
        <f>'Reported burning'!A1155</f>
        <v>135a</v>
      </c>
      <c r="B1155" s="7" t="str">
        <f>'Reported burning'!B1155</f>
        <v>135a.7</v>
      </c>
      <c r="C1155" s="7" t="str">
        <f>'Reported burning'!C1155</f>
        <v>Human, deliberate</v>
      </c>
      <c r="D1155" s="7" t="str">
        <f>'Reported burning'!D1155</f>
        <v>Pest management</v>
      </c>
      <c r="E1155" s="7" t="str">
        <f>'Reported burning'!E1155</f>
        <v>Pastoralism, Migratory</v>
      </c>
      <c r="F1155" s="7" t="str">
        <f>'Reported burning'!F1155</f>
        <v>Shrubland (Mixed forest &amp; grassland)</v>
      </c>
      <c r="G1155" s="7" t="str">
        <f>'Reported burning'!G1155</f>
        <v>ND</v>
      </c>
      <c r="H1155" s="7" t="str">
        <f>'Reported burning'!H1155</f>
        <v>Presence</v>
      </c>
      <c r="I1155" s="4"/>
      <c r="J1155" s="4" t="s">
        <v>2308</v>
      </c>
      <c r="K1155" s="4" t="s">
        <v>2308</v>
      </c>
      <c r="L1155" s="4" t="s">
        <v>2308</v>
      </c>
      <c r="M1155" s="4" t="s">
        <v>2308</v>
      </c>
      <c r="N1155" s="4" t="s">
        <v>2308</v>
      </c>
      <c r="O1155" s="4" t="s">
        <v>2308</v>
      </c>
      <c r="P1155" s="4" t="s">
        <v>2308</v>
      </c>
      <c r="Q1155" s="4" t="s">
        <v>2308</v>
      </c>
      <c r="R1155" s="4" t="s">
        <v>2308</v>
      </c>
      <c r="S1155" s="4" t="s">
        <v>2308</v>
      </c>
      <c r="T1155" s="4" t="s">
        <v>2308</v>
      </c>
      <c r="U1155" s="4" t="s">
        <v>2308</v>
      </c>
      <c r="V1155" s="4" t="s">
        <v>2308</v>
      </c>
      <c r="W1155" s="4" t="s">
        <v>2308</v>
      </c>
      <c r="X1155" s="4" t="s">
        <v>411</v>
      </c>
      <c r="Y1155" s="4" t="s">
        <v>68</v>
      </c>
      <c r="Z1155" s="4" t="s">
        <v>64</v>
      </c>
      <c r="AA1155" s="4"/>
      <c r="AB1155" s="4"/>
    </row>
    <row r="1156" spans="1:28" ht="29">
      <c r="A1156" s="7" t="str">
        <f>'Reported burning'!A1156</f>
        <v>135a</v>
      </c>
      <c r="B1156" s="7" t="str">
        <f>'Reported burning'!B1156</f>
        <v>135a.8</v>
      </c>
      <c r="C1156" s="7" t="str">
        <f>'Reported burning'!C1156</f>
        <v>Human, deliberate</v>
      </c>
      <c r="D1156" s="7" t="str">
        <f>'Reported burning'!D1156</f>
        <v>Pest management</v>
      </c>
      <c r="E1156" s="7" t="str">
        <f>'Reported burning'!E1156</f>
        <v>Pastoralism, Migratory</v>
      </c>
      <c r="F1156" s="7" t="str">
        <f>'Reported burning'!F1156</f>
        <v>Shrubland (Mixed forest &amp; grassland)</v>
      </c>
      <c r="G1156" s="7" t="str">
        <f>'Reported burning'!G1156</f>
        <v>ND</v>
      </c>
      <c r="H1156" s="7" t="str">
        <f>'Reported burning'!H1156</f>
        <v>Presence</v>
      </c>
      <c r="I1156" s="4"/>
      <c r="J1156" s="4" t="s">
        <v>2308</v>
      </c>
      <c r="K1156" s="4" t="s">
        <v>2308</v>
      </c>
      <c r="L1156" s="4" t="s">
        <v>2308</v>
      </c>
      <c r="M1156" s="4" t="s">
        <v>2308</v>
      </c>
      <c r="N1156" s="4" t="s">
        <v>2308</v>
      </c>
      <c r="O1156" s="4" t="s">
        <v>2308</v>
      </c>
      <c r="P1156" s="4" t="s">
        <v>2308</v>
      </c>
      <c r="Q1156" s="4" t="s">
        <v>2308</v>
      </c>
      <c r="R1156" s="4" t="s">
        <v>2308</v>
      </c>
      <c r="S1156" s="4" t="s">
        <v>2308</v>
      </c>
      <c r="T1156" s="4" t="s">
        <v>2308</v>
      </c>
      <c r="U1156" s="4" t="s">
        <v>2308</v>
      </c>
      <c r="V1156" s="4" t="s">
        <v>2308</v>
      </c>
      <c r="W1156" s="4" t="s">
        <v>2308</v>
      </c>
      <c r="X1156" s="4" t="s">
        <v>406</v>
      </c>
      <c r="Y1156" s="4" t="s">
        <v>38</v>
      </c>
      <c r="Z1156" s="4" t="s">
        <v>64</v>
      </c>
      <c r="AA1156" s="4"/>
      <c r="AB1156" s="4"/>
    </row>
    <row r="1157" spans="1:28" ht="29">
      <c r="A1157" s="7" t="str">
        <f>'Reported burning'!A1157</f>
        <v>135a</v>
      </c>
      <c r="B1157" s="7" t="str">
        <f>'Reported burning'!B1157</f>
        <v>135a.9</v>
      </c>
      <c r="C1157" s="7" t="str">
        <f>'Reported burning'!C1157</f>
        <v>Human, deliberate</v>
      </c>
      <c r="D1157" s="7" t="str">
        <f>'Reported burning'!D1157</f>
        <v>Accessibility</v>
      </c>
      <c r="E1157" s="7" t="str">
        <f>'Reported burning'!E1157</f>
        <v>Pastoralism, Migratory</v>
      </c>
      <c r="F1157" s="7" t="str">
        <f>'Reported burning'!F1157</f>
        <v>Shrubland (Mixed forest &amp; grassland)</v>
      </c>
      <c r="G1157" s="7" t="str">
        <f>'Reported burning'!G1157</f>
        <v>ND</v>
      </c>
      <c r="H1157" s="7" t="str">
        <f>'Reported burning'!H1157</f>
        <v>Presence</v>
      </c>
      <c r="I1157" s="4"/>
      <c r="J1157" s="4" t="s">
        <v>2308</v>
      </c>
      <c r="K1157" s="4" t="s">
        <v>2308</v>
      </c>
      <c r="L1157" s="4" t="s">
        <v>2308</v>
      </c>
      <c r="M1157" s="4" t="s">
        <v>2308</v>
      </c>
      <c r="N1157" s="4" t="s">
        <v>2308</v>
      </c>
      <c r="O1157" s="4" t="s">
        <v>2308</v>
      </c>
      <c r="P1157" s="4" t="s">
        <v>2308</v>
      </c>
      <c r="Q1157" s="4" t="s">
        <v>2308</v>
      </c>
      <c r="R1157" s="4" t="s">
        <v>2308</v>
      </c>
      <c r="S1157" s="4" t="s">
        <v>2308</v>
      </c>
      <c r="T1157" s="4" t="s">
        <v>2308</v>
      </c>
      <c r="U1157" s="4" t="s">
        <v>2308</v>
      </c>
      <c r="V1157" s="4" t="s">
        <v>2308</v>
      </c>
      <c r="W1157" s="4" t="s">
        <v>2308</v>
      </c>
      <c r="X1157" s="4" t="s">
        <v>411</v>
      </c>
      <c r="Y1157" s="4" t="s">
        <v>68</v>
      </c>
      <c r="Z1157" s="4" t="s">
        <v>64</v>
      </c>
      <c r="AA1157" s="4"/>
      <c r="AB1157" s="4"/>
    </row>
    <row r="1158" spans="1:28" ht="29">
      <c r="A1158" s="7" t="str">
        <f>'Reported burning'!A1158</f>
        <v>135a</v>
      </c>
      <c r="B1158" s="7" t="str">
        <f>'Reported burning'!B1158</f>
        <v>135a.10</v>
      </c>
      <c r="C1158" s="7" t="str">
        <f>'Reported burning'!C1158</f>
        <v>Human, deliberate</v>
      </c>
      <c r="D1158" s="7" t="str">
        <f>'Reported burning'!D1158</f>
        <v>Accessibility</v>
      </c>
      <c r="E1158" s="7" t="str">
        <f>'Reported burning'!E1158</f>
        <v>Pastoralism, Migratory</v>
      </c>
      <c r="F1158" s="7" t="str">
        <f>'Reported burning'!F1158</f>
        <v>Shrubland (Mixed forest &amp; grassland)</v>
      </c>
      <c r="G1158" s="7" t="str">
        <f>'Reported burning'!G1158</f>
        <v>ND</v>
      </c>
      <c r="H1158" s="7" t="str">
        <f>'Reported burning'!H1158</f>
        <v>Presence</v>
      </c>
      <c r="I1158" s="4"/>
      <c r="J1158" s="4" t="s">
        <v>2308</v>
      </c>
      <c r="K1158" s="4" t="s">
        <v>2308</v>
      </c>
      <c r="L1158" s="4" t="s">
        <v>2308</v>
      </c>
      <c r="M1158" s="4" t="s">
        <v>2308</v>
      </c>
      <c r="N1158" s="4" t="s">
        <v>2308</v>
      </c>
      <c r="O1158" s="4" t="s">
        <v>2308</v>
      </c>
      <c r="P1158" s="4" t="s">
        <v>2308</v>
      </c>
      <c r="Q1158" s="4" t="s">
        <v>2308</v>
      </c>
      <c r="R1158" s="4" t="s">
        <v>2308</v>
      </c>
      <c r="S1158" s="4" t="s">
        <v>2308</v>
      </c>
      <c r="T1158" s="4" t="s">
        <v>2308</v>
      </c>
      <c r="U1158" s="4" t="s">
        <v>2308</v>
      </c>
      <c r="V1158" s="4" t="s">
        <v>2308</v>
      </c>
      <c r="W1158" s="4" t="s">
        <v>2308</v>
      </c>
      <c r="X1158" s="4" t="s">
        <v>406</v>
      </c>
      <c r="Y1158" s="4" t="s">
        <v>38</v>
      </c>
      <c r="Z1158" s="4" t="s">
        <v>64</v>
      </c>
      <c r="AA1158" s="4"/>
      <c r="AB1158" s="4"/>
    </row>
    <row r="1159" spans="1:28" ht="29">
      <c r="A1159" s="7" t="str">
        <f>'Reported burning'!A1159</f>
        <v>135a</v>
      </c>
      <c r="B1159" s="7" t="str">
        <f>'Reported burning'!B1159</f>
        <v>135a.11</v>
      </c>
      <c r="C1159" s="7" t="str">
        <f>'Reported burning'!C1159</f>
        <v>Human, deliberate</v>
      </c>
      <c r="D1159" s="7" t="str">
        <f>'Reported burning'!D1159</f>
        <v>Vegetation management</v>
      </c>
      <c r="E1159" s="7" t="str">
        <f>'Reported burning'!E1159</f>
        <v>Pastoralism, Migratory</v>
      </c>
      <c r="F1159" s="7" t="str">
        <f>'Reported burning'!F1159</f>
        <v>Shrubland (Mixed forest &amp; grassland)</v>
      </c>
      <c r="G1159" s="7" t="str">
        <f>'Reported burning'!G1159</f>
        <v>ND</v>
      </c>
      <c r="H1159" s="7" t="str">
        <f>'Reported burning'!H1159</f>
        <v>Presence</v>
      </c>
      <c r="I1159" s="4"/>
      <c r="J1159" s="4" t="s">
        <v>2308</v>
      </c>
      <c r="K1159" s="4" t="s">
        <v>2308</v>
      </c>
      <c r="L1159" s="4" t="s">
        <v>2308</v>
      </c>
      <c r="M1159" s="4" t="s">
        <v>2308</v>
      </c>
      <c r="N1159" s="4" t="s">
        <v>2308</v>
      </c>
      <c r="O1159" s="4" t="s">
        <v>2308</v>
      </c>
      <c r="P1159" s="4" t="s">
        <v>2308</v>
      </c>
      <c r="Q1159" s="4" t="s">
        <v>2308</v>
      </c>
      <c r="R1159" s="4" t="s">
        <v>2308</v>
      </c>
      <c r="S1159" s="4" t="s">
        <v>2308</v>
      </c>
      <c r="T1159" s="4" t="s">
        <v>2308</v>
      </c>
      <c r="U1159" s="4" t="s">
        <v>2308</v>
      </c>
      <c r="V1159" s="4" t="s">
        <v>2308</v>
      </c>
      <c r="W1159" s="4" t="s">
        <v>2308</v>
      </c>
      <c r="X1159" s="4" t="s">
        <v>411</v>
      </c>
      <c r="Y1159" s="4" t="s">
        <v>68</v>
      </c>
      <c r="Z1159" s="4" t="s">
        <v>64</v>
      </c>
      <c r="AA1159" s="4"/>
      <c r="AB1159" s="4"/>
    </row>
    <row r="1160" spans="1:28" ht="29">
      <c r="A1160" s="7" t="str">
        <f>'Reported burning'!A1160</f>
        <v>135a</v>
      </c>
      <c r="B1160" s="7" t="str">
        <f>'Reported burning'!B1160</f>
        <v>135a.12</v>
      </c>
      <c r="C1160" s="7" t="str">
        <f>'Reported burning'!C1160</f>
        <v>Human, deliberate</v>
      </c>
      <c r="D1160" s="7" t="str">
        <f>'Reported burning'!D1160</f>
        <v>Vegetation management</v>
      </c>
      <c r="E1160" s="7" t="str">
        <f>'Reported burning'!E1160</f>
        <v>Pastoralism, Migratory</v>
      </c>
      <c r="F1160" s="7" t="str">
        <f>'Reported burning'!F1160</f>
        <v>Shrubland (Mixed forest &amp; grassland)</v>
      </c>
      <c r="G1160" s="7" t="str">
        <f>'Reported burning'!G1160</f>
        <v>ND</v>
      </c>
      <c r="H1160" s="7" t="str">
        <f>'Reported burning'!H1160</f>
        <v>Presence</v>
      </c>
      <c r="I1160" s="4"/>
      <c r="J1160" s="4" t="s">
        <v>2308</v>
      </c>
      <c r="K1160" s="4" t="s">
        <v>2308</v>
      </c>
      <c r="L1160" s="4" t="s">
        <v>2308</v>
      </c>
      <c r="M1160" s="4" t="s">
        <v>2308</v>
      </c>
      <c r="N1160" s="4" t="s">
        <v>2308</v>
      </c>
      <c r="O1160" s="4" t="s">
        <v>2308</v>
      </c>
      <c r="P1160" s="4" t="s">
        <v>2308</v>
      </c>
      <c r="Q1160" s="4" t="s">
        <v>2308</v>
      </c>
      <c r="R1160" s="4" t="s">
        <v>2308</v>
      </c>
      <c r="S1160" s="4" t="s">
        <v>2308</v>
      </c>
      <c r="T1160" s="4" t="s">
        <v>2308</v>
      </c>
      <c r="U1160" s="4" t="s">
        <v>2308</v>
      </c>
      <c r="V1160" s="4" t="s">
        <v>2308</v>
      </c>
      <c r="W1160" s="4" t="s">
        <v>2308</v>
      </c>
      <c r="X1160" s="4" t="s">
        <v>406</v>
      </c>
      <c r="Y1160" s="4" t="s">
        <v>38</v>
      </c>
      <c r="Z1160" s="4" t="s">
        <v>64</v>
      </c>
      <c r="AA1160" s="4"/>
      <c r="AB1160" s="4"/>
    </row>
    <row r="1161" spans="1:28" ht="42" customHeight="1">
      <c r="A1161" s="7" t="str">
        <f>'Reported burning'!A1161</f>
        <v>135a</v>
      </c>
      <c r="B1161" s="7" t="str">
        <f>'Reported burning'!B1161</f>
        <v>135a.13</v>
      </c>
      <c r="C1161" s="7" t="str">
        <f>'Reported burning'!C1161</f>
        <v>Human, deliberate</v>
      </c>
      <c r="D1161" s="7" t="str">
        <f>'Reported burning'!D1161</f>
        <v>All</v>
      </c>
      <c r="E1161" s="7" t="str">
        <f>'Reported burning'!E1161</f>
        <v>Forestry, Traditional</v>
      </c>
      <c r="F1161" s="7" t="str">
        <f>'Reported burning'!F1161</f>
        <v>Forest</v>
      </c>
      <c r="G1161" s="7" t="str">
        <f>'Reported burning'!G1161</f>
        <v>ND</v>
      </c>
      <c r="H1161" s="7" t="str">
        <f>'Reported burning'!H1161</f>
        <v>Absence</v>
      </c>
      <c r="I1161" s="4"/>
      <c r="J1161" s="22">
        <v>0</v>
      </c>
      <c r="K1161" s="22">
        <v>0</v>
      </c>
      <c r="L1161" s="22">
        <v>0</v>
      </c>
      <c r="M1161" s="22">
        <v>0</v>
      </c>
      <c r="N1161" s="22">
        <v>0</v>
      </c>
      <c r="O1161" s="22">
        <v>0</v>
      </c>
      <c r="P1161" s="22">
        <v>0</v>
      </c>
      <c r="Q1161" s="22">
        <v>0</v>
      </c>
      <c r="R1161" s="22">
        <v>0</v>
      </c>
      <c r="S1161" s="22">
        <v>0</v>
      </c>
      <c r="T1161" s="22">
        <v>0</v>
      </c>
      <c r="U1161" s="22">
        <v>0</v>
      </c>
      <c r="V1161" s="22">
        <v>0</v>
      </c>
      <c r="W1161" s="22">
        <v>0</v>
      </c>
      <c r="X1161" s="4" t="s">
        <v>2308</v>
      </c>
      <c r="Y1161" s="4" t="s">
        <v>2308</v>
      </c>
      <c r="Z1161" s="4" t="s">
        <v>2308</v>
      </c>
      <c r="AA1161" s="4"/>
      <c r="AB1161" s="4"/>
    </row>
    <row r="1162" spans="1:28" ht="93" customHeight="1">
      <c r="A1162" s="7" t="str">
        <f>'Reported burning'!A1162</f>
        <v>135b</v>
      </c>
      <c r="B1162" s="7" t="str">
        <f>'Reported burning'!B1162</f>
        <v xml:space="preserve">135b.1 </v>
      </c>
      <c r="C1162" s="7" t="str">
        <f>'Reported burning'!C1162</f>
        <v>Human, deliberate</v>
      </c>
      <c r="D1162" s="7" t="str">
        <f>'Reported burning'!D1162</f>
        <v>Pyrome management</v>
      </c>
      <c r="E1162" s="7" t="str">
        <f>'Reported burning'!E1162</f>
        <v>Pastoralism, Migratory</v>
      </c>
      <c r="F1162" s="7" t="str">
        <f>'Reported burning'!F1162</f>
        <v>Shrubland (Mixed forest &amp; grassland)</v>
      </c>
      <c r="G1162" s="7" t="str">
        <f>'Reported burning'!G1162</f>
        <v>ND</v>
      </c>
      <c r="H1162" s="7" t="str">
        <f>'Reported burning'!H1162</f>
        <v>Absence</v>
      </c>
      <c r="I1162" s="4"/>
      <c r="J1162" s="22">
        <v>0</v>
      </c>
      <c r="K1162" s="22">
        <v>0</v>
      </c>
      <c r="L1162" s="22">
        <v>0</v>
      </c>
      <c r="M1162" s="22">
        <v>0</v>
      </c>
      <c r="N1162" s="22">
        <v>0</v>
      </c>
      <c r="O1162" s="22">
        <v>0</v>
      </c>
      <c r="P1162" s="22">
        <v>0</v>
      </c>
      <c r="Q1162" s="22">
        <v>0</v>
      </c>
      <c r="R1162" s="22">
        <v>0</v>
      </c>
      <c r="S1162" s="22">
        <v>0</v>
      </c>
      <c r="T1162" s="22">
        <v>0</v>
      </c>
      <c r="U1162" s="22">
        <v>0</v>
      </c>
      <c r="V1162" s="22">
        <v>0</v>
      </c>
      <c r="W1162" s="22">
        <v>0</v>
      </c>
      <c r="X1162" s="4" t="s">
        <v>2308</v>
      </c>
      <c r="Y1162" s="4" t="s">
        <v>2308</v>
      </c>
      <c r="Z1162" s="4" t="s">
        <v>2308</v>
      </c>
      <c r="AA1162" s="5" t="s">
        <v>3603</v>
      </c>
      <c r="AB1162" s="4"/>
    </row>
    <row r="1163" spans="1:28" ht="93" customHeight="1">
      <c r="A1163" s="7" t="str">
        <f>'Reported burning'!A1163</f>
        <v>135b</v>
      </c>
      <c r="B1163" s="7" t="str">
        <f>'Reported burning'!B1163</f>
        <v>135b.2</v>
      </c>
      <c r="C1163" s="7" t="str">
        <f>'Reported burning'!C1163</f>
        <v>Human, deliberate</v>
      </c>
      <c r="D1163" s="7" t="str">
        <f>'Reported burning'!D1163</f>
        <v>Rangeland management</v>
      </c>
      <c r="E1163" s="7" t="str">
        <f>'Reported burning'!E1163</f>
        <v>Pastoralism, Migratory</v>
      </c>
      <c r="F1163" s="7" t="str">
        <f>'Reported burning'!F1163</f>
        <v>Shrubland (Mixed forest &amp; grassland)</v>
      </c>
      <c r="G1163" s="7" t="str">
        <f>'Reported burning'!G1163</f>
        <v>ND</v>
      </c>
      <c r="H1163" s="7" t="str">
        <f>'Reported burning'!H1163</f>
        <v>Absence</v>
      </c>
      <c r="I1163" s="4"/>
      <c r="J1163" s="22">
        <v>0</v>
      </c>
      <c r="K1163" s="22">
        <v>0</v>
      </c>
      <c r="L1163" s="22">
        <v>0</v>
      </c>
      <c r="M1163" s="22">
        <v>0</v>
      </c>
      <c r="N1163" s="22">
        <v>0</v>
      </c>
      <c r="O1163" s="22">
        <v>0</v>
      </c>
      <c r="P1163" s="22">
        <v>0</v>
      </c>
      <c r="Q1163" s="22">
        <v>0</v>
      </c>
      <c r="R1163" s="22">
        <v>0</v>
      </c>
      <c r="S1163" s="22">
        <v>0</v>
      </c>
      <c r="T1163" s="22">
        <v>0</v>
      </c>
      <c r="U1163" s="22">
        <v>0</v>
      </c>
      <c r="V1163" s="22">
        <v>0</v>
      </c>
      <c r="W1163" s="22">
        <v>0</v>
      </c>
      <c r="X1163" s="4" t="s">
        <v>2308</v>
      </c>
      <c r="Y1163" s="4" t="s">
        <v>2308</v>
      </c>
      <c r="Z1163" s="4" t="s">
        <v>2308</v>
      </c>
      <c r="AA1163" s="5" t="s">
        <v>3603</v>
      </c>
      <c r="AB1163" s="4"/>
    </row>
    <row r="1164" spans="1:28" ht="93" customHeight="1">
      <c r="A1164" s="7" t="str">
        <f>'Reported burning'!A1164</f>
        <v>135b</v>
      </c>
      <c r="B1164" s="7" t="str">
        <f>'Reported burning'!B1164</f>
        <v>135b.3</v>
      </c>
      <c r="C1164" s="7" t="str">
        <f>'Reported burning'!C1164</f>
        <v>Human, deliberate</v>
      </c>
      <c r="D1164" s="7" t="str">
        <f>'Reported burning'!D1164</f>
        <v>Pest management</v>
      </c>
      <c r="E1164" s="7" t="str">
        <f>'Reported burning'!E1164</f>
        <v>Pastoralism, Migratory</v>
      </c>
      <c r="F1164" s="7" t="str">
        <f>'Reported burning'!F1164</f>
        <v>Shrubland (Mixed forest &amp; grassland)</v>
      </c>
      <c r="G1164" s="7" t="str">
        <f>'Reported burning'!G1164</f>
        <v>ND</v>
      </c>
      <c r="H1164" s="7" t="str">
        <f>'Reported burning'!H1164</f>
        <v>Absence</v>
      </c>
      <c r="I1164" s="4"/>
      <c r="J1164" s="22">
        <v>0</v>
      </c>
      <c r="K1164" s="22">
        <v>0</v>
      </c>
      <c r="L1164" s="22">
        <v>0</v>
      </c>
      <c r="M1164" s="22">
        <v>0</v>
      </c>
      <c r="N1164" s="22">
        <v>0</v>
      </c>
      <c r="O1164" s="22">
        <v>0</v>
      </c>
      <c r="P1164" s="22">
        <v>0</v>
      </c>
      <c r="Q1164" s="22">
        <v>0</v>
      </c>
      <c r="R1164" s="22">
        <v>0</v>
      </c>
      <c r="S1164" s="22">
        <v>0</v>
      </c>
      <c r="T1164" s="22">
        <v>0</v>
      </c>
      <c r="U1164" s="22">
        <v>0</v>
      </c>
      <c r="V1164" s="22">
        <v>0</v>
      </c>
      <c r="W1164" s="22">
        <v>0</v>
      </c>
      <c r="X1164" s="4" t="s">
        <v>2308</v>
      </c>
      <c r="Y1164" s="4" t="s">
        <v>2308</v>
      </c>
      <c r="Z1164" s="4" t="s">
        <v>2308</v>
      </c>
      <c r="AA1164" s="5" t="s">
        <v>3603</v>
      </c>
      <c r="AB1164" s="4"/>
    </row>
    <row r="1165" spans="1:28" ht="93" customHeight="1">
      <c r="A1165" s="7" t="str">
        <f>'Reported burning'!A1165</f>
        <v>135b</v>
      </c>
      <c r="B1165" s="7" t="str">
        <f>'Reported burning'!B1165</f>
        <v>135b.4</v>
      </c>
      <c r="C1165" s="7" t="str">
        <f>'Reported burning'!C1165</f>
        <v>Human, deliberate</v>
      </c>
      <c r="D1165" s="7" t="str">
        <f>'Reported burning'!D1165</f>
        <v>Pasture renewal</v>
      </c>
      <c r="E1165" s="7" t="str">
        <f>'Reported burning'!E1165</f>
        <v>Pastoralism, Migratory</v>
      </c>
      <c r="F1165" s="7" t="str">
        <f>'Reported burning'!F1165</f>
        <v>Shrubland (Mixed forest &amp; grassland)</v>
      </c>
      <c r="G1165" s="7" t="str">
        <f>'Reported burning'!G1165</f>
        <v>ND</v>
      </c>
      <c r="H1165" s="7" t="str">
        <f>'Reported burning'!H1165</f>
        <v>Absence</v>
      </c>
      <c r="I1165" s="4"/>
      <c r="J1165" s="22">
        <v>0</v>
      </c>
      <c r="K1165" s="22">
        <v>0</v>
      </c>
      <c r="L1165" s="22">
        <v>0</v>
      </c>
      <c r="M1165" s="22">
        <v>0</v>
      </c>
      <c r="N1165" s="22">
        <v>0</v>
      </c>
      <c r="O1165" s="22">
        <v>0</v>
      </c>
      <c r="P1165" s="22">
        <v>0</v>
      </c>
      <c r="Q1165" s="22">
        <v>0</v>
      </c>
      <c r="R1165" s="22">
        <v>0</v>
      </c>
      <c r="S1165" s="22">
        <v>0</v>
      </c>
      <c r="T1165" s="22">
        <v>0</v>
      </c>
      <c r="U1165" s="22">
        <v>0</v>
      </c>
      <c r="V1165" s="22">
        <v>0</v>
      </c>
      <c r="W1165" s="22">
        <v>0</v>
      </c>
      <c r="X1165" s="4" t="s">
        <v>2308</v>
      </c>
      <c r="Y1165" s="4" t="s">
        <v>2308</v>
      </c>
      <c r="Z1165" s="4" t="s">
        <v>2308</v>
      </c>
      <c r="AA1165" s="5" t="s">
        <v>3603</v>
      </c>
      <c r="AB1165" s="4"/>
    </row>
    <row r="1166" spans="1:28" ht="93" customHeight="1">
      <c r="A1166" s="7" t="str">
        <f>'Reported burning'!A1166</f>
        <v>135b</v>
      </c>
      <c r="B1166" s="7" t="str">
        <f>'Reported burning'!B1166</f>
        <v>135b.5</v>
      </c>
      <c r="C1166" s="7" t="str">
        <f>'Reported burning'!C1166</f>
        <v>Human, deliberate</v>
      </c>
      <c r="D1166" s="7" t="str">
        <f>'Reported burning'!D1166</f>
        <v>Accessibility</v>
      </c>
      <c r="E1166" s="7" t="str">
        <f>'Reported burning'!E1166</f>
        <v>Pastoralism, Migratory</v>
      </c>
      <c r="F1166" s="7" t="str">
        <f>'Reported burning'!F1166</f>
        <v>Shrubland (Mixed forest &amp; grassland)</v>
      </c>
      <c r="G1166" s="7" t="str">
        <f>'Reported burning'!G1166</f>
        <v>ND</v>
      </c>
      <c r="H1166" s="7" t="str">
        <f>'Reported burning'!H1166</f>
        <v>Absence</v>
      </c>
      <c r="I1166" s="4"/>
      <c r="J1166" s="22">
        <v>0</v>
      </c>
      <c r="K1166" s="22">
        <v>0</v>
      </c>
      <c r="L1166" s="22">
        <v>0</v>
      </c>
      <c r="M1166" s="22">
        <v>0</v>
      </c>
      <c r="N1166" s="22">
        <v>0</v>
      </c>
      <c r="O1166" s="22">
        <v>0</v>
      </c>
      <c r="P1166" s="22">
        <v>0</v>
      </c>
      <c r="Q1166" s="22">
        <v>0</v>
      </c>
      <c r="R1166" s="22">
        <v>0</v>
      </c>
      <c r="S1166" s="22">
        <v>0</v>
      </c>
      <c r="T1166" s="22">
        <v>0</v>
      </c>
      <c r="U1166" s="22">
        <v>0</v>
      </c>
      <c r="V1166" s="22">
        <v>0</v>
      </c>
      <c r="W1166" s="22">
        <v>0</v>
      </c>
      <c r="X1166" s="4" t="s">
        <v>2308</v>
      </c>
      <c r="Y1166" s="4" t="s">
        <v>2308</v>
      </c>
      <c r="Z1166" s="4" t="s">
        <v>2308</v>
      </c>
      <c r="AA1166" s="5" t="s">
        <v>3603</v>
      </c>
      <c r="AB1166" s="4"/>
    </row>
    <row r="1167" spans="1:28" ht="93" customHeight="1">
      <c r="A1167" s="7" t="str">
        <f>'Reported burning'!A1167</f>
        <v>135b</v>
      </c>
      <c r="B1167" s="7" t="str">
        <f>'Reported burning'!B1167</f>
        <v>135b.6</v>
      </c>
      <c r="C1167" s="7" t="str">
        <f>'Reported burning'!C1167</f>
        <v>Human, deliberate</v>
      </c>
      <c r="D1167" s="7" t="str">
        <f>'Reported burning'!D1167</f>
        <v>Vegetation management</v>
      </c>
      <c r="E1167" s="7" t="str">
        <f>'Reported burning'!E1167</f>
        <v>Pastoralism, Migratory</v>
      </c>
      <c r="F1167" s="7" t="str">
        <f>'Reported burning'!F1167</f>
        <v>Shrubland (Mixed forest &amp; grassland)</v>
      </c>
      <c r="G1167" s="7" t="str">
        <f>'Reported burning'!G1167</f>
        <v>ND</v>
      </c>
      <c r="H1167" s="7" t="str">
        <f>'Reported burning'!H1167</f>
        <v>Absence</v>
      </c>
      <c r="I1167" s="4"/>
      <c r="J1167" s="22">
        <v>0</v>
      </c>
      <c r="K1167" s="22">
        <v>0</v>
      </c>
      <c r="L1167" s="22">
        <v>0</v>
      </c>
      <c r="M1167" s="22">
        <v>0</v>
      </c>
      <c r="N1167" s="22">
        <v>0</v>
      </c>
      <c r="O1167" s="22">
        <v>0</v>
      </c>
      <c r="P1167" s="22">
        <v>0</v>
      </c>
      <c r="Q1167" s="22">
        <v>0</v>
      </c>
      <c r="R1167" s="22">
        <v>0</v>
      </c>
      <c r="S1167" s="22">
        <v>0</v>
      </c>
      <c r="T1167" s="22">
        <v>0</v>
      </c>
      <c r="U1167" s="22">
        <v>0</v>
      </c>
      <c r="V1167" s="22">
        <v>0</v>
      </c>
      <c r="W1167" s="22">
        <v>0</v>
      </c>
      <c r="X1167" s="4" t="s">
        <v>2308</v>
      </c>
      <c r="Y1167" s="4" t="s">
        <v>2308</v>
      </c>
      <c r="Z1167" s="4" t="s">
        <v>2308</v>
      </c>
      <c r="AA1167" s="5" t="s">
        <v>3603</v>
      </c>
      <c r="AB1167" s="4"/>
    </row>
    <row r="1168" spans="1:28" ht="31" customHeight="1">
      <c r="A1168" s="7" t="str">
        <f>'Reported burning'!A1168</f>
        <v>135b</v>
      </c>
      <c r="B1168" s="7" t="str">
        <f>'Reported burning'!B1168</f>
        <v>135b.7</v>
      </c>
      <c r="C1168" s="7" t="str">
        <f>'Reported burning'!C1168</f>
        <v>Human, deliberate</v>
      </c>
      <c r="D1168" s="7" t="str">
        <f>'Reported burning'!D1168</f>
        <v>Pasture renewal</v>
      </c>
      <c r="E1168" s="7" t="str">
        <f>'Reported burning'!E1168</f>
        <v>Pastoralism, Migratory</v>
      </c>
      <c r="F1168" s="7" t="str">
        <f>'Reported burning'!F1168</f>
        <v>Shrubland (Mixed forest &amp; grassland)</v>
      </c>
      <c r="G1168" s="7" t="str">
        <f>'Reported burning'!G1168</f>
        <v>ND</v>
      </c>
      <c r="H1168" s="7" t="str">
        <f>'Reported burning'!H1168</f>
        <v>Presence</v>
      </c>
      <c r="I1168" s="4"/>
      <c r="J1168" s="4" t="s">
        <v>2308</v>
      </c>
      <c r="K1168" s="4" t="s">
        <v>2308</v>
      </c>
      <c r="L1168" s="4" t="s">
        <v>2308</v>
      </c>
      <c r="M1168" s="4" t="s">
        <v>2308</v>
      </c>
      <c r="N1168" s="4" t="s">
        <v>2308</v>
      </c>
      <c r="O1168" s="4" t="s">
        <v>2308</v>
      </c>
      <c r="P1168" s="4" t="s">
        <v>2308</v>
      </c>
      <c r="Q1168" s="4" t="s">
        <v>2308</v>
      </c>
      <c r="R1168" s="4" t="s">
        <v>2308</v>
      </c>
      <c r="S1168" s="4" t="s">
        <v>2308</v>
      </c>
      <c r="T1168" s="4" t="s">
        <v>2308</v>
      </c>
      <c r="U1168" s="4" t="s">
        <v>2308</v>
      </c>
      <c r="V1168" s="4" t="s">
        <v>2308</v>
      </c>
      <c r="W1168" s="4" t="s">
        <v>2308</v>
      </c>
      <c r="X1168" s="4" t="s">
        <v>68</v>
      </c>
      <c r="Y1168" s="4" t="s">
        <v>68</v>
      </c>
      <c r="Z1168" s="4" t="s">
        <v>2308</v>
      </c>
      <c r="AA1168" s="4" t="s">
        <v>3617</v>
      </c>
      <c r="AB1168" s="4"/>
    </row>
    <row r="1169" spans="1:28" ht="31" customHeight="1">
      <c r="A1169" s="7" t="str">
        <f>'Reported burning'!A1169</f>
        <v>135b</v>
      </c>
      <c r="B1169" s="7" t="str">
        <f>'Reported burning'!B1169</f>
        <v>135b.8</v>
      </c>
      <c r="C1169" s="7" t="str">
        <f>'Reported burning'!C1169</f>
        <v>Human, accidental</v>
      </c>
      <c r="D1169" s="7" t="str">
        <f>'Reported burning'!D1169</f>
        <v>ND</v>
      </c>
      <c r="E1169" s="7" t="str">
        <f>'Reported burning'!E1169</f>
        <v>Tourism manager</v>
      </c>
      <c r="F1169" s="7" t="str">
        <f>'Reported burning'!F1169</f>
        <v>ND</v>
      </c>
      <c r="G1169" s="7" t="str">
        <f>'Reported burning'!G1169</f>
        <v>ND</v>
      </c>
      <c r="H1169" s="7" t="str">
        <f>'Reported burning'!H1169</f>
        <v>Presence</v>
      </c>
      <c r="I1169" s="4"/>
      <c r="J1169" s="4" t="s">
        <v>2308</v>
      </c>
      <c r="K1169" s="4" t="s">
        <v>2308</v>
      </c>
      <c r="L1169" s="4" t="s">
        <v>2308</v>
      </c>
      <c r="M1169" s="4" t="s">
        <v>2308</v>
      </c>
      <c r="N1169" s="4" t="s">
        <v>2308</v>
      </c>
      <c r="O1169" s="4" t="s">
        <v>2308</v>
      </c>
      <c r="P1169" s="4" t="s">
        <v>2308</v>
      </c>
      <c r="Q1169" s="4" t="s">
        <v>2308</v>
      </c>
      <c r="R1169" s="4" t="s">
        <v>2308</v>
      </c>
      <c r="S1169" s="4" t="s">
        <v>2308</v>
      </c>
      <c r="T1169" s="4" t="s">
        <v>2308</v>
      </c>
      <c r="U1169" s="4" t="s">
        <v>2308</v>
      </c>
      <c r="V1169" s="4" t="s">
        <v>2308</v>
      </c>
      <c r="W1169" s="4" t="s">
        <v>2308</v>
      </c>
      <c r="X1169" s="4" t="s">
        <v>432</v>
      </c>
      <c r="Y1169" s="4" t="s">
        <v>432</v>
      </c>
      <c r="Z1169" s="4" t="s">
        <v>2308</v>
      </c>
      <c r="AA1169" s="5" t="s">
        <v>3618</v>
      </c>
      <c r="AB1169" s="4"/>
    </row>
    <row r="1170" spans="1:28" ht="31" customHeight="1">
      <c r="A1170" s="7" t="str">
        <f>'Reported burning'!A1170</f>
        <v>135b</v>
      </c>
      <c r="B1170" s="7" t="str">
        <f>'Reported burning'!B1170</f>
        <v>135b.9</v>
      </c>
      <c r="C1170" s="7" t="str">
        <f>'Reported burning'!C1170</f>
        <v>Human, escaped</v>
      </c>
      <c r="D1170" s="7" t="str">
        <f>'Reported burning'!D1170</f>
        <v>Domestic</v>
      </c>
      <c r="E1170" s="7" t="str">
        <f>'Reported burning'!E1170</f>
        <v>Pastoralism, Migratory</v>
      </c>
      <c r="F1170" s="7" t="str">
        <f>'Reported burning'!F1170</f>
        <v>Shrubland (Mixed forest &amp; grassland)</v>
      </c>
      <c r="G1170" s="7" t="str">
        <f>'Reported burning'!G1170</f>
        <v>ND</v>
      </c>
      <c r="H1170" s="7" t="str">
        <f>'Reported burning'!H1170</f>
        <v>Presence</v>
      </c>
      <c r="I1170" s="4"/>
      <c r="J1170" s="4" t="s">
        <v>2308</v>
      </c>
      <c r="K1170" s="4" t="s">
        <v>2308</v>
      </c>
      <c r="L1170" s="4" t="s">
        <v>2308</v>
      </c>
      <c r="M1170" s="4" t="s">
        <v>2308</v>
      </c>
      <c r="N1170" s="4" t="s">
        <v>2308</v>
      </c>
      <c r="O1170" s="4" t="s">
        <v>2308</v>
      </c>
      <c r="P1170" s="4" t="s">
        <v>2308</v>
      </c>
      <c r="Q1170" s="4" t="s">
        <v>2308</v>
      </c>
      <c r="R1170" s="4" t="s">
        <v>2308</v>
      </c>
      <c r="S1170" s="4" t="s">
        <v>2308</v>
      </c>
      <c r="T1170" s="4" t="s">
        <v>2308</v>
      </c>
      <c r="U1170" s="4" t="s">
        <v>2308</v>
      </c>
      <c r="V1170" s="4" t="s">
        <v>2308</v>
      </c>
      <c r="W1170" s="4" t="s">
        <v>2308</v>
      </c>
      <c r="X1170" s="4" t="s">
        <v>412</v>
      </c>
      <c r="Y1170" s="4" t="s">
        <v>412</v>
      </c>
      <c r="Z1170" s="4" t="s">
        <v>2308</v>
      </c>
      <c r="AA1170" s="4" t="s">
        <v>3619</v>
      </c>
      <c r="AB1170" s="4"/>
    </row>
    <row r="1171" spans="1:28" ht="31" customHeight="1">
      <c r="A1171" s="7" t="str">
        <f>'Reported burning'!A1171</f>
        <v>135b</v>
      </c>
      <c r="B1171" s="7" t="str">
        <f>'Reported burning'!B1171</f>
        <v>135b.10</v>
      </c>
      <c r="C1171" s="7" t="str">
        <f>'Reported burning'!C1171</f>
        <v>Human, deliberate</v>
      </c>
      <c r="D1171" s="7" t="str">
        <f>'Reported burning'!D1171</f>
        <v>ND</v>
      </c>
      <c r="E1171" s="7" t="str">
        <f>'Reported burning'!E1171</f>
        <v>Pastoralism, Migratory</v>
      </c>
      <c r="F1171" s="7" t="str">
        <f>'Reported burning'!F1171</f>
        <v>Shrubland (Mixed forest &amp; grassland)</v>
      </c>
      <c r="G1171" s="7" t="str">
        <f>'Reported burning'!G1171</f>
        <v>ND</v>
      </c>
      <c r="H1171" s="7" t="str">
        <f>'Reported burning'!H1171</f>
        <v>Presence</v>
      </c>
      <c r="I1171" s="4"/>
      <c r="J1171" s="4" t="s">
        <v>2308</v>
      </c>
      <c r="K1171" s="4" t="s">
        <v>2308</v>
      </c>
      <c r="L1171" s="4" t="s">
        <v>2308</v>
      </c>
      <c r="M1171" s="4" t="s">
        <v>2308</v>
      </c>
      <c r="N1171" s="4" t="s">
        <v>2308</v>
      </c>
      <c r="O1171" s="4" t="s">
        <v>2308</v>
      </c>
      <c r="P1171" s="4" t="s">
        <v>2308</v>
      </c>
      <c r="Q1171" s="4" t="s">
        <v>2308</v>
      </c>
      <c r="R1171" s="4" t="s">
        <v>2308</v>
      </c>
      <c r="S1171" s="4" t="s">
        <v>2308</v>
      </c>
      <c r="T1171" s="4" t="s">
        <v>2308</v>
      </c>
      <c r="U1171" s="4" t="s">
        <v>2308</v>
      </c>
      <c r="V1171" s="4" t="s">
        <v>2308</v>
      </c>
      <c r="W1171" s="4" t="s">
        <v>2308</v>
      </c>
      <c r="X1171" s="4" t="s">
        <v>412</v>
      </c>
      <c r="Y1171" s="4" t="s">
        <v>412</v>
      </c>
      <c r="Z1171" s="4" t="s">
        <v>2308</v>
      </c>
      <c r="AA1171" s="4" t="s">
        <v>3620</v>
      </c>
      <c r="AB1171" s="4"/>
    </row>
    <row r="1172" spans="1:28" ht="31" customHeight="1">
      <c r="A1172" s="7" t="str">
        <f>'Reported burning'!A1172</f>
        <v>135b</v>
      </c>
      <c r="B1172" s="7" t="str">
        <f>'Reported burning'!B1172</f>
        <v>135b.11</v>
      </c>
      <c r="C1172" s="7" t="str">
        <f>'Reported burning'!C1172</f>
        <v>Human, escaped</v>
      </c>
      <c r="D1172" s="7" t="str">
        <f>'Reported burning'!D1172</f>
        <v>Domestic</v>
      </c>
      <c r="E1172" s="7" t="str">
        <f>'Reported burning'!E1172</f>
        <v>Pastoralism, Migratory</v>
      </c>
      <c r="F1172" s="7" t="str">
        <f>'Reported burning'!F1172</f>
        <v>Shrubland (Mixed forest &amp; grassland)</v>
      </c>
      <c r="G1172" s="7" t="str">
        <f>'Reported burning'!G1172</f>
        <v>ND</v>
      </c>
      <c r="H1172" s="7" t="str">
        <f>'Reported burning'!H1172</f>
        <v>Presence</v>
      </c>
      <c r="I1172" s="4"/>
      <c r="J1172" s="4" t="s">
        <v>2308</v>
      </c>
      <c r="K1172" s="4" t="s">
        <v>2308</v>
      </c>
      <c r="L1172" s="4" t="s">
        <v>2308</v>
      </c>
      <c r="M1172" s="4" t="s">
        <v>2308</v>
      </c>
      <c r="N1172" s="4" t="s">
        <v>2308</v>
      </c>
      <c r="O1172" s="4" t="s">
        <v>2308</v>
      </c>
      <c r="P1172" s="4" t="s">
        <v>2308</v>
      </c>
      <c r="Q1172" s="4" t="s">
        <v>2308</v>
      </c>
      <c r="R1172" s="4" t="s">
        <v>2308</v>
      </c>
      <c r="S1172" s="4" t="s">
        <v>2308</v>
      </c>
      <c r="T1172" s="4" t="s">
        <v>2308</v>
      </c>
      <c r="U1172" s="4" t="s">
        <v>2308</v>
      </c>
      <c r="V1172" s="4" t="s">
        <v>2308</v>
      </c>
      <c r="W1172" s="4" t="s">
        <v>2308</v>
      </c>
      <c r="X1172" s="4" t="s">
        <v>34</v>
      </c>
      <c r="Y1172" s="4" t="s">
        <v>34</v>
      </c>
      <c r="Z1172" s="4" t="s">
        <v>2308</v>
      </c>
      <c r="AA1172" s="4" t="s">
        <v>3619</v>
      </c>
      <c r="AB1172" s="4"/>
    </row>
    <row r="1173" spans="1:28" ht="31" customHeight="1">
      <c r="A1173" s="7" t="str">
        <f>'Reported burning'!A1173</f>
        <v>135b</v>
      </c>
      <c r="B1173" s="7" t="str">
        <f>'Reported burning'!B1173</f>
        <v>135b.12</v>
      </c>
      <c r="C1173" s="7" t="str">
        <f>'Reported burning'!C1173</f>
        <v>Human, accidental</v>
      </c>
      <c r="D1173" s="7" t="str">
        <f>'Reported burning'!D1173</f>
        <v>ND</v>
      </c>
      <c r="E1173" s="7" t="str">
        <f>'Reported burning'!E1173</f>
        <v>Tourism manager</v>
      </c>
      <c r="F1173" s="7" t="str">
        <f>'Reported burning'!F1173</f>
        <v>Shrubland (Mixed forest &amp; grassland)</v>
      </c>
      <c r="G1173" s="7" t="str">
        <f>'Reported burning'!G1173</f>
        <v>ND</v>
      </c>
      <c r="H1173" s="7" t="str">
        <f>'Reported burning'!H1173</f>
        <v>Presence</v>
      </c>
      <c r="I1173" s="4"/>
      <c r="J1173" s="4" t="s">
        <v>2308</v>
      </c>
      <c r="K1173" s="4" t="s">
        <v>2308</v>
      </c>
      <c r="L1173" s="4" t="s">
        <v>2308</v>
      </c>
      <c r="M1173" s="4" t="s">
        <v>2308</v>
      </c>
      <c r="N1173" s="4" t="s">
        <v>2308</v>
      </c>
      <c r="O1173" s="4" t="s">
        <v>2308</v>
      </c>
      <c r="P1173" s="4" t="s">
        <v>2308</v>
      </c>
      <c r="Q1173" s="4" t="s">
        <v>2308</v>
      </c>
      <c r="R1173" s="4" t="s">
        <v>2308</v>
      </c>
      <c r="S1173" s="4" t="s">
        <v>2308</v>
      </c>
      <c r="T1173" s="4" t="s">
        <v>2308</v>
      </c>
      <c r="U1173" s="4" t="s">
        <v>2308</v>
      </c>
      <c r="V1173" s="4" t="s">
        <v>2308</v>
      </c>
      <c r="W1173" s="4" t="s">
        <v>2308</v>
      </c>
      <c r="X1173" s="4" t="s">
        <v>432</v>
      </c>
      <c r="Y1173" s="4" t="s">
        <v>432</v>
      </c>
      <c r="Z1173" s="4" t="s">
        <v>2308</v>
      </c>
      <c r="AA1173" s="4" t="s">
        <v>3621</v>
      </c>
      <c r="AB1173" s="4"/>
    </row>
    <row r="1174" spans="1:28" ht="31" customHeight="1">
      <c r="A1174" s="7" t="str">
        <f>'Reported burning'!A1174</f>
        <v>135b</v>
      </c>
      <c r="B1174" s="7" t="str">
        <f>'Reported burning'!B1174</f>
        <v>135b.13</v>
      </c>
      <c r="C1174" s="7" t="str">
        <f>'Reported burning'!C1174</f>
        <v>Human, escaped</v>
      </c>
      <c r="D1174" s="7" t="str">
        <f>'Reported burning'!D1174</f>
        <v>Charcoal production</v>
      </c>
      <c r="E1174" s="7" t="str">
        <f>'Reported burning'!E1174</f>
        <v>Forestry, Traditional</v>
      </c>
      <c r="F1174" s="7" t="str">
        <f>'Reported burning'!F1174</f>
        <v>Shrubland (Mixed forest &amp; grassland)</v>
      </c>
      <c r="G1174" s="7" t="str">
        <f>'Reported burning'!G1174</f>
        <v>ND</v>
      </c>
      <c r="H1174" s="7" t="str">
        <f>'Reported burning'!H1174</f>
        <v>Presence</v>
      </c>
      <c r="I1174" s="4"/>
      <c r="J1174" s="4" t="s">
        <v>2308</v>
      </c>
      <c r="K1174" s="4" t="s">
        <v>2308</v>
      </c>
      <c r="L1174" s="4" t="s">
        <v>2308</v>
      </c>
      <c r="M1174" s="4" t="s">
        <v>2308</v>
      </c>
      <c r="N1174" s="4" t="s">
        <v>2308</v>
      </c>
      <c r="O1174" s="4" t="s">
        <v>2308</v>
      </c>
      <c r="P1174" s="4" t="s">
        <v>2308</v>
      </c>
      <c r="Q1174" s="4" t="s">
        <v>2308</v>
      </c>
      <c r="R1174" s="4" t="s">
        <v>2308</v>
      </c>
      <c r="S1174" s="4" t="s">
        <v>2308</v>
      </c>
      <c r="T1174" s="4" t="s">
        <v>2308</v>
      </c>
      <c r="U1174" s="4" t="s">
        <v>2308</v>
      </c>
      <c r="V1174" s="4" t="s">
        <v>2308</v>
      </c>
      <c r="W1174" s="4" t="s">
        <v>2308</v>
      </c>
      <c r="X1174" s="4" t="s">
        <v>411</v>
      </c>
      <c r="Y1174" s="4" t="s">
        <v>411</v>
      </c>
      <c r="Z1174" s="4" t="s">
        <v>2308</v>
      </c>
      <c r="AA1174" s="4" t="s">
        <v>3525</v>
      </c>
      <c r="AB1174" s="4"/>
    </row>
    <row r="1175" spans="1:28" ht="31" customHeight="1">
      <c r="A1175" s="7" t="str">
        <f>'Reported burning'!A1175</f>
        <v>135b</v>
      </c>
      <c r="B1175" s="7" t="str">
        <f>'Reported burning'!B1175</f>
        <v>135b.14</v>
      </c>
      <c r="C1175" s="7" t="str">
        <f>'Reported burning'!C1175</f>
        <v>Human, escaped</v>
      </c>
      <c r="D1175" s="7" t="str">
        <f>'Reported burning'!D1175</f>
        <v>Charcoal production</v>
      </c>
      <c r="E1175" s="7" t="str">
        <f>'Reported burning'!E1175</f>
        <v>Forestry, Traditional</v>
      </c>
      <c r="F1175" s="7" t="str">
        <f>'Reported burning'!F1175</f>
        <v>Shrubland (Mixed forest &amp; grassland)</v>
      </c>
      <c r="G1175" s="7" t="str">
        <f>'Reported burning'!G1175</f>
        <v>ND</v>
      </c>
      <c r="H1175" s="7" t="str">
        <f>'Reported burning'!H1175</f>
        <v>Presence</v>
      </c>
      <c r="I1175" s="4"/>
      <c r="J1175" s="4" t="s">
        <v>2308</v>
      </c>
      <c r="K1175" s="4" t="s">
        <v>2308</v>
      </c>
      <c r="L1175" s="4" t="s">
        <v>2308</v>
      </c>
      <c r="M1175" s="4" t="s">
        <v>2308</v>
      </c>
      <c r="N1175" s="4" t="s">
        <v>2308</v>
      </c>
      <c r="O1175" s="4" t="s">
        <v>2308</v>
      </c>
      <c r="P1175" s="4" t="s">
        <v>2308</v>
      </c>
      <c r="Q1175" s="4" t="s">
        <v>2308</v>
      </c>
      <c r="R1175" s="4" t="s">
        <v>2308</v>
      </c>
      <c r="S1175" s="4" t="s">
        <v>2308</v>
      </c>
      <c r="T1175" s="4" t="s">
        <v>2308</v>
      </c>
      <c r="U1175" s="4" t="s">
        <v>2308</v>
      </c>
      <c r="V1175" s="4" t="s">
        <v>2308</v>
      </c>
      <c r="W1175" s="4" t="s">
        <v>2308</v>
      </c>
      <c r="X1175" s="4" t="s">
        <v>406</v>
      </c>
      <c r="Y1175" s="4" t="s">
        <v>406</v>
      </c>
      <c r="Z1175" s="4" t="s">
        <v>2308</v>
      </c>
      <c r="AA1175" s="4" t="s">
        <v>3525</v>
      </c>
      <c r="AB1175" s="4"/>
    </row>
    <row r="1176" spans="1:28" ht="35.5" customHeight="1">
      <c r="A1176" s="7" t="str">
        <f>'Reported burning'!A1176</f>
        <v>137a</v>
      </c>
      <c r="B1176" s="7" t="str">
        <f>'Reported burning'!B1176</f>
        <v>137a.1</v>
      </c>
      <c r="C1176" s="7" t="str">
        <f>'Reported burning'!C1176</f>
        <v>Human, deliberate</v>
      </c>
      <c r="D1176" s="7" t="str">
        <f>'Reported burning'!D1176</f>
        <v>Crop field preparation</v>
      </c>
      <c r="E1176" s="7" t="str">
        <f>'Reported burning'!E1176</f>
        <v>Cropping, Swidden</v>
      </c>
      <c r="F1176" s="7" t="str">
        <f>'Reported burning'!F1176</f>
        <v>Secondary Vegetation</v>
      </c>
      <c r="G1176" s="7" t="str">
        <f>'Reported burning'!G1176</f>
        <v>ND</v>
      </c>
      <c r="H1176" s="7" t="str">
        <f>'Reported burning'!H1176</f>
        <v>Presence</v>
      </c>
      <c r="I1176" s="6"/>
      <c r="J1176" s="4" t="s">
        <v>2308</v>
      </c>
      <c r="K1176" s="4" t="s">
        <v>2308</v>
      </c>
      <c r="L1176" s="4" t="s">
        <v>2308</v>
      </c>
      <c r="M1176" s="4" t="s">
        <v>2308</v>
      </c>
      <c r="N1176" s="4" t="s">
        <v>2308</v>
      </c>
      <c r="O1176" s="4" t="s">
        <v>2308</v>
      </c>
      <c r="P1176" s="4" t="s">
        <v>2308</v>
      </c>
      <c r="Q1176" s="4" t="s">
        <v>2308</v>
      </c>
      <c r="R1176" s="4" t="s">
        <v>2308</v>
      </c>
      <c r="S1176" s="4" t="s">
        <v>2308</v>
      </c>
      <c r="T1176" s="4" t="s">
        <v>2308</v>
      </c>
      <c r="U1176" s="4" t="s">
        <v>2308</v>
      </c>
      <c r="V1176" s="4" t="s">
        <v>2308</v>
      </c>
      <c r="W1176" s="4" t="s">
        <v>2308</v>
      </c>
      <c r="X1176" s="4" t="s">
        <v>2308</v>
      </c>
      <c r="Y1176" s="4" t="s">
        <v>2308</v>
      </c>
      <c r="Z1176" s="4" t="s">
        <v>2308</v>
      </c>
      <c r="AA1176" s="5" t="s">
        <v>3658</v>
      </c>
      <c r="AB1176" s="4"/>
    </row>
    <row r="1177" spans="1:28" ht="40" customHeight="1">
      <c r="A1177" s="7" t="str">
        <f>'Reported burning'!A1177</f>
        <v>137b</v>
      </c>
      <c r="B1177" s="7" t="str">
        <f>'Reported burning'!B1177</f>
        <v>137b.1</v>
      </c>
      <c r="C1177" s="7" t="str">
        <f>'Reported burning'!C1177</f>
        <v>Human, deliberate</v>
      </c>
      <c r="D1177" s="7" t="str">
        <f>'Reported burning'!D1177</f>
        <v>Crop field preparation</v>
      </c>
      <c r="E1177" s="7" t="str">
        <f>'Reported burning'!E1177</f>
        <v>Cropping, Swidden</v>
      </c>
      <c r="F1177" s="7" t="str">
        <f>'Reported burning'!F1177</f>
        <v>Secondary Vegetation</v>
      </c>
      <c r="G1177" s="7" t="str">
        <f>'Reported burning'!G1177</f>
        <v>ND</v>
      </c>
      <c r="H1177" s="7" t="str">
        <f>'Reported burning'!H1177</f>
        <v>Presence</v>
      </c>
      <c r="I1177" s="4"/>
      <c r="J1177" s="4" t="s">
        <v>2308</v>
      </c>
      <c r="K1177" s="4" t="s">
        <v>2308</v>
      </c>
      <c r="L1177" s="4" t="s">
        <v>2308</v>
      </c>
      <c r="M1177" s="4" t="s">
        <v>2308</v>
      </c>
      <c r="N1177" s="4" t="s">
        <v>2308</v>
      </c>
      <c r="O1177" s="4" t="s">
        <v>2308</v>
      </c>
      <c r="P1177" s="4" t="s">
        <v>2308</v>
      </c>
      <c r="Q1177" s="4" t="s">
        <v>2308</v>
      </c>
      <c r="R1177" s="4" t="s">
        <v>2308</v>
      </c>
      <c r="S1177" s="4" t="s">
        <v>2308</v>
      </c>
      <c r="T1177" s="4" t="s">
        <v>2308</v>
      </c>
      <c r="U1177" s="4" t="s">
        <v>2308</v>
      </c>
      <c r="V1177" s="4" t="s">
        <v>2308</v>
      </c>
      <c r="W1177" s="4" t="s">
        <v>2308</v>
      </c>
      <c r="X1177" s="4" t="s">
        <v>2308</v>
      </c>
      <c r="Y1177" s="4" t="s">
        <v>2308</v>
      </c>
      <c r="Z1177" s="4" t="s">
        <v>2308</v>
      </c>
      <c r="AA1177" s="5" t="s">
        <v>3659</v>
      </c>
      <c r="AB1177" s="4"/>
    </row>
    <row r="1178" spans="1:28" ht="38" customHeight="1">
      <c r="A1178" s="7" t="str">
        <f>'Reported burning'!A1178</f>
        <v>137c</v>
      </c>
      <c r="B1178" s="7" t="str">
        <f>'Reported burning'!B1178</f>
        <v>137c.1</v>
      </c>
      <c r="C1178" s="7" t="str">
        <f>'Reported burning'!C1178</f>
        <v>Human, deliberate</v>
      </c>
      <c r="D1178" s="7" t="str">
        <f>'Reported burning'!D1178</f>
        <v>Crop field preparation</v>
      </c>
      <c r="E1178" s="7" t="str">
        <f>'Reported burning'!E1178</f>
        <v>Cropping, Swidden</v>
      </c>
      <c r="F1178" s="7" t="str">
        <f>'Reported burning'!F1178</f>
        <v>Secondary Vegetation</v>
      </c>
      <c r="G1178" s="7" t="str">
        <f>'Reported burning'!G1178</f>
        <v>ND</v>
      </c>
      <c r="H1178" s="7" t="str">
        <f>'Reported burning'!H1178</f>
        <v>Presence</v>
      </c>
      <c r="I1178" s="4"/>
      <c r="J1178" s="4" t="s">
        <v>2308</v>
      </c>
      <c r="K1178" s="4" t="s">
        <v>2308</v>
      </c>
      <c r="L1178" s="4" t="s">
        <v>2308</v>
      </c>
      <c r="M1178" s="4" t="s">
        <v>2308</v>
      </c>
      <c r="N1178" s="4" t="s">
        <v>2308</v>
      </c>
      <c r="O1178" s="4" t="s">
        <v>2308</v>
      </c>
      <c r="P1178" s="4" t="s">
        <v>2308</v>
      </c>
      <c r="Q1178" s="4" t="s">
        <v>2308</v>
      </c>
      <c r="R1178" s="4" t="s">
        <v>2308</v>
      </c>
      <c r="S1178" s="4" t="s">
        <v>2308</v>
      </c>
      <c r="T1178" s="4" t="s">
        <v>2308</v>
      </c>
      <c r="U1178" s="4" t="s">
        <v>2308</v>
      </c>
      <c r="V1178" s="4" t="s">
        <v>2308</v>
      </c>
      <c r="W1178" s="4" t="s">
        <v>2308</v>
      </c>
      <c r="X1178" s="4" t="s">
        <v>2308</v>
      </c>
      <c r="Y1178" s="4" t="s">
        <v>2308</v>
      </c>
      <c r="Z1178" s="4" t="s">
        <v>2308</v>
      </c>
      <c r="AA1178" s="5" t="s">
        <v>3660</v>
      </c>
      <c r="AB1178" s="4"/>
    </row>
    <row r="1179" spans="1:28" ht="35.5" customHeight="1">
      <c r="A1179" s="7" t="str">
        <f>'Reported burning'!A1179</f>
        <v>137d</v>
      </c>
      <c r="B1179" s="7" t="str">
        <f>'Reported burning'!B1179</f>
        <v>137d.1</v>
      </c>
      <c r="C1179" s="7" t="str">
        <f>'Reported burning'!C1179</f>
        <v>Human, deliberate</v>
      </c>
      <c r="D1179" s="7" t="str">
        <f>'Reported burning'!D1179</f>
        <v>Crop field preparation</v>
      </c>
      <c r="E1179" s="7" t="str">
        <f>'Reported burning'!E1179</f>
        <v>Cropping, Swidden</v>
      </c>
      <c r="F1179" s="7" t="str">
        <f>'Reported burning'!F1179</f>
        <v>Secondary Vegetation</v>
      </c>
      <c r="G1179" s="7" t="str">
        <f>'Reported burning'!G1179</f>
        <v>ND</v>
      </c>
      <c r="H1179" s="7" t="str">
        <f>'Reported burning'!H1179</f>
        <v>Presence</v>
      </c>
      <c r="I1179" s="4"/>
      <c r="J1179" s="4" t="s">
        <v>2308</v>
      </c>
      <c r="K1179" s="4" t="s">
        <v>2308</v>
      </c>
      <c r="L1179" s="4" t="s">
        <v>2308</v>
      </c>
      <c r="M1179" s="4" t="s">
        <v>2308</v>
      </c>
      <c r="N1179" s="4" t="s">
        <v>2308</v>
      </c>
      <c r="O1179" s="4" t="s">
        <v>2308</v>
      </c>
      <c r="P1179" s="4" t="s">
        <v>2308</v>
      </c>
      <c r="Q1179" s="4" t="s">
        <v>2308</v>
      </c>
      <c r="R1179" s="4" t="s">
        <v>2308</v>
      </c>
      <c r="S1179" s="4" t="s">
        <v>2308</v>
      </c>
      <c r="T1179" s="4" t="s">
        <v>2308</v>
      </c>
      <c r="U1179" s="4" t="s">
        <v>2308</v>
      </c>
      <c r="V1179" s="4" t="s">
        <v>2308</v>
      </c>
      <c r="W1179" s="4" t="s">
        <v>2308</v>
      </c>
      <c r="X1179" s="4" t="s">
        <v>2308</v>
      </c>
      <c r="Y1179" s="4" t="s">
        <v>2308</v>
      </c>
      <c r="Z1179" s="4" t="s">
        <v>2308</v>
      </c>
      <c r="AA1179" s="5" t="s">
        <v>3660</v>
      </c>
      <c r="AB1179" s="4"/>
    </row>
    <row r="1180" spans="1:28" ht="35.5" customHeight="1">
      <c r="A1180" s="7" t="str">
        <f>'Reported burning'!A1180</f>
        <v>137e</v>
      </c>
      <c r="B1180" s="7" t="str">
        <f>'Reported burning'!B1180</f>
        <v>137e.1</v>
      </c>
      <c r="C1180" s="7" t="str">
        <f>'Reported burning'!C1180</f>
        <v>Human, deliberate</v>
      </c>
      <c r="D1180" s="7" t="str">
        <f>'Reported burning'!D1180</f>
        <v>Crop field preparation</v>
      </c>
      <c r="E1180" s="7" t="str">
        <f>'Reported burning'!E1180</f>
        <v>Cropping, Swidden</v>
      </c>
      <c r="F1180" s="7" t="str">
        <f>'Reported burning'!F1180</f>
        <v>Secondary Vegetation</v>
      </c>
      <c r="G1180" s="7" t="str">
        <f>'Reported burning'!G1180</f>
        <v>ND</v>
      </c>
      <c r="H1180" s="7" t="str">
        <f>'Reported burning'!H1180</f>
        <v>Absence</v>
      </c>
      <c r="I1180" s="4"/>
      <c r="J1180" s="161">
        <f>'Reported burning'!J1180</f>
        <v>0</v>
      </c>
      <c r="K1180" s="161">
        <f>'Reported burning'!K1180</f>
        <v>0</v>
      </c>
      <c r="L1180" s="161">
        <f>'Reported burning'!L1180</f>
        <v>0</v>
      </c>
      <c r="M1180" s="161">
        <f>'Reported burning'!M1180</f>
        <v>0</v>
      </c>
      <c r="N1180" s="161">
        <f>'Reported burning'!N1180</f>
        <v>0</v>
      </c>
      <c r="O1180" s="161">
        <f>'Reported burning'!O1180</f>
        <v>0</v>
      </c>
      <c r="P1180" s="161">
        <f>'Reported burning'!P1180</f>
        <v>0</v>
      </c>
      <c r="Q1180" s="161">
        <f>'Reported burning'!Q1180</f>
        <v>0</v>
      </c>
      <c r="R1180" s="161">
        <f>'Reported burning'!R1180</f>
        <v>0</v>
      </c>
      <c r="S1180" s="161">
        <f>'Reported burning'!S1180</f>
        <v>0</v>
      </c>
      <c r="T1180" s="161">
        <f>'Reported burning'!T1180</f>
        <v>0</v>
      </c>
      <c r="U1180" s="161">
        <f>'Reported burning'!U1180</f>
        <v>0</v>
      </c>
      <c r="V1180" s="161">
        <f>'Reported burning'!V1180</f>
        <v>0</v>
      </c>
      <c r="W1180" s="161">
        <f>'Reported burning'!W1180</f>
        <v>0</v>
      </c>
      <c r="X1180" s="4" t="s">
        <v>2308</v>
      </c>
      <c r="Y1180" s="4" t="s">
        <v>2308</v>
      </c>
      <c r="Z1180" s="4" t="s">
        <v>2308</v>
      </c>
      <c r="AA1180" s="4"/>
      <c r="AB1180" s="4"/>
    </row>
    <row r="1181" spans="1:28" ht="36" customHeight="1">
      <c r="A1181" s="7" t="str">
        <f>'Reported burning'!A1181</f>
        <v>137a</v>
      </c>
      <c r="B1181" s="7" t="str">
        <f>'Reported burning'!B1181</f>
        <v>137a.2</v>
      </c>
      <c r="C1181" s="7" t="str">
        <f>'Reported burning'!C1181</f>
        <v>Human, deliberate</v>
      </c>
      <c r="D1181" s="7" t="str">
        <f>'Reported burning'!D1181</f>
        <v>Crop residue burning</v>
      </c>
      <c r="E1181" s="7" t="str">
        <f>'Reported burning'!E1181</f>
        <v>Cropping, Swidden</v>
      </c>
      <c r="F1181" s="7" t="str">
        <f>'Reported burning'!F1181</f>
        <v>Cropland</v>
      </c>
      <c r="G1181" s="7" t="str">
        <f>'Reported burning'!G1181</f>
        <v>ND</v>
      </c>
      <c r="H1181" s="7" t="str">
        <f>'Reported burning'!H1181</f>
        <v>Presence</v>
      </c>
      <c r="I1181" s="4"/>
      <c r="J1181" s="4" t="s">
        <v>2308</v>
      </c>
      <c r="K1181" s="4" t="s">
        <v>2308</v>
      </c>
      <c r="L1181" s="4" t="s">
        <v>2308</v>
      </c>
      <c r="M1181" s="4" t="s">
        <v>2308</v>
      </c>
      <c r="N1181" s="4" t="s">
        <v>2308</v>
      </c>
      <c r="O1181" s="4" t="s">
        <v>2308</v>
      </c>
      <c r="P1181" s="4" t="s">
        <v>2308</v>
      </c>
      <c r="Q1181" s="4" t="s">
        <v>2308</v>
      </c>
      <c r="R1181" s="4" t="s">
        <v>2308</v>
      </c>
      <c r="S1181" s="4" t="s">
        <v>2408</v>
      </c>
      <c r="T1181" s="4" t="s">
        <v>2308</v>
      </c>
      <c r="U1181" s="4" t="s">
        <v>2560</v>
      </c>
      <c r="V1181" s="4" t="s">
        <v>2308</v>
      </c>
      <c r="W1181" s="4" t="s">
        <v>2407</v>
      </c>
      <c r="X1181" s="4" t="s">
        <v>2308</v>
      </c>
      <c r="Y1181" s="4" t="s">
        <v>2308</v>
      </c>
      <c r="Z1181" s="4" t="s">
        <v>2308</v>
      </c>
      <c r="AA1181" s="5" t="s">
        <v>3661</v>
      </c>
      <c r="AB1181" s="4"/>
    </row>
    <row r="1182" spans="1:28" ht="36" customHeight="1">
      <c r="A1182" s="7" t="str">
        <f>'Reported burning'!A1182</f>
        <v>137b</v>
      </c>
      <c r="B1182" s="7" t="str">
        <f>'Reported burning'!B1182</f>
        <v>137b.2</v>
      </c>
      <c r="C1182" s="7" t="str">
        <f>'Reported burning'!C1182</f>
        <v>Human, deliberate</v>
      </c>
      <c r="D1182" s="7" t="str">
        <f>'Reported burning'!D1182</f>
        <v>Crop residue burning</v>
      </c>
      <c r="E1182" s="7" t="str">
        <f>'Reported burning'!E1182</f>
        <v>Cropping, Swidden</v>
      </c>
      <c r="F1182" s="7" t="str">
        <f>'Reported burning'!F1182</f>
        <v>Cropland</v>
      </c>
      <c r="G1182" s="7" t="str">
        <f>'Reported burning'!G1182</f>
        <v>ND</v>
      </c>
      <c r="H1182" s="7" t="str">
        <f>'Reported burning'!H1182</f>
        <v>Presence</v>
      </c>
      <c r="I1182" s="4"/>
      <c r="J1182" s="4" t="s">
        <v>2308</v>
      </c>
      <c r="K1182" s="4" t="s">
        <v>2308</v>
      </c>
      <c r="L1182" s="4" t="s">
        <v>2308</v>
      </c>
      <c r="M1182" s="4" t="s">
        <v>2308</v>
      </c>
      <c r="N1182" s="4" t="s">
        <v>2308</v>
      </c>
      <c r="O1182" s="4" t="s">
        <v>2308</v>
      </c>
      <c r="P1182" s="4" t="s">
        <v>2308</v>
      </c>
      <c r="Q1182" s="4" t="s">
        <v>2308</v>
      </c>
      <c r="R1182" s="4" t="s">
        <v>2308</v>
      </c>
      <c r="S1182" s="4" t="s">
        <v>2424</v>
      </c>
      <c r="T1182" s="4" t="s">
        <v>2308</v>
      </c>
      <c r="U1182" s="4" t="s">
        <v>2406</v>
      </c>
      <c r="V1182" s="4" t="s">
        <v>2308</v>
      </c>
      <c r="W1182" s="4" t="s">
        <v>2407</v>
      </c>
      <c r="X1182" s="4" t="s">
        <v>2308</v>
      </c>
      <c r="Y1182" s="4" t="s">
        <v>2308</v>
      </c>
      <c r="Z1182" s="4" t="s">
        <v>2308</v>
      </c>
      <c r="AA1182" s="5" t="s">
        <v>3661</v>
      </c>
      <c r="AB1182" s="4"/>
    </row>
    <row r="1183" spans="1:28" ht="36" customHeight="1">
      <c r="A1183" s="7" t="str">
        <f>'Reported burning'!A1183</f>
        <v>137c</v>
      </c>
      <c r="B1183" s="7" t="str">
        <f>'Reported burning'!B1183</f>
        <v>137c.2</v>
      </c>
      <c r="C1183" s="7" t="str">
        <f>'Reported burning'!C1183</f>
        <v>Human, deliberate</v>
      </c>
      <c r="D1183" s="7" t="str">
        <f>'Reported burning'!D1183</f>
        <v>Crop residue burning</v>
      </c>
      <c r="E1183" s="7" t="str">
        <f>'Reported burning'!E1183</f>
        <v>Cropping, Swidden</v>
      </c>
      <c r="F1183" s="7" t="str">
        <f>'Reported burning'!F1183</f>
        <v>Cropland</v>
      </c>
      <c r="G1183" s="7" t="str">
        <f>'Reported burning'!G1183</f>
        <v>ND</v>
      </c>
      <c r="H1183" s="7" t="str">
        <f>'Reported burning'!H1183</f>
        <v>Presence</v>
      </c>
      <c r="I1183" s="4"/>
      <c r="J1183" s="4" t="s">
        <v>2308</v>
      </c>
      <c r="K1183" s="4" t="s">
        <v>2308</v>
      </c>
      <c r="L1183" s="4" t="s">
        <v>2308</v>
      </c>
      <c r="M1183" s="4" t="s">
        <v>2308</v>
      </c>
      <c r="N1183" s="4" t="s">
        <v>2308</v>
      </c>
      <c r="O1183" s="4" t="s">
        <v>2308</v>
      </c>
      <c r="P1183" s="4" t="s">
        <v>2308</v>
      </c>
      <c r="Q1183" s="4" t="s">
        <v>2308</v>
      </c>
      <c r="R1183" s="4" t="s">
        <v>2308</v>
      </c>
      <c r="S1183" s="4" t="s">
        <v>2422</v>
      </c>
      <c r="T1183" s="4" t="s">
        <v>2308</v>
      </c>
      <c r="U1183" s="4" t="s">
        <v>2560</v>
      </c>
      <c r="V1183" s="4" t="s">
        <v>2308</v>
      </c>
      <c r="W1183" s="4" t="s">
        <v>2407</v>
      </c>
      <c r="X1183" s="4" t="s">
        <v>2308</v>
      </c>
      <c r="Y1183" s="4" t="s">
        <v>2308</v>
      </c>
      <c r="Z1183" s="4" t="s">
        <v>2308</v>
      </c>
      <c r="AA1183" s="5" t="s">
        <v>3661</v>
      </c>
      <c r="AB1183" s="4"/>
    </row>
    <row r="1184" spans="1:28" ht="36" customHeight="1">
      <c r="A1184" s="7" t="str">
        <f>'Reported burning'!A1184</f>
        <v>137d</v>
      </c>
      <c r="B1184" s="7" t="str">
        <f>'Reported burning'!B1184</f>
        <v>137d.2</v>
      </c>
      <c r="C1184" s="7" t="str">
        <f>'Reported burning'!C1184</f>
        <v>Human, deliberate</v>
      </c>
      <c r="D1184" s="7" t="str">
        <f>'Reported burning'!D1184</f>
        <v>Crop residue burning</v>
      </c>
      <c r="E1184" s="7" t="str">
        <f>'Reported burning'!E1184</f>
        <v>Cropping, Swidden</v>
      </c>
      <c r="F1184" s="7" t="str">
        <f>'Reported burning'!F1184</f>
        <v>Cropland</v>
      </c>
      <c r="G1184" s="7" t="str">
        <f>'Reported burning'!G1184</f>
        <v>ND</v>
      </c>
      <c r="H1184" s="7" t="str">
        <f>'Reported burning'!H1184</f>
        <v>Presence</v>
      </c>
      <c r="I1184" s="4"/>
      <c r="J1184" s="4" t="s">
        <v>2308</v>
      </c>
      <c r="K1184" s="4" t="s">
        <v>2308</v>
      </c>
      <c r="L1184" s="4" t="s">
        <v>2308</v>
      </c>
      <c r="M1184" s="4" t="s">
        <v>2308</v>
      </c>
      <c r="N1184" s="4" t="s">
        <v>2308</v>
      </c>
      <c r="O1184" s="4" t="s">
        <v>2308</v>
      </c>
      <c r="P1184" s="4" t="s">
        <v>2308</v>
      </c>
      <c r="Q1184" s="4" t="s">
        <v>2308</v>
      </c>
      <c r="R1184" s="4" t="s">
        <v>2308</v>
      </c>
      <c r="S1184" s="4" t="s">
        <v>2408</v>
      </c>
      <c r="T1184" s="4" t="s">
        <v>2308</v>
      </c>
      <c r="U1184" s="4" t="s">
        <v>2560</v>
      </c>
      <c r="V1184" s="4" t="s">
        <v>2308</v>
      </c>
      <c r="W1184" s="4" t="s">
        <v>2407</v>
      </c>
      <c r="X1184" s="4" t="s">
        <v>2308</v>
      </c>
      <c r="Y1184" s="4" t="s">
        <v>2308</v>
      </c>
      <c r="Z1184" s="4" t="s">
        <v>2308</v>
      </c>
      <c r="AA1184" s="5" t="s">
        <v>3661</v>
      </c>
      <c r="AB1184" s="4"/>
    </row>
    <row r="1185" spans="1:28" ht="36" customHeight="1">
      <c r="A1185" s="7" t="str">
        <f>'Reported burning'!A1185</f>
        <v>137e</v>
      </c>
      <c r="B1185" s="7" t="str">
        <f>'Reported burning'!B1185</f>
        <v>137e.2</v>
      </c>
      <c r="C1185" s="7" t="str">
        <f>'Reported burning'!C1185</f>
        <v>Human, deliberate</v>
      </c>
      <c r="D1185" s="7" t="str">
        <f>'Reported burning'!D1185</f>
        <v>Crop residue burning</v>
      </c>
      <c r="E1185" s="7" t="str">
        <f>'Reported burning'!E1185</f>
        <v>Cropping, Swidden</v>
      </c>
      <c r="F1185" s="7" t="str">
        <f>'Reported burning'!F1185</f>
        <v>Cropland</v>
      </c>
      <c r="G1185" s="7" t="str">
        <f>'Reported burning'!G1185</f>
        <v>ND</v>
      </c>
      <c r="H1185" s="7" t="str">
        <f>'Reported burning'!H1185</f>
        <v>Presence</v>
      </c>
      <c r="I1185" s="4"/>
      <c r="J1185" s="4" t="s">
        <v>2308</v>
      </c>
      <c r="K1185" s="4" t="s">
        <v>2308</v>
      </c>
      <c r="L1185" s="4" t="s">
        <v>2308</v>
      </c>
      <c r="M1185" s="4" t="s">
        <v>2308</v>
      </c>
      <c r="N1185" s="4" t="s">
        <v>2308</v>
      </c>
      <c r="O1185" s="4" t="s">
        <v>2308</v>
      </c>
      <c r="P1185" s="4" t="s">
        <v>2308</v>
      </c>
      <c r="Q1185" s="4" t="s">
        <v>2308</v>
      </c>
      <c r="R1185" s="4" t="s">
        <v>2308</v>
      </c>
      <c r="S1185" s="4" t="s">
        <v>2560</v>
      </c>
      <c r="T1185" s="4" t="s">
        <v>2308</v>
      </c>
      <c r="U1185" s="4" t="s">
        <v>2560</v>
      </c>
      <c r="V1185" s="4" t="s">
        <v>2308</v>
      </c>
      <c r="W1185" s="4" t="s">
        <v>2407</v>
      </c>
      <c r="X1185" s="4" t="s">
        <v>2308</v>
      </c>
      <c r="Y1185" s="4" t="s">
        <v>2308</v>
      </c>
      <c r="Z1185" s="4" t="s">
        <v>2308</v>
      </c>
      <c r="AA1185" s="5" t="s">
        <v>3661</v>
      </c>
      <c r="AB1185" s="4"/>
    </row>
    <row r="1186" spans="1:28" ht="29">
      <c r="A1186" s="7" t="str">
        <f>'Reported burning'!A1186</f>
        <v>138a</v>
      </c>
      <c r="B1186" s="7" t="str">
        <f>'Reported burning'!B1186</f>
        <v>138a.1</v>
      </c>
      <c r="C1186" s="7" t="str">
        <f>'Reported burning'!C1186</f>
        <v>Human, deliberate</v>
      </c>
      <c r="D1186" s="7" t="str">
        <f>'Reported burning'!D1186</f>
        <v>Rangeland management</v>
      </c>
      <c r="E1186" s="7" t="str">
        <f>'Reported burning'!E1186</f>
        <v>Pastoralism, Migratory</v>
      </c>
      <c r="F1186" s="7" t="str">
        <f>'Reported burning'!F1186</f>
        <v>ND</v>
      </c>
      <c r="G1186" s="7" t="str">
        <f>'Reported burning'!G1186</f>
        <v>ND</v>
      </c>
      <c r="H1186" s="7" t="str">
        <f>'Reported burning'!H1186</f>
        <v>Absence</v>
      </c>
      <c r="I1186" s="4"/>
      <c r="J1186" s="22">
        <v>0</v>
      </c>
      <c r="K1186" s="22">
        <v>0</v>
      </c>
      <c r="L1186" s="22">
        <v>0</v>
      </c>
      <c r="M1186" s="22">
        <v>0</v>
      </c>
      <c r="N1186" s="22">
        <v>0</v>
      </c>
      <c r="O1186" s="22">
        <v>0</v>
      </c>
      <c r="P1186" s="22">
        <v>0</v>
      </c>
      <c r="Q1186" s="22">
        <v>0</v>
      </c>
      <c r="R1186" s="22">
        <v>0</v>
      </c>
      <c r="S1186" s="22">
        <v>0</v>
      </c>
      <c r="T1186" s="22">
        <v>0</v>
      </c>
      <c r="U1186" s="22">
        <v>0</v>
      </c>
      <c r="V1186" s="22">
        <v>0</v>
      </c>
      <c r="W1186" s="4" t="s">
        <v>2308</v>
      </c>
      <c r="X1186" s="4" t="s">
        <v>2308</v>
      </c>
      <c r="Y1186" s="4" t="s">
        <v>2308</v>
      </c>
      <c r="Z1186" s="4" t="s">
        <v>2308</v>
      </c>
      <c r="AA1186" s="4"/>
      <c r="AB1186" s="5" t="s">
        <v>3669</v>
      </c>
    </row>
    <row r="1187" spans="1:28" ht="29">
      <c r="A1187" s="7" t="str">
        <f>'Reported burning'!A1187</f>
        <v>138a</v>
      </c>
      <c r="B1187" s="7" t="str">
        <f>'Reported burning'!B1187</f>
        <v>138a.2</v>
      </c>
      <c r="C1187" s="7" t="str">
        <f>'Reported burning'!C1187</f>
        <v>Human, deliberate</v>
      </c>
      <c r="D1187" s="7" t="str">
        <f>'Reported burning'!D1187</f>
        <v>Pasture renewal</v>
      </c>
      <c r="E1187" s="7" t="str">
        <f>'Reported burning'!E1187</f>
        <v>Pastoralism, Migratory</v>
      </c>
      <c r="F1187" s="7" t="str">
        <f>'Reported burning'!F1187</f>
        <v>ND</v>
      </c>
      <c r="G1187" s="7" t="str">
        <f>'Reported burning'!G1187</f>
        <v>ND</v>
      </c>
      <c r="H1187" s="7" t="str">
        <f>'Reported burning'!H1187</f>
        <v>Absence</v>
      </c>
      <c r="I1187" s="4"/>
      <c r="J1187" s="22">
        <v>0</v>
      </c>
      <c r="K1187" s="22">
        <v>0</v>
      </c>
      <c r="L1187" s="22">
        <v>0</v>
      </c>
      <c r="M1187" s="22">
        <v>0</v>
      </c>
      <c r="N1187" s="22">
        <v>0</v>
      </c>
      <c r="O1187" s="22">
        <v>0</v>
      </c>
      <c r="P1187" s="22">
        <v>0</v>
      </c>
      <c r="Q1187" s="22">
        <v>0</v>
      </c>
      <c r="R1187" s="22">
        <v>0</v>
      </c>
      <c r="S1187" s="22">
        <v>0</v>
      </c>
      <c r="T1187" s="22">
        <v>0</v>
      </c>
      <c r="U1187" s="22">
        <v>0</v>
      </c>
      <c r="V1187" s="22">
        <v>0</v>
      </c>
      <c r="W1187" s="4" t="s">
        <v>2308</v>
      </c>
      <c r="X1187" s="4" t="s">
        <v>2308</v>
      </c>
      <c r="Y1187" s="4" t="s">
        <v>2308</v>
      </c>
      <c r="Z1187" s="4" t="s">
        <v>2308</v>
      </c>
      <c r="AA1187" s="4"/>
      <c r="AB1187" s="5" t="s">
        <v>3669</v>
      </c>
    </row>
    <row r="1188" spans="1:28" ht="29">
      <c r="A1188" s="7" t="str">
        <f>'Reported burning'!A1188</f>
        <v>138a</v>
      </c>
      <c r="B1188" s="7" t="str">
        <f>'Reported burning'!B1188</f>
        <v>138a.3</v>
      </c>
      <c r="C1188" s="7" t="str">
        <f>'Reported burning'!C1188</f>
        <v>Human, deliberate</v>
      </c>
      <c r="D1188" s="7" t="str">
        <f>'Reported burning'!D1188</f>
        <v>Rangeland management</v>
      </c>
      <c r="E1188" s="7" t="str">
        <f>'Reported burning'!E1188</f>
        <v>Cattle, Extensive</v>
      </c>
      <c r="F1188" s="7" t="str">
        <f>'Reported burning'!F1188</f>
        <v>ND</v>
      </c>
      <c r="G1188" s="7" t="str">
        <f>'Reported burning'!G1188</f>
        <v>ND</v>
      </c>
      <c r="H1188" s="7" t="str">
        <f>'Reported burning'!H1188</f>
        <v>Absence</v>
      </c>
      <c r="I1188" s="4"/>
      <c r="J1188" s="22">
        <v>0</v>
      </c>
      <c r="K1188" s="22">
        <v>0</v>
      </c>
      <c r="L1188" s="22">
        <v>0</v>
      </c>
      <c r="M1188" s="22">
        <v>0</v>
      </c>
      <c r="N1188" s="22">
        <v>0</v>
      </c>
      <c r="O1188" s="22">
        <v>0</v>
      </c>
      <c r="P1188" s="22">
        <v>0</v>
      </c>
      <c r="Q1188" s="22">
        <v>0</v>
      </c>
      <c r="R1188" s="22">
        <v>0</v>
      </c>
      <c r="S1188" s="22">
        <v>0</v>
      </c>
      <c r="T1188" s="22">
        <v>0</v>
      </c>
      <c r="U1188" s="22">
        <v>0</v>
      </c>
      <c r="V1188" s="22">
        <v>0</v>
      </c>
      <c r="W1188" s="4" t="s">
        <v>2308</v>
      </c>
      <c r="X1188" s="4" t="s">
        <v>2308</v>
      </c>
      <c r="Y1188" s="4" t="s">
        <v>2308</v>
      </c>
      <c r="Z1188" s="4" t="s">
        <v>2308</v>
      </c>
      <c r="AA1188" s="4"/>
      <c r="AB1188" s="5" t="s">
        <v>3669</v>
      </c>
    </row>
    <row r="1189" spans="1:28" ht="29">
      <c r="A1189" s="7" t="str">
        <f>'Reported burning'!A1189</f>
        <v>138a</v>
      </c>
      <c r="B1189" s="7" t="str">
        <f>'Reported burning'!B1189</f>
        <v>138a.4</v>
      </c>
      <c r="C1189" s="7" t="str">
        <f>'Reported burning'!C1189</f>
        <v>Human, deliberate</v>
      </c>
      <c r="D1189" s="7" t="str">
        <f>'Reported burning'!D1189</f>
        <v>Pasture renewal</v>
      </c>
      <c r="E1189" s="7" t="str">
        <f>'Reported burning'!E1189</f>
        <v>Cattle, Extensive</v>
      </c>
      <c r="F1189" s="7" t="str">
        <f>'Reported burning'!F1189</f>
        <v>ND</v>
      </c>
      <c r="G1189" s="7" t="str">
        <f>'Reported burning'!G1189</f>
        <v>ND</v>
      </c>
      <c r="H1189" s="7" t="str">
        <f>'Reported burning'!H1189</f>
        <v>Absence</v>
      </c>
      <c r="I1189" s="4"/>
      <c r="J1189" s="22">
        <v>0</v>
      </c>
      <c r="K1189" s="22">
        <v>0</v>
      </c>
      <c r="L1189" s="22">
        <v>0</v>
      </c>
      <c r="M1189" s="22">
        <v>0</v>
      </c>
      <c r="N1189" s="22">
        <v>0</v>
      </c>
      <c r="O1189" s="22">
        <v>0</v>
      </c>
      <c r="P1189" s="22">
        <v>0</v>
      </c>
      <c r="Q1189" s="22">
        <v>0</v>
      </c>
      <c r="R1189" s="22">
        <v>0</v>
      </c>
      <c r="S1189" s="22">
        <v>0</v>
      </c>
      <c r="T1189" s="22">
        <v>0</v>
      </c>
      <c r="U1189" s="22">
        <v>0</v>
      </c>
      <c r="V1189" s="22">
        <v>0</v>
      </c>
      <c r="W1189" s="4" t="s">
        <v>2308</v>
      </c>
      <c r="X1189" s="4" t="s">
        <v>2308</v>
      </c>
      <c r="Y1189" s="4" t="s">
        <v>2308</v>
      </c>
      <c r="Z1189" s="4" t="s">
        <v>2308</v>
      </c>
      <c r="AA1189" s="4"/>
      <c r="AB1189" s="5" t="s">
        <v>3669</v>
      </c>
    </row>
    <row r="1190" spans="1:28">
      <c r="A1190" s="7" t="str">
        <f>'Reported burning'!A1190</f>
        <v>139a</v>
      </c>
      <c r="B1190" s="7" t="str">
        <f>'Reported burning'!B1190</f>
        <v>139a.1</v>
      </c>
      <c r="C1190" s="7" t="str">
        <f>'Reported burning'!C1190</f>
        <v>Human, deliberate</v>
      </c>
      <c r="D1190" s="7" t="str">
        <f>'Reported burning'!D1190</f>
        <v>Crop field preparation</v>
      </c>
      <c r="E1190" s="7" t="str">
        <f>'Reported burning'!E1190</f>
        <v>Cropping, Swidden</v>
      </c>
      <c r="F1190" s="7" t="str">
        <f>'Reported burning'!F1190</f>
        <v>ND</v>
      </c>
      <c r="G1190" s="7" t="str">
        <f>'Reported burning'!G1190</f>
        <v>ND</v>
      </c>
      <c r="H1190" s="7" t="str">
        <f>'Reported burning'!H1190</f>
        <v>Presence</v>
      </c>
      <c r="I1190" s="4"/>
      <c r="J1190" s="4" t="s">
        <v>2308</v>
      </c>
      <c r="K1190" s="4" t="s">
        <v>2308</v>
      </c>
      <c r="L1190" s="4" t="s">
        <v>2308</v>
      </c>
      <c r="M1190" s="4" t="s">
        <v>2308</v>
      </c>
      <c r="N1190" s="4" t="s">
        <v>2308</v>
      </c>
      <c r="O1190" s="4" t="s">
        <v>2308</v>
      </c>
      <c r="P1190" s="4" t="s">
        <v>2308</v>
      </c>
      <c r="Q1190" s="4" t="s">
        <v>2308</v>
      </c>
      <c r="R1190" s="4" t="s">
        <v>2308</v>
      </c>
      <c r="S1190" s="4" t="s">
        <v>2308</v>
      </c>
      <c r="T1190" s="4" t="s">
        <v>2308</v>
      </c>
      <c r="U1190" s="4" t="s">
        <v>2308</v>
      </c>
      <c r="V1190" s="4" t="s">
        <v>2308</v>
      </c>
      <c r="W1190" s="4" t="s">
        <v>2308</v>
      </c>
      <c r="X1190" s="4" t="s">
        <v>2308</v>
      </c>
      <c r="Y1190" s="4" t="s">
        <v>2308</v>
      </c>
      <c r="Z1190" s="4" t="s">
        <v>2308</v>
      </c>
      <c r="AA1190" s="4"/>
      <c r="AB1190" s="4"/>
    </row>
    <row r="1191" spans="1:28">
      <c r="A1191" s="7" t="str">
        <f>'Reported burning'!A1191</f>
        <v>139b</v>
      </c>
      <c r="B1191" s="7" t="str">
        <f>'Reported burning'!B1191</f>
        <v>139b.1</v>
      </c>
      <c r="C1191" s="7" t="str">
        <f>'Reported burning'!C1191</f>
        <v>Human, deliberate</v>
      </c>
      <c r="D1191" s="7" t="str">
        <f>'Reported burning'!D1191</f>
        <v>Crop field preparation</v>
      </c>
      <c r="E1191" s="7" t="str">
        <f>'Reported burning'!E1191</f>
        <v>Cropping, Swidden</v>
      </c>
      <c r="F1191" s="7" t="str">
        <f>'Reported burning'!F1191</f>
        <v>ND</v>
      </c>
      <c r="G1191" s="7" t="str">
        <f>'Reported burning'!G1191</f>
        <v>ND</v>
      </c>
      <c r="H1191" s="7" t="str">
        <f>'Reported burning'!H1191</f>
        <v>Presence</v>
      </c>
      <c r="I1191" s="4"/>
      <c r="J1191" s="4" t="s">
        <v>2308</v>
      </c>
      <c r="K1191" s="4" t="s">
        <v>2308</v>
      </c>
      <c r="L1191" s="4" t="s">
        <v>2308</v>
      </c>
      <c r="M1191" s="4" t="s">
        <v>2308</v>
      </c>
      <c r="N1191" s="4" t="s">
        <v>2308</v>
      </c>
      <c r="O1191" s="4" t="s">
        <v>2308</v>
      </c>
      <c r="P1191" s="4" t="s">
        <v>2308</v>
      </c>
      <c r="Q1191" s="4" t="s">
        <v>2308</v>
      </c>
      <c r="R1191" s="4" t="s">
        <v>2308</v>
      </c>
      <c r="S1191" s="4" t="s">
        <v>2308</v>
      </c>
      <c r="T1191" s="4" t="s">
        <v>2308</v>
      </c>
      <c r="U1191" s="4" t="s">
        <v>2308</v>
      </c>
      <c r="V1191" s="4" t="s">
        <v>2308</v>
      </c>
      <c r="W1191" s="4" t="s">
        <v>2308</v>
      </c>
      <c r="X1191" s="4" t="s">
        <v>2308</v>
      </c>
      <c r="Y1191" s="4" t="s">
        <v>2308</v>
      </c>
      <c r="Z1191" s="4" t="s">
        <v>2308</v>
      </c>
      <c r="AA1191" s="4"/>
      <c r="AB1191" s="4"/>
    </row>
    <row r="1192" spans="1:28">
      <c r="A1192" s="7" t="str">
        <f>'Reported burning'!A1192</f>
        <v>139c</v>
      </c>
      <c r="B1192" s="7" t="str">
        <f>'Reported burning'!B1192</f>
        <v>139c.1</v>
      </c>
      <c r="C1192" s="7" t="str">
        <f>'Reported burning'!C1192</f>
        <v>Human, deliberate</v>
      </c>
      <c r="D1192" s="7" t="str">
        <f>'Reported burning'!D1192</f>
        <v>Crop field preparation</v>
      </c>
      <c r="E1192" s="7" t="str">
        <f>'Reported burning'!E1192</f>
        <v>Cropping, Swidden</v>
      </c>
      <c r="F1192" s="7" t="str">
        <f>'Reported burning'!F1192</f>
        <v>ND</v>
      </c>
      <c r="G1192" s="7" t="str">
        <f>'Reported burning'!G1192</f>
        <v>ND</v>
      </c>
      <c r="H1192" s="7" t="str">
        <f>'Reported burning'!H1192</f>
        <v>Presence</v>
      </c>
      <c r="I1192" s="4"/>
      <c r="J1192" s="4" t="s">
        <v>2308</v>
      </c>
      <c r="K1192" s="4" t="s">
        <v>2308</v>
      </c>
      <c r="L1192" s="4" t="s">
        <v>2308</v>
      </c>
      <c r="M1192" s="4" t="s">
        <v>2308</v>
      </c>
      <c r="N1192" s="4" t="s">
        <v>2308</v>
      </c>
      <c r="O1192" s="4" t="s">
        <v>2308</v>
      </c>
      <c r="P1192" s="4" t="s">
        <v>2308</v>
      </c>
      <c r="Q1192" s="4" t="s">
        <v>2308</v>
      </c>
      <c r="R1192" s="4" t="s">
        <v>2308</v>
      </c>
      <c r="S1192" s="4" t="s">
        <v>2308</v>
      </c>
      <c r="T1192" s="4" t="s">
        <v>2308</v>
      </c>
      <c r="U1192" s="4" t="s">
        <v>2308</v>
      </c>
      <c r="V1192" s="4" t="s">
        <v>2308</v>
      </c>
      <c r="W1192" s="4" t="s">
        <v>2308</v>
      </c>
      <c r="X1192" s="4" t="s">
        <v>2308</v>
      </c>
      <c r="Y1192" s="4" t="s">
        <v>2308</v>
      </c>
      <c r="Z1192" s="4" t="s">
        <v>2308</v>
      </c>
      <c r="AA1192" s="4"/>
      <c r="AB1192" s="4"/>
    </row>
    <row r="1193" spans="1:28">
      <c r="A1193" s="7" t="str">
        <f>'Reported burning'!A1193</f>
        <v>139d</v>
      </c>
      <c r="B1193" s="7" t="str">
        <f>'Reported burning'!B1193</f>
        <v>139d.1</v>
      </c>
      <c r="C1193" s="7" t="str">
        <f>'Reported burning'!C1193</f>
        <v>Human, deliberate</v>
      </c>
      <c r="D1193" s="7" t="str">
        <f>'Reported burning'!D1193</f>
        <v>Crop field preparation</v>
      </c>
      <c r="E1193" s="7" t="str">
        <f>'Reported burning'!E1193</f>
        <v>Cropping, Swidden</v>
      </c>
      <c r="F1193" s="7" t="str">
        <f>'Reported burning'!F1193</f>
        <v>ND</v>
      </c>
      <c r="G1193" s="7" t="str">
        <f>'Reported burning'!G1193</f>
        <v>ND</v>
      </c>
      <c r="H1193" s="7" t="str">
        <f>'Reported burning'!H1193</f>
        <v>Presence</v>
      </c>
      <c r="I1193" s="4"/>
      <c r="J1193" s="4" t="s">
        <v>2308</v>
      </c>
      <c r="K1193" s="4" t="s">
        <v>2308</v>
      </c>
      <c r="L1193" s="4" t="s">
        <v>2308</v>
      </c>
      <c r="M1193" s="4" t="s">
        <v>2308</v>
      </c>
      <c r="N1193" s="4" t="s">
        <v>2308</v>
      </c>
      <c r="O1193" s="4" t="s">
        <v>2308</v>
      </c>
      <c r="P1193" s="4" t="s">
        <v>2308</v>
      </c>
      <c r="Q1193" s="4" t="s">
        <v>2308</v>
      </c>
      <c r="R1193" s="4" t="s">
        <v>2308</v>
      </c>
      <c r="S1193" s="4" t="s">
        <v>2308</v>
      </c>
      <c r="T1193" s="4" t="s">
        <v>2308</v>
      </c>
      <c r="U1193" s="4" t="s">
        <v>2308</v>
      </c>
      <c r="V1193" s="4" t="s">
        <v>2308</v>
      </c>
      <c r="W1193" s="4" t="s">
        <v>2308</v>
      </c>
      <c r="X1193" s="4" t="s">
        <v>2308</v>
      </c>
      <c r="Y1193" s="4" t="s">
        <v>2308</v>
      </c>
      <c r="Z1193" s="4" t="s">
        <v>2308</v>
      </c>
      <c r="AA1193" s="4"/>
      <c r="AB1193" s="4"/>
    </row>
    <row r="1194" spans="1:28">
      <c r="A1194" s="7" t="str">
        <f>'Reported burning'!A1194</f>
        <v>139a</v>
      </c>
      <c r="B1194" s="7" t="str">
        <f>'Reported burning'!B1194</f>
        <v>139a.2</v>
      </c>
      <c r="C1194" s="7" t="str">
        <f>'Reported burning'!C1194</f>
        <v>Human, deliberate</v>
      </c>
      <c r="D1194" s="7" t="str">
        <f>'Reported burning'!D1194</f>
        <v>Conservation</v>
      </c>
      <c r="E1194" s="7" t="str">
        <f>'Reported burning'!E1194</f>
        <v>Biodiversity conservation</v>
      </c>
      <c r="F1194" s="7" t="str">
        <f>'Reported burning'!F1194</f>
        <v>ND</v>
      </c>
      <c r="G1194" s="7" t="str">
        <f>'Reported burning'!G1194</f>
        <v>ND</v>
      </c>
      <c r="H1194" s="7" t="str">
        <f>'Reported burning'!H1194</f>
        <v>Presence</v>
      </c>
      <c r="I1194" s="4"/>
      <c r="J1194" s="4" t="s">
        <v>2308</v>
      </c>
      <c r="K1194" s="4" t="s">
        <v>2308</v>
      </c>
      <c r="L1194" s="4" t="s">
        <v>2308</v>
      </c>
      <c r="M1194" s="4" t="s">
        <v>2308</v>
      </c>
      <c r="N1194" s="4" t="s">
        <v>2308</v>
      </c>
      <c r="O1194" s="4" t="s">
        <v>2308</v>
      </c>
      <c r="P1194" s="4" t="s">
        <v>2308</v>
      </c>
      <c r="Q1194" s="4" t="s">
        <v>2308</v>
      </c>
      <c r="R1194" s="4" t="s">
        <v>2308</v>
      </c>
      <c r="S1194" s="4" t="s">
        <v>2308</v>
      </c>
      <c r="T1194" s="4" t="s">
        <v>2308</v>
      </c>
      <c r="U1194" s="4" t="s">
        <v>2308</v>
      </c>
      <c r="V1194" s="4" t="s">
        <v>2308</v>
      </c>
      <c r="W1194" s="4" t="s">
        <v>2308</v>
      </c>
      <c r="X1194" s="4" t="s">
        <v>2308</v>
      </c>
      <c r="Y1194" s="4" t="s">
        <v>2308</v>
      </c>
      <c r="Z1194" s="4" t="s">
        <v>2308</v>
      </c>
      <c r="AA1194" s="4"/>
      <c r="AB1194" s="4"/>
    </row>
    <row r="1195" spans="1:28">
      <c r="A1195" s="7" t="str">
        <f>'Reported burning'!A1195</f>
        <v>139b</v>
      </c>
      <c r="B1195" s="7" t="str">
        <f>'Reported burning'!B1195</f>
        <v>139b.2</v>
      </c>
      <c r="C1195" s="7" t="str">
        <f>'Reported burning'!C1195</f>
        <v>Human, deliberate</v>
      </c>
      <c r="D1195" s="7" t="str">
        <f>'Reported burning'!D1195</f>
        <v>Conservation</v>
      </c>
      <c r="E1195" s="7" t="str">
        <f>'Reported burning'!E1195</f>
        <v>Biodiversity conservation</v>
      </c>
      <c r="F1195" s="7" t="str">
        <f>'Reported burning'!F1195</f>
        <v>ND</v>
      </c>
      <c r="G1195" s="7" t="str">
        <f>'Reported burning'!G1195</f>
        <v>ND</v>
      </c>
      <c r="H1195" s="7" t="str">
        <f>'Reported burning'!H1195</f>
        <v>Presence</v>
      </c>
      <c r="I1195" s="4"/>
      <c r="J1195" s="4" t="s">
        <v>2308</v>
      </c>
      <c r="K1195" s="4" t="s">
        <v>2308</v>
      </c>
      <c r="L1195" s="4" t="s">
        <v>2308</v>
      </c>
      <c r="M1195" s="4" t="s">
        <v>2308</v>
      </c>
      <c r="N1195" s="4" t="s">
        <v>2308</v>
      </c>
      <c r="O1195" s="4" t="s">
        <v>2308</v>
      </c>
      <c r="P1195" s="4" t="s">
        <v>2308</v>
      </c>
      <c r="Q1195" s="4" t="s">
        <v>2308</v>
      </c>
      <c r="R1195" s="4" t="s">
        <v>2308</v>
      </c>
      <c r="S1195" s="4" t="s">
        <v>2308</v>
      </c>
      <c r="T1195" s="4" t="s">
        <v>2308</v>
      </c>
      <c r="U1195" s="4" t="s">
        <v>2308</v>
      </c>
      <c r="V1195" s="4" t="s">
        <v>2308</v>
      </c>
      <c r="W1195" s="4" t="s">
        <v>2308</v>
      </c>
      <c r="X1195" s="4" t="s">
        <v>2308</v>
      </c>
      <c r="Y1195" s="4" t="s">
        <v>2308</v>
      </c>
      <c r="Z1195" s="4" t="s">
        <v>2308</v>
      </c>
      <c r="AA1195" s="4"/>
      <c r="AB1195" s="4"/>
    </row>
    <row r="1196" spans="1:28">
      <c r="A1196" s="7" t="str">
        <f>'Reported burning'!A1196</f>
        <v>139c</v>
      </c>
      <c r="B1196" s="7" t="str">
        <f>'Reported burning'!B1196</f>
        <v>139c.2</v>
      </c>
      <c r="C1196" s="7" t="str">
        <f>'Reported burning'!C1196</f>
        <v>Human, deliberate</v>
      </c>
      <c r="D1196" s="7" t="str">
        <f>'Reported burning'!D1196</f>
        <v>Conservation</v>
      </c>
      <c r="E1196" s="7" t="str">
        <f>'Reported burning'!E1196</f>
        <v>Biodiversity conservation</v>
      </c>
      <c r="F1196" s="7" t="str">
        <f>'Reported burning'!F1196</f>
        <v>ND</v>
      </c>
      <c r="G1196" s="7" t="str">
        <f>'Reported burning'!G1196</f>
        <v>ND</v>
      </c>
      <c r="H1196" s="7" t="str">
        <f>'Reported burning'!H1196</f>
        <v>Presence</v>
      </c>
      <c r="I1196" s="4"/>
      <c r="J1196" s="4" t="s">
        <v>2308</v>
      </c>
      <c r="K1196" s="4" t="s">
        <v>2308</v>
      </c>
      <c r="L1196" s="4" t="s">
        <v>2308</v>
      </c>
      <c r="M1196" s="4" t="s">
        <v>2308</v>
      </c>
      <c r="N1196" s="4" t="s">
        <v>2308</v>
      </c>
      <c r="O1196" s="4" t="s">
        <v>2308</v>
      </c>
      <c r="P1196" s="4" t="s">
        <v>2308</v>
      </c>
      <c r="Q1196" s="4" t="s">
        <v>2308</v>
      </c>
      <c r="R1196" s="4" t="s">
        <v>2308</v>
      </c>
      <c r="S1196" s="4" t="s">
        <v>2308</v>
      </c>
      <c r="T1196" s="4" t="s">
        <v>2308</v>
      </c>
      <c r="U1196" s="4" t="s">
        <v>2308</v>
      </c>
      <c r="V1196" s="4" t="s">
        <v>2308</v>
      </c>
      <c r="W1196" s="4" t="s">
        <v>2308</v>
      </c>
      <c r="X1196" s="4" t="s">
        <v>2308</v>
      </c>
      <c r="Y1196" s="4" t="s">
        <v>2308</v>
      </c>
      <c r="Z1196" s="4" t="s">
        <v>2308</v>
      </c>
      <c r="AA1196" s="4"/>
      <c r="AB1196" s="4"/>
    </row>
    <row r="1197" spans="1:28" ht="29">
      <c r="A1197" s="7" t="str">
        <f>'Reported burning'!A1197</f>
        <v>140a</v>
      </c>
      <c r="B1197" s="7" t="str">
        <f>'Reported burning'!B1197</f>
        <v>140a.1</v>
      </c>
      <c r="C1197" s="7" t="str">
        <f>'Reported burning'!C1197</f>
        <v>Human, deliberate</v>
      </c>
      <c r="D1197" s="7" t="str">
        <f>'Reported burning'!D1197</f>
        <v>Crop field preparation</v>
      </c>
      <c r="E1197" s="7" t="str">
        <f>'Reported burning'!E1197</f>
        <v>Cropping, Monoculture, Subsistence-oriented</v>
      </c>
      <c r="F1197" s="7" t="str">
        <f>'Reported burning'!F1197</f>
        <v>Cropland</v>
      </c>
      <c r="G1197" s="7" t="str">
        <f>'Reported burning'!G1197</f>
        <v>Cropland</v>
      </c>
      <c r="H1197" s="7" t="str">
        <f>'Reported burning'!H1197</f>
        <v>Presence</v>
      </c>
      <c r="I1197" s="4"/>
      <c r="J1197" s="4" t="s">
        <v>2308</v>
      </c>
      <c r="K1197" s="4" t="s">
        <v>2308</v>
      </c>
      <c r="L1197" s="4" t="s">
        <v>2308</v>
      </c>
      <c r="M1197" s="4" t="s">
        <v>2308</v>
      </c>
      <c r="N1197" s="4" t="s">
        <v>2308</v>
      </c>
      <c r="O1197" s="4" t="s">
        <v>2308</v>
      </c>
      <c r="P1197" s="4" t="s">
        <v>2308</v>
      </c>
      <c r="Q1197" s="4" t="s">
        <v>2308</v>
      </c>
      <c r="R1197" s="4" t="s">
        <v>2308</v>
      </c>
      <c r="S1197" s="4" t="s">
        <v>2308</v>
      </c>
      <c r="T1197" s="4" t="s">
        <v>2308</v>
      </c>
      <c r="U1197" s="4" t="s">
        <v>2308</v>
      </c>
      <c r="V1197" s="4" t="s">
        <v>2308</v>
      </c>
      <c r="W1197" s="4" t="s">
        <v>2308</v>
      </c>
      <c r="X1197" s="4" t="s">
        <v>2308</v>
      </c>
      <c r="Y1197" s="4" t="s">
        <v>2308</v>
      </c>
      <c r="Z1197" s="4" t="s">
        <v>2308</v>
      </c>
      <c r="AA1197" s="4"/>
      <c r="AB1197" s="4"/>
    </row>
    <row r="1198" spans="1:28" ht="29">
      <c r="A1198" s="7" t="str">
        <f>'Reported burning'!A1198</f>
        <v>140a</v>
      </c>
      <c r="B1198" s="7" t="str">
        <f>'Reported burning'!B1198</f>
        <v>140a.2</v>
      </c>
      <c r="C1198" s="7" t="str">
        <f>'Reported burning'!C1198</f>
        <v>Human, escaped</v>
      </c>
      <c r="D1198" s="7" t="str">
        <f>'Reported burning'!D1198</f>
        <v>Land clearance</v>
      </c>
      <c r="E1198" s="7" t="str">
        <f>'Reported burning'!E1198</f>
        <v>Cropping, Monoculture, Subsistence-oriented</v>
      </c>
      <c r="F1198" s="7" t="str">
        <f>'Reported burning'!F1198</f>
        <v>ND</v>
      </c>
      <c r="G1198" s="7" t="str">
        <f>'Reported burning'!G1198</f>
        <v>ND</v>
      </c>
      <c r="H1198" s="7" t="str">
        <f>'Reported burning'!H1198</f>
        <v>Presence</v>
      </c>
      <c r="I1198" s="4"/>
      <c r="J1198" s="4" t="s">
        <v>2308</v>
      </c>
      <c r="K1198" s="4" t="s">
        <v>2308</v>
      </c>
      <c r="L1198" s="4" t="s">
        <v>2308</v>
      </c>
      <c r="M1198" s="4" t="s">
        <v>2308</v>
      </c>
      <c r="N1198" s="4" t="s">
        <v>2308</v>
      </c>
      <c r="O1198" s="4" t="s">
        <v>2308</v>
      </c>
      <c r="P1198" s="4" t="s">
        <v>2308</v>
      </c>
      <c r="Q1198" s="4" t="s">
        <v>2308</v>
      </c>
      <c r="R1198" s="4" t="s">
        <v>2308</v>
      </c>
      <c r="S1198" s="4" t="s">
        <v>2308</v>
      </c>
      <c r="T1198" s="4" t="s">
        <v>2308</v>
      </c>
      <c r="U1198" s="4" t="s">
        <v>2308</v>
      </c>
      <c r="V1198" s="4" t="s">
        <v>2308</v>
      </c>
      <c r="W1198" s="4" t="s">
        <v>2308</v>
      </c>
      <c r="X1198" s="4" t="s">
        <v>2308</v>
      </c>
      <c r="Y1198" s="4" t="s">
        <v>2308</v>
      </c>
      <c r="Z1198" s="4" t="s">
        <v>2308</v>
      </c>
      <c r="AA1198" s="4"/>
      <c r="AB1198" s="4"/>
    </row>
    <row r="1199" spans="1:28" ht="29">
      <c r="A1199" s="7" t="str">
        <f>'Reported burning'!A1199</f>
        <v>140a</v>
      </c>
      <c r="B1199" s="7" t="str">
        <f>'Reported burning'!B1199</f>
        <v>140a.3</v>
      </c>
      <c r="C1199" s="7" t="str">
        <f>'Reported burning'!C1199</f>
        <v>Human, escaped</v>
      </c>
      <c r="D1199" s="7" t="str">
        <f>'Reported burning'!D1199</f>
        <v>Land clearance</v>
      </c>
      <c r="E1199" s="7" t="str">
        <f>'Reported burning'!E1199</f>
        <v>Cropping, Monoculture, Market-oriented</v>
      </c>
      <c r="F1199" s="7" t="str">
        <f>'Reported burning'!F1199</f>
        <v>ND</v>
      </c>
      <c r="G1199" s="7" t="str">
        <f>'Reported burning'!G1199</f>
        <v>ND</v>
      </c>
      <c r="H1199" s="7" t="str">
        <f>'Reported burning'!H1199</f>
        <v>Presence</v>
      </c>
      <c r="I1199" s="4"/>
      <c r="J1199" s="4" t="s">
        <v>2308</v>
      </c>
      <c r="K1199" s="4" t="s">
        <v>2308</v>
      </c>
      <c r="L1199" s="4" t="s">
        <v>2308</v>
      </c>
      <c r="M1199" s="4" t="s">
        <v>2308</v>
      </c>
      <c r="N1199" s="4" t="s">
        <v>2308</v>
      </c>
      <c r="O1199" s="4" t="s">
        <v>2308</v>
      </c>
      <c r="P1199" s="4" t="s">
        <v>2308</v>
      </c>
      <c r="Q1199" s="4" t="s">
        <v>2308</v>
      </c>
      <c r="R1199" s="4" t="s">
        <v>2308</v>
      </c>
      <c r="S1199" s="4" t="s">
        <v>2308</v>
      </c>
      <c r="T1199" s="4" t="s">
        <v>2308</v>
      </c>
      <c r="U1199" s="4" t="s">
        <v>2308</v>
      </c>
      <c r="V1199" s="4" t="s">
        <v>2308</v>
      </c>
      <c r="W1199" s="4" t="s">
        <v>2308</v>
      </c>
      <c r="X1199" s="4" t="s">
        <v>2308</v>
      </c>
      <c r="Y1199" s="4" t="s">
        <v>2308</v>
      </c>
      <c r="Z1199" s="4" t="s">
        <v>2308</v>
      </c>
      <c r="AA1199" s="4"/>
      <c r="AB1199" s="4"/>
    </row>
    <row r="1200" spans="1:28" ht="99" customHeight="1">
      <c r="A1200" s="7" t="str">
        <f>'Reported burning'!A1200</f>
        <v>140a</v>
      </c>
      <c r="B1200" s="7" t="str">
        <f>'Reported burning'!B1200</f>
        <v>140a.4</v>
      </c>
      <c r="C1200" s="7" t="str">
        <f>'Reported burning'!C1200</f>
        <v>Unknown</v>
      </c>
      <c r="D1200" s="7" t="str">
        <f>'Reported burning'!D1200</f>
        <v>All</v>
      </c>
      <c r="E1200" s="7" t="str">
        <f>'Reported burning'!E1200</f>
        <v>Cropping, Monoculture, Subsistence-oriented</v>
      </c>
      <c r="F1200" s="7" t="str">
        <f>'Reported burning'!F1200</f>
        <v>ND</v>
      </c>
      <c r="G1200" s="7" t="str">
        <f>'Reported burning'!G1200</f>
        <v>ND</v>
      </c>
      <c r="H1200" s="7" t="str">
        <f>'Reported burning'!H1200</f>
        <v>Presence</v>
      </c>
      <c r="I1200" s="4">
        <v>2009</v>
      </c>
      <c r="J1200" s="4" t="s">
        <v>2401</v>
      </c>
      <c r="K1200" s="4" t="s">
        <v>2308</v>
      </c>
      <c r="L1200" s="4" t="s">
        <v>2308</v>
      </c>
      <c r="M1200" s="4" t="s">
        <v>2406</v>
      </c>
      <c r="N1200" s="4" t="s">
        <v>2308</v>
      </c>
      <c r="O1200" s="4" t="s">
        <v>2308</v>
      </c>
      <c r="P1200" s="4" t="s">
        <v>2308</v>
      </c>
      <c r="Q1200" s="4" t="s">
        <v>2308</v>
      </c>
      <c r="R1200" s="4" t="s">
        <v>2308</v>
      </c>
      <c r="S1200" s="4" t="s">
        <v>2308</v>
      </c>
      <c r="T1200" s="4" t="s">
        <v>2408</v>
      </c>
      <c r="U1200" s="4" t="s">
        <v>2308</v>
      </c>
      <c r="V1200" s="4" t="s">
        <v>2308</v>
      </c>
      <c r="W1200" s="4" t="s">
        <v>2308</v>
      </c>
      <c r="X1200" s="4" t="s">
        <v>2308</v>
      </c>
      <c r="Y1200" s="4" t="s">
        <v>2308</v>
      </c>
      <c r="Z1200" s="4" t="s">
        <v>2308</v>
      </c>
      <c r="AA1200" s="5" t="s">
        <v>3738</v>
      </c>
      <c r="AB1200" s="5" t="s">
        <v>3739</v>
      </c>
    </row>
    <row r="1201" spans="1:29" ht="65" customHeight="1">
      <c r="A1201" s="7" t="str">
        <f>'Reported burning'!A1201</f>
        <v>140a</v>
      </c>
      <c r="B1201" s="7" t="str">
        <f>'Reported burning'!B1201</f>
        <v>140a.5</v>
      </c>
      <c r="C1201" s="7" t="str">
        <f>'Reported burning'!C1201</f>
        <v>Unknown</v>
      </c>
      <c r="D1201" s="7" t="str">
        <f>'Reported burning'!D1201</f>
        <v>Land clearance</v>
      </c>
      <c r="E1201" s="7" t="str">
        <f>'Reported burning'!E1201</f>
        <v>Cropping, Monoculture, Market-oriented</v>
      </c>
      <c r="F1201" s="7" t="str">
        <f>'Reported burning'!F1201</f>
        <v>ND</v>
      </c>
      <c r="G1201" s="7" t="str">
        <f>'Reported burning'!G1201</f>
        <v>ND</v>
      </c>
      <c r="H1201" s="7" t="str">
        <f>'Reported burning'!H1201</f>
        <v>Presence</v>
      </c>
      <c r="I1201" s="4">
        <v>2009</v>
      </c>
      <c r="J1201" s="4" t="s">
        <v>2401</v>
      </c>
      <c r="K1201" s="4" t="s">
        <v>2308</v>
      </c>
      <c r="L1201" s="4" t="s">
        <v>2308</v>
      </c>
      <c r="M1201" s="4" t="s">
        <v>2308</v>
      </c>
      <c r="N1201" s="4" t="s">
        <v>2308</v>
      </c>
      <c r="O1201" s="4" t="s">
        <v>2308</v>
      </c>
      <c r="P1201" s="4" t="s">
        <v>2308</v>
      </c>
      <c r="Q1201" s="4" t="s">
        <v>2308</v>
      </c>
      <c r="R1201" s="4" t="s">
        <v>2308</v>
      </c>
      <c r="S1201" s="4" t="s">
        <v>2308</v>
      </c>
      <c r="T1201" s="4" t="s">
        <v>2408</v>
      </c>
      <c r="U1201" s="4" t="s">
        <v>2308</v>
      </c>
      <c r="V1201" s="4" t="s">
        <v>2308</v>
      </c>
      <c r="W1201" s="4" t="s">
        <v>2308</v>
      </c>
      <c r="X1201" s="4" t="s">
        <v>2308</v>
      </c>
      <c r="Y1201" s="4" t="s">
        <v>2308</v>
      </c>
      <c r="Z1201" s="4" t="s">
        <v>2308</v>
      </c>
      <c r="AA1201" s="5" t="s">
        <v>3738</v>
      </c>
      <c r="AB1201" s="5" t="s">
        <v>3740</v>
      </c>
    </row>
    <row r="1202" spans="1:29" ht="96" customHeight="1">
      <c r="A1202" s="7" t="str">
        <f>'Reported burning'!A1202</f>
        <v>140a</v>
      </c>
      <c r="B1202" s="7" t="str">
        <f>'Reported burning'!B1202</f>
        <v>140a.6</v>
      </c>
      <c r="C1202" s="7" t="str">
        <f>'Reported burning'!C1202</f>
        <v>Unknown</v>
      </c>
      <c r="D1202" s="7" t="str">
        <f>'Reported burning'!D1202</f>
        <v>All</v>
      </c>
      <c r="E1202" s="7" t="str">
        <f>'Reported burning'!E1202</f>
        <v>Cropping, Monoculture, Subsistence-oriented</v>
      </c>
      <c r="F1202" s="7" t="str">
        <f>'Reported burning'!F1202</f>
        <v>ND</v>
      </c>
      <c r="G1202" s="7" t="str">
        <f>'Reported burning'!G1202</f>
        <v>ND</v>
      </c>
      <c r="H1202" s="7" t="str">
        <f>'Reported burning'!H1202</f>
        <v>Presence</v>
      </c>
      <c r="I1202" s="4">
        <v>2010</v>
      </c>
      <c r="J1202" s="4" t="s">
        <v>2401</v>
      </c>
      <c r="K1202" s="4" t="s">
        <v>2308</v>
      </c>
      <c r="L1202" s="4" t="s">
        <v>2308</v>
      </c>
      <c r="M1202" s="4" t="s">
        <v>2406</v>
      </c>
      <c r="N1202" s="4" t="s">
        <v>2308</v>
      </c>
      <c r="O1202" s="4" t="s">
        <v>2308</v>
      </c>
      <c r="P1202" s="4" t="s">
        <v>2308</v>
      </c>
      <c r="Q1202" s="4" t="s">
        <v>2308</v>
      </c>
      <c r="R1202" s="4" t="s">
        <v>2308</v>
      </c>
      <c r="S1202" s="4" t="s">
        <v>2308</v>
      </c>
      <c r="T1202" s="4" t="s">
        <v>2408</v>
      </c>
      <c r="U1202" s="4" t="s">
        <v>2308</v>
      </c>
      <c r="V1202" s="4" t="s">
        <v>2308</v>
      </c>
      <c r="W1202" s="4" t="s">
        <v>2308</v>
      </c>
      <c r="X1202" s="4" t="s">
        <v>2308</v>
      </c>
      <c r="Y1202" s="4" t="s">
        <v>2308</v>
      </c>
      <c r="Z1202" s="4" t="s">
        <v>2308</v>
      </c>
      <c r="AA1202" s="5" t="s">
        <v>3738</v>
      </c>
      <c r="AB1202" s="5" t="s">
        <v>3739</v>
      </c>
    </row>
    <row r="1203" spans="1:29" ht="70" customHeight="1">
      <c r="A1203" s="7" t="str">
        <f>'Reported burning'!A1203</f>
        <v>140a</v>
      </c>
      <c r="B1203" s="7" t="str">
        <f>'Reported burning'!B1203</f>
        <v>140a.7</v>
      </c>
      <c r="C1203" s="7" t="str">
        <f>'Reported burning'!C1203</f>
        <v>Unknown</v>
      </c>
      <c r="D1203" s="7" t="str">
        <f>'Reported burning'!D1203</f>
        <v>Land clearance</v>
      </c>
      <c r="E1203" s="7" t="str">
        <f>'Reported burning'!E1203</f>
        <v>Cropping, Monoculture, Market-oriented</v>
      </c>
      <c r="F1203" s="7" t="str">
        <f>'Reported burning'!F1203</f>
        <v>ND</v>
      </c>
      <c r="G1203" s="7" t="str">
        <f>'Reported burning'!G1203</f>
        <v>ND</v>
      </c>
      <c r="H1203" s="7" t="str">
        <f>'Reported burning'!H1203</f>
        <v>Presence</v>
      </c>
      <c r="I1203" s="4">
        <v>2010</v>
      </c>
      <c r="J1203" s="4" t="s">
        <v>2401</v>
      </c>
      <c r="K1203" s="4" t="s">
        <v>2308</v>
      </c>
      <c r="L1203" s="4" t="s">
        <v>2308</v>
      </c>
      <c r="M1203" s="4" t="s">
        <v>2308</v>
      </c>
      <c r="N1203" s="4" t="s">
        <v>2308</v>
      </c>
      <c r="O1203" s="4" t="s">
        <v>2308</v>
      </c>
      <c r="P1203" s="4" t="s">
        <v>2308</v>
      </c>
      <c r="Q1203" s="4" t="s">
        <v>2308</v>
      </c>
      <c r="R1203" s="4" t="s">
        <v>2308</v>
      </c>
      <c r="S1203" s="4" t="s">
        <v>2308</v>
      </c>
      <c r="T1203" s="4" t="s">
        <v>2408</v>
      </c>
      <c r="U1203" s="4" t="s">
        <v>2308</v>
      </c>
      <c r="V1203" s="4" t="s">
        <v>2308</v>
      </c>
      <c r="W1203" s="4" t="s">
        <v>2308</v>
      </c>
      <c r="X1203" s="4" t="s">
        <v>2308</v>
      </c>
      <c r="Y1203" s="4" t="s">
        <v>2308</v>
      </c>
      <c r="Z1203" s="4" t="s">
        <v>2308</v>
      </c>
      <c r="AA1203" s="5" t="s">
        <v>3738</v>
      </c>
      <c r="AB1203" s="5" t="s">
        <v>3740</v>
      </c>
    </row>
    <row r="1204" spans="1:29" ht="91.5" customHeight="1">
      <c r="A1204" s="7" t="str">
        <f>'Reported burning'!A1204</f>
        <v>140a</v>
      </c>
      <c r="B1204" s="7" t="str">
        <f>'Reported burning'!B1204</f>
        <v>140a.8</v>
      </c>
      <c r="C1204" s="7" t="str">
        <f>'Reported burning'!C1204</f>
        <v>Unknown</v>
      </c>
      <c r="D1204" s="7" t="str">
        <f>'Reported burning'!D1204</f>
        <v>All</v>
      </c>
      <c r="E1204" s="7" t="str">
        <f>'Reported burning'!E1204</f>
        <v>Cropping, Monoculture, Subsistence-oriented</v>
      </c>
      <c r="F1204" s="7" t="str">
        <f>'Reported burning'!F1204</f>
        <v>ND</v>
      </c>
      <c r="G1204" s="7" t="str">
        <f>'Reported burning'!G1204</f>
        <v>ND</v>
      </c>
      <c r="H1204" s="7" t="str">
        <f>'Reported burning'!H1204</f>
        <v>Presence</v>
      </c>
      <c r="I1204" s="4">
        <v>2011</v>
      </c>
      <c r="J1204" s="4" t="s">
        <v>2401</v>
      </c>
      <c r="K1204" s="4" t="s">
        <v>2308</v>
      </c>
      <c r="L1204" s="4" t="s">
        <v>2308</v>
      </c>
      <c r="M1204" s="4" t="s">
        <v>2406</v>
      </c>
      <c r="N1204" s="4" t="s">
        <v>2308</v>
      </c>
      <c r="O1204" s="4" t="s">
        <v>2308</v>
      </c>
      <c r="P1204" s="4" t="s">
        <v>2308</v>
      </c>
      <c r="Q1204" s="4" t="s">
        <v>2308</v>
      </c>
      <c r="R1204" s="4" t="s">
        <v>2308</v>
      </c>
      <c r="S1204" s="4" t="s">
        <v>2308</v>
      </c>
      <c r="T1204" s="4" t="s">
        <v>2406</v>
      </c>
      <c r="U1204" s="4" t="s">
        <v>2308</v>
      </c>
      <c r="V1204" s="4" t="s">
        <v>2308</v>
      </c>
      <c r="W1204" s="4" t="s">
        <v>2308</v>
      </c>
      <c r="X1204" s="4" t="s">
        <v>2308</v>
      </c>
      <c r="Y1204" s="4" t="s">
        <v>2308</v>
      </c>
      <c r="Z1204" s="4" t="s">
        <v>2308</v>
      </c>
      <c r="AA1204" s="5" t="s">
        <v>3738</v>
      </c>
      <c r="AB1204" s="5" t="s">
        <v>3739</v>
      </c>
    </row>
    <row r="1205" spans="1:29" ht="75" customHeight="1">
      <c r="A1205" s="7" t="str">
        <f>'Reported burning'!A1205</f>
        <v>140a</v>
      </c>
      <c r="B1205" s="7" t="str">
        <f>'Reported burning'!B1205</f>
        <v>140a.9</v>
      </c>
      <c r="C1205" s="7" t="str">
        <f>'Reported burning'!C1205</f>
        <v>Unknown</v>
      </c>
      <c r="D1205" s="7" t="str">
        <f>'Reported burning'!D1205</f>
        <v>Land clearance</v>
      </c>
      <c r="E1205" s="7" t="str">
        <f>'Reported burning'!E1205</f>
        <v>Cropping, Monoculture, Market-oriented</v>
      </c>
      <c r="F1205" s="7" t="str">
        <f>'Reported burning'!F1205</f>
        <v>ND</v>
      </c>
      <c r="G1205" s="7" t="str">
        <f>'Reported burning'!G1205</f>
        <v>ND</v>
      </c>
      <c r="H1205" s="7" t="str">
        <f>'Reported burning'!H1205</f>
        <v>Presence</v>
      </c>
      <c r="I1205" s="4">
        <v>2011</v>
      </c>
      <c r="J1205" s="4" t="s">
        <v>2401</v>
      </c>
      <c r="K1205" s="4" t="s">
        <v>2308</v>
      </c>
      <c r="L1205" s="4" t="s">
        <v>2308</v>
      </c>
      <c r="M1205" s="4" t="s">
        <v>2308</v>
      </c>
      <c r="N1205" s="4" t="s">
        <v>2308</v>
      </c>
      <c r="O1205" s="4" t="s">
        <v>2308</v>
      </c>
      <c r="P1205" s="4" t="s">
        <v>2308</v>
      </c>
      <c r="Q1205" s="4" t="s">
        <v>2308</v>
      </c>
      <c r="R1205" s="4" t="s">
        <v>2308</v>
      </c>
      <c r="S1205" s="4" t="s">
        <v>2308</v>
      </c>
      <c r="T1205" s="4" t="s">
        <v>2406</v>
      </c>
      <c r="U1205" s="4" t="s">
        <v>2308</v>
      </c>
      <c r="V1205" s="4" t="s">
        <v>2308</v>
      </c>
      <c r="W1205" s="4" t="s">
        <v>2308</v>
      </c>
      <c r="X1205" s="4" t="s">
        <v>2308</v>
      </c>
      <c r="Y1205" s="4" t="s">
        <v>2308</v>
      </c>
      <c r="Z1205" s="4" t="s">
        <v>2308</v>
      </c>
      <c r="AA1205" s="5" t="s">
        <v>3738</v>
      </c>
      <c r="AB1205" s="5" t="s">
        <v>3740</v>
      </c>
    </row>
    <row r="1206" spans="1:29" ht="90" customHeight="1">
      <c r="A1206" s="7" t="str">
        <f>'Reported burning'!A1206</f>
        <v>140a</v>
      </c>
      <c r="B1206" s="7" t="str">
        <f>'Reported burning'!B1206</f>
        <v>140a.10</v>
      </c>
      <c r="C1206" s="7" t="str">
        <f>'Reported burning'!C1206</f>
        <v>Unknown</v>
      </c>
      <c r="D1206" s="7" t="str">
        <f>'Reported burning'!D1206</f>
        <v>All</v>
      </c>
      <c r="E1206" s="7" t="str">
        <f>'Reported burning'!E1206</f>
        <v>Cropping, Monoculture, Subsistence-oriented</v>
      </c>
      <c r="F1206" s="7" t="str">
        <f>'Reported burning'!F1206</f>
        <v>ND</v>
      </c>
      <c r="G1206" s="7" t="str">
        <f>'Reported burning'!G1206</f>
        <v>ND</v>
      </c>
      <c r="H1206" s="7" t="str">
        <f>'Reported burning'!H1206</f>
        <v>Presence</v>
      </c>
      <c r="I1206" s="4">
        <v>2012</v>
      </c>
      <c r="J1206" s="4" t="s">
        <v>2399</v>
      </c>
      <c r="K1206" s="4" t="s">
        <v>2308</v>
      </c>
      <c r="L1206" s="4" t="s">
        <v>2308</v>
      </c>
      <c r="M1206" s="4" t="s">
        <v>2406</v>
      </c>
      <c r="N1206" s="4" t="s">
        <v>2308</v>
      </c>
      <c r="O1206" s="4" t="s">
        <v>2308</v>
      </c>
      <c r="P1206" s="4" t="s">
        <v>2308</v>
      </c>
      <c r="Q1206" s="4" t="s">
        <v>2308</v>
      </c>
      <c r="R1206" s="4" t="s">
        <v>2308</v>
      </c>
      <c r="S1206" s="4" t="s">
        <v>2308</v>
      </c>
      <c r="T1206" s="4" t="s">
        <v>2408</v>
      </c>
      <c r="U1206" s="4" t="s">
        <v>2308</v>
      </c>
      <c r="V1206" s="4" t="s">
        <v>2308</v>
      </c>
      <c r="W1206" s="4" t="s">
        <v>2308</v>
      </c>
      <c r="X1206" s="4" t="s">
        <v>2308</v>
      </c>
      <c r="Y1206" s="4" t="s">
        <v>2308</v>
      </c>
      <c r="Z1206" s="4" t="s">
        <v>2308</v>
      </c>
      <c r="AA1206" s="5" t="s">
        <v>3738</v>
      </c>
      <c r="AB1206" s="5" t="s">
        <v>3739</v>
      </c>
    </row>
    <row r="1207" spans="1:29" ht="69.5" customHeight="1">
      <c r="A1207" s="7" t="str">
        <f>'Reported burning'!A1207</f>
        <v>140a</v>
      </c>
      <c r="B1207" s="7" t="str">
        <f>'Reported burning'!B1207</f>
        <v>140a.11</v>
      </c>
      <c r="C1207" s="7" t="str">
        <f>'Reported burning'!C1207</f>
        <v>Unknown</v>
      </c>
      <c r="D1207" s="7" t="str">
        <f>'Reported burning'!D1207</f>
        <v>Land clearance</v>
      </c>
      <c r="E1207" s="7" t="str">
        <f>'Reported burning'!E1207</f>
        <v>Cropping, Monoculture, Market-oriented</v>
      </c>
      <c r="F1207" s="7" t="str">
        <f>'Reported burning'!F1207</f>
        <v>ND</v>
      </c>
      <c r="G1207" s="7" t="str">
        <f>'Reported burning'!G1207</f>
        <v>ND</v>
      </c>
      <c r="H1207" s="7" t="str">
        <f>'Reported burning'!H1207</f>
        <v>Presence</v>
      </c>
      <c r="I1207" s="4">
        <v>2012</v>
      </c>
      <c r="J1207" s="4" t="s">
        <v>2399</v>
      </c>
      <c r="K1207" s="4" t="s">
        <v>2308</v>
      </c>
      <c r="L1207" s="4" t="s">
        <v>2308</v>
      </c>
      <c r="M1207" s="4" t="s">
        <v>2308</v>
      </c>
      <c r="N1207" s="4" t="s">
        <v>2308</v>
      </c>
      <c r="O1207" s="4" t="s">
        <v>2308</v>
      </c>
      <c r="P1207" s="4" t="s">
        <v>2308</v>
      </c>
      <c r="Q1207" s="4" t="s">
        <v>2308</v>
      </c>
      <c r="R1207" s="4" t="s">
        <v>2308</v>
      </c>
      <c r="S1207" s="4" t="s">
        <v>2308</v>
      </c>
      <c r="T1207" s="4" t="s">
        <v>2408</v>
      </c>
      <c r="U1207" s="4" t="s">
        <v>2308</v>
      </c>
      <c r="V1207" s="4" t="s">
        <v>2308</v>
      </c>
      <c r="W1207" s="4" t="s">
        <v>2308</v>
      </c>
      <c r="X1207" s="4" t="s">
        <v>2308</v>
      </c>
      <c r="Y1207" s="4" t="s">
        <v>2308</v>
      </c>
      <c r="Z1207" s="4" t="s">
        <v>2308</v>
      </c>
      <c r="AA1207" s="5" t="s">
        <v>3738</v>
      </c>
      <c r="AB1207" s="5" t="s">
        <v>3740</v>
      </c>
    </row>
    <row r="1208" spans="1:29">
      <c r="A1208" s="7" t="str">
        <f>'Reported burning'!A1208</f>
        <v>140a</v>
      </c>
      <c r="B1208" s="7" t="str">
        <f>'Reported burning'!B1208</f>
        <v>140a.12</v>
      </c>
      <c r="C1208" s="7" t="str">
        <f>'Reported burning'!C1208</f>
        <v>Human, deliberate</v>
      </c>
      <c r="D1208" s="7" t="str">
        <f>'Reported burning'!D1208</f>
        <v>Arson</v>
      </c>
      <c r="E1208" s="7" t="str">
        <f>'Reported burning'!E1208</f>
        <v>ND</v>
      </c>
      <c r="F1208" s="7" t="str">
        <f>'Reported burning'!F1208</f>
        <v>Plantation forest</v>
      </c>
      <c r="G1208" s="7" t="str">
        <f>'Reported burning'!G1208</f>
        <v>ND</v>
      </c>
      <c r="H1208" s="7" t="str">
        <f>'Reported burning'!H1208</f>
        <v>Presence</v>
      </c>
      <c r="I1208" s="4"/>
      <c r="J1208" s="4" t="s">
        <v>2308</v>
      </c>
      <c r="K1208" s="4" t="s">
        <v>2308</v>
      </c>
      <c r="L1208" s="4" t="s">
        <v>2308</v>
      </c>
      <c r="M1208" s="4" t="s">
        <v>2308</v>
      </c>
      <c r="N1208" s="4" t="s">
        <v>2308</v>
      </c>
      <c r="O1208" s="4" t="s">
        <v>2308</v>
      </c>
      <c r="P1208" s="4" t="s">
        <v>2308</v>
      </c>
      <c r="Q1208" s="4" t="s">
        <v>2308</v>
      </c>
      <c r="R1208" s="4" t="s">
        <v>2308</v>
      </c>
      <c r="S1208" s="4" t="s">
        <v>2308</v>
      </c>
      <c r="T1208" s="4" t="s">
        <v>2308</v>
      </c>
      <c r="U1208" s="4" t="s">
        <v>2308</v>
      </c>
      <c r="V1208" s="4" t="s">
        <v>2308</v>
      </c>
      <c r="W1208" s="4" t="s">
        <v>2308</v>
      </c>
      <c r="X1208" s="4" t="s">
        <v>2308</v>
      </c>
      <c r="Y1208" s="4" t="s">
        <v>2308</v>
      </c>
      <c r="Z1208" s="4" t="s">
        <v>2308</v>
      </c>
      <c r="AA1208" s="4"/>
      <c r="AB1208" s="4"/>
    </row>
    <row r="1209" spans="1:29">
      <c r="A1209" s="7" t="str">
        <f>'Reported burning'!A1209</f>
        <v>140a</v>
      </c>
      <c r="B1209" s="7" t="str">
        <f>'Reported burning'!B1209</f>
        <v>140a.13</v>
      </c>
      <c r="C1209" s="7" t="str">
        <f>'Reported burning'!C1209</f>
        <v>Human, deliberate</v>
      </c>
      <c r="D1209" s="7" t="str">
        <f>'Reported burning'!D1209</f>
        <v>Pasture renewal</v>
      </c>
      <c r="E1209" s="7" t="str">
        <f>'Reported burning'!E1209</f>
        <v>Cattle, Extensive</v>
      </c>
      <c r="F1209" s="7" t="str">
        <f>'Reported burning'!F1209</f>
        <v>Pasture</v>
      </c>
      <c r="G1209" s="7" t="str">
        <f>'Reported burning'!G1209</f>
        <v>ND</v>
      </c>
      <c r="H1209" s="7" t="str">
        <f>'Reported burning'!H1209</f>
        <v>Presence</v>
      </c>
      <c r="I1209" s="4"/>
      <c r="J1209" s="4" t="s">
        <v>2308</v>
      </c>
      <c r="K1209" s="4" t="s">
        <v>2308</v>
      </c>
      <c r="L1209" s="4" t="s">
        <v>2308</v>
      </c>
      <c r="M1209" s="4" t="s">
        <v>2308</v>
      </c>
      <c r="N1209" s="4" t="s">
        <v>2308</v>
      </c>
      <c r="O1209" s="4" t="s">
        <v>2308</v>
      </c>
      <c r="P1209" s="4" t="s">
        <v>2308</v>
      </c>
      <c r="Q1209" s="4" t="s">
        <v>2308</v>
      </c>
      <c r="R1209" s="4" t="s">
        <v>2308</v>
      </c>
      <c r="S1209" s="4" t="s">
        <v>2308</v>
      </c>
      <c r="T1209" s="4" t="s">
        <v>2308</v>
      </c>
      <c r="U1209" s="4" t="s">
        <v>2308</v>
      </c>
      <c r="V1209" s="4" t="s">
        <v>2308</v>
      </c>
      <c r="W1209" s="4" t="s">
        <v>2308</v>
      </c>
      <c r="X1209" s="4" t="s">
        <v>2308</v>
      </c>
      <c r="Y1209" s="4" t="s">
        <v>2308</v>
      </c>
      <c r="Z1209" s="4" t="s">
        <v>2308</v>
      </c>
      <c r="AA1209" s="4"/>
      <c r="AB1209" s="4"/>
    </row>
    <row r="1210" spans="1:29">
      <c r="A1210" s="7" t="str">
        <f>'Reported burning'!A1210</f>
        <v>140a</v>
      </c>
      <c r="B1210" s="7" t="str">
        <f>'Reported burning'!B1210</f>
        <v>140a.14</v>
      </c>
      <c r="C1210" s="7" t="str">
        <f>'Reported burning'!C1210</f>
        <v>Human, deliberate</v>
      </c>
      <c r="D1210" s="7" t="str">
        <f>'Reported burning'!D1210</f>
        <v>Pyrome management</v>
      </c>
      <c r="E1210" s="7" t="str">
        <f>'Reported burning'!E1210</f>
        <v>ND</v>
      </c>
      <c r="F1210" s="7" t="str">
        <f>'Reported burning'!F1210</f>
        <v>ND</v>
      </c>
      <c r="G1210" s="7" t="str">
        <f>'Reported burning'!G1210</f>
        <v>ND</v>
      </c>
      <c r="H1210" s="7" t="str">
        <f>'Reported burning'!H1210</f>
        <v>Presence</v>
      </c>
      <c r="I1210" s="4"/>
      <c r="J1210" s="4" t="s">
        <v>2308</v>
      </c>
      <c r="K1210" s="4" t="s">
        <v>2308</v>
      </c>
      <c r="L1210" s="4" t="s">
        <v>2308</v>
      </c>
      <c r="M1210" s="4" t="s">
        <v>2308</v>
      </c>
      <c r="N1210" s="4" t="s">
        <v>2308</v>
      </c>
      <c r="O1210" s="4" t="s">
        <v>2308</v>
      </c>
      <c r="P1210" s="4" t="s">
        <v>2308</v>
      </c>
      <c r="Q1210" s="4" t="s">
        <v>2308</v>
      </c>
      <c r="R1210" s="4" t="s">
        <v>2308</v>
      </c>
      <c r="S1210" s="4" t="s">
        <v>2308</v>
      </c>
      <c r="T1210" s="4" t="s">
        <v>2308</v>
      </c>
      <c r="U1210" s="4" t="s">
        <v>2308</v>
      </c>
      <c r="V1210" s="4" t="s">
        <v>2308</v>
      </c>
      <c r="W1210" s="4" t="s">
        <v>2308</v>
      </c>
      <c r="X1210" s="4" t="s">
        <v>2308</v>
      </c>
      <c r="Y1210" s="4" t="s">
        <v>2308</v>
      </c>
      <c r="Z1210" s="4" t="s">
        <v>2308</v>
      </c>
      <c r="AA1210" s="4"/>
      <c r="AB1210" s="4"/>
    </row>
    <row r="1211" spans="1:29">
      <c r="A1211" s="7" t="str">
        <f>'Reported burning'!A1211</f>
        <v>140a</v>
      </c>
      <c r="B1211" s="7" t="str">
        <f>'Reported burning'!B1211</f>
        <v>140a.15</v>
      </c>
      <c r="C1211" s="7" t="str">
        <f>'Reported burning'!C1211</f>
        <v>Human, escaped</v>
      </c>
      <c r="D1211" s="7" t="str">
        <f>'Reported burning'!D1211</f>
        <v>Domestic</v>
      </c>
      <c r="E1211" s="7" t="str">
        <f>'Reported burning'!E1211</f>
        <v>Tourism manager</v>
      </c>
      <c r="F1211" s="7" t="str">
        <f>'Reported burning'!F1211</f>
        <v>ND</v>
      </c>
      <c r="G1211" s="7" t="str">
        <f>'Reported burning'!G1211</f>
        <v>ND</v>
      </c>
      <c r="H1211" s="7" t="str">
        <f>'Reported burning'!H1211</f>
        <v>Presence</v>
      </c>
      <c r="I1211" s="4"/>
      <c r="J1211" s="4" t="s">
        <v>2308</v>
      </c>
      <c r="K1211" s="4" t="s">
        <v>2308</v>
      </c>
      <c r="L1211" s="4" t="s">
        <v>2308</v>
      </c>
      <c r="M1211" s="4" t="s">
        <v>2308</v>
      </c>
      <c r="N1211" s="4" t="s">
        <v>2308</v>
      </c>
      <c r="O1211" s="4" t="s">
        <v>2308</v>
      </c>
      <c r="P1211" s="4" t="s">
        <v>2308</v>
      </c>
      <c r="Q1211" s="4" t="s">
        <v>2308</v>
      </c>
      <c r="R1211" s="4" t="s">
        <v>2308</v>
      </c>
      <c r="S1211" s="4" t="s">
        <v>2308</v>
      </c>
      <c r="T1211" s="4" t="s">
        <v>2308</v>
      </c>
      <c r="U1211" s="4" t="s">
        <v>2308</v>
      </c>
      <c r="V1211" s="4" t="s">
        <v>2308</v>
      </c>
      <c r="W1211" s="4" t="s">
        <v>2308</v>
      </c>
      <c r="X1211" s="4" t="s">
        <v>2308</v>
      </c>
      <c r="Y1211" s="4" t="s">
        <v>2308</v>
      </c>
      <c r="Z1211" s="4" t="s">
        <v>2308</v>
      </c>
      <c r="AA1211" s="4"/>
      <c r="AB1211" s="4"/>
    </row>
    <row r="1212" spans="1:29">
      <c r="A1212" s="7" t="str">
        <f>'Reported burning'!A1212</f>
        <v>140a</v>
      </c>
      <c r="B1212" s="7" t="str">
        <f>'Reported burning'!B1212</f>
        <v>140a.16</v>
      </c>
      <c r="C1212" s="7" t="str">
        <f>'Reported burning'!C1212</f>
        <v>Human, accidental</v>
      </c>
      <c r="D1212" s="7" t="str">
        <f>'Reported burning'!D1212</f>
        <v>ND</v>
      </c>
      <c r="E1212" s="7" t="str">
        <f>'Reported burning'!E1212</f>
        <v>Urban planner</v>
      </c>
      <c r="F1212" s="7" t="str">
        <f>'Reported burning'!F1212</f>
        <v>ND</v>
      </c>
      <c r="G1212" s="7" t="str">
        <f>'Reported burning'!G1212</f>
        <v>ND</v>
      </c>
      <c r="H1212" s="7" t="str">
        <f>'Reported burning'!H1212</f>
        <v>Presence</v>
      </c>
      <c r="I1212" s="4"/>
      <c r="J1212" s="4" t="s">
        <v>2308</v>
      </c>
      <c r="K1212" s="4" t="s">
        <v>2308</v>
      </c>
      <c r="L1212" s="4" t="s">
        <v>2308</v>
      </c>
      <c r="M1212" s="4" t="s">
        <v>2308</v>
      </c>
      <c r="N1212" s="4" t="s">
        <v>2308</v>
      </c>
      <c r="O1212" s="4" t="s">
        <v>2308</v>
      </c>
      <c r="P1212" s="4" t="s">
        <v>2308</v>
      </c>
      <c r="Q1212" s="4" t="s">
        <v>2308</v>
      </c>
      <c r="R1212" s="4" t="s">
        <v>2308</v>
      </c>
      <c r="S1212" s="4" t="s">
        <v>2308</v>
      </c>
      <c r="T1212" s="4" t="s">
        <v>2308</v>
      </c>
      <c r="U1212" s="4" t="s">
        <v>2308</v>
      </c>
      <c r="V1212" s="4" t="s">
        <v>2308</v>
      </c>
      <c r="W1212" s="4" t="s">
        <v>2308</v>
      </c>
      <c r="X1212" s="4" t="s">
        <v>2308</v>
      </c>
      <c r="Y1212" s="4" t="s">
        <v>2308</v>
      </c>
      <c r="Z1212" s="4" t="s">
        <v>2308</v>
      </c>
      <c r="AA1212" s="4"/>
      <c r="AB1212" s="4"/>
    </row>
    <row r="1213" spans="1:29" ht="35.5" customHeight="1">
      <c r="A1213" s="7" t="str">
        <f>'Reported burning'!A1213</f>
        <v>140b</v>
      </c>
      <c r="B1213" s="7" t="str">
        <f>'Reported burning'!B1213</f>
        <v>140b.1</v>
      </c>
      <c r="C1213" s="7" t="str">
        <f>'Reported burning'!C1213</f>
        <v>Human, deliberate</v>
      </c>
      <c r="D1213" s="7" t="str">
        <f>'Reported burning'!D1213</f>
        <v>Crop field preparation</v>
      </c>
      <c r="E1213" s="7" t="str">
        <f>'Reported burning'!E1213</f>
        <v>Cropping, Intensive</v>
      </c>
      <c r="F1213" s="7" t="str">
        <f>'Reported burning'!F1213</f>
        <v>Cropland</v>
      </c>
      <c r="G1213" s="7" t="str">
        <f>'Reported burning'!G1213</f>
        <v>ND</v>
      </c>
      <c r="H1213" s="7" t="str">
        <f>'Reported burning'!H1213</f>
        <v>Absence</v>
      </c>
      <c r="I1213" s="4"/>
      <c r="J1213" s="4" t="s">
        <v>2308</v>
      </c>
      <c r="K1213" s="4" t="s">
        <v>2308</v>
      </c>
      <c r="L1213" s="4" t="s">
        <v>2308</v>
      </c>
      <c r="M1213" s="4" t="s">
        <v>2308</v>
      </c>
      <c r="N1213" s="4" t="s">
        <v>2308</v>
      </c>
      <c r="O1213" s="4" t="s">
        <v>2308</v>
      </c>
      <c r="P1213" s="4" t="s">
        <v>2308</v>
      </c>
      <c r="Q1213" s="4" t="s">
        <v>2308</v>
      </c>
      <c r="R1213" s="4" t="s">
        <v>2308</v>
      </c>
      <c r="S1213" s="4" t="s">
        <v>2308</v>
      </c>
      <c r="T1213" s="4" t="s">
        <v>2308</v>
      </c>
      <c r="U1213" s="4" t="s">
        <v>2308</v>
      </c>
      <c r="V1213" s="4" t="s">
        <v>2308</v>
      </c>
      <c r="W1213" s="4" t="s">
        <v>2308</v>
      </c>
      <c r="X1213" s="4" t="s">
        <v>2308</v>
      </c>
      <c r="Y1213" s="4" t="s">
        <v>2308</v>
      </c>
      <c r="Z1213" s="4" t="s">
        <v>2308</v>
      </c>
      <c r="AA1213" s="5" t="s">
        <v>3756</v>
      </c>
      <c r="AB1213" s="4"/>
    </row>
    <row r="1214" spans="1:29" ht="41" customHeight="1">
      <c r="A1214" s="7" t="str">
        <f>'Reported burning'!A1214</f>
        <v>141a</v>
      </c>
      <c r="B1214" s="7" t="str">
        <f>'Reported burning'!B1214</f>
        <v>141a.1</v>
      </c>
      <c r="C1214" s="7" t="str">
        <f>'Reported burning'!C1214</f>
        <v>All</v>
      </c>
      <c r="D1214" s="7" t="str">
        <f>'Reported burning'!D1214</f>
        <v>All</v>
      </c>
      <c r="E1214" s="7" t="str">
        <f>'Reported burning'!E1214</f>
        <v>All</v>
      </c>
      <c r="F1214" s="7" t="str">
        <f>'Reported burning'!F1214</f>
        <v>ND</v>
      </c>
      <c r="G1214" s="7" t="str">
        <f>'Reported burning'!G1214</f>
        <v>Forest</v>
      </c>
      <c r="H1214" s="7" t="str">
        <f>'Reported burning'!H1214</f>
        <v>Absence</v>
      </c>
      <c r="I1214" s="4"/>
      <c r="J1214" s="4" t="s">
        <v>2308</v>
      </c>
      <c r="K1214" s="4" t="s">
        <v>2308</v>
      </c>
      <c r="L1214" s="4" t="s">
        <v>2308</v>
      </c>
      <c r="M1214" s="4" t="s">
        <v>2308</v>
      </c>
      <c r="N1214" s="4" t="s">
        <v>2308</v>
      </c>
      <c r="O1214" s="4" t="s">
        <v>2308</v>
      </c>
      <c r="P1214" s="4" t="s">
        <v>2308</v>
      </c>
      <c r="Q1214" s="4" t="s">
        <v>2308</v>
      </c>
      <c r="R1214" s="4" t="s">
        <v>2308</v>
      </c>
      <c r="S1214" s="4" t="s">
        <v>2308</v>
      </c>
      <c r="T1214" s="4" t="s">
        <v>2308</v>
      </c>
      <c r="U1214" s="4" t="s">
        <v>2308</v>
      </c>
      <c r="V1214" s="4" t="s">
        <v>2308</v>
      </c>
      <c r="W1214" s="4" t="s">
        <v>2308</v>
      </c>
      <c r="X1214" s="4" t="s">
        <v>2308</v>
      </c>
      <c r="Y1214" s="4" t="s">
        <v>2308</v>
      </c>
      <c r="Z1214" s="4" t="s">
        <v>2308</v>
      </c>
      <c r="AA1214" s="5" t="s">
        <v>3757</v>
      </c>
      <c r="AB1214" s="4"/>
    </row>
    <row r="1215" spans="1:29" ht="41" customHeight="1">
      <c r="A1215" s="7" t="str">
        <f>'Reported burning'!A1215</f>
        <v>141a</v>
      </c>
      <c r="B1215" s="7" t="str">
        <f>'Reported burning'!B1215</f>
        <v>141a.2</v>
      </c>
      <c r="C1215" s="7" t="str">
        <f>'Reported burning'!C1215</f>
        <v>All</v>
      </c>
      <c r="D1215" s="7" t="str">
        <f>'Reported burning'!D1215</f>
        <v>All</v>
      </c>
      <c r="E1215" s="7" t="str">
        <f>'Reported burning'!E1215</f>
        <v>All</v>
      </c>
      <c r="F1215" s="7" t="str">
        <f>'Reported burning'!F1215</f>
        <v>ND</v>
      </c>
      <c r="G1215" s="7" t="str">
        <f>'Reported burning'!G1215</f>
        <v>Grassland</v>
      </c>
      <c r="H1215" s="7" t="str">
        <f>'Reported burning'!H1215</f>
        <v>Presence</v>
      </c>
      <c r="I1215" s="4"/>
      <c r="J1215" s="4" t="s">
        <v>2308</v>
      </c>
      <c r="K1215" s="4" t="s">
        <v>2308</v>
      </c>
      <c r="L1215" s="4" t="s">
        <v>2308</v>
      </c>
      <c r="M1215" s="4" t="s">
        <v>2308</v>
      </c>
      <c r="N1215" s="4" t="s">
        <v>2308</v>
      </c>
      <c r="O1215" s="4" t="s">
        <v>2308</v>
      </c>
      <c r="P1215" s="4" t="s">
        <v>2308</v>
      </c>
      <c r="Q1215" s="4" t="s">
        <v>2308</v>
      </c>
      <c r="R1215" s="4" t="s">
        <v>2308</v>
      </c>
      <c r="S1215" s="4" t="s">
        <v>2308</v>
      </c>
      <c r="T1215" s="4" t="s">
        <v>2308</v>
      </c>
      <c r="U1215" s="4" t="s">
        <v>2308</v>
      </c>
      <c r="V1215" s="4" t="s">
        <v>2308</v>
      </c>
      <c r="W1215" s="4" t="s">
        <v>2308</v>
      </c>
      <c r="X1215" s="4" t="s">
        <v>2308</v>
      </c>
      <c r="Y1215" s="4" t="s">
        <v>2308</v>
      </c>
      <c r="Z1215" s="4" t="s">
        <v>2308</v>
      </c>
      <c r="AA1215" s="5" t="s">
        <v>3757</v>
      </c>
      <c r="AB1215" s="4"/>
      <c r="AC1215" s="146"/>
    </row>
    <row r="1216" spans="1:29" ht="34.5" customHeight="1">
      <c r="A1216" s="7" t="str">
        <f>'Reported burning'!A1216</f>
        <v>141a</v>
      </c>
      <c r="B1216" s="7" t="str">
        <f>'Reported burning'!B1216</f>
        <v>141a.3</v>
      </c>
      <c r="C1216" s="7" t="str">
        <f>'Reported burning'!C1216</f>
        <v>All</v>
      </c>
      <c r="D1216" s="7" t="str">
        <f>'Reported burning'!D1216</f>
        <v>ND</v>
      </c>
      <c r="E1216" s="7" t="str">
        <f>'Reported burning'!E1216</f>
        <v>All</v>
      </c>
      <c r="F1216" s="7" t="str">
        <f>'Reported burning'!F1216</f>
        <v>ND</v>
      </c>
      <c r="G1216" s="7" t="str">
        <f>'Reported burning'!G1216</f>
        <v>Plantation forest</v>
      </c>
      <c r="H1216" s="7" t="str">
        <f>'Reported burning'!H1216</f>
        <v>Absence</v>
      </c>
      <c r="I1216" s="4"/>
      <c r="J1216" s="4" t="s">
        <v>2308</v>
      </c>
      <c r="K1216" s="4" t="s">
        <v>2308</v>
      </c>
      <c r="L1216" s="4" t="s">
        <v>2308</v>
      </c>
      <c r="M1216" s="4" t="s">
        <v>2308</v>
      </c>
      <c r="N1216" s="4" t="s">
        <v>2308</v>
      </c>
      <c r="O1216" s="4" t="s">
        <v>2308</v>
      </c>
      <c r="P1216" s="4" t="s">
        <v>2308</v>
      </c>
      <c r="Q1216" s="4" t="s">
        <v>2308</v>
      </c>
      <c r="R1216" s="4" t="s">
        <v>2308</v>
      </c>
      <c r="S1216" s="4" t="s">
        <v>2308</v>
      </c>
      <c r="T1216" s="4" t="s">
        <v>2308</v>
      </c>
      <c r="U1216" s="4" t="s">
        <v>2308</v>
      </c>
      <c r="V1216" s="4" t="s">
        <v>2308</v>
      </c>
      <c r="W1216" s="4" t="s">
        <v>2308</v>
      </c>
      <c r="X1216" s="4" t="s">
        <v>2308</v>
      </c>
      <c r="Y1216" s="4" t="s">
        <v>2308</v>
      </c>
      <c r="Z1216" s="4" t="s">
        <v>2308</v>
      </c>
      <c r="AA1216" s="5" t="s">
        <v>3756</v>
      </c>
      <c r="AB1216" s="4"/>
    </row>
    <row r="1217" spans="1:28" ht="38" customHeight="1">
      <c r="A1217" s="7" t="str">
        <f>'Reported burning'!A1217</f>
        <v>141b</v>
      </c>
      <c r="B1217" s="7" t="str">
        <f>'Reported burning'!B1217</f>
        <v>141b.1</v>
      </c>
      <c r="C1217" s="7" t="str">
        <f>'Reported burning'!C1217</f>
        <v>All</v>
      </c>
      <c r="D1217" s="7" t="str">
        <f>'Reported burning'!D1217</f>
        <v>ND</v>
      </c>
      <c r="E1217" s="7" t="str">
        <f>'Reported burning'!E1217</f>
        <v>All</v>
      </c>
      <c r="F1217" s="7" t="str">
        <f>'Reported burning'!F1217</f>
        <v>ND</v>
      </c>
      <c r="G1217" s="7" t="str">
        <f>'Reported burning'!G1217</f>
        <v>ND</v>
      </c>
      <c r="H1217" s="7" t="str">
        <f>'Reported burning'!H1217</f>
        <v>Presence</v>
      </c>
      <c r="I1217" s="4"/>
      <c r="J1217" s="4" t="s">
        <v>2308</v>
      </c>
      <c r="K1217" s="4" t="s">
        <v>2308</v>
      </c>
      <c r="L1217" s="4" t="s">
        <v>2308</v>
      </c>
      <c r="M1217" s="4" t="s">
        <v>2308</v>
      </c>
      <c r="N1217" s="4" t="s">
        <v>2308</v>
      </c>
      <c r="O1217" s="4" t="s">
        <v>2308</v>
      </c>
      <c r="P1217" s="4" t="s">
        <v>2308</v>
      </c>
      <c r="Q1217" s="4" t="s">
        <v>2308</v>
      </c>
      <c r="R1217" s="4" t="s">
        <v>2308</v>
      </c>
      <c r="S1217" s="4" t="s">
        <v>2308</v>
      </c>
      <c r="T1217" s="4" t="s">
        <v>2308</v>
      </c>
      <c r="U1217" s="4" t="s">
        <v>2308</v>
      </c>
      <c r="V1217" s="4" t="s">
        <v>2308</v>
      </c>
      <c r="W1217" s="4" t="s">
        <v>2308</v>
      </c>
      <c r="X1217" s="4" t="s">
        <v>2308</v>
      </c>
      <c r="Y1217" s="4" t="s">
        <v>2308</v>
      </c>
      <c r="Z1217" s="4" t="s">
        <v>2308</v>
      </c>
      <c r="AA1217" s="5" t="s">
        <v>3757</v>
      </c>
      <c r="AB1217" s="4"/>
    </row>
    <row r="1218" spans="1:28" ht="31" customHeight="1">
      <c r="A1218" s="7" t="str">
        <f>'Reported burning'!A1218</f>
        <v>142a</v>
      </c>
      <c r="B1218" s="7" t="str">
        <f>'Reported burning'!B1218</f>
        <v>142a.1</v>
      </c>
      <c r="C1218" s="7" t="str">
        <f>'Reported burning'!C1218</f>
        <v>Human, deliberate</v>
      </c>
      <c r="D1218" s="7" t="str">
        <f>'Reported burning'!D1218</f>
        <v>Pyrome management</v>
      </c>
      <c r="E1218" s="7" t="str">
        <f>'Reported burning'!E1218</f>
        <v>Forestry, Traditional</v>
      </c>
      <c r="F1218" s="7" t="str">
        <f>'Reported burning'!F1218</f>
        <v>Shrubland (Mixed forest &amp; grassland)</v>
      </c>
      <c r="G1218" s="7" t="str">
        <f>'Reported burning'!G1218</f>
        <v>ND</v>
      </c>
      <c r="H1218" s="7" t="str">
        <f>'Reported burning'!H1218</f>
        <v>Presence</v>
      </c>
      <c r="I1218" s="4"/>
      <c r="J1218" s="4" t="s">
        <v>2308</v>
      </c>
      <c r="K1218" s="4" t="s">
        <v>2308</v>
      </c>
      <c r="L1218" s="4" t="s">
        <v>2308</v>
      </c>
      <c r="M1218" s="4" t="s">
        <v>2308</v>
      </c>
      <c r="N1218" s="4" t="s">
        <v>2308</v>
      </c>
      <c r="O1218" s="4" t="s">
        <v>2308</v>
      </c>
      <c r="P1218" s="4" t="s">
        <v>2308</v>
      </c>
      <c r="Q1218" s="4" t="s">
        <v>2308</v>
      </c>
      <c r="R1218" s="4" t="s">
        <v>2308</v>
      </c>
      <c r="S1218" s="4" t="s">
        <v>2308</v>
      </c>
      <c r="T1218" s="4" t="s">
        <v>2308</v>
      </c>
      <c r="U1218" s="4" t="s">
        <v>2308</v>
      </c>
      <c r="V1218" s="4" t="s">
        <v>2308</v>
      </c>
      <c r="W1218" s="4" t="s">
        <v>2308</v>
      </c>
      <c r="X1218" s="4" t="s">
        <v>2308</v>
      </c>
      <c r="Y1218" s="4" t="s">
        <v>2308</v>
      </c>
      <c r="Z1218" s="4" t="s">
        <v>2308</v>
      </c>
      <c r="AA1218" s="172"/>
      <c r="AB1218" s="4"/>
    </row>
    <row r="1219" spans="1:28" ht="31" customHeight="1">
      <c r="A1219" s="7" t="str">
        <f>'Reported burning'!A1219</f>
        <v>142a</v>
      </c>
      <c r="B1219" s="7" t="str">
        <f>'Reported burning'!B1219</f>
        <v>142a.2</v>
      </c>
      <c r="C1219" s="7" t="str">
        <f>'Reported burning'!C1219</f>
        <v>Human, deliberate</v>
      </c>
      <c r="D1219" s="7" t="str">
        <f>'Reported burning'!D1219</f>
        <v>Cultural &amp; Spiritual</v>
      </c>
      <c r="E1219" s="7" t="str">
        <f>'Reported burning'!E1219</f>
        <v>Cropping, Swidden</v>
      </c>
      <c r="F1219" s="7" t="str">
        <f>'Reported burning'!F1219</f>
        <v>ND</v>
      </c>
      <c r="G1219" s="7" t="str">
        <f>'Reported burning'!G1219</f>
        <v>ND</v>
      </c>
      <c r="H1219" s="7" t="str">
        <f>'Reported burning'!H1219</f>
        <v>Presence</v>
      </c>
      <c r="I1219" s="4"/>
      <c r="J1219" s="4" t="s">
        <v>2308</v>
      </c>
      <c r="K1219" s="4" t="s">
        <v>2308</v>
      </c>
      <c r="L1219" s="4" t="s">
        <v>2308</v>
      </c>
      <c r="M1219" s="4" t="s">
        <v>2308</v>
      </c>
      <c r="N1219" s="4" t="s">
        <v>2308</v>
      </c>
      <c r="O1219" s="4" t="s">
        <v>2308</v>
      </c>
      <c r="P1219" s="4" t="s">
        <v>2308</v>
      </c>
      <c r="Q1219" s="4" t="s">
        <v>2308</v>
      </c>
      <c r="R1219" s="4" t="s">
        <v>2308</v>
      </c>
      <c r="S1219" s="4" t="s">
        <v>2308</v>
      </c>
      <c r="T1219" s="4" t="s">
        <v>2308</v>
      </c>
      <c r="U1219" s="4" t="s">
        <v>2308</v>
      </c>
      <c r="V1219" s="4" t="s">
        <v>2308</v>
      </c>
      <c r="W1219" s="4" t="s">
        <v>2308</v>
      </c>
      <c r="X1219" s="4" t="s">
        <v>2308</v>
      </c>
      <c r="Y1219" s="4" t="s">
        <v>2308</v>
      </c>
      <c r="Z1219" s="4" t="s">
        <v>2308</v>
      </c>
      <c r="AA1219" s="172"/>
      <c r="AB1219" s="4"/>
    </row>
    <row r="1220" spans="1:28" ht="31" customHeight="1">
      <c r="A1220" s="7" t="str">
        <f>'Reported burning'!A1220</f>
        <v>142a</v>
      </c>
      <c r="B1220" s="7" t="str">
        <f>'Reported burning'!B1220</f>
        <v>142a.3</v>
      </c>
      <c r="C1220" s="7" t="str">
        <f>'Reported burning'!C1220</f>
        <v>Human, deliberate</v>
      </c>
      <c r="D1220" s="7" t="str">
        <f>'Reported burning'!D1220</f>
        <v>Cultural &amp; Spiritual</v>
      </c>
      <c r="E1220" s="7" t="str">
        <f>'Reported burning'!E1220</f>
        <v>Forestry, Traditional</v>
      </c>
      <c r="F1220" s="7" t="str">
        <f>'Reported burning'!F1220</f>
        <v>ND</v>
      </c>
      <c r="G1220" s="7" t="str">
        <f>'Reported burning'!G1220</f>
        <v>ND</v>
      </c>
      <c r="H1220" s="7" t="str">
        <f>'Reported burning'!H1220</f>
        <v>Presence</v>
      </c>
      <c r="I1220" s="4"/>
      <c r="J1220" s="4" t="s">
        <v>2308</v>
      </c>
      <c r="K1220" s="4" t="s">
        <v>2308</v>
      </c>
      <c r="L1220" s="4" t="s">
        <v>2308</v>
      </c>
      <c r="M1220" s="4" t="s">
        <v>2308</v>
      </c>
      <c r="N1220" s="4" t="s">
        <v>2308</v>
      </c>
      <c r="O1220" s="4" t="s">
        <v>2308</v>
      </c>
      <c r="P1220" s="4" t="s">
        <v>2308</v>
      </c>
      <c r="Q1220" s="4" t="s">
        <v>2308</v>
      </c>
      <c r="R1220" s="4" t="s">
        <v>2308</v>
      </c>
      <c r="S1220" s="4" t="s">
        <v>2308</v>
      </c>
      <c r="T1220" s="4" t="s">
        <v>2308</v>
      </c>
      <c r="U1220" s="4" t="s">
        <v>2308</v>
      </c>
      <c r="V1220" s="4" t="s">
        <v>2308</v>
      </c>
      <c r="W1220" s="4" t="s">
        <v>2308</v>
      </c>
      <c r="X1220" s="4" t="s">
        <v>2308</v>
      </c>
      <c r="Y1220" s="4" t="s">
        <v>2308</v>
      </c>
      <c r="Z1220" s="4" t="s">
        <v>2308</v>
      </c>
      <c r="AA1220" s="172"/>
      <c r="AB1220" s="4"/>
    </row>
    <row r="1221" spans="1:28" ht="31" customHeight="1">
      <c r="A1221" s="7" t="str">
        <f>'Reported burning'!A1221</f>
        <v>142a</v>
      </c>
      <c r="B1221" s="7" t="str">
        <f>'Reported burning'!B1221</f>
        <v>142a.4</v>
      </c>
      <c r="C1221" s="7" t="str">
        <f>'Reported burning'!C1221</f>
        <v>Human, deliberate</v>
      </c>
      <c r="D1221" s="7" t="str">
        <f>'Reported burning'!D1221</f>
        <v>Crop field preparation</v>
      </c>
      <c r="E1221" s="7" t="str">
        <f>'Reported burning'!E1221</f>
        <v>Cropping, Swidden</v>
      </c>
      <c r="F1221" s="7" t="str">
        <f>'Reported burning'!F1221</f>
        <v>Cropland</v>
      </c>
      <c r="G1221" s="7" t="str">
        <f>'Reported burning'!G1221</f>
        <v>ND</v>
      </c>
      <c r="H1221" s="7" t="str">
        <f>'Reported burning'!H1221</f>
        <v>Presence</v>
      </c>
      <c r="I1221" s="4"/>
      <c r="J1221" s="4" t="s">
        <v>2308</v>
      </c>
      <c r="K1221" s="4" t="s">
        <v>2308</v>
      </c>
      <c r="L1221" s="4" t="s">
        <v>2308</v>
      </c>
      <c r="M1221" s="4" t="s">
        <v>2308</v>
      </c>
      <c r="N1221" s="4" t="s">
        <v>2308</v>
      </c>
      <c r="O1221" s="4" t="s">
        <v>2308</v>
      </c>
      <c r="P1221" s="4" t="s">
        <v>2308</v>
      </c>
      <c r="Q1221" s="4" t="s">
        <v>2308</v>
      </c>
      <c r="R1221" s="4" t="s">
        <v>2308</v>
      </c>
      <c r="S1221" s="4" t="s">
        <v>2308</v>
      </c>
      <c r="T1221" s="4" t="s">
        <v>2308</v>
      </c>
      <c r="U1221" s="4" t="s">
        <v>2308</v>
      </c>
      <c r="V1221" s="4" t="s">
        <v>2308</v>
      </c>
      <c r="W1221" s="4" t="s">
        <v>2308</v>
      </c>
      <c r="X1221" s="4" t="s">
        <v>2308</v>
      </c>
      <c r="Y1221" s="4" t="s">
        <v>2308</v>
      </c>
      <c r="Z1221" s="4" t="s">
        <v>2308</v>
      </c>
      <c r="AA1221" s="172"/>
      <c r="AB1221" s="4"/>
    </row>
    <row r="1222" spans="1:28" ht="31" customHeight="1">
      <c r="A1222" s="7" t="str">
        <f>'Reported burning'!A1222</f>
        <v>142a</v>
      </c>
      <c r="B1222" s="7" t="str">
        <f>'Reported burning'!B1222</f>
        <v>142a.5</v>
      </c>
      <c r="C1222" s="7" t="str">
        <f>'Reported burning'!C1222</f>
        <v>Human, deliberate</v>
      </c>
      <c r="D1222" s="7" t="str">
        <f>'Reported burning'!D1222</f>
        <v>Hunting</v>
      </c>
      <c r="E1222" s="7" t="str">
        <f>'Reported burning'!E1222</f>
        <v>Forestry, Traditional</v>
      </c>
      <c r="F1222" s="7" t="str">
        <f>'Reported burning'!F1222</f>
        <v>Shrubland (Mixed forest &amp; grassland)</v>
      </c>
      <c r="G1222" s="7" t="str">
        <f>'Reported burning'!G1222</f>
        <v>ND</v>
      </c>
      <c r="H1222" s="7" t="str">
        <f>'Reported burning'!H1222</f>
        <v>Presence</v>
      </c>
      <c r="I1222" s="4"/>
      <c r="J1222" s="4" t="s">
        <v>2308</v>
      </c>
      <c r="K1222" s="4" t="s">
        <v>2308</v>
      </c>
      <c r="L1222" s="4" t="s">
        <v>2308</v>
      </c>
      <c r="M1222" s="4" t="s">
        <v>2308</v>
      </c>
      <c r="N1222" s="4" t="s">
        <v>2308</v>
      </c>
      <c r="O1222" s="4" t="s">
        <v>2308</v>
      </c>
      <c r="P1222" s="4" t="s">
        <v>2308</v>
      </c>
      <c r="Q1222" s="4" t="s">
        <v>2308</v>
      </c>
      <c r="R1222" s="4" t="s">
        <v>2308</v>
      </c>
      <c r="S1222" s="4" t="s">
        <v>2308</v>
      </c>
      <c r="T1222" s="4" t="s">
        <v>2308</v>
      </c>
      <c r="U1222" s="4" t="s">
        <v>2308</v>
      </c>
      <c r="V1222" s="4" t="s">
        <v>2308</v>
      </c>
      <c r="W1222" s="4" t="s">
        <v>2308</v>
      </c>
      <c r="X1222" s="4" t="s">
        <v>2308</v>
      </c>
      <c r="Y1222" s="4" t="s">
        <v>2308</v>
      </c>
      <c r="Z1222" s="4" t="s">
        <v>2308</v>
      </c>
      <c r="AA1222" s="172"/>
      <c r="AB1222" s="4"/>
    </row>
    <row r="1223" spans="1:28" ht="31" customHeight="1">
      <c r="A1223" s="7" t="str">
        <f>'Reported burning'!A1223</f>
        <v>142a</v>
      </c>
      <c r="B1223" s="7" t="str">
        <f>'Reported burning'!B1223</f>
        <v>142a.6</v>
      </c>
      <c r="C1223" s="7" t="str">
        <f>'Reported burning'!C1223</f>
        <v>Human, deliberate</v>
      </c>
      <c r="D1223" s="7" t="str">
        <f>'Reported burning'!D1223</f>
        <v>Harvesting of NTFP</v>
      </c>
      <c r="E1223" s="7" t="str">
        <f>'Reported burning'!E1223</f>
        <v>Forestry, Traditional</v>
      </c>
      <c r="F1223" s="7" t="str">
        <f>'Reported burning'!F1223</f>
        <v>Shrubland (Mixed forest &amp; grassland)</v>
      </c>
      <c r="G1223" s="7" t="str">
        <f>'Reported burning'!G1223</f>
        <v>ND</v>
      </c>
      <c r="H1223" s="7" t="str">
        <f>'Reported burning'!H1223</f>
        <v>Presence</v>
      </c>
      <c r="I1223" s="4"/>
      <c r="J1223" s="4" t="s">
        <v>2308</v>
      </c>
      <c r="K1223" s="4" t="s">
        <v>2308</v>
      </c>
      <c r="L1223" s="4" t="s">
        <v>2308</v>
      </c>
      <c r="M1223" s="4" t="s">
        <v>2308</v>
      </c>
      <c r="N1223" s="4" t="s">
        <v>2308</v>
      </c>
      <c r="O1223" s="4" t="s">
        <v>2308</v>
      </c>
      <c r="P1223" s="4" t="s">
        <v>2308</v>
      </c>
      <c r="Q1223" s="4" t="s">
        <v>2308</v>
      </c>
      <c r="R1223" s="4" t="s">
        <v>2308</v>
      </c>
      <c r="S1223" s="4" t="s">
        <v>2308</v>
      </c>
      <c r="T1223" s="4" t="s">
        <v>2308</v>
      </c>
      <c r="U1223" s="4" t="s">
        <v>2308</v>
      </c>
      <c r="V1223" s="4" t="s">
        <v>2308</v>
      </c>
      <c r="W1223" s="4" t="s">
        <v>2308</v>
      </c>
      <c r="X1223" s="4" t="s">
        <v>2308</v>
      </c>
      <c r="Y1223" s="4" t="s">
        <v>2308</v>
      </c>
      <c r="Z1223" s="4" t="s">
        <v>2308</v>
      </c>
      <c r="AA1223" s="172"/>
      <c r="AB1223" s="4"/>
    </row>
    <row r="1224" spans="1:28" ht="31" customHeight="1">
      <c r="A1224" s="7" t="str">
        <f>'Reported burning'!A1224</f>
        <v>142a</v>
      </c>
      <c r="B1224" s="7" t="str">
        <f>'Reported burning'!B1224</f>
        <v>142a.7</v>
      </c>
      <c r="C1224" s="7" t="str">
        <f>'Reported burning'!C1224</f>
        <v>Human, deliberate</v>
      </c>
      <c r="D1224" s="7" t="str">
        <f>'Reported burning'!D1224</f>
        <v>Pasture renewal</v>
      </c>
      <c r="E1224" s="7" t="str">
        <f>'Reported burning'!E1224</f>
        <v>Pastoralism, Migratory</v>
      </c>
      <c r="F1224" s="7" t="str">
        <f>'Reported burning'!F1224</f>
        <v>Grassland</v>
      </c>
      <c r="G1224" s="7" t="str">
        <f>'Reported burning'!G1224</f>
        <v>ND</v>
      </c>
      <c r="H1224" s="7" t="str">
        <f>'Reported burning'!H1224</f>
        <v>Presence</v>
      </c>
      <c r="I1224" s="4"/>
      <c r="J1224" s="4" t="s">
        <v>2308</v>
      </c>
      <c r="K1224" s="4" t="s">
        <v>2308</v>
      </c>
      <c r="L1224" s="4" t="s">
        <v>2308</v>
      </c>
      <c r="M1224" s="4" t="s">
        <v>2308</v>
      </c>
      <c r="N1224" s="4" t="s">
        <v>2308</v>
      </c>
      <c r="O1224" s="4" t="s">
        <v>2308</v>
      </c>
      <c r="P1224" s="4" t="s">
        <v>2308</v>
      </c>
      <c r="Q1224" s="4" t="s">
        <v>2308</v>
      </c>
      <c r="R1224" s="4" t="s">
        <v>2308</v>
      </c>
      <c r="S1224" s="4" t="s">
        <v>2308</v>
      </c>
      <c r="T1224" s="4" t="s">
        <v>2308</v>
      </c>
      <c r="U1224" s="4" t="s">
        <v>2308</v>
      </c>
      <c r="V1224" s="4" t="s">
        <v>2308</v>
      </c>
      <c r="W1224" s="4" t="s">
        <v>2308</v>
      </c>
      <c r="X1224" s="4" t="s">
        <v>2308</v>
      </c>
      <c r="Y1224" s="4" t="s">
        <v>2308</v>
      </c>
      <c r="Z1224" s="4" t="s">
        <v>2308</v>
      </c>
      <c r="AA1224" s="172"/>
      <c r="AB1224" s="4"/>
    </row>
    <row r="1225" spans="1:28" ht="31" customHeight="1">
      <c r="A1225" s="7" t="str">
        <f>'Reported burning'!A1225</f>
        <v>142a</v>
      </c>
      <c r="B1225" s="7" t="str">
        <f>'Reported burning'!B1225</f>
        <v>142a.8</v>
      </c>
      <c r="C1225" s="7" t="str">
        <f>'Reported burning'!C1225</f>
        <v>Human, deliberate</v>
      </c>
      <c r="D1225" s="7" t="str">
        <f>'Reported burning'!D1225</f>
        <v>Pest management</v>
      </c>
      <c r="E1225" s="7" t="str">
        <f>'Reported burning'!E1225</f>
        <v>Pastoralism, Migratory</v>
      </c>
      <c r="F1225" s="7" t="str">
        <f>'Reported burning'!F1225</f>
        <v>ND</v>
      </c>
      <c r="G1225" s="7" t="str">
        <f>'Reported burning'!G1225</f>
        <v>ND</v>
      </c>
      <c r="H1225" s="7" t="str">
        <f>'Reported burning'!H1225</f>
        <v>Presence</v>
      </c>
      <c r="I1225" s="4"/>
      <c r="J1225" s="4" t="s">
        <v>2308</v>
      </c>
      <c r="K1225" s="4" t="s">
        <v>2308</v>
      </c>
      <c r="L1225" s="4" t="s">
        <v>2308</v>
      </c>
      <c r="M1225" s="4" t="s">
        <v>2308</v>
      </c>
      <c r="N1225" s="4" t="s">
        <v>2308</v>
      </c>
      <c r="O1225" s="4" t="s">
        <v>2308</v>
      </c>
      <c r="P1225" s="4" t="s">
        <v>2308</v>
      </c>
      <c r="Q1225" s="4" t="s">
        <v>2308</v>
      </c>
      <c r="R1225" s="4" t="s">
        <v>2308</v>
      </c>
      <c r="S1225" s="4" t="s">
        <v>2308</v>
      </c>
      <c r="T1225" s="4" t="s">
        <v>2308</v>
      </c>
      <c r="U1225" s="4" t="s">
        <v>2308</v>
      </c>
      <c r="V1225" s="4" t="s">
        <v>2308</v>
      </c>
      <c r="W1225" s="4" t="s">
        <v>2308</v>
      </c>
      <c r="X1225" s="4" t="s">
        <v>2308</v>
      </c>
      <c r="Y1225" s="4" t="s">
        <v>2308</v>
      </c>
      <c r="Z1225" s="4" t="s">
        <v>2308</v>
      </c>
      <c r="AA1225" s="172"/>
      <c r="AB1225" s="4"/>
    </row>
    <row r="1226" spans="1:28" ht="31" customHeight="1">
      <c r="A1226" s="7" t="str">
        <f>'Reported burning'!A1226</f>
        <v>142a</v>
      </c>
      <c r="B1226" s="7" t="str">
        <f>'Reported burning'!B1226</f>
        <v>142a.9</v>
      </c>
      <c r="C1226" s="7" t="str">
        <f>'Reported burning'!C1226</f>
        <v>Human, deliberate</v>
      </c>
      <c r="D1226" s="7" t="str">
        <f>'Reported burning'!D1226</f>
        <v>Accessibility</v>
      </c>
      <c r="E1226" s="7" t="str">
        <f>'Reported burning'!E1226</f>
        <v>Forestry, Traditional</v>
      </c>
      <c r="F1226" s="7" t="str">
        <f>'Reported burning'!F1226</f>
        <v>Shrubland (Mixed forest &amp; grassland)</v>
      </c>
      <c r="G1226" s="7" t="str">
        <f>'Reported burning'!G1226</f>
        <v>ND</v>
      </c>
      <c r="H1226" s="7" t="str">
        <f>'Reported burning'!H1226</f>
        <v>Presence</v>
      </c>
      <c r="I1226" s="4"/>
      <c r="J1226" s="4" t="s">
        <v>2308</v>
      </c>
      <c r="K1226" s="4" t="s">
        <v>2308</v>
      </c>
      <c r="L1226" s="4" t="s">
        <v>2308</v>
      </c>
      <c r="M1226" s="4" t="s">
        <v>2308</v>
      </c>
      <c r="N1226" s="4" t="s">
        <v>2308</v>
      </c>
      <c r="O1226" s="4" t="s">
        <v>2308</v>
      </c>
      <c r="P1226" s="4" t="s">
        <v>2308</v>
      </c>
      <c r="Q1226" s="4" t="s">
        <v>2308</v>
      </c>
      <c r="R1226" s="4" t="s">
        <v>2308</v>
      </c>
      <c r="S1226" s="4" t="s">
        <v>2308</v>
      </c>
      <c r="T1226" s="4" t="s">
        <v>2308</v>
      </c>
      <c r="U1226" s="4" t="s">
        <v>2308</v>
      </c>
      <c r="V1226" s="4" t="s">
        <v>2308</v>
      </c>
      <c r="W1226" s="4" t="s">
        <v>2308</v>
      </c>
      <c r="X1226" s="4" t="s">
        <v>2308</v>
      </c>
      <c r="Y1226" s="4" t="s">
        <v>2308</v>
      </c>
      <c r="Z1226" s="4" t="s">
        <v>2308</v>
      </c>
      <c r="AA1226" s="172"/>
      <c r="AB1226" s="4"/>
    </row>
    <row r="1227" spans="1:28" ht="66" customHeight="1">
      <c r="A1227" s="7" t="str">
        <f>'Reported burning'!A1227</f>
        <v>142a</v>
      </c>
      <c r="B1227" s="7" t="str">
        <f>'Reported burning'!B1227</f>
        <v>142a.10</v>
      </c>
      <c r="C1227" s="7" t="str">
        <f>'Reported burning'!C1227</f>
        <v>All</v>
      </c>
      <c r="D1227" s="7" t="str">
        <f>'Reported burning'!D1227</f>
        <v>All</v>
      </c>
      <c r="E1227" s="7" t="str">
        <f>'Reported burning'!E1227</f>
        <v>All</v>
      </c>
      <c r="F1227" s="7" t="str">
        <f>'Reported burning'!F1227</f>
        <v>All</v>
      </c>
      <c r="G1227" s="7" t="str">
        <f>'Reported burning'!G1227</f>
        <v>All</v>
      </c>
      <c r="H1227" s="7" t="str">
        <f>'Reported burning'!H1227</f>
        <v>Presence</v>
      </c>
      <c r="I1227" s="4">
        <v>2000</v>
      </c>
      <c r="J1227" s="4" t="s">
        <v>2308</v>
      </c>
      <c r="K1227" s="4" t="s">
        <v>2308</v>
      </c>
      <c r="L1227" s="4" t="s">
        <v>2308</v>
      </c>
      <c r="M1227" s="4" t="s">
        <v>2308</v>
      </c>
      <c r="N1227" s="4" t="s">
        <v>2308</v>
      </c>
      <c r="O1227" s="4" t="s">
        <v>2308</v>
      </c>
      <c r="P1227" s="4" t="s">
        <v>2308</v>
      </c>
      <c r="Q1227" s="4" t="s">
        <v>2308</v>
      </c>
      <c r="R1227" s="4" t="s">
        <v>2308</v>
      </c>
      <c r="S1227" s="4" t="s">
        <v>2308</v>
      </c>
      <c r="T1227" s="4" t="s">
        <v>2308</v>
      </c>
      <c r="U1227" s="4" t="s">
        <v>2308</v>
      </c>
      <c r="V1227" s="4" t="s">
        <v>2408</v>
      </c>
      <c r="W1227" s="4" t="s">
        <v>2433</v>
      </c>
      <c r="X1227" s="4" t="s">
        <v>38</v>
      </c>
      <c r="Y1227" s="4" t="s">
        <v>68</v>
      </c>
      <c r="Z1227" s="4" t="s">
        <v>76</v>
      </c>
      <c r="AA1227" s="5" t="s">
        <v>3782</v>
      </c>
      <c r="AB1227" s="5" t="s">
        <v>3784</v>
      </c>
    </row>
    <row r="1228" spans="1:28" ht="70.5" customHeight="1">
      <c r="A1228" s="7" t="str">
        <f>'Reported burning'!A1228</f>
        <v>142a</v>
      </c>
      <c r="B1228" s="7" t="str">
        <f>'Reported burning'!B1228</f>
        <v>142a.11</v>
      </c>
      <c r="C1228" s="7" t="str">
        <f>'Reported burning'!C1228</f>
        <v>All</v>
      </c>
      <c r="D1228" s="7" t="str">
        <f>'Reported burning'!D1228</f>
        <v>All</v>
      </c>
      <c r="E1228" s="7" t="str">
        <f>'Reported burning'!E1228</f>
        <v>All</v>
      </c>
      <c r="F1228" s="7" t="str">
        <f>'Reported burning'!F1228</f>
        <v>All</v>
      </c>
      <c r="G1228" s="7" t="str">
        <f>'Reported burning'!G1228</f>
        <v>All</v>
      </c>
      <c r="H1228" s="7" t="str">
        <f>'Reported burning'!H1228</f>
        <v>Presence</v>
      </c>
      <c r="I1228" s="4">
        <v>2006</v>
      </c>
      <c r="J1228" s="4" t="s">
        <v>2308</v>
      </c>
      <c r="K1228" s="4" t="s">
        <v>2308</v>
      </c>
      <c r="L1228" s="4" t="s">
        <v>2308</v>
      </c>
      <c r="M1228" s="4" t="s">
        <v>2308</v>
      </c>
      <c r="N1228" s="4" t="s">
        <v>2308</v>
      </c>
      <c r="O1228" s="4" t="s">
        <v>2308</v>
      </c>
      <c r="P1228" s="4" t="s">
        <v>2308</v>
      </c>
      <c r="Q1228" s="4" t="s">
        <v>2308</v>
      </c>
      <c r="R1228" s="4" t="s">
        <v>2308</v>
      </c>
      <c r="S1228" s="4" t="s">
        <v>2308</v>
      </c>
      <c r="T1228" s="4" t="s">
        <v>2308</v>
      </c>
      <c r="U1228" s="4" t="s">
        <v>2308</v>
      </c>
      <c r="V1228" s="4" t="s">
        <v>2408</v>
      </c>
      <c r="W1228" s="4" t="s">
        <v>2434</v>
      </c>
      <c r="X1228" s="4" t="s">
        <v>38</v>
      </c>
      <c r="Y1228" s="4" t="s">
        <v>68</v>
      </c>
      <c r="Z1228" s="4" t="s">
        <v>2688</v>
      </c>
      <c r="AA1228" s="4" t="s">
        <v>3783</v>
      </c>
      <c r="AB1228" s="5" t="s">
        <v>3785</v>
      </c>
    </row>
    <row r="1229" spans="1:28" ht="40.5" customHeight="1">
      <c r="A1229" s="7" t="str">
        <f>'Reported burning'!A1229</f>
        <v>143a</v>
      </c>
      <c r="B1229" s="7" t="str">
        <f>'Reported burning'!B1229</f>
        <v>143a.1</v>
      </c>
      <c r="C1229" s="7" t="str">
        <f>'Reported burning'!C1229</f>
        <v>Human, deliberate</v>
      </c>
      <c r="D1229" s="7" t="str">
        <f>'Reported burning'!D1229</f>
        <v>Rangeland management</v>
      </c>
      <c r="E1229" s="7" t="str">
        <f>'Reported burning'!E1229</f>
        <v>Pastoralism, Migratory</v>
      </c>
      <c r="F1229" s="7" t="str">
        <f>'Reported burning'!F1229</f>
        <v>Shrubland (Mixed forest &amp; grassland)</v>
      </c>
      <c r="G1229" s="7" t="str">
        <f>'Reported burning'!G1229</f>
        <v>Shrubland (Mixed forest &amp; grassland)</v>
      </c>
      <c r="H1229" s="7" t="str">
        <f>'Reported burning'!H1229</f>
        <v>Presence</v>
      </c>
      <c r="I1229" s="4"/>
      <c r="J1229" s="4" t="s">
        <v>2308</v>
      </c>
      <c r="K1229" s="4" t="s">
        <v>2308</v>
      </c>
      <c r="L1229" s="4" t="s">
        <v>2308</v>
      </c>
      <c r="M1229" s="4" t="s">
        <v>2308</v>
      </c>
      <c r="N1229" s="4" t="s">
        <v>2409</v>
      </c>
      <c r="O1229" s="4" t="s">
        <v>2308</v>
      </c>
      <c r="P1229" s="4" t="s">
        <v>2308</v>
      </c>
      <c r="Q1229" s="4" t="s">
        <v>2308</v>
      </c>
      <c r="R1229" s="4" t="s">
        <v>2308</v>
      </c>
      <c r="S1229" s="4" t="s">
        <v>2308</v>
      </c>
      <c r="T1229" s="4" t="s">
        <v>2308</v>
      </c>
      <c r="U1229" s="4" t="s">
        <v>2308</v>
      </c>
      <c r="V1229" s="4" t="s">
        <v>2308</v>
      </c>
      <c r="W1229" s="4" t="s">
        <v>2308</v>
      </c>
      <c r="X1229" s="4" t="s">
        <v>68</v>
      </c>
      <c r="Y1229" s="4" t="s">
        <v>194</v>
      </c>
      <c r="Z1229" s="4" t="s">
        <v>76</v>
      </c>
      <c r="AA1229" s="5"/>
      <c r="AB1229" s="4"/>
    </row>
    <row r="1230" spans="1:28" ht="40.5" customHeight="1">
      <c r="A1230" s="7" t="str">
        <f>'Reported burning'!A1230</f>
        <v>143a</v>
      </c>
      <c r="B1230" s="7" t="str">
        <f>'Reported burning'!B1230</f>
        <v>143a.2</v>
      </c>
      <c r="C1230" s="7" t="str">
        <f>'Reported burning'!C1230</f>
        <v>Human, deliberate</v>
      </c>
      <c r="D1230" s="7" t="str">
        <f>'Reported burning'!D1230</f>
        <v>Pest management</v>
      </c>
      <c r="E1230" s="7" t="str">
        <f>'Reported burning'!E1230</f>
        <v>Pastoralism, Migratory</v>
      </c>
      <c r="F1230" s="7" t="str">
        <f>'Reported burning'!F1230</f>
        <v>Shrubland (Mixed forest &amp; grassland)</v>
      </c>
      <c r="G1230" s="7" t="str">
        <f>'Reported burning'!G1230</f>
        <v>Shrubland (Mixed forest &amp; grassland)</v>
      </c>
      <c r="H1230" s="7" t="str">
        <f>'Reported burning'!H1230</f>
        <v>Presence</v>
      </c>
      <c r="I1230" s="4"/>
      <c r="J1230" s="4" t="s">
        <v>2308</v>
      </c>
      <c r="K1230" s="4" t="s">
        <v>2308</v>
      </c>
      <c r="L1230" s="4" t="s">
        <v>2308</v>
      </c>
      <c r="M1230" s="4" t="s">
        <v>2308</v>
      </c>
      <c r="N1230" s="4" t="s">
        <v>2409</v>
      </c>
      <c r="O1230" s="4" t="s">
        <v>2308</v>
      </c>
      <c r="P1230" s="4" t="s">
        <v>2308</v>
      </c>
      <c r="Q1230" s="4" t="s">
        <v>2308</v>
      </c>
      <c r="R1230" s="4" t="s">
        <v>2308</v>
      </c>
      <c r="S1230" s="4" t="s">
        <v>2308</v>
      </c>
      <c r="T1230" s="4" t="s">
        <v>2308</v>
      </c>
      <c r="U1230" s="4" t="s">
        <v>2308</v>
      </c>
      <c r="V1230" s="4" t="s">
        <v>2308</v>
      </c>
      <c r="W1230" s="4" t="s">
        <v>2308</v>
      </c>
      <c r="X1230" s="4" t="s">
        <v>68</v>
      </c>
      <c r="Y1230" s="4" t="s">
        <v>194</v>
      </c>
      <c r="Z1230" s="4" t="s">
        <v>76</v>
      </c>
      <c r="AA1230" s="5" t="s">
        <v>3794</v>
      </c>
      <c r="AB1230" s="4"/>
    </row>
    <row r="1231" spans="1:28" ht="93" customHeight="1">
      <c r="A1231" s="7" t="str">
        <f>'Reported burning'!A1231</f>
        <v>143a</v>
      </c>
      <c r="B1231" s="7" t="str">
        <f>'Reported burning'!B1231</f>
        <v>143a.3</v>
      </c>
      <c r="C1231" s="7" t="str">
        <f>'Reported burning'!C1231</f>
        <v>Human, deliberate</v>
      </c>
      <c r="D1231" s="7" t="str">
        <f>'Reported burning'!D1231</f>
        <v>All</v>
      </c>
      <c r="E1231" s="7" t="str">
        <f>'Reported burning'!E1231</f>
        <v>Pastoralism, Migratory</v>
      </c>
      <c r="F1231" s="7" t="str">
        <f>'Reported burning'!F1231</f>
        <v>Shrubland (Mixed forest &amp; grassland)</v>
      </c>
      <c r="G1231" s="7" t="str">
        <f>'Reported burning'!G1231</f>
        <v>Shrubland (Mixed forest &amp; grassland)</v>
      </c>
      <c r="H1231" s="7" t="str">
        <f>'Reported burning'!H1231</f>
        <v>Presence</v>
      </c>
      <c r="I1231" s="4"/>
      <c r="J1231" s="4" t="s">
        <v>2402</v>
      </c>
      <c r="K1231" s="4" t="s">
        <v>2308</v>
      </c>
      <c r="L1231" s="4" t="s">
        <v>2308</v>
      </c>
      <c r="M1231" s="4" t="s">
        <v>2308</v>
      </c>
      <c r="N1231" s="4" t="s">
        <v>2409</v>
      </c>
      <c r="O1231" s="4" t="s">
        <v>2308</v>
      </c>
      <c r="P1231" s="4" t="s">
        <v>2308</v>
      </c>
      <c r="Q1231" s="4" t="s">
        <v>2308</v>
      </c>
      <c r="R1231" s="4" t="s">
        <v>2308</v>
      </c>
      <c r="S1231" s="4" t="s">
        <v>2308</v>
      </c>
      <c r="T1231" s="4" t="s">
        <v>2408</v>
      </c>
      <c r="U1231" s="4" t="s">
        <v>2308</v>
      </c>
      <c r="V1231" s="4" t="s">
        <v>2308</v>
      </c>
      <c r="W1231" s="4" t="s">
        <v>2308</v>
      </c>
      <c r="X1231" s="4" t="s">
        <v>68</v>
      </c>
      <c r="Y1231" s="4" t="s">
        <v>194</v>
      </c>
      <c r="Z1231" s="4" t="s">
        <v>76</v>
      </c>
      <c r="AA1231" s="5" t="s">
        <v>3793</v>
      </c>
      <c r="AB1231" s="5" t="s">
        <v>5064</v>
      </c>
    </row>
    <row r="1232" spans="1:28" ht="43.5">
      <c r="A1232" s="7" t="str">
        <f>'Reported burning'!A1232</f>
        <v>143a</v>
      </c>
      <c r="B1232" s="7" t="str">
        <f>'Reported burning'!B1232</f>
        <v>143a.4</v>
      </c>
      <c r="C1232" s="7" t="str">
        <f>'Reported burning'!C1232</f>
        <v>Human, deliberate</v>
      </c>
      <c r="D1232" s="7" t="str">
        <f>'Reported burning'!D1232</f>
        <v>All</v>
      </c>
      <c r="E1232" s="7" t="str">
        <f>'Reported burning'!E1232</f>
        <v>Pastoralism, Migratory</v>
      </c>
      <c r="F1232" s="7" t="str">
        <f>'Reported burning'!F1232</f>
        <v>Grassland</v>
      </c>
      <c r="G1232" s="7" t="str">
        <f>'Reported burning'!G1232</f>
        <v>Grassland</v>
      </c>
      <c r="H1232" s="7" t="str">
        <f>'Reported burning'!H1232</f>
        <v>Absence</v>
      </c>
      <c r="I1232" s="4"/>
      <c r="J1232" s="4">
        <v>0</v>
      </c>
      <c r="K1232" s="4">
        <v>0</v>
      </c>
      <c r="L1232" s="4">
        <v>0</v>
      </c>
      <c r="M1232" s="4">
        <v>0</v>
      </c>
      <c r="N1232" s="4">
        <v>0</v>
      </c>
      <c r="O1232" s="4">
        <v>0</v>
      </c>
      <c r="P1232" s="4">
        <v>0</v>
      </c>
      <c r="Q1232" s="4">
        <v>0</v>
      </c>
      <c r="R1232" s="4">
        <v>0</v>
      </c>
      <c r="S1232" s="4">
        <v>0</v>
      </c>
      <c r="T1232" s="4">
        <v>0</v>
      </c>
      <c r="U1232" s="4">
        <v>0</v>
      </c>
      <c r="V1232" s="4">
        <v>0</v>
      </c>
      <c r="W1232" s="4">
        <v>0</v>
      </c>
      <c r="X1232" s="4" t="s">
        <v>2308</v>
      </c>
      <c r="Y1232" s="4" t="s">
        <v>2308</v>
      </c>
      <c r="Z1232" s="4" t="s">
        <v>2308</v>
      </c>
      <c r="AA1232" s="5" t="s">
        <v>3795</v>
      </c>
      <c r="AB1232" s="4"/>
    </row>
    <row r="1233" spans="1:28" ht="29">
      <c r="A1233" s="7" t="str">
        <f>'Reported burning'!A1233</f>
        <v>143a</v>
      </c>
      <c r="B1233" s="7" t="str">
        <f>'Reported burning'!B1233</f>
        <v>143a.5</v>
      </c>
      <c r="C1233" s="7" t="str">
        <f>'Reported burning'!C1233</f>
        <v>Lightning</v>
      </c>
      <c r="D1233" s="7" t="str">
        <f>'Reported burning'!D1233</f>
        <v>ND</v>
      </c>
      <c r="E1233" s="7" t="str">
        <f>'Reported burning'!E1233</f>
        <v>ND</v>
      </c>
      <c r="F1233" s="7" t="str">
        <f>'Reported burning'!F1233</f>
        <v>ND</v>
      </c>
      <c r="G1233" s="7" t="str">
        <f>'Reported burning'!G1233</f>
        <v>ND</v>
      </c>
      <c r="H1233" s="7" t="str">
        <f>'Reported burning'!H1233</f>
        <v>Absence</v>
      </c>
      <c r="I1233" s="4"/>
      <c r="J1233" s="4">
        <v>0</v>
      </c>
      <c r="K1233" s="4">
        <v>0</v>
      </c>
      <c r="L1233" s="4">
        <v>0</v>
      </c>
      <c r="M1233" s="4">
        <v>0</v>
      </c>
      <c r="N1233" s="4">
        <v>0</v>
      </c>
      <c r="O1233" s="4">
        <v>0</v>
      </c>
      <c r="P1233" s="4">
        <v>0</v>
      </c>
      <c r="Q1233" s="4">
        <v>0</v>
      </c>
      <c r="R1233" s="4">
        <v>0</v>
      </c>
      <c r="S1233" s="4">
        <v>0</v>
      </c>
      <c r="T1233" s="4">
        <v>0</v>
      </c>
      <c r="U1233" s="4">
        <v>0</v>
      </c>
      <c r="V1233" s="4">
        <v>0</v>
      </c>
      <c r="W1233" s="4">
        <v>0</v>
      </c>
      <c r="X1233" s="4" t="s">
        <v>2308</v>
      </c>
      <c r="Y1233" s="4" t="s">
        <v>2308</v>
      </c>
      <c r="Z1233" s="4" t="s">
        <v>2308</v>
      </c>
      <c r="AA1233" s="5" t="s">
        <v>3796</v>
      </c>
      <c r="AB1233" s="4"/>
    </row>
    <row r="1234" spans="1:28" ht="29">
      <c r="A1234" s="7" t="str">
        <f>'Reported burning'!A1234</f>
        <v>144a</v>
      </c>
      <c r="B1234" s="7" t="str">
        <f>'Reported burning'!B1234</f>
        <v>144a.1</v>
      </c>
      <c r="C1234" s="7" t="str">
        <f>'Reported burning'!C1234</f>
        <v>Human, deliberate</v>
      </c>
      <c r="D1234" s="7" t="str">
        <f>'Reported burning'!D1234</f>
        <v>Pasture renewal</v>
      </c>
      <c r="E1234" s="7" t="str">
        <f>'Reported burning'!E1234</f>
        <v>Pastoralism, Migratory</v>
      </c>
      <c r="F1234" s="7" t="str">
        <f>'Reported burning'!F1234</f>
        <v>Shrubland (Mixed forest &amp; grassland)</v>
      </c>
      <c r="G1234" s="7" t="str">
        <f>'Reported burning'!G1234</f>
        <v>ND</v>
      </c>
      <c r="H1234" s="7" t="str">
        <f>'Reported burning'!H1234</f>
        <v>Absence</v>
      </c>
      <c r="I1234" s="4"/>
      <c r="J1234" s="4">
        <v>0</v>
      </c>
      <c r="K1234" s="4">
        <v>0</v>
      </c>
      <c r="L1234" s="4">
        <v>0</v>
      </c>
      <c r="M1234" s="4">
        <v>0</v>
      </c>
      <c r="N1234" s="4">
        <v>0</v>
      </c>
      <c r="O1234" s="4">
        <v>0</v>
      </c>
      <c r="P1234" s="4">
        <v>0</v>
      </c>
      <c r="Q1234" s="4">
        <v>0</v>
      </c>
      <c r="R1234" s="4">
        <v>0</v>
      </c>
      <c r="S1234" s="4">
        <v>0</v>
      </c>
      <c r="T1234" s="4">
        <v>0</v>
      </c>
      <c r="U1234" s="4">
        <v>0</v>
      </c>
      <c r="V1234" s="4">
        <v>0</v>
      </c>
      <c r="W1234" s="4">
        <v>0</v>
      </c>
      <c r="X1234" s="4" t="s">
        <v>2308</v>
      </c>
      <c r="Y1234" s="4" t="s">
        <v>2308</v>
      </c>
      <c r="Z1234" s="4" t="s">
        <v>2308</v>
      </c>
      <c r="AA1234" s="4"/>
      <c r="AB1234" s="4"/>
    </row>
    <row r="1235" spans="1:28">
      <c r="A1235" s="7" t="str">
        <f>'Reported burning'!A1235</f>
        <v>144a</v>
      </c>
      <c r="B1235" s="7" t="str">
        <f>'Reported burning'!B1235</f>
        <v>144a.2</v>
      </c>
      <c r="C1235" s="7" t="str">
        <f>'Reported burning'!C1235</f>
        <v>Human, deliberate</v>
      </c>
      <c r="D1235" s="7" t="str">
        <f>'Reported burning'!D1235</f>
        <v>Forest clearance</v>
      </c>
      <c r="E1235" s="7" t="str">
        <f>'Reported burning'!E1235</f>
        <v>Pastoralism, Migratory</v>
      </c>
      <c r="F1235" s="7" t="str">
        <f>'Reported burning'!F1235</f>
        <v>Forest</v>
      </c>
      <c r="G1235" s="7" t="str">
        <f>'Reported burning'!G1235</f>
        <v>ND</v>
      </c>
      <c r="H1235" s="7" t="str">
        <f>'Reported burning'!H1235</f>
        <v>Absence</v>
      </c>
      <c r="I1235" s="4"/>
      <c r="J1235" s="4">
        <v>0</v>
      </c>
      <c r="K1235" s="4">
        <v>0</v>
      </c>
      <c r="L1235" s="4">
        <v>0</v>
      </c>
      <c r="M1235" s="4">
        <v>0</v>
      </c>
      <c r="N1235" s="4">
        <v>0</v>
      </c>
      <c r="O1235" s="4">
        <v>0</v>
      </c>
      <c r="P1235" s="4">
        <v>0</v>
      </c>
      <c r="Q1235" s="4">
        <v>0</v>
      </c>
      <c r="R1235" s="4">
        <v>0</v>
      </c>
      <c r="S1235" s="4">
        <v>0</v>
      </c>
      <c r="T1235" s="4">
        <v>0</v>
      </c>
      <c r="U1235" s="4">
        <v>0</v>
      </c>
      <c r="V1235" s="4">
        <v>0</v>
      </c>
      <c r="W1235" s="4">
        <v>0</v>
      </c>
      <c r="X1235" s="4" t="s">
        <v>2308</v>
      </c>
      <c r="Y1235" s="4" t="s">
        <v>2308</v>
      </c>
      <c r="Z1235" s="4" t="s">
        <v>2308</v>
      </c>
      <c r="AA1235" s="4"/>
      <c r="AB1235" s="4"/>
    </row>
    <row r="1236" spans="1:28">
      <c r="A1236" s="7" t="str">
        <f>'Reported burning'!A1236</f>
        <v>144a</v>
      </c>
      <c r="B1236" s="7" t="str">
        <f>'Reported burning'!B1236</f>
        <v>144a.3</v>
      </c>
      <c r="C1236" s="7" t="str">
        <f>'Reported burning'!C1236</f>
        <v>Human, deliberate</v>
      </c>
      <c r="D1236" s="7" t="str">
        <f>'Reported burning'!D1236</f>
        <v>Pasture renewal</v>
      </c>
      <c r="E1236" s="7" t="str">
        <f>'Reported burning'!E1236</f>
        <v>Pastoralism, Migratory</v>
      </c>
      <c r="F1236" s="7" t="str">
        <f>'Reported burning'!F1236</f>
        <v>Pasture</v>
      </c>
      <c r="G1236" s="7" t="str">
        <f>'Reported burning'!G1236</f>
        <v>ND</v>
      </c>
      <c r="H1236" s="7" t="str">
        <f>'Reported burning'!H1236</f>
        <v>Absence</v>
      </c>
      <c r="I1236" s="4"/>
      <c r="J1236" s="4">
        <v>0</v>
      </c>
      <c r="K1236" s="4">
        <v>0</v>
      </c>
      <c r="L1236" s="4">
        <v>0</v>
      </c>
      <c r="M1236" s="4">
        <v>0</v>
      </c>
      <c r="N1236" s="4">
        <v>0</v>
      </c>
      <c r="O1236" s="4">
        <v>0</v>
      </c>
      <c r="P1236" s="4">
        <v>0</v>
      </c>
      <c r="Q1236" s="4">
        <v>0</v>
      </c>
      <c r="R1236" s="4">
        <v>0</v>
      </c>
      <c r="S1236" s="4">
        <v>0</v>
      </c>
      <c r="T1236" s="4">
        <v>0</v>
      </c>
      <c r="U1236" s="4">
        <v>0</v>
      </c>
      <c r="V1236" s="4">
        <v>0</v>
      </c>
      <c r="W1236" s="4">
        <v>0</v>
      </c>
      <c r="X1236" s="4" t="s">
        <v>2308</v>
      </c>
      <c r="Y1236" s="4" t="s">
        <v>2308</v>
      </c>
      <c r="Z1236" s="4" t="s">
        <v>2308</v>
      </c>
      <c r="AA1236" s="4"/>
      <c r="AB1236" s="4"/>
    </row>
    <row r="1237" spans="1:28" ht="29">
      <c r="A1237" s="7" t="str">
        <f>'Reported burning'!A1237</f>
        <v>144b</v>
      </c>
      <c r="B1237" s="7" t="str">
        <f>'Reported burning'!B1237</f>
        <v>144b.1</v>
      </c>
      <c r="C1237" s="7" t="str">
        <f>'Reported burning'!C1237</f>
        <v>Human, deliberate</v>
      </c>
      <c r="D1237" s="7" t="str">
        <f>'Reported burning'!D1237</f>
        <v>Pasture renewal</v>
      </c>
      <c r="E1237" s="7" t="str">
        <f>'Reported burning'!E1237</f>
        <v>Pastoralism, Migratory</v>
      </c>
      <c r="F1237" s="7" t="str">
        <f>'Reported burning'!F1237</f>
        <v>Shrubland (Mixed forest &amp; grassland)</v>
      </c>
      <c r="G1237" s="7" t="str">
        <f>'Reported burning'!G1237</f>
        <v>ND</v>
      </c>
      <c r="H1237" s="7" t="str">
        <f>'Reported burning'!H1237</f>
        <v>Absence</v>
      </c>
      <c r="I1237" s="4"/>
      <c r="J1237" s="4">
        <v>0</v>
      </c>
      <c r="K1237" s="4">
        <v>0</v>
      </c>
      <c r="L1237" s="4">
        <v>0</v>
      </c>
      <c r="M1237" s="4">
        <v>0</v>
      </c>
      <c r="N1237" s="4">
        <v>0</v>
      </c>
      <c r="O1237" s="4">
        <v>0</v>
      </c>
      <c r="P1237" s="4">
        <v>0</v>
      </c>
      <c r="Q1237" s="4">
        <v>0</v>
      </c>
      <c r="R1237" s="4">
        <v>0</v>
      </c>
      <c r="S1237" s="4">
        <v>0</v>
      </c>
      <c r="T1237" s="4">
        <v>0</v>
      </c>
      <c r="U1237" s="4">
        <v>0</v>
      </c>
      <c r="V1237" s="4">
        <v>0</v>
      </c>
      <c r="W1237" s="4">
        <v>0</v>
      </c>
      <c r="X1237" s="4" t="s">
        <v>2308</v>
      </c>
      <c r="Y1237" s="4" t="s">
        <v>2308</v>
      </c>
      <c r="Z1237" s="4" t="s">
        <v>2308</v>
      </c>
      <c r="AA1237" s="4"/>
      <c r="AB1237" s="4"/>
    </row>
    <row r="1238" spans="1:28">
      <c r="A1238" s="7" t="str">
        <f>'Reported burning'!A1238</f>
        <v>144b</v>
      </c>
      <c r="B1238" s="7" t="str">
        <f>'Reported burning'!B1238</f>
        <v>144b.2</v>
      </c>
      <c r="C1238" s="7" t="str">
        <f>'Reported burning'!C1238</f>
        <v>Human, deliberate</v>
      </c>
      <c r="D1238" s="7" t="str">
        <f>'Reported burning'!D1238</f>
        <v>Forest clearance</v>
      </c>
      <c r="E1238" s="7" t="str">
        <f>'Reported burning'!E1238</f>
        <v>Pastoralism, Migratory</v>
      </c>
      <c r="F1238" s="7" t="str">
        <f>'Reported burning'!F1238</f>
        <v>Forest</v>
      </c>
      <c r="G1238" s="7" t="str">
        <f>'Reported burning'!G1238</f>
        <v>ND</v>
      </c>
      <c r="H1238" s="7" t="str">
        <f>'Reported burning'!H1238</f>
        <v>Absence</v>
      </c>
      <c r="I1238" s="4"/>
      <c r="J1238" s="4">
        <v>0</v>
      </c>
      <c r="K1238" s="4">
        <v>0</v>
      </c>
      <c r="L1238" s="4">
        <v>0</v>
      </c>
      <c r="M1238" s="4">
        <v>0</v>
      </c>
      <c r="N1238" s="4">
        <v>0</v>
      </c>
      <c r="O1238" s="4">
        <v>0</v>
      </c>
      <c r="P1238" s="4">
        <v>0</v>
      </c>
      <c r="Q1238" s="4">
        <v>0</v>
      </c>
      <c r="R1238" s="4">
        <v>0</v>
      </c>
      <c r="S1238" s="4">
        <v>0</v>
      </c>
      <c r="T1238" s="4">
        <v>0</v>
      </c>
      <c r="U1238" s="4">
        <v>0</v>
      </c>
      <c r="V1238" s="4">
        <v>0</v>
      </c>
      <c r="W1238" s="4">
        <v>0</v>
      </c>
      <c r="X1238" s="4" t="s">
        <v>2308</v>
      </c>
      <c r="Y1238" s="4" t="s">
        <v>2308</v>
      </c>
      <c r="Z1238" s="4" t="s">
        <v>2308</v>
      </c>
      <c r="AA1238" s="4"/>
      <c r="AB1238" s="4"/>
    </row>
    <row r="1239" spans="1:28">
      <c r="A1239" s="7" t="str">
        <f>'Reported burning'!A1239</f>
        <v>144b</v>
      </c>
      <c r="B1239" s="7" t="str">
        <f>'Reported burning'!B1239</f>
        <v>144b.3</v>
      </c>
      <c r="C1239" s="7" t="str">
        <f>'Reported burning'!C1239</f>
        <v>Human, deliberate</v>
      </c>
      <c r="D1239" s="7" t="str">
        <f>'Reported burning'!D1239</f>
        <v>Pasture renewal</v>
      </c>
      <c r="E1239" s="7" t="str">
        <f>'Reported burning'!E1239</f>
        <v>Pastoralism, Migratory</v>
      </c>
      <c r="F1239" s="7" t="str">
        <f>'Reported burning'!F1239</f>
        <v>Pasture</v>
      </c>
      <c r="G1239" s="7" t="str">
        <f>'Reported burning'!G1239</f>
        <v>ND</v>
      </c>
      <c r="H1239" s="7" t="str">
        <f>'Reported burning'!H1239</f>
        <v>Absence</v>
      </c>
      <c r="I1239" s="4"/>
      <c r="J1239" s="4">
        <v>0</v>
      </c>
      <c r="K1239" s="4">
        <v>0</v>
      </c>
      <c r="L1239" s="4">
        <v>0</v>
      </c>
      <c r="M1239" s="4">
        <v>0</v>
      </c>
      <c r="N1239" s="4">
        <v>0</v>
      </c>
      <c r="O1239" s="4">
        <v>0</v>
      </c>
      <c r="P1239" s="4">
        <v>0</v>
      </c>
      <c r="Q1239" s="4">
        <v>0</v>
      </c>
      <c r="R1239" s="4">
        <v>0</v>
      </c>
      <c r="S1239" s="4">
        <v>0</v>
      </c>
      <c r="T1239" s="4">
        <v>0</v>
      </c>
      <c r="U1239" s="4">
        <v>0</v>
      </c>
      <c r="V1239" s="4">
        <v>0</v>
      </c>
      <c r="W1239" s="4">
        <v>0</v>
      </c>
      <c r="X1239" s="4" t="s">
        <v>2308</v>
      </c>
      <c r="Y1239" s="4" t="s">
        <v>2308</v>
      </c>
      <c r="Z1239" s="4" t="s">
        <v>2308</v>
      </c>
      <c r="AA1239" s="4"/>
      <c r="AB1239" s="4"/>
    </row>
    <row r="1240" spans="1:28">
      <c r="A1240" s="7" t="str">
        <f>'Reported burning'!A1240</f>
        <v>144b</v>
      </c>
      <c r="B1240" s="7" t="str">
        <f>'Reported burning'!B1240</f>
        <v>144b.4</v>
      </c>
      <c r="C1240" s="7" t="str">
        <f>'Reported burning'!C1240</f>
        <v>Human, deliberate</v>
      </c>
      <c r="D1240" s="7" t="str">
        <f>'Reported burning'!D1240</f>
        <v>Crop field preparation</v>
      </c>
      <c r="E1240" s="7" t="str">
        <f>'Reported burning'!E1240</f>
        <v>Cropping, Swidden</v>
      </c>
      <c r="F1240" s="7" t="str">
        <f>'Reported burning'!F1240</f>
        <v>Forest</v>
      </c>
      <c r="G1240" s="7" t="str">
        <f>'Reported burning'!G1240</f>
        <v>ND</v>
      </c>
      <c r="H1240" s="7" t="str">
        <f>'Reported burning'!H1240</f>
        <v>Presence</v>
      </c>
      <c r="I1240" s="4"/>
      <c r="J1240" s="4" t="s">
        <v>2308</v>
      </c>
      <c r="K1240" s="4" t="s">
        <v>2308</v>
      </c>
      <c r="L1240" s="4" t="s">
        <v>2308</v>
      </c>
      <c r="M1240" s="4" t="s">
        <v>2308</v>
      </c>
      <c r="N1240" s="4" t="s">
        <v>2308</v>
      </c>
      <c r="O1240" s="4" t="s">
        <v>2308</v>
      </c>
      <c r="P1240" s="4" t="s">
        <v>2308</v>
      </c>
      <c r="Q1240" s="4" t="s">
        <v>2308</v>
      </c>
      <c r="R1240" s="4" t="s">
        <v>2308</v>
      </c>
      <c r="S1240" s="4" t="s">
        <v>2308</v>
      </c>
      <c r="T1240" s="4" t="s">
        <v>2308</v>
      </c>
      <c r="U1240" s="4" t="s">
        <v>2308</v>
      </c>
      <c r="V1240" s="4" t="s">
        <v>2308</v>
      </c>
      <c r="W1240" s="4" t="s">
        <v>2308</v>
      </c>
      <c r="X1240" s="4" t="s">
        <v>2308</v>
      </c>
      <c r="Y1240" s="4" t="s">
        <v>2308</v>
      </c>
      <c r="Z1240" s="4" t="s">
        <v>2308</v>
      </c>
      <c r="AA1240" s="4"/>
      <c r="AB1240" s="4"/>
    </row>
    <row r="1241" spans="1:28">
      <c r="A1241" s="7" t="str">
        <f>'Reported burning'!A1241</f>
        <v>144b</v>
      </c>
      <c r="B1241" s="7" t="str">
        <f>'Reported burning'!B1241</f>
        <v>144b.5</v>
      </c>
      <c r="C1241" s="7" t="str">
        <f>'Reported burning'!C1241</f>
        <v>Human, deliberate</v>
      </c>
      <c r="D1241" s="7" t="str">
        <f>'Reported burning'!D1241</f>
        <v>Crop field preparation</v>
      </c>
      <c r="E1241" s="7" t="str">
        <f>'Reported burning'!E1241</f>
        <v>Cropping, Swidden</v>
      </c>
      <c r="F1241" s="7" t="str">
        <f>'Reported burning'!F1241</f>
        <v>Secondary Vegetation</v>
      </c>
      <c r="G1241" s="7" t="str">
        <f>'Reported burning'!G1241</f>
        <v>ND</v>
      </c>
      <c r="H1241" s="7" t="str">
        <f>'Reported burning'!H1241</f>
        <v>Presence</v>
      </c>
      <c r="I1241" s="4"/>
      <c r="J1241" s="4" t="s">
        <v>2308</v>
      </c>
      <c r="K1241" s="4" t="s">
        <v>2308</v>
      </c>
      <c r="L1241" s="4" t="s">
        <v>2308</v>
      </c>
      <c r="M1241" s="4" t="s">
        <v>2308</v>
      </c>
      <c r="N1241" s="4" t="s">
        <v>2308</v>
      </c>
      <c r="O1241" s="4" t="s">
        <v>2308</v>
      </c>
      <c r="P1241" s="4" t="s">
        <v>2308</v>
      </c>
      <c r="Q1241" s="4" t="s">
        <v>2308</v>
      </c>
      <c r="R1241" s="4" t="s">
        <v>2308</v>
      </c>
      <c r="S1241" s="4" t="s">
        <v>2308</v>
      </c>
      <c r="T1241" s="4" t="s">
        <v>2308</v>
      </c>
      <c r="U1241" s="4" t="s">
        <v>2308</v>
      </c>
      <c r="V1241" s="4" t="s">
        <v>2308</v>
      </c>
      <c r="W1241" s="4" t="s">
        <v>2308</v>
      </c>
      <c r="X1241" s="4" t="s">
        <v>2308</v>
      </c>
      <c r="Y1241" s="4" t="s">
        <v>2308</v>
      </c>
      <c r="Z1241" s="4" t="s">
        <v>2308</v>
      </c>
      <c r="AA1241" s="4"/>
      <c r="AB1241" s="4"/>
    </row>
    <row r="1242" spans="1:28" ht="51" customHeight="1">
      <c r="A1242" s="7" t="str">
        <f>'Reported burning'!A1242</f>
        <v>145a</v>
      </c>
      <c r="B1242" s="7" t="str">
        <f>'Reported burning'!B1242</f>
        <v>145a.1</v>
      </c>
      <c r="C1242" s="7" t="str">
        <f>'Reported burning'!C1242</f>
        <v>Human, deliberate</v>
      </c>
      <c r="D1242" s="7" t="str">
        <f>'Reported burning'!D1242</f>
        <v>Pasture renewal</v>
      </c>
      <c r="E1242" s="7" t="str">
        <f>'Reported burning'!E1242</f>
        <v>Cattle, Extensive</v>
      </c>
      <c r="F1242" s="7" t="str">
        <f>'Reported burning'!F1242</f>
        <v>Pasture</v>
      </c>
      <c r="G1242" s="7" t="str">
        <f>'Reported burning'!G1242</f>
        <v>ND</v>
      </c>
      <c r="H1242" s="7" t="str">
        <f>'Reported burning'!H1242</f>
        <v>Presence</v>
      </c>
      <c r="I1242" s="4"/>
      <c r="J1242" s="4" t="s">
        <v>2308</v>
      </c>
      <c r="K1242" s="4" t="s">
        <v>2308</v>
      </c>
      <c r="L1242" s="4" t="s">
        <v>2308</v>
      </c>
      <c r="M1242" s="4" t="s">
        <v>2308</v>
      </c>
      <c r="N1242" s="4" t="s">
        <v>2308</v>
      </c>
      <c r="O1242" s="4" t="s">
        <v>2308</v>
      </c>
      <c r="P1242" s="4" t="s">
        <v>2308</v>
      </c>
      <c r="Q1242" s="4" t="s">
        <v>2308</v>
      </c>
      <c r="R1242" s="4" t="s">
        <v>2308</v>
      </c>
      <c r="S1242" s="4" t="s">
        <v>2308</v>
      </c>
      <c r="T1242" s="4" t="s">
        <v>2308</v>
      </c>
      <c r="U1242" s="4" t="s">
        <v>2308</v>
      </c>
      <c r="V1242" s="4" t="s">
        <v>2308</v>
      </c>
      <c r="W1242" s="4" t="s">
        <v>2433</v>
      </c>
      <c r="X1242" s="4" t="s">
        <v>2308</v>
      </c>
      <c r="Y1242" s="4" t="s">
        <v>2308</v>
      </c>
      <c r="Z1242" s="4" t="s">
        <v>2308</v>
      </c>
      <c r="AA1242" s="5"/>
      <c r="AB1242" s="5" t="s">
        <v>3826</v>
      </c>
    </row>
    <row r="1243" spans="1:28" ht="48" customHeight="1">
      <c r="A1243" s="7" t="str">
        <f>'Reported burning'!A1243</f>
        <v>145a</v>
      </c>
      <c r="B1243" s="7" t="str">
        <f>'Reported burning'!B1243</f>
        <v>145a.2</v>
      </c>
      <c r="C1243" s="7" t="str">
        <f>'Reported burning'!C1243</f>
        <v>Human, deliberate</v>
      </c>
      <c r="D1243" s="7" t="str">
        <f>'Reported burning'!D1243</f>
        <v>Hunting</v>
      </c>
      <c r="E1243" s="7" t="str">
        <f>'Reported burning'!E1243</f>
        <v>Forestry, Traditional</v>
      </c>
      <c r="F1243" s="7" t="str">
        <f>'Reported burning'!F1243</f>
        <v>Grassland</v>
      </c>
      <c r="G1243" s="7" t="str">
        <f>'Reported burning'!G1243</f>
        <v>ND</v>
      </c>
      <c r="H1243" s="7" t="str">
        <f>'Reported burning'!H1243</f>
        <v>Presence</v>
      </c>
      <c r="I1243" s="4"/>
      <c r="J1243" s="4" t="s">
        <v>2308</v>
      </c>
      <c r="K1243" s="4" t="s">
        <v>2308</v>
      </c>
      <c r="L1243" s="4" t="s">
        <v>2308</v>
      </c>
      <c r="M1243" s="4" t="s">
        <v>2308</v>
      </c>
      <c r="N1243" s="4" t="s">
        <v>2308</v>
      </c>
      <c r="O1243" s="4" t="s">
        <v>2308</v>
      </c>
      <c r="P1243" s="4" t="s">
        <v>2308</v>
      </c>
      <c r="Q1243" s="4" t="s">
        <v>2308</v>
      </c>
      <c r="R1243" s="4" t="s">
        <v>2308</v>
      </c>
      <c r="S1243" s="4" t="s">
        <v>2308</v>
      </c>
      <c r="T1243" s="4" t="s">
        <v>2308</v>
      </c>
      <c r="U1243" s="4" t="s">
        <v>2308</v>
      </c>
      <c r="V1243" s="4" t="s">
        <v>2308</v>
      </c>
      <c r="W1243" s="4" t="s">
        <v>2308</v>
      </c>
      <c r="X1243" s="4" t="s">
        <v>2308</v>
      </c>
      <c r="Y1243" s="4" t="s">
        <v>2308</v>
      </c>
      <c r="Z1243" s="4" t="s">
        <v>2308</v>
      </c>
      <c r="AA1243" s="5" t="s">
        <v>3827</v>
      </c>
      <c r="AB1243" s="4"/>
    </row>
    <row r="1244" spans="1:28" ht="55.5" customHeight="1">
      <c r="A1244" s="7" t="str">
        <f>'Reported burning'!A1244</f>
        <v>145a</v>
      </c>
      <c r="B1244" s="7" t="str">
        <f>'Reported burning'!B1244</f>
        <v>145a.3</v>
      </c>
      <c r="C1244" s="7" t="str">
        <f>'Reported burning'!C1244</f>
        <v>Human, deliberate</v>
      </c>
      <c r="D1244" s="7" t="str">
        <f>'Reported burning'!D1244</f>
        <v>Conservation</v>
      </c>
      <c r="E1244" s="7" t="str">
        <f>'Reported burning'!E1244</f>
        <v>Biodiversity conservation</v>
      </c>
      <c r="F1244" s="7" t="str">
        <f>'Reported burning'!F1244</f>
        <v>Grassland</v>
      </c>
      <c r="G1244" s="7" t="str">
        <f>'Reported burning'!G1244</f>
        <v>ND</v>
      </c>
      <c r="H1244" s="7" t="str">
        <f>'Reported burning'!H1244</f>
        <v>Presence</v>
      </c>
      <c r="I1244" s="4"/>
      <c r="J1244" s="4" t="s">
        <v>2308</v>
      </c>
      <c r="K1244" s="4" t="s">
        <v>2308</v>
      </c>
      <c r="L1244" s="4" t="s">
        <v>2308</v>
      </c>
      <c r="M1244" s="4" t="s">
        <v>2308</v>
      </c>
      <c r="N1244" s="4" t="s">
        <v>2308</v>
      </c>
      <c r="O1244" s="4" t="s">
        <v>2308</v>
      </c>
      <c r="P1244" s="4" t="s">
        <v>2308</v>
      </c>
      <c r="Q1244" s="4" t="s">
        <v>2308</v>
      </c>
      <c r="R1244" s="4" t="s">
        <v>2308</v>
      </c>
      <c r="S1244" s="4" t="s">
        <v>2308</v>
      </c>
      <c r="T1244" s="4" t="s">
        <v>2308</v>
      </c>
      <c r="U1244" s="4" t="s">
        <v>2308</v>
      </c>
      <c r="V1244" s="4" t="s">
        <v>2308</v>
      </c>
      <c r="W1244" s="4" t="s">
        <v>2308</v>
      </c>
      <c r="X1244" s="4" t="s">
        <v>2308</v>
      </c>
      <c r="Y1244" s="4" t="s">
        <v>2308</v>
      </c>
      <c r="Z1244" s="4" t="s">
        <v>2308</v>
      </c>
      <c r="AA1244" s="5" t="s">
        <v>3828</v>
      </c>
      <c r="AB1244" s="4"/>
    </row>
    <row r="1245" spans="1:28" ht="48" customHeight="1">
      <c r="A1245" s="7" t="str">
        <f>'Reported burning'!A1245</f>
        <v>146a</v>
      </c>
      <c r="B1245" s="7" t="str">
        <f>'Reported burning'!B1245</f>
        <v>146a.1</v>
      </c>
      <c r="C1245" s="7" t="str">
        <f>'Reported burning'!C1245</f>
        <v>Human, deliberate</v>
      </c>
      <c r="D1245" s="7" t="str">
        <f>'Reported burning'!D1245</f>
        <v>Pasture renewal</v>
      </c>
      <c r="E1245" s="7" t="str">
        <f>'Reported burning'!E1245</f>
        <v>Cattle, Extensive</v>
      </c>
      <c r="F1245" s="7" t="str">
        <f>'Reported burning'!F1245</f>
        <v>Pasture</v>
      </c>
      <c r="G1245" s="7" t="str">
        <f>'Reported burning'!G1245</f>
        <v>ND</v>
      </c>
      <c r="H1245" s="7" t="str">
        <f>'Reported burning'!H1245</f>
        <v>Presence</v>
      </c>
      <c r="I1245" s="4"/>
      <c r="J1245" s="4" t="s">
        <v>2308</v>
      </c>
      <c r="K1245" s="4" t="s">
        <v>2308</v>
      </c>
      <c r="L1245" s="4" t="s">
        <v>2308</v>
      </c>
      <c r="M1245" s="4" t="s">
        <v>2308</v>
      </c>
      <c r="N1245" s="4" t="s">
        <v>2308</v>
      </c>
      <c r="O1245" s="4" t="s">
        <v>2308</v>
      </c>
      <c r="P1245" s="4" t="s">
        <v>2308</v>
      </c>
      <c r="Q1245" s="4" t="s">
        <v>2308</v>
      </c>
      <c r="R1245" s="4" t="s">
        <v>2308</v>
      </c>
      <c r="S1245" s="4" t="s">
        <v>2308</v>
      </c>
      <c r="T1245" s="4" t="s">
        <v>2308</v>
      </c>
      <c r="U1245" s="4" t="s">
        <v>2308</v>
      </c>
      <c r="V1245" s="4" t="s">
        <v>2308</v>
      </c>
      <c r="W1245" s="4" t="s">
        <v>2308</v>
      </c>
      <c r="X1245" s="4" t="s">
        <v>406</v>
      </c>
      <c r="Y1245" s="4" t="s">
        <v>133</v>
      </c>
      <c r="Z1245" s="4" t="s">
        <v>2344</v>
      </c>
      <c r="AA1245" s="5" t="s">
        <v>3836</v>
      </c>
      <c r="AB1245" s="4"/>
    </row>
    <row r="1246" spans="1:28" ht="48" customHeight="1">
      <c r="A1246" s="7" t="str">
        <f>'Reported burning'!A1246</f>
        <v>146a</v>
      </c>
      <c r="B1246" s="7" t="str">
        <f>'Reported burning'!B1246</f>
        <v>146a.2</v>
      </c>
      <c r="C1246" s="7" t="str">
        <f>'Reported burning'!C1246</f>
        <v>Human, deliberate</v>
      </c>
      <c r="D1246" s="7" t="str">
        <f>'Reported burning'!D1246</f>
        <v>Crop field preparation</v>
      </c>
      <c r="E1246" s="7" t="str">
        <f>'Reported burning'!E1246</f>
        <v>Cropping, Swidden</v>
      </c>
      <c r="F1246" s="7" t="str">
        <f>'Reported burning'!F1246</f>
        <v>ND</v>
      </c>
      <c r="G1246" s="7" t="str">
        <f>'Reported burning'!G1246</f>
        <v>ND</v>
      </c>
      <c r="H1246" s="7" t="str">
        <f>'Reported burning'!H1246</f>
        <v>Presence</v>
      </c>
      <c r="I1246" s="4"/>
      <c r="J1246" s="4" t="s">
        <v>2308</v>
      </c>
      <c r="K1246" s="4" t="s">
        <v>2308</v>
      </c>
      <c r="L1246" s="4" t="s">
        <v>2308</v>
      </c>
      <c r="M1246" s="4" t="s">
        <v>2308</v>
      </c>
      <c r="N1246" s="4" t="s">
        <v>2308</v>
      </c>
      <c r="O1246" s="4" t="s">
        <v>2308</v>
      </c>
      <c r="P1246" s="4" t="s">
        <v>2308</v>
      </c>
      <c r="Q1246" s="4" t="s">
        <v>2308</v>
      </c>
      <c r="R1246" s="4" t="s">
        <v>2308</v>
      </c>
      <c r="S1246" s="4" t="s">
        <v>2308</v>
      </c>
      <c r="T1246" s="4" t="s">
        <v>2308</v>
      </c>
      <c r="U1246" s="4" t="s">
        <v>2308</v>
      </c>
      <c r="V1246" s="4" t="s">
        <v>2308</v>
      </c>
      <c r="W1246" s="4" t="s">
        <v>2308</v>
      </c>
      <c r="X1246" s="4" t="s">
        <v>2308</v>
      </c>
      <c r="Y1246" s="4" t="s">
        <v>2308</v>
      </c>
      <c r="Z1246" s="4" t="s">
        <v>2308</v>
      </c>
      <c r="AA1246" s="5"/>
      <c r="AB1246" s="4"/>
    </row>
    <row r="1247" spans="1:28" ht="48" customHeight="1">
      <c r="A1247" s="7" t="str">
        <f>'Reported burning'!A1247</f>
        <v>146a</v>
      </c>
      <c r="B1247" s="7" t="str">
        <f>'Reported burning'!B1247</f>
        <v>146a.3</v>
      </c>
      <c r="C1247" s="7" t="str">
        <f>'Reported burning'!C1247</f>
        <v>Human, deliberate</v>
      </c>
      <c r="D1247" s="7" t="str">
        <f>'Reported burning'!D1247</f>
        <v>Pyrome management</v>
      </c>
      <c r="E1247" s="7" t="str">
        <f>'Reported burning'!E1247</f>
        <v>All</v>
      </c>
      <c r="F1247" s="7" t="str">
        <f>'Reported burning'!F1247</f>
        <v>Grassland</v>
      </c>
      <c r="G1247" s="7" t="str">
        <f>'Reported burning'!G1247</f>
        <v>ND</v>
      </c>
      <c r="H1247" s="7" t="str">
        <f>'Reported burning'!H1247</f>
        <v>Presence</v>
      </c>
      <c r="I1247" s="4"/>
      <c r="J1247" s="4" t="s">
        <v>2308</v>
      </c>
      <c r="K1247" s="4" t="s">
        <v>2308</v>
      </c>
      <c r="L1247" s="4" t="s">
        <v>2308</v>
      </c>
      <c r="M1247" s="4" t="s">
        <v>2308</v>
      </c>
      <c r="N1247" s="4" t="s">
        <v>2308</v>
      </c>
      <c r="O1247" s="4" t="s">
        <v>2308</v>
      </c>
      <c r="P1247" s="4" t="s">
        <v>2308</v>
      </c>
      <c r="Q1247" s="4" t="s">
        <v>2308</v>
      </c>
      <c r="R1247" s="4" t="s">
        <v>2308</v>
      </c>
      <c r="S1247" s="4" t="s">
        <v>2308</v>
      </c>
      <c r="T1247" s="4" t="s">
        <v>2308</v>
      </c>
      <c r="U1247" s="4" t="s">
        <v>2308</v>
      </c>
      <c r="V1247" s="4" t="s">
        <v>2308</v>
      </c>
      <c r="W1247" s="4" t="s">
        <v>2308</v>
      </c>
      <c r="X1247" s="4" t="s">
        <v>2308</v>
      </c>
      <c r="Y1247" s="4" t="s">
        <v>2308</v>
      </c>
      <c r="Z1247" s="4" t="s">
        <v>2308</v>
      </c>
      <c r="AA1247" s="5"/>
      <c r="AB1247" s="4"/>
    </row>
    <row r="1248" spans="1:28" ht="48" customHeight="1">
      <c r="A1248" s="7" t="str">
        <f>'Reported burning'!A1248</f>
        <v>146a</v>
      </c>
      <c r="B1248" s="7" t="str">
        <f>'Reported burning'!B1248</f>
        <v>146a.4</v>
      </c>
      <c r="C1248" s="7" t="str">
        <f>'Reported burning'!C1248</f>
        <v>Human, deliberate</v>
      </c>
      <c r="D1248" s="7" t="str">
        <f>'Reported burning'!D1248</f>
        <v>Pest management</v>
      </c>
      <c r="E1248" s="7" t="str">
        <f>'Reported burning'!E1248</f>
        <v>Cattle, Extensive</v>
      </c>
      <c r="F1248" s="7" t="str">
        <f>'Reported burning'!F1248</f>
        <v>Pasture</v>
      </c>
      <c r="G1248" s="7" t="str">
        <f>'Reported burning'!G1248</f>
        <v>ND</v>
      </c>
      <c r="H1248" s="7" t="str">
        <f>'Reported burning'!H1248</f>
        <v>Presence</v>
      </c>
      <c r="I1248" s="4"/>
      <c r="J1248" s="4" t="s">
        <v>2308</v>
      </c>
      <c r="K1248" s="4" t="s">
        <v>2308</v>
      </c>
      <c r="L1248" s="4" t="s">
        <v>2308</v>
      </c>
      <c r="M1248" s="4" t="s">
        <v>2308</v>
      </c>
      <c r="N1248" s="4" t="s">
        <v>2308</v>
      </c>
      <c r="O1248" s="4" t="s">
        <v>2308</v>
      </c>
      <c r="P1248" s="4" t="s">
        <v>2308</v>
      </c>
      <c r="Q1248" s="4" t="s">
        <v>2308</v>
      </c>
      <c r="R1248" s="4" t="s">
        <v>2308</v>
      </c>
      <c r="S1248" s="4" t="s">
        <v>2308</v>
      </c>
      <c r="T1248" s="4" t="s">
        <v>2308</v>
      </c>
      <c r="U1248" s="4" t="s">
        <v>2308</v>
      </c>
      <c r="V1248" s="4" t="s">
        <v>2308</v>
      </c>
      <c r="W1248" s="4" t="s">
        <v>2308</v>
      </c>
      <c r="X1248" s="4" t="s">
        <v>34</v>
      </c>
      <c r="Y1248" s="4" t="s">
        <v>412</v>
      </c>
      <c r="Z1248" s="4" t="s">
        <v>64</v>
      </c>
      <c r="AA1248" s="5" t="s">
        <v>3840</v>
      </c>
      <c r="AB1248" s="4"/>
    </row>
    <row r="1249" spans="1:28" ht="48" customHeight="1">
      <c r="A1249" s="7" t="str">
        <f>'Reported burning'!A1249</f>
        <v>146a</v>
      </c>
      <c r="B1249" s="7" t="str">
        <f>'Reported burning'!B1249</f>
        <v>146a.5</v>
      </c>
      <c r="C1249" s="7" t="str">
        <f>'Reported burning'!C1249</f>
        <v>Human, deliberate</v>
      </c>
      <c r="D1249" s="7" t="str">
        <f>'Reported burning'!D1249</f>
        <v>Hunting</v>
      </c>
      <c r="E1249" s="7" t="str">
        <f>'Reported burning'!E1249</f>
        <v>Forestry, Traditional</v>
      </c>
      <c r="F1249" s="7" t="str">
        <f>'Reported burning'!F1249</f>
        <v>Grassland</v>
      </c>
      <c r="G1249" s="7" t="str">
        <f>'Reported burning'!G1249</f>
        <v>ND</v>
      </c>
      <c r="H1249" s="7" t="str">
        <f>'Reported burning'!H1249</f>
        <v>Presence</v>
      </c>
      <c r="I1249" s="4"/>
      <c r="J1249" s="4" t="s">
        <v>2308</v>
      </c>
      <c r="K1249" s="4" t="s">
        <v>2308</v>
      </c>
      <c r="L1249" s="4" t="s">
        <v>2308</v>
      </c>
      <c r="M1249" s="4" t="s">
        <v>2308</v>
      </c>
      <c r="N1249" s="4" t="s">
        <v>2308</v>
      </c>
      <c r="O1249" s="4" t="s">
        <v>2308</v>
      </c>
      <c r="P1249" s="4" t="s">
        <v>2308</v>
      </c>
      <c r="Q1249" s="4" t="s">
        <v>2308</v>
      </c>
      <c r="R1249" s="4" t="s">
        <v>2308</v>
      </c>
      <c r="S1249" s="4" t="s">
        <v>2308</v>
      </c>
      <c r="T1249" s="4" t="s">
        <v>2308</v>
      </c>
      <c r="U1249" s="4" t="s">
        <v>2308</v>
      </c>
      <c r="V1249" s="4" t="s">
        <v>2308</v>
      </c>
      <c r="W1249" s="4" t="s">
        <v>2308</v>
      </c>
      <c r="X1249" s="4" t="s">
        <v>2308</v>
      </c>
      <c r="Y1249" s="4" t="s">
        <v>2308</v>
      </c>
      <c r="Z1249" s="4" t="s">
        <v>2308</v>
      </c>
      <c r="AA1249" s="5" t="s">
        <v>3827</v>
      </c>
      <c r="AB1249" s="4"/>
    </row>
    <row r="1250" spans="1:28" ht="59" customHeight="1">
      <c r="A1250" s="7" t="str">
        <f>'Reported burning'!A1250</f>
        <v>146a</v>
      </c>
      <c r="B1250" s="7" t="str">
        <f>'Reported burning'!B1250</f>
        <v>146a.6</v>
      </c>
      <c r="C1250" s="7" t="str">
        <f>'Reported burning'!C1250</f>
        <v>Human, deliberate</v>
      </c>
      <c r="D1250" s="7" t="str">
        <f>'Reported burning'!D1250</f>
        <v>Conservation</v>
      </c>
      <c r="E1250" s="7" t="str">
        <f>'Reported burning'!E1250</f>
        <v>Biodiversity conservation</v>
      </c>
      <c r="F1250" s="7" t="str">
        <f>'Reported burning'!F1250</f>
        <v>Grassland</v>
      </c>
      <c r="G1250" s="7" t="str">
        <f>'Reported burning'!G1250</f>
        <v>ND</v>
      </c>
      <c r="H1250" s="7" t="str">
        <f>'Reported burning'!H1250</f>
        <v>Presence</v>
      </c>
      <c r="I1250" s="4"/>
      <c r="J1250" s="4" t="s">
        <v>2308</v>
      </c>
      <c r="K1250" s="4" t="s">
        <v>2308</v>
      </c>
      <c r="L1250" s="4" t="s">
        <v>2308</v>
      </c>
      <c r="M1250" s="4" t="s">
        <v>2308</v>
      </c>
      <c r="N1250" s="4" t="s">
        <v>2308</v>
      </c>
      <c r="O1250" s="4" t="s">
        <v>2308</v>
      </c>
      <c r="P1250" s="4" t="s">
        <v>2308</v>
      </c>
      <c r="Q1250" s="4" t="s">
        <v>2308</v>
      </c>
      <c r="R1250" s="4" t="s">
        <v>2308</v>
      </c>
      <c r="S1250" s="4" t="s">
        <v>2308</v>
      </c>
      <c r="T1250" s="4" t="s">
        <v>2308</v>
      </c>
      <c r="U1250" s="4" t="s">
        <v>2308</v>
      </c>
      <c r="V1250" s="4" t="s">
        <v>2308</v>
      </c>
      <c r="W1250" s="4" t="s">
        <v>2308</v>
      </c>
      <c r="X1250" s="4" t="s">
        <v>2308</v>
      </c>
      <c r="Y1250" s="4" t="s">
        <v>2308</v>
      </c>
      <c r="Z1250" s="4" t="s">
        <v>2308</v>
      </c>
      <c r="AA1250" s="5" t="s">
        <v>3828</v>
      </c>
      <c r="AB1250" s="4"/>
    </row>
    <row r="1251" spans="1:28" ht="69" customHeight="1">
      <c r="A1251" s="7" t="str">
        <f>'Reported burning'!A1251</f>
        <v>147a</v>
      </c>
      <c r="B1251" s="7" t="str">
        <f>'Reported burning'!B1251</f>
        <v>147a.1</v>
      </c>
      <c r="C1251" s="7" t="str">
        <f>'Reported burning'!C1251</f>
        <v>Human, deliberate</v>
      </c>
      <c r="D1251" s="7" t="str">
        <f>'Reported burning'!D1251</f>
        <v>Pyrome management</v>
      </c>
      <c r="E1251" s="7" t="str">
        <f>'Reported burning'!E1251</f>
        <v>All</v>
      </c>
      <c r="F1251" s="7" t="str">
        <f>'Reported burning'!F1251</f>
        <v>Shrubland (Mixed forest &amp; grassland)</v>
      </c>
      <c r="G1251" s="7" t="str">
        <f>'Reported burning'!G1251</f>
        <v>ND</v>
      </c>
      <c r="H1251" s="7" t="str">
        <f>'Reported burning'!H1251</f>
        <v>Presence</v>
      </c>
      <c r="I1251" s="4"/>
      <c r="J1251" s="4" t="s">
        <v>2308</v>
      </c>
      <c r="K1251" s="4" t="s">
        <v>2308</v>
      </c>
      <c r="L1251" s="4" t="s">
        <v>2308</v>
      </c>
      <c r="M1251" s="4" t="s">
        <v>2308</v>
      </c>
      <c r="N1251" s="4" t="s">
        <v>2308</v>
      </c>
      <c r="O1251" s="4" t="s">
        <v>2308</v>
      </c>
      <c r="P1251" s="4" t="s">
        <v>2308</v>
      </c>
      <c r="Q1251" s="4" t="s">
        <v>2308</v>
      </c>
      <c r="R1251" s="4" t="s">
        <v>2308</v>
      </c>
      <c r="S1251" s="4" t="s">
        <v>2308</v>
      </c>
      <c r="T1251" s="4" t="s">
        <v>2308</v>
      </c>
      <c r="U1251" s="4" t="s">
        <v>2308</v>
      </c>
      <c r="V1251" s="4" t="s">
        <v>2308</v>
      </c>
      <c r="W1251" s="4" t="s">
        <v>2407</v>
      </c>
      <c r="X1251" s="4" t="s">
        <v>68</v>
      </c>
      <c r="Y1251" s="4" t="s">
        <v>35</v>
      </c>
      <c r="Z1251" s="4" t="s">
        <v>64</v>
      </c>
      <c r="AA1251" s="5" t="s">
        <v>3863</v>
      </c>
      <c r="AB1251" s="4"/>
    </row>
    <row r="1252" spans="1:28" ht="67.5" customHeight="1">
      <c r="A1252" s="7" t="str">
        <f>'Reported burning'!A1252</f>
        <v>147a</v>
      </c>
      <c r="B1252" s="7" t="str">
        <f>'Reported burning'!B1252</f>
        <v>147a.2</v>
      </c>
      <c r="C1252" s="7" t="str">
        <f>'Reported burning'!C1252</f>
        <v>Human, deliberate</v>
      </c>
      <c r="D1252" s="7" t="str">
        <f>'Reported burning'!D1252</f>
        <v>Crop field preparation</v>
      </c>
      <c r="E1252" s="7" t="str">
        <f>'Reported burning'!E1252</f>
        <v>Cropping, Swidden</v>
      </c>
      <c r="F1252" s="7" t="str">
        <f>'Reported burning'!F1252</f>
        <v>Secondary Vegetation</v>
      </c>
      <c r="G1252" s="7" t="str">
        <f>'Reported burning'!G1252</f>
        <v>ND</v>
      </c>
      <c r="H1252" s="7" t="str">
        <f>'Reported burning'!H1252</f>
        <v>Presence</v>
      </c>
      <c r="I1252" s="4"/>
      <c r="J1252" s="4" t="s">
        <v>2308</v>
      </c>
      <c r="K1252" s="4" t="s">
        <v>2308</v>
      </c>
      <c r="L1252" s="4" t="s">
        <v>2308</v>
      </c>
      <c r="M1252" s="4" t="s">
        <v>2308</v>
      </c>
      <c r="N1252" s="4" t="s">
        <v>2308</v>
      </c>
      <c r="O1252" s="4" t="s">
        <v>2308</v>
      </c>
      <c r="P1252" s="4" t="s">
        <v>2308</v>
      </c>
      <c r="Q1252" s="4" t="s">
        <v>2308</v>
      </c>
      <c r="R1252" s="4" t="s">
        <v>2308</v>
      </c>
      <c r="S1252" s="4" t="s">
        <v>2308</v>
      </c>
      <c r="T1252" s="4" t="s">
        <v>2308</v>
      </c>
      <c r="U1252" s="4" t="s">
        <v>2308</v>
      </c>
      <c r="V1252" s="4" t="s">
        <v>2308</v>
      </c>
      <c r="W1252" s="4" t="s">
        <v>2308</v>
      </c>
      <c r="X1252" s="4" t="s">
        <v>133</v>
      </c>
      <c r="Y1252" s="4" t="s">
        <v>406</v>
      </c>
      <c r="Z1252" s="4" t="s">
        <v>64</v>
      </c>
      <c r="AA1252" s="5" t="s">
        <v>3857</v>
      </c>
      <c r="AB1252" s="5" t="s">
        <v>3852</v>
      </c>
    </row>
    <row r="1253" spans="1:28" ht="65.5" customHeight="1">
      <c r="A1253" s="7" t="str">
        <f>'Reported burning'!A1253</f>
        <v>147a</v>
      </c>
      <c r="B1253" s="7" t="str">
        <f>'Reported burning'!B1253</f>
        <v>147a.3</v>
      </c>
      <c r="C1253" s="7" t="str">
        <f>'Reported burning'!C1253</f>
        <v>Human, deliberate</v>
      </c>
      <c r="D1253" s="7" t="str">
        <f>'Reported burning'!D1253</f>
        <v>Crop field preparation</v>
      </c>
      <c r="E1253" s="7" t="str">
        <f>'Reported burning'!E1253</f>
        <v>Cropping, Swidden</v>
      </c>
      <c r="F1253" s="7" t="str">
        <f>'Reported burning'!F1253</f>
        <v>Cropland</v>
      </c>
      <c r="G1253" s="7" t="str">
        <f>'Reported burning'!G1253</f>
        <v>ND</v>
      </c>
      <c r="H1253" s="7" t="str">
        <f>'Reported burning'!H1253</f>
        <v>Presence</v>
      </c>
      <c r="I1253" s="4"/>
      <c r="J1253" s="4" t="s">
        <v>2308</v>
      </c>
      <c r="K1253" s="4" t="s">
        <v>2308</v>
      </c>
      <c r="L1253" s="4" t="s">
        <v>2308</v>
      </c>
      <c r="M1253" s="4" t="s">
        <v>2308</v>
      </c>
      <c r="N1253" s="4" t="s">
        <v>2308</v>
      </c>
      <c r="O1253" s="4" t="s">
        <v>2308</v>
      </c>
      <c r="P1253" s="4" t="s">
        <v>2308</v>
      </c>
      <c r="Q1253" s="4" t="s">
        <v>2308</v>
      </c>
      <c r="R1253" s="4" t="s">
        <v>2308</v>
      </c>
      <c r="S1253" s="4" t="s">
        <v>2308</v>
      </c>
      <c r="T1253" s="4" t="s">
        <v>2308</v>
      </c>
      <c r="U1253" s="4" t="s">
        <v>2308</v>
      </c>
      <c r="V1253" s="4" t="s">
        <v>2308</v>
      </c>
      <c r="W1253" s="4" t="s">
        <v>2407</v>
      </c>
      <c r="X1253" s="4" t="s">
        <v>38</v>
      </c>
      <c r="Y1253" s="4" t="s">
        <v>86</v>
      </c>
      <c r="Z1253" s="4" t="s">
        <v>64</v>
      </c>
      <c r="AA1253" s="5" t="s">
        <v>3859</v>
      </c>
      <c r="AB1253" s="4"/>
    </row>
    <row r="1254" spans="1:28" ht="39" customHeight="1">
      <c r="A1254" s="7" t="str">
        <f>'Reported burning'!A1254</f>
        <v>147a</v>
      </c>
      <c r="B1254" s="7" t="str">
        <f>'Reported burning'!B1254</f>
        <v>147a.4</v>
      </c>
      <c r="C1254" s="7" t="str">
        <f>'Reported burning'!C1254</f>
        <v>Human, deliberate</v>
      </c>
      <c r="D1254" s="7" t="str">
        <f>'Reported burning'!D1254</f>
        <v>Pasture renewal</v>
      </c>
      <c r="E1254" s="7" t="str">
        <f>'Reported burning'!E1254</f>
        <v>Cattle, Extensive</v>
      </c>
      <c r="F1254" s="7" t="str">
        <f>'Reported burning'!F1254</f>
        <v>Shrubland (Mixed forest &amp; grassland)</v>
      </c>
      <c r="G1254" s="7" t="str">
        <f>'Reported burning'!G1254</f>
        <v>ND</v>
      </c>
      <c r="H1254" s="7" t="str">
        <f>'Reported burning'!H1254</f>
        <v>Presence</v>
      </c>
      <c r="I1254" s="4"/>
      <c r="J1254" s="4" t="s">
        <v>2308</v>
      </c>
      <c r="K1254" s="4" t="s">
        <v>2308</v>
      </c>
      <c r="L1254" s="4" t="s">
        <v>2308</v>
      </c>
      <c r="M1254" s="4" t="s">
        <v>2308</v>
      </c>
      <c r="N1254" s="4" t="s">
        <v>2308</v>
      </c>
      <c r="O1254" s="4" t="s">
        <v>2308</v>
      </c>
      <c r="P1254" s="4" t="s">
        <v>2308</v>
      </c>
      <c r="Q1254" s="4" t="s">
        <v>2308</v>
      </c>
      <c r="R1254" s="4" t="s">
        <v>2308</v>
      </c>
      <c r="S1254" s="4" t="s">
        <v>2308</v>
      </c>
      <c r="T1254" s="4" t="s">
        <v>2308</v>
      </c>
      <c r="U1254" s="4" t="s">
        <v>2308</v>
      </c>
      <c r="V1254" s="4" t="s">
        <v>2308</v>
      </c>
      <c r="W1254" s="4" t="s">
        <v>2308</v>
      </c>
      <c r="X1254" s="4" t="s">
        <v>2308</v>
      </c>
      <c r="Y1254" s="4" t="s">
        <v>2308</v>
      </c>
      <c r="Z1254" s="4" t="s">
        <v>2308</v>
      </c>
      <c r="AA1254" s="4"/>
      <c r="AB1254" s="4"/>
    </row>
    <row r="1255" spans="1:28" ht="39" customHeight="1">
      <c r="A1255" s="7" t="str">
        <f>'Reported burning'!A1255</f>
        <v>147a</v>
      </c>
      <c r="B1255" s="7" t="str">
        <f>'Reported burning'!B1255</f>
        <v>147a.5</v>
      </c>
      <c r="C1255" s="7" t="str">
        <f>'Reported burning'!C1255</f>
        <v>Human, deliberate</v>
      </c>
      <c r="D1255" s="7" t="str">
        <f>'Reported burning'!D1255</f>
        <v>Hunting</v>
      </c>
      <c r="E1255" s="7" t="str">
        <f>'Reported burning'!E1255</f>
        <v>Forestry, Traditional</v>
      </c>
      <c r="F1255" s="7" t="str">
        <f>'Reported burning'!F1255</f>
        <v>Shrubland (Mixed forest &amp; grassland)</v>
      </c>
      <c r="G1255" s="7" t="str">
        <f>'Reported burning'!G1255</f>
        <v>ND</v>
      </c>
      <c r="H1255" s="7" t="str">
        <f>'Reported burning'!H1255</f>
        <v>Presence</v>
      </c>
      <c r="I1255" s="4"/>
      <c r="J1255" s="4" t="s">
        <v>2308</v>
      </c>
      <c r="K1255" s="4" t="s">
        <v>2308</v>
      </c>
      <c r="L1255" s="4" t="s">
        <v>2308</v>
      </c>
      <c r="M1255" s="4" t="s">
        <v>2308</v>
      </c>
      <c r="N1255" s="4" t="s">
        <v>2308</v>
      </c>
      <c r="O1255" s="4" t="s">
        <v>2308</v>
      </c>
      <c r="P1255" s="4" t="s">
        <v>2308</v>
      </c>
      <c r="Q1255" s="4" t="s">
        <v>2308</v>
      </c>
      <c r="R1255" s="4" t="s">
        <v>2308</v>
      </c>
      <c r="S1255" s="4" t="s">
        <v>2308</v>
      </c>
      <c r="T1255" s="4" t="s">
        <v>2308</v>
      </c>
      <c r="U1255" s="4" t="s">
        <v>2308</v>
      </c>
      <c r="V1255" s="4" t="s">
        <v>2308</v>
      </c>
      <c r="W1255" s="4" t="s">
        <v>2308</v>
      </c>
      <c r="X1255" s="4" t="s">
        <v>2308</v>
      </c>
      <c r="Y1255" s="4" t="s">
        <v>2308</v>
      </c>
      <c r="Z1255" s="4" t="s">
        <v>2308</v>
      </c>
      <c r="AA1255" s="4"/>
      <c r="AB1255" s="5" t="s">
        <v>3856</v>
      </c>
    </row>
    <row r="1256" spans="1:28" ht="38" customHeight="1">
      <c r="A1256" s="7" t="str">
        <f>'Reported burning'!A1256</f>
        <v>147a</v>
      </c>
      <c r="B1256" s="7" t="str">
        <f>'Reported burning'!B1256</f>
        <v>147a.6</v>
      </c>
      <c r="C1256" s="7" t="str">
        <f>'Reported burning'!C1256</f>
        <v>Unknown</v>
      </c>
      <c r="D1256" s="7" t="str">
        <f>'Reported burning'!D1256</f>
        <v>ND</v>
      </c>
      <c r="E1256" s="7" t="str">
        <f>'Reported burning'!E1256</f>
        <v>ND</v>
      </c>
      <c r="F1256" s="7" t="str">
        <f>'Reported burning'!F1256</f>
        <v>Forest</v>
      </c>
      <c r="G1256" s="7" t="str">
        <f>'Reported burning'!G1256</f>
        <v>Forest</v>
      </c>
      <c r="H1256" s="7" t="str">
        <f>'Reported burning'!H1256</f>
        <v>Presence</v>
      </c>
      <c r="I1256" s="4"/>
      <c r="J1256" s="4" t="s">
        <v>2308</v>
      </c>
      <c r="K1256" s="4" t="s">
        <v>2308</v>
      </c>
      <c r="L1256" s="4" t="s">
        <v>2308</v>
      </c>
      <c r="M1256" s="4" t="s">
        <v>2308</v>
      </c>
      <c r="N1256" s="4" t="s">
        <v>2308</v>
      </c>
      <c r="O1256" s="4" t="s">
        <v>2308</v>
      </c>
      <c r="P1256" s="4" t="s">
        <v>2308</v>
      </c>
      <c r="Q1256" s="4" t="s">
        <v>2308</v>
      </c>
      <c r="R1256" s="4" t="s">
        <v>2308</v>
      </c>
      <c r="S1256" s="4" t="s">
        <v>2308</v>
      </c>
      <c r="T1256" s="4" t="s">
        <v>2308</v>
      </c>
      <c r="U1256" s="4" t="s">
        <v>2308</v>
      </c>
      <c r="V1256" s="4" t="s">
        <v>2308</v>
      </c>
      <c r="W1256" s="4" t="s">
        <v>2308</v>
      </c>
      <c r="X1256" s="4" t="s">
        <v>68</v>
      </c>
      <c r="Y1256" s="4" t="s">
        <v>38</v>
      </c>
      <c r="Z1256" s="4" t="s">
        <v>76</v>
      </c>
      <c r="AA1256" s="4"/>
      <c r="AB1256" s="4"/>
    </row>
    <row r="1257" spans="1:28" ht="67.5" customHeight="1">
      <c r="A1257" s="7" t="str">
        <f>'Reported burning'!A1257</f>
        <v>148a</v>
      </c>
      <c r="B1257" s="7" t="str">
        <f>'Reported burning'!B1257</f>
        <v>148a.1</v>
      </c>
      <c r="C1257" s="7" t="str">
        <f>'Reported burning'!C1257</f>
        <v>Human, deliberate</v>
      </c>
      <c r="D1257" s="7" t="str">
        <f>'Reported burning'!D1257</f>
        <v>Pyrome management</v>
      </c>
      <c r="E1257" s="7" t="str">
        <f>'Reported burning'!E1257</f>
        <v>All</v>
      </c>
      <c r="F1257" s="7" t="str">
        <f>'Reported burning'!F1257</f>
        <v>Shrubland (Mixed forest &amp; grassland)</v>
      </c>
      <c r="G1257" s="7" t="str">
        <f>'Reported burning'!G1257</f>
        <v>ND</v>
      </c>
      <c r="H1257" s="7" t="str">
        <f>'Reported burning'!H1257</f>
        <v>Presence</v>
      </c>
      <c r="I1257" s="4"/>
      <c r="J1257" s="4" t="s">
        <v>2308</v>
      </c>
      <c r="K1257" s="4" t="s">
        <v>2308</v>
      </c>
      <c r="L1257" s="4" t="s">
        <v>2308</v>
      </c>
      <c r="M1257" s="4" t="s">
        <v>2308</v>
      </c>
      <c r="N1257" s="4" t="s">
        <v>2308</v>
      </c>
      <c r="O1257" s="4" t="s">
        <v>2308</v>
      </c>
      <c r="P1257" s="4" t="s">
        <v>2308</v>
      </c>
      <c r="Q1257" s="4" t="s">
        <v>2308</v>
      </c>
      <c r="R1257" s="4" t="s">
        <v>2308</v>
      </c>
      <c r="S1257" s="4" t="s">
        <v>2308</v>
      </c>
      <c r="T1257" s="4" t="s">
        <v>2308</v>
      </c>
      <c r="U1257" s="4" t="s">
        <v>2308</v>
      </c>
      <c r="V1257" s="4" t="s">
        <v>2408</v>
      </c>
      <c r="W1257" s="4" t="s">
        <v>2407</v>
      </c>
      <c r="X1257" s="4" t="s">
        <v>68</v>
      </c>
      <c r="Y1257" s="4" t="s">
        <v>133</v>
      </c>
      <c r="Z1257" s="4" t="s">
        <v>64</v>
      </c>
      <c r="AA1257" s="4"/>
      <c r="AB1257" s="5" t="s">
        <v>3878</v>
      </c>
    </row>
    <row r="1258" spans="1:28" ht="67.5" customHeight="1">
      <c r="A1258" s="7" t="str">
        <f>'Reported burning'!A1258</f>
        <v>148a</v>
      </c>
      <c r="B1258" s="7" t="str">
        <f>'Reported burning'!B1258</f>
        <v>148a.2</v>
      </c>
      <c r="C1258" s="7" t="str">
        <f>'Reported burning'!C1258</f>
        <v>Human, deliberate</v>
      </c>
      <c r="D1258" s="7" t="str">
        <f>'Reported burning'!D1258</f>
        <v>Pasture renewal</v>
      </c>
      <c r="E1258" s="7" t="str">
        <f>'Reported burning'!E1258</f>
        <v>Cattle, Extensive</v>
      </c>
      <c r="F1258" s="7" t="str">
        <f>'Reported burning'!F1258</f>
        <v>Shrubland (Mixed forest &amp; grassland)</v>
      </c>
      <c r="G1258" s="7" t="str">
        <f>'Reported burning'!G1258</f>
        <v>ND</v>
      </c>
      <c r="H1258" s="7" t="str">
        <f>'Reported burning'!H1258</f>
        <v>Presence</v>
      </c>
      <c r="I1258" s="4"/>
      <c r="J1258" s="4" t="s">
        <v>2308</v>
      </c>
      <c r="K1258" s="4" t="s">
        <v>2308</v>
      </c>
      <c r="L1258" s="4" t="s">
        <v>2308</v>
      </c>
      <c r="M1258" s="4" t="s">
        <v>2308</v>
      </c>
      <c r="N1258" s="4" t="s">
        <v>2308</v>
      </c>
      <c r="O1258" s="4" t="s">
        <v>2308</v>
      </c>
      <c r="P1258" s="4" t="s">
        <v>2308</v>
      </c>
      <c r="Q1258" s="4" t="s">
        <v>2308</v>
      </c>
      <c r="R1258" s="4" t="s">
        <v>2308</v>
      </c>
      <c r="S1258" s="4" t="s">
        <v>2308</v>
      </c>
      <c r="T1258" s="4" t="s">
        <v>2308</v>
      </c>
      <c r="U1258" s="4" t="s">
        <v>2308</v>
      </c>
      <c r="V1258" s="4" t="s">
        <v>2560</v>
      </c>
      <c r="W1258" s="4" t="s">
        <v>2407</v>
      </c>
      <c r="X1258" s="4" t="s">
        <v>68</v>
      </c>
      <c r="Y1258" s="4" t="s">
        <v>133</v>
      </c>
      <c r="Z1258" s="4" t="s">
        <v>64</v>
      </c>
      <c r="AA1258" s="4"/>
      <c r="AB1258" s="5" t="s">
        <v>3878</v>
      </c>
    </row>
    <row r="1259" spans="1:28" ht="67.5" customHeight="1">
      <c r="A1259" s="7" t="str">
        <f>'Reported burning'!A1259</f>
        <v>148a</v>
      </c>
      <c r="B1259" s="7" t="str">
        <f>'Reported burning'!B1259</f>
        <v>148a.3</v>
      </c>
      <c r="C1259" s="7" t="str">
        <f>'Reported burning'!C1259</f>
        <v>Human, deliberate</v>
      </c>
      <c r="D1259" s="7" t="str">
        <f>'Reported burning'!D1259</f>
        <v>Pest management</v>
      </c>
      <c r="E1259" s="7" t="str">
        <f>'Reported burning'!E1259</f>
        <v>All</v>
      </c>
      <c r="F1259" s="7" t="str">
        <f>'Reported burning'!F1259</f>
        <v>Shrubland (Mixed forest &amp; grassland)</v>
      </c>
      <c r="G1259" s="7" t="str">
        <f>'Reported burning'!G1259</f>
        <v>ND</v>
      </c>
      <c r="H1259" s="7" t="str">
        <f>'Reported burning'!H1259</f>
        <v>Presence</v>
      </c>
      <c r="I1259" s="4"/>
      <c r="J1259" s="4" t="s">
        <v>2308</v>
      </c>
      <c r="K1259" s="4" t="s">
        <v>2308</v>
      </c>
      <c r="L1259" s="4" t="s">
        <v>2308</v>
      </c>
      <c r="M1259" s="4" t="s">
        <v>2308</v>
      </c>
      <c r="N1259" s="4" t="s">
        <v>2308</v>
      </c>
      <c r="O1259" s="4" t="s">
        <v>2308</v>
      </c>
      <c r="P1259" s="4" t="s">
        <v>2308</v>
      </c>
      <c r="Q1259" s="4" t="s">
        <v>2308</v>
      </c>
      <c r="R1259" s="4" t="s">
        <v>2308</v>
      </c>
      <c r="S1259" s="4" t="s">
        <v>2308</v>
      </c>
      <c r="T1259" s="4" t="s">
        <v>2308</v>
      </c>
      <c r="U1259" s="4" t="s">
        <v>2308</v>
      </c>
      <c r="V1259" s="4" t="s">
        <v>2560</v>
      </c>
      <c r="W1259" s="4" t="s">
        <v>2407</v>
      </c>
      <c r="X1259" s="4" t="s">
        <v>68</v>
      </c>
      <c r="Y1259" s="4" t="s">
        <v>133</v>
      </c>
      <c r="Z1259" s="4" t="s">
        <v>64</v>
      </c>
      <c r="AA1259" s="4"/>
      <c r="AB1259" s="5" t="s">
        <v>3878</v>
      </c>
    </row>
    <row r="1260" spans="1:28" ht="67.5" customHeight="1">
      <c r="A1260" s="7" t="str">
        <f>'Reported burning'!A1260</f>
        <v>148a</v>
      </c>
      <c r="B1260" s="7" t="str">
        <f>'Reported burning'!B1260</f>
        <v>148a.4</v>
      </c>
      <c r="C1260" s="7" t="str">
        <f>'Reported burning'!C1260</f>
        <v>Human, deliberate</v>
      </c>
      <c r="D1260" s="7" t="str">
        <f>'Reported burning'!D1260</f>
        <v>Hunting</v>
      </c>
      <c r="E1260" s="7" t="str">
        <f>'Reported burning'!E1260</f>
        <v>Forestry, Traditional</v>
      </c>
      <c r="F1260" s="7" t="str">
        <f>'Reported burning'!F1260</f>
        <v>Shrubland (Mixed forest &amp; grassland)</v>
      </c>
      <c r="G1260" s="7" t="str">
        <f>'Reported burning'!G1260</f>
        <v>ND</v>
      </c>
      <c r="H1260" s="7" t="str">
        <f>'Reported burning'!H1260</f>
        <v>Presence</v>
      </c>
      <c r="I1260" s="4"/>
      <c r="J1260" s="4" t="s">
        <v>2308</v>
      </c>
      <c r="K1260" s="4" t="s">
        <v>2308</v>
      </c>
      <c r="L1260" s="4" t="s">
        <v>2308</v>
      </c>
      <c r="M1260" s="4" t="s">
        <v>2308</v>
      </c>
      <c r="N1260" s="4" t="s">
        <v>2308</v>
      </c>
      <c r="O1260" s="4" t="s">
        <v>2308</v>
      </c>
      <c r="P1260" s="4" t="s">
        <v>2308</v>
      </c>
      <c r="Q1260" s="4" t="s">
        <v>2308</v>
      </c>
      <c r="R1260" s="4" t="s">
        <v>2308</v>
      </c>
      <c r="S1260" s="4" t="s">
        <v>2308</v>
      </c>
      <c r="T1260" s="4" t="s">
        <v>2308</v>
      </c>
      <c r="U1260" s="4" t="s">
        <v>2308</v>
      </c>
      <c r="V1260" s="4" t="s">
        <v>2560</v>
      </c>
      <c r="W1260" s="4" t="s">
        <v>2407</v>
      </c>
      <c r="X1260" s="4" t="s">
        <v>68</v>
      </c>
      <c r="Y1260" s="4" t="s">
        <v>133</v>
      </c>
      <c r="Z1260" s="4" t="s">
        <v>64</v>
      </c>
      <c r="AA1260" s="4"/>
      <c r="AB1260" s="5" t="s">
        <v>3878</v>
      </c>
    </row>
    <row r="1261" spans="1:28" ht="67.5" customHeight="1">
      <c r="A1261" s="7" t="str">
        <f>'Reported burning'!A1261</f>
        <v>148a</v>
      </c>
      <c r="B1261" s="7" t="str">
        <f>'Reported burning'!B1261</f>
        <v>148a.5</v>
      </c>
      <c r="C1261" s="7" t="str">
        <f>'Reported burning'!C1261</f>
        <v>Human, deliberate</v>
      </c>
      <c r="D1261" s="7" t="str">
        <f>'Reported burning'!D1261</f>
        <v>Crop field preparation</v>
      </c>
      <c r="E1261" s="7" t="str">
        <f>'Reported burning'!E1261</f>
        <v>Cropping, Swidden</v>
      </c>
      <c r="F1261" s="7" t="str">
        <f>'Reported burning'!F1261</f>
        <v>Secondary Vegetation</v>
      </c>
      <c r="G1261" s="7" t="str">
        <f>'Reported burning'!G1261</f>
        <v>ND</v>
      </c>
      <c r="H1261" s="7" t="str">
        <f>'Reported burning'!H1261</f>
        <v>Presence</v>
      </c>
      <c r="I1261" s="4"/>
      <c r="J1261" s="4" t="s">
        <v>2308</v>
      </c>
      <c r="K1261" s="4" t="s">
        <v>2308</v>
      </c>
      <c r="L1261" s="4" t="s">
        <v>2308</v>
      </c>
      <c r="M1261" s="4" t="s">
        <v>2308</v>
      </c>
      <c r="N1261" s="4" t="s">
        <v>2308</v>
      </c>
      <c r="O1261" s="4" t="s">
        <v>2308</v>
      </c>
      <c r="P1261" s="4" t="s">
        <v>2308</v>
      </c>
      <c r="Q1261" s="4" t="s">
        <v>2308</v>
      </c>
      <c r="R1261" s="4" t="s">
        <v>2308</v>
      </c>
      <c r="S1261" s="4" t="s">
        <v>2308</v>
      </c>
      <c r="T1261" s="4" t="s">
        <v>2308</v>
      </c>
      <c r="U1261" s="4" t="s">
        <v>2308</v>
      </c>
      <c r="V1261" s="4" t="s">
        <v>2406</v>
      </c>
      <c r="W1261" s="4" t="s">
        <v>2433</v>
      </c>
      <c r="X1261" s="4" t="s">
        <v>133</v>
      </c>
      <c r="Y1261" s="4" t="s">
        <v>406</v>
      </c>
      <c r="Z1261" s="4" t="s">
        <v>64</v>
      </c>
      <c r="AA1261" s="4"/>
      <c r="AB1261" s="5" t="s">
        <v>3878</v>
      </c>
    </row>
    <row r="1262" spans="1:28" ht="67.5" customHeight="1">
      <c r="A1262" s="7" t="str">
        <f>'Reported burning'!A1262</f>
        <v>148a</v>
      </c>
      <c r="B1262" s="7" t="str">
        <f>'Reported burning'!B1262</f>
        <v>148a.6</v>
      </c>
      <c r="C1262" s="7" t="str">
        <f>'Reported burning'!C1262</f>
        <v>Human, deliberate</v>
      </c>
      <c r="D1262" s="7" t="str">
        <f>'Reported burning'!D1262</f>
        <v>Pyrome management</v>
      </c>
      <c r="E1262" s="7" t="str">
        <f>'Reported burning'!E1262</f>
        <v>Cropping, Swidden</v>
      </c>
      <c r="F1262" s="7" t="str">
        <f>'Reported burning'!F1262</f>
        <v>Secondary Vegetation</v>
      </c>
      <c r="G1262" s="7" t="str">
        <f>'Reported burning'!G1262</f>
        <v>ND</v>
      </c>
      <c r="H1262" s="7" t="str">
        <f>'Reported burning'!H1262</f>
        <v>Presence</v>
      </c>
      <c r="I1262" s="4"/>
      <c r="J1262" s="4" t="s">
        <v>2308</v>
      </c>
      <c r="K1262" s="4" t="s">
        <v>2308</v>
      </c>
      <c r="L1262" s="4" t="s">
        <v>2308</v>
      </c>
      <c r="M1262" s="4" t="s">
        <v>2308</v>
      </c>
      <c r="N1262" s="4" t="s">
        <v>2308</v>
      </c>
      <c r="O1262" s="4" t="s">
        <v>2308</v>
      </c>
      <c r="P1262" s="4" t="s">
        <v>2308</v>
      </c>
      <c r="Q1262" s="4" t="s">
        <v>2308</v>
      </c>
      <c r="R1262" s="4" t="s">
        <v>2308</v>
      </c>
      <c r="S1262" s="4" t="s">
        <v>2308</v>
      </c>
      <c r="T1262" s="4" t="s">
        <v>2308</v>
      </c>
      <c r="U1262" s="4" t="s">
        <v>2308</v>
      </c>
      <c r="V1262" s="4" t="s">
        <v>2408</v>
      </c>
      <c r="W1262" s="4" t="s">
        <v>2407</v>
      </c>
      <c r="X1262" s="4" t="s">
        <v>133</v>
      </c>
      <c r="Y1262" s="4" t="s">
        <v>406</v>
      </c>
      <c r="Z1262" s="4" t="s">
        <v>64</v>
      </c>
      <c r="AA1262" s="5" t="s">
        <v>3877</v>
      </c>
      <c r="AB1262" s="5" t="s">
        <v>3878</v>
      </c>
    </row>
    <row r="1263" spans="1:28" ht="67.5" customHeight="1">
      <c r="A1263" s="7" t="str">
        <f>'Reported burning'!A1263</f>
        <v>148a</v>
      </c>
      <c r="B1263" s="7" t="str">
        <f>'Reported burning'!B1263</f>
        <v>148a.7</v>
      </c>
      <c r="C1263" s="7" t="str">
        <f>'Reported burning'!C1263</f>
        <v>Human, deliberate</v>
      </c>
      <c r="D1263" s="7" t="str">
        <f>'Reported burning'!D1263</f>
        <v>Forest management</v>
      </c>
      <c r="E1263" s="7" t="str">
        <f>'Reported burning'!E1263</f>
        <v>Forestry, Traditional</v>
      </c>
      <c r="F1263" s="7" t="str">
        <f>'Reported burning'!F1263</f>
        <v>Forest</v>
      </c>
      <c r="G1263" s="7" t="str">
        <f>'Reported burning'!G1263</f>
        <v>Forest</v>
      </c>
      <c r="H1263" s="7" t="str">
        <f>'Reported burning'!H1263</f>
        <v>Presence</v>
      </c>
      <c r="I1263" s="4"/>
      <c r="J1263" s="4" t="s">
        <v>2308</v>
      </c>
      <c r="K1263" s="4" t="s">
        <v>2308</v>
      </c>
      <c r="L1263" s="4" t="s">
        <v>2308</v>
      </c>
      <c r="M1263" s="4" t="s">
        <v>2308</v>
      </c>
      <c r="N1263" s="4" t="s">
        <v>2308</v>
      </c>
      <c r="O1263" s="4" t="s">
        <v>2308</v>
      </c>
      <c r="P1263" s="4" t="s">
        <v>2308</v>
      </c>
      <c r="Q1263" s="4" t="s">
        <v>2308</v>
      </c>
      <c r="R1263" s="4" t="s">
        <v>2308</v>
      </c>
      <c r="S1263" s="4" t="s">
        <v>2308</v>
      </c>
      <c r="T1263" s="4" t="s">
        <v>2308</v>
      </c>
      <c r="U1263" s="4" t="s">
        <v>2308</v>
      </c>
      <c r="V1263" s="4" t="s">
        <v>2406</v>
      </c>
      <c r="W1263" s="4" t="s">
        <v>2407</v>
      </c>
      <c r="X1263" s="4" t="s">
        <v>406</v>
      </c>
      <c r="Y1263" s="4" t="s">
        <v>38</v>
      </c>
      <c r="Z1263" s="4" t="s">
        <v>64</v>
      </c>
      <c r="AA1263" s="4"/>
      <c r="AB1263" s="5" t="s">
        <v>3878</v>
      </c>
    </row>
    <row r="1264" spans="1:28" ht="67.5" customHeight="1">
      <c r="A1264" s="7" t="str">
        <f>'Reported burning'!A1264</f>
        <v>148a</v>
      </c>
      <c r="B1264" s="7" t="str">
        <f>'Reported burning'!B1264</f>
        <v>148a.8</v>
      </c>
      <c r="C1264" s="7" t="str">
        <f>'Reported burning'!C1264</f>
        <v>Human, accidental</v>
      </c>
      <c r="D1264" s="7" t="str">
        <f>'Reported burning'!D1264</f>
        <v>ND</v>
      </c>
      <c r="E1264" s="7" t="str">
        <f>'Reported burning'!E1264</f>
        <v>All</v>
      </c>
      <c r="F1264" s="7" t="str">
        <f>'Reported burning'!F1264</f>
        <v>ND</v>
      </c>
      <c r="G1264" s="7" t="str">
        <f>'Reported burning'!G1264</f>
        <v>Forest</v>
      </c>
      <c r="H1264" s="7" t="str">
        <f>'Reported burning'!H1264</f>
        <v>Presence</v>
      </c>
      <c r="I1264" s="4"/>
      <c r="J1264" s="4" t="s">
        <v>2308</v>
      </c>
      <c r="K1264" s="4" t="s">
        <v>2308</v>
      </c>
      <c r="L1264" s="4" t="s">
        <v>2308</v>
      </c>
      <c r="M1264" s="4" t="s">
        <v>2308</v>
      </c>
      <c r="N1264" s="4" t="s">
        <v>2308</v>
      </c>
      <c r="O1264" s="4" t="s">
        <v>2308</v>
      </c>
      <c r="P1264" s="4" t="s">
        <v>2308</v>
      </c>
      <c r="Q1264" s="4" t="s">
        <v>2308</v>
      </c>
      <c r="R1264" s="4" t="s">
        <v>2308</v>
      </c>
      <c r="S1264" s="4" t="s">
        <v>2308</v>
      </c>
      <c r="T1264" s="4" t="s">
        <v>2308</v>
      </c>
      <c r="U1264" s="4" t="s">
        <v>2308</v>
      </c>
      <c r="V1264" s="4" t="s">
        <v>2406</v>
      </c>
      <c r="W1264" s="4" t="s">
        <v>2407</v>
      </c>
      <c r="X1264" s="4" t="s">
        <v>406</v>
      </c>
      <c r="Y1264" s="4" t="s">
        <v>38</v>
      </c>
      <c r="Z1264" s="4" t="s">
        <v>64</v>
      </c>
      <c r="AA1264" s="4"/>
      <c r="AB1264" s="5" t="s">
        <v>3878</v>
      </c>
    </row>
    <row r="1265" spans="1:29" ht="67.5" customHeight="1">
      <c r="A1265" s="7" t="str">
        <f>'Reported burning'!A1265</f>
        <v>148a</v>
      </c>
      <c r="B1265" s="7" t="str">
        <f>'Reported burning'!B1265</f>
        <v>148a.9</v>
      </c>
      <c r="C1265" s="7" t="str">
        <f>'Reported burning'!C1265</f>
        <v>Human, deliberate</v>
      </c>
      <c r="D1265" s="7" t="str">
        <f>'Reported burning'!D1265</f>
        <v>Crop field preparation</v>
      </c>
      <c r="E1265" s="7" t="str">
        <f>'Reported burning'!E1265</f>
        <v>Cropping, Swidden</v>
      </c>
      <c r="F1265" s="7" t="str">
        <f>'Reported burning'!F1265</f>
        <v>Forest</v>
      </c>
      <c r="G1265" s="7" t="str">
        <f>'Reported burning'!G1265</f>
        <v>ND</v>
      </c>
      <c r="H1265" s="7" t="str">
        <f>'Reported burning'!H1265</f>
        <v>Presence</v>
      </c>
      <c r="I1265" s="4"/>
      <c r="J1265" s="4" t="s">
        <v>2308</v>
      </c>
      <c r="K1265" s="4" t="s">
        <v>2308</v>
      </c>
      <c r="L1265" s="4" t="s">
        <v>2308</v>
      </c>
      <c r="M1265" s="4" t="s">
        <v>2308</v>
      </c>
      <c r="N1265" s="4" t="s">
        <v>2308</v>
      </c>
      <c r="O1265" s="4" t="s">
        <v>2308</v>
      </c>
      <c r="P1265" s="4" t="s">
        <v>2308</v>
      </c>
      <c r="Q1265" s="4" t="s">
        <v>2308</v>
      </c>
      <c r="R1265" s="4" t="s">
        <v>2308</v>
      </c>
      <c r="S1265" s="4" t="s">
        <v>2308</v>
      </c>
      <c r="T1265" s="4" t="s">
        <v>2308</v>
      </c>
      <c r="U1265" s="4" t="s">
        <v>2308</v>
      </c>
      <c r="V1265" s="4" t="s">
        <v>2406</v>
      </c>
      <c r="W1265" s="4" t="s">
        <v>2407</v>
      </c>
      <c r="X1265" s="4" t="s">
        <v>194</v>
      </c>
      <c r="Y1265" s="4" t="s">
        <v>38</v>
      </c>
      <c r="Z1265" s="4" t="s">
        <v>64</v>
      </c>
      <c r="AA1265" s="4"/>
      <c r="AB1265" s="5" t="s">
        <v>3878</v>
      </c>
    </row>
    <row r="1266" spans="1:29" ht="45" customHeight="1">
      <c r="A1266" s="7" t="str">
        <f>'Reported burning'!A1266</f>
        <v>149a</v>
      </c>
      <c r="B1266" s="7" t="str">
        <f>'Reported burning'!B1266</f>
        <v>149a.1</v>
      </c>
      <c r="C1266" s="7" t="str">
        <f>'Reported burning'!C1266</f>
        <v>Human, deliberate</v>
      </c>
      <c r="D1266" s="7" t="str">
        <f>'Reported burning'!D1266</f>
        <v>Charcoal production</v>
      </c>
      <c r="E1266" s="7" t="str">
        <f>'Reported burning'!E1266</f>
        <v>Forestry, Traditional</v>
      </c>
      <c r="F1266" s="7" t="str">
        <f>'Reported burning'!F1266</f>
        <v>Shrubland (Mixed forest &amp; grassland)</v>
      </c>
      <c r="G1266" s="7" t="str">
        <f>'Reported burning'!G1266</f>
        <v>ND</v>
      </c>
      <c r="H1266" s="7" t="str">
        <f>'Reported burning'!H1266</f>
        <v>Absence</v>
      </c>
      <c r="I1266" s="4"/>
      <c r="J1266" s="4" t="s">
        <v>2396</v>
      </c>
      <c r="K1266" s="4" t="s">
        <v>2396</v>
      </c>
      <c r="L1266" s="4" t="s">
        <v>2396</v>
      </c>
      <c r="M1266" s="4" t="s">
        <v>2396</v>
      </c>
      <c r="N1266" s="4" t="s">
        <v>2396</v>
      </c>
      <c r="O1266" s="4" t="s">
        <v>2396</v>
      </c>
      <c r="P1266" s="4" t="s">
        <v>2396</v>
      </c>
      <c r="Q1266" s="4" t="s">
        <v>2396</v>
      </c>
      <c r="R1266" s="4" t="s">
        <v>2396</v>
      </c>
      <c r="S1266" s="4" t="s">
        <v>2396</v>
      </c>
      <c r="T1266" s="4" t="s">
        <v>2396</v>
      </c>
      <c r="U1266" s="4" t="s">
        <v>2396</v>
      </c>
      <c r="V1266" s="4" t="s">
        <v>2396</v>
      </c>
      <c r="W1266" s="4" t="s">
        <v>2308</v>
      </c>
      <c r="X1266" s="4" t="s">
        <v>2308</v>
      </c>
      <c r="Y1266" s="4" t="s">
        <v>2308</v>
      </c>
      <c r="Z1266" s="4" t="s">
        <v>2308</v>
      </c>
      <c r="AA1266" s="4"/>
      <c r="AB1266" s="4"/>
    </row>
    <row r="1267" spans="1:29" ht="72" customHeight="1">
      <c r="A1267" s="7" t="str">
        <f>'Reported burning'!A1267</f>
        <v>150a</v>
      </c>
      <c r="B1267" s="7" t="str">
        <f>'Reported burning'!B1267</f>
        <v>150a.1</v>
      </c>
      <c r="C1267" s="7" t="str">
        <f>'Reported burning'!C1267</f>
        <v>Human, deliberate</v>
      </c>
      <c r="D1267" s="7" t="str">
        <f>'Reported burning'!D1267</f>
        <v>Rangeland management</v>
      </c>
      <c r="E1267" s="7" t="str">
        <f>'Reported burning'!E1267</f>
        <v>Pastoralism, Migratory</v>
      </c>
      <c r="F1267" s="7" t="str">
        <f>'Reported burning'!F1267</f>
        <v>Shrubland (Mixed forest &amp; grassland)</v>
      </c>
      <c r="G1267" s="7" t="str">
        <f>'Reported burning'!G1267</f>
        <v>Shrubland (Mixed forest &amp; grassland)</v>
      </c>
      <c r="H1267" s="7" t="str">
        <f>'Reported burning'!H1267</f>
        <v>Presence</v>
      </c>
      <c r="I1267" s="4"/>
      <c r="J1267" s="4" t="s">
        <v>2308</v>
      </c>
      <c r="K1267" s="4" t="s">
        <v>2308</v>
      </c>
      <c r="L1267" s="4" t="s">
        <v>2308</v>
      </c>
      <c r="M1267" s="4" t="s">
        <v>2308</v>
      </c>
      <c r="N1267" s="4" t="s">
        <v>2308</v>
      </c>
      <c r="O1267" s="4" t="s">
        <v>2308</v>
      </c>
      <c r="P1267" s="4" t="s">
        <v>2308</v>
      </c>
      <c r="Q1267" s="4" t="s">
        <v>2308</v>
      </c>
      <c r="R1267" s="4" t="s">
        <v>2308</v>
      </c>
      <c r="S1267" s="4" t="s">
        <v>2308</v>
      </c>
      <c r="T1267" s="4" t="s">
        <v>2308</v>
      </c>
      <c r="U1267" s="4" t="s">
        <v>2308</v>
      </c>
      <c r="V1267" s="4" t="s">
        <v>2308</v>
      </c>
      <c r="W1267" s="4" t="s">
        <v>2433</v>
      </c>
      <c r="X1267" s="4" t="s">
        <v>2308</v>
      </c>
      <c r="Y1267" s="4" t="s">
        <v>2308</v>
      </c>
      <c r="Z1267" s="4" t="s">
        <v>2308</v>
      </c>
      <c r="AA1267" s="4"/>
      <c r="AB1267" s="5" t="s">
        <v>3895</v>
      </c>
    </row>
    <row r="1268" spans="1:29" ht="52" customHeight="1">
      <c r="A1268" s="7" t="str">
        <f>'Reported burning'!A1268</f>
        <v>150a</v>
      </c>
      <c r="B1268" s="7" t="str">
        <f>'Reported burning'!B1268</f>
        <v>150a.2</v>
      </c>
      <c r="C1268" s="7" t="str">
        <f>'Reported burning'!C1268</f>
        <v>Lightning</v>
      </c>
      <c r="D1268" s="7" t="str">
        <f>'Reported burning'!D1268</f>
        <v>ND</v>
      </c>
      <c r="E1268" s="7" t="str">
        <f>'Reported burning'!E1268</f>
        <v>ND</v>
      </c>
      <c r="F1268" s="7" t="str">
        <f>'Reported burning'!F1268</f>
        <v>ND</v>
      </c>
      <c r="G1268" s="7" t="str">
        <f>'Reported burning'!G1268</f>
        <v>ND</v>
      </c>
      <c r="H1268" s="7" t="str">
        <f>'Reported burning'!H1268</f>
        <v>Absence</v>
      </c>
      <c r="I1268" s="4"/>
      <c r="J1268" s="4" t="s">
        <v>2396</v>
      </c>
      <c r="K1268" s="4" t="s">
        <v>2396</v>
      </c>
      <c r="L1268" s="4" t="s">
        <v>2396</v>
      </c>
      <c r="M1268" s="4" t="s">
        <v>2396</v>
      </c>
      <c r="N1268" s="4" t="s">
        <v>2396</v>
      </c>
      <c r="O1268" s="4" t="s">
        <v>2396</v>
      </c>
      <c r="P1268" s="4" t="s">
        <v>2396</v>
      </c>
      <c r="Q1268" s="4" t="s">
        <v>2396</v>
      </c>
      <c r="R1268" s="4" t="s">
        <v>2396</v>
      </c>
      <c r="S1268" s="4" t="s">
        <v>2396</v>
      </c>
      <c r="T1268" s="4" t="s">
        <v>2396</v>
      </c>
      <c r="U1268" s="4" t="s">
        <v>2396</v>
      </c>
      <c r="V1268" s="4" t="s">
        <v>2396</v>
      </c>
      <c r="W1268" s="4" t="s">
        <v>2308</v>
      </c>
      <c r="X1268" s="4" t="s">
        <v>2308</v>
      </c>
      <c r="Y1268" s="4" t="s">
        <v>2308</v>
      </c>
      <c r="Z1268" s="4" t="s">
        <v>2308</v>
      </c>
      <c r="AA1268" s="4"/>
      <c r="AB1268" s="5" t="s">
        <v>3897</v>
      </c>
    </row>
    <row r="1269" spans="1:29" ht="94.5" customHeight="1">
      <c r="A1269" s="7" t="str">
        <f>'Reported burning'!A1269</f>
        <v>151a</v>
      </c>
      <c r="B1269" s="7" t="str">
        <f>'Reported burning'!B1269</f>
        <v>151a.1</v>
      </c>
      <c r="C1269" s="7" t="str">
        <f>'Reported burning'!C1269</f>
        <v>Human, deliberate</v>
      </c>
      <c r="D1269" s="7" t="str">
        <f>'Reported burning'!D1269</f>
        <v>Pasture renewal</v>
      </c>
      <c r="E1269" s="7" t="str">
        <f>'Reported burning'!E1269</f>
        <v>ND</v>
      </c>
      <c r="F1269" s="7" t="str">
        <f>'Reported burning'!F1269</f>
        <v>Grassland</v>
      </c>
      <c r="G1269" s="7" t="str">
        <f>'Reported burning'!G1269</f>
        <v>ND</v>
      </c>
      <c r="H1269" s="7" t="str">
        <f>'Reported burning'!H1269</f>
        <v>Absence</v>
      </c>
      <c r="I1269" s="6"/>
      <c r="J1269" s="4" t="s">
        <v>2396</v>
      </c>
      <c r="K1269" s="4" t="s">
        <v>2396</v>
      </c>
      <c r="L1269" s="4" t="s">
        <v>2396</v>
      </c>
      <c r="M1269" s="4" t="s">
        <v>2396</v>
      </c>
      <c r="N1269" s="4" t="s">
        <v>2396</v>
      </c>
      <c r="O1269" s="4" t="s">
        <v>2396</v>
      </c>
      <c r="P1269" s="4" t="s">
        <v>2396</v>
      </c>
      <c r="Q1269" s="4" t="s">
        <v>2396</v>
      </c>
      <c r="R1269" s="4" t="s">
        <v>2396</v>
      </c>
      <c r="S1269" s="4" t="s">
        <v>2396</v>
      </c>
      <c r="T1269" s="4" t="s">
        <v>2396</v>
      </c>
      <c r="U1269" s="4" t="s">
        <v>2396</v>
      </c>
      <c r="V1269" s="4" t="s">
        <v>2396</v>
      </c>
      <c r="W1269" s="4" t="s">
        <v>2308</v>
      </c>
      <c r="X1269" s="4" t="s">
        <v>2308</v>
      </c>
      <c r="Y1269" s="4" t="s">
        <v>2308</v>
      </c>
      <c r="Z1269" s="4" t="s">
        <v>2308</v>
      </c>
      <c r="AA1269" s="10" t="s">
        <v>3907</v>
      </c>
      <c r="AB1269" s="9" t="s">
        <v>3908</v>
      </c>
    </row>
    <row r="1270" spans="1:29" ht="60.5" customHeight="1">
      <c r="A1270" s="7" t="str">
        <f>'Reported burning'!A1270</f>
        <v>152a</v>
      </c>
      <c r="B1270" s="7" t="str">
        <f>'Reported burning'!B1270</f>
        <v>152a.1</v>
      </c>
      <c r="C1270" s="7" t="str">
        <f>'Reported burning'!C1270</f>
        <v>All</v>
      </c>
      <c r="D1270" s="7" t="str">
        <f>'Reported burning'!D1270</f>
        <v>All</v>
      </c>
      <c r="E1270" s="7" t="str">
        <f>'Reported burning'!E1270</f>
        <v>Forestry, Traditional</v>
      </c>
      <c r="F1270" s="7" t="str">
        <f>'Reported burning'!F1270</f>
        <v>ND</v>
      </c>
      <c r="G1270" s="7" t="str">
        <f>'Reported burning'!G1270</f>
        <v>ND</v>
      </c>
      <c r="H1270" s="7" t="str">
        <f>'Reported burning'!H1270</f>
        <v>Presence</v>
      </c>
      <c r="I1270" s="4">
        <v>1992</v>
      </c>
      <c r="J1270" s="4" t="s">
        <v>2403</v>
      </c>
      <c r="K1270" s="4" t="s">
        <v>2308</v>
      </c>
      <c r="L1270" s="4" t="s">
        <v>2308</v>
      </c>
      <c r="M1270" s="4" t="s">
        <v>2308</v>
      </c>
      <c r="N1270" s="4" t="s">
        <v>2308</v>
      </c>
      <c r="O1270" s="4" t="s">
        <v>2308</v>
      </c>
      <c r="P1270" s="4" t="s">
        <v>2308</v>
      </c>
      <c r="Q1270" s="4" t="s">
        <v>2308</v>
      </c>
      <c r="R1270" s="4" t="s">
        <v>2308</v>
      </c>
      <c r="S1270" s="4" t="s">
        <v>2308</v>
      </c>
      <c r="T1270" s="4" t="s">
        <v>2308</v>
      </c>
      <c r="U1270" s="4" t="s">
        <v>2308</v>
      </c>
      <c r="V1270" s="4" t="s">
        <v>2308</v>
      </c>
      <c r="W1270" s="4" t="s">
        <v>2308</v>
      </c>
      <c r="X1270" s="4" t="s">
        <v>406</v>
      </c>
      <c r="Y1270" s="4" t="s">
        <v>86</v>
      </c>
      <c r="Z1270" s="4" t="s">
        <v>2308</v>
      </c>
      <c r="AA1270" s="5" t="s">
        <v>3915</v>
      </c>
      <c r="AB1270" s="4"/>
      <c r="AC1270" s="173"/>
    </row>
    <row r="1271" spans="1:29" ht="43.5">
      <c r="A1271" s="7" t="str">
        <f>'Reported burning'!A1271</f>
        <v>152a</v>
      </c>
      <c r="B1271" s="7" t="str">
        <f>'Reported burning'!B1271</f>
        <v>152a.2</v>
      </c>
      <c r="C1271" s="7" t="str">
        <f>'Reported burning'!C1271</f>
        <v>All</v>
      </c>
      <c r="D1271" s="7" t="str">
        <f>'Reported burning'!D1271</f>
        <v>All</v>
      </c>
      <c r="E1271" s="7" t="str">
        <f>'Reported burning'!E1271</f>
        <v>Forestry, Traditional</v>
      </c>
      <c r="F1271" s="7" t="str">
        <f>'Reported burning'!F1271</f>
        <v>ND</v>
      </c>
      <c r="G1271" s="7" t="str">
        <f>'Reported burning'!G1271</f>
        <v>ND</v>
      </c>
      <c r="H1271" s="7" t="str">
        <f>'Reported burning'!H1271</f>
        <v>Presence</v>
      </c>
      <c r="I1271" s="4">
        <v>1993</v>
      </c>
      <c r="J1271" s="4" t="s">
        <v>2403</v>
      </c>
      <c r="K1271" s="4" t="s">
        <v>2308</v>
      </c>
      <c r="L1271" s="4" t="s">
        <v>2308</v>
      </c>
      <c r="M1271" s="4" t="s">
        <v>2308</v>
      </c>
      <c r="N1271" s="4" t="s">
        <v>2308</v>
      </c>
      <c r="O1271" s="4" t="s">
        <v>2308</v>
      </c>
      <c r="P1271" s="4" t="s">
        <v>2308</v>
      </c>
      <c r="Q1271" s="4" t="s">
        <v>2308</v>
      </c>
      <c r="R1271" s="4" t="s">
        <v>2308</v>
      </c>
      <c r="S1271" s="4" t="s">
        <v>2308</v>
      </c>
      <c r="T1271" s="4" t="s">
        <v>2308</v>
      </c>
      <c r="U1271" s="4" t="s">
        <v>2308</v>
      </c>
      <c r="V1271" s="4" t="s">
        <v>2308</v>
      </c>
      <c r="W1271" s="4" t="s">
        <v>2308</v>
      </c>
      <c r="X1271" s="4" t="s">
        <v>406</v>
      </c>
      <c r="Y1271" s="4" t="s">
        <v>86</v>
      </c>
      <c r="Z1271" s="4" t="s">
        <v>2308</v>
      </c>
      <c r="AA1271" s="5" t="s">
        <v>3915</v>
      </c>
      <c r="AB1271" s="4"/>
      <c r="AC1271" s="173"/>
    </row>
    <row r="1272" spans="1:29" ht="43.5">
      <c r="A1272" s="7" t="str">
        <f>'Reported burning'!A1272</f>
        <v>152a</v>
      </c>
      <c r="B1272" s="7" t="str">
        <f>'Reported burning'!B1272</f>
        <v>152a.3</v>
      </c>
      <c r="C1272" s="7" t="str">
        <f>'Reported burning'!C1272</f>
        <v>All</v>
      </c>
      <c r="D1272" s="7" t="str">
        <f>'Reported burning'!D1272</f>
        <v>All</v>
      </c>
      <c r="E1272" s="7" t="str">
        <f>'Reported burning'!E1272</f>
        <v>Forestry, Traditional</v>
      </c>
      <c r="F1272" s="7" t="str">
        <f>'Reported burning'!F1272</f>
        <v>ND</v>
      </c>
      <c r="G1272" s="7" t="str">
        <f>'Reported burning'!G1272</f>
        <v>ND</v>
      </c>
      <c r="H1272" s="7" t="str">
        <f>'Reported burning'!H1272</f>
        <v>Presence</v>
      </c>
      <c r="I1272" s="4">
        <v>1994</v>
      </c>
      <c r="J1272" s="4" t="s">
        <v>2403</v>
      </c>
      <c r="K1272" s="4" t="s">
        <v>2308</v>
      </c>
      <c r="L1272" s="4" t="s">
        <v>2308</v>
      </c>
      <c r="M1272" s="4" t="s">
        <v>2308</v>
      </c>
      <c r="N1272" s="4" t="s">
        <v>2308</v>
      </c>
      <c r="O1272" s="4" t="s">
        <v>2308</v>
      </c>
      <c r="P1272" s="4" t="s">
        <v>2308</v>
      </c>
      <c r="Q1272" s="4" t="s">
        <v>2308</v>
      </c>
      <c r="R1272" s="4" t="s">
        <v>2308</v>
      </c>
      <c r="S1272" s="4" t="s">
        <v>2308</v>
      </c>
      <c r="T1272" s="4" t="s">
        <v>2308</v>
      </c>
      <c r="U1272" s="4" t="s">
        <v>2308</v>
      </c>
      <c r="V1272" s="4" t="s">
        <v>2308</v>
      </c>
      <c r="W1272" s="4" t="s">
        <v>2308</v>
      </c>
      <c r="X1272" s="4" t="s">
        <v>406</v>
      </c>
      <c r="Y1272" s="4" t="s">
        <v>86</v>
      </c>
      <c r="Z1272" s="4" t="s">
        <v>2308</v>
      </c>
      <c r="AA1272" s="5" t="s">
        <v>3915</v>
      </c>
      <c r="AB1272" s="4"/>
      <c r="AC1272" s="173"/>
    </row>
    <row r="1273" spans="1:29" ht="43.5">
      <c r="A1273" s="7" t="str">
        <f>'Reported burning'!A1273</f>
        <v>152a</v>
      </c>
      <c r="B1273" s="7" t="str">
        <f>'Reported burning'!B1273</f>
        <v>152a.4</v>
      </c>
      <c r="C1273" s="7" t="str">
        <f>'Reported burning'!C1273</f>
        <v>All</v>
      </c>
      <c r="D1273" s="7" t="str">
        <f>'Reported burning'!D1273</f>
        <v>All</v>
      </c>
      <c r="E1273" s="7" t="str">
        <f>'Reported burning'!E1273</f>
        <v>Forestry, Traditional</v>
      </c>
      <c r="F1273" s="7" t="str">
        <f>'Reported burning'!F1273</f>
        <v>ND</v>
      </c>
      <c r="G1273" s="7" t="str">
        <f>'Reported burning'!G1273</f>
        <v>ND</v>
      </c>
      <c r="H1273" s="7" t="str">
        <f>'Reported burning'!H1273</f>
        <v>Presence</v>
      </c>
      <c r="I1273" s="4">
        <v>1995</v>
      </c>
      <c r="J1273" s="4" t="s">
        <v>2403</v>
      </c>
      <c r="K1273" s="4" t="s">
        <v>2308</v>
      </c>
      <c r="L1273" s="4" t="s">
        <v>2308</v>
      </c>
      <c r="M1273" s="4" t="s">
        <v>2308</v>
      </c>
      <c r="N1273" s="4" t="s">
        <v>2308</v>
      </c>
      <c r="O1273" s="4" t="s">
        <v>2308</v>
      </c>
      <c r="P1273" s="4" t="s">
        <v>2308</v>
      </c>
      <c r="Q1273" s="4" t="s">
        <v>2308</v>
      </c>
      <c r="R1273" s="4" t="s">
        <v>2308</v>
      </c>
      <c r="S1273" s="4" t="s">
        <v>2308</v>
      </c>
      <c r="T1273" s="4" t="s">
        <v>2308</v>
      </c>
      <c r="U1273" s="4" t="s">
        <v>2308</v>
      </c>
      <c r="V1273" s="4" t="s">
        <v>2308</v>
      </c>
      <c r="W1273" s="4" t="s">
        <v>2308</v>
      </c>
      <c r="X1273" s="4" t="s">
        <v>406</v>
      </c>
      <c r="Y1273" s="4" t="s">
        <v>86</v>
      </c>
      <c r="Z1273" s="4" t="s">
        <v>2308</v>
      </c>
      <c r="AA1273" s="5" t="s">
        <v>3915</v>
      </c>
      <c r="AB1273" s="4"/>
      <c r="AC1273" s="173"/>
    </row>
    <row r="1274" spans="1:29" ht="43.5">
      <c r="A1274" s="7" t="str">
        <f>'Reported burning'!A1274</f>
        <v>152a</v>
      </c>
      <c r="B1274" s="7" t="str">
        <f>'Reported burning'!B1274</f>
        <v>152a.5</v>
      </c>
      <c r="C1274" s="7" t="str">
        <f>'Reported burning'!C1274</f>
        <v>All</v>
      </c>
      <c r="D1274" s="7" t="str">
        <f>'Reported burning'!D1274</f>
        <v>All</v>
      </c>
      <c r="E1274" s="7" t="str">
        <f>'Reported burning'!E1274</f>
        <v>Forestry, Traditional</v>
      </c>
      <c r="F1274" s="7" t="str">
        <f>'Reported burning'!F1274</f>
        <v>ND</v>
      </c>
      <c r="G1274" s="7" t="str">
        <f>'Reported burning'!G1274</f>
        <v>ND</v>
      </c>
      <c r="H1274" s="7" t="str">
        <f>'Reported burning'!H1274</f>
        <v>Presence</v>
      </c>
      <c r="I1274" s="4">
        <v>1996</v>
      </c>
      <c r="J1274" s="4" t="s">
        <v>2402</v>
      </c>
      <c r="K1274" s="4" t="s">
        <v>2308</v>
      </c>
      <c r="L1274" s="4" t="s">
        <v>2308</v>
      </c>
      <c r="M1274" s="4" t="s">
        <v>2308</v>
      </c>
      <c r="N1274" s="4" t="s">
        <v>2308</v>
      </c>
      <c r="O1274" s="4" t="s">
        <v>2308</v>
      </c>
      <c r="P1274" s="4" t="s">
        <v>2308</v>
      </c>
      <c r="Q1274" s="4" t="s">
        <v>2308</v>
      </c>
      <c r="R1274" s="4" t="s">
        <v>2308</v>
      </c>
      <c r="S1274" s="4" t="s">
        <v>2308</v>
      </c>
      <c r="T1274" s="4" t="s">
        <v>2308</v>
      </c>
      <c r="U1274" s="4" t="s">
        <v>2308</v>
      </c>
      <c r="V1274" s="4" t="s">
        <v>2308</v>
      </c>
      <c r="W1274" s="4" t="s">
        <v>2308</v>
      </c>
      <c r="X1274" s="4" t="s">
        <v>406</v>
      </c>
      <c r="Y1274" s="4" t="s">
        <v>86</v>
      </c>
      <c r="Z1274" s="4" t="s">
        <v>2308</v>
      </c>
      <c r="AA1274" s="5" t="s">
        <v>3915</v>
      </c>
      <c r="AB1274" s="4"/>
      <c r="AC1274" s="173"/>
    </row>
    <row r="1275" spans="1:29" ht="43.5">
      <c r="A1275" s="7" t="str">
        <f>'Reported burning'!A1275</f>
        <v>152a</v>
      </c>
      <c r="B1275" s="7" t="str">
        <f>'Reported burning'!B1275</f>
        <v>152a.6</v>
      </c>
      <c r="C1275" s="7" t="str">
        <f>'Reported burning'!C1275</f>
        <v>All</v>
      </c>
      <c r="D1275" s="7" t="str">
        <f>'Reported burning'!D1275</f>
        <v>All</v>
      </c>
      <c r="E1275" s="7" t="str">
        <f>'Reported burning'!E1275</f>
        <v>Forestry, Traditional</v>
      </c>
      <c r="F1275" s="7" t="str">
        <f>'Reported burning'!F1275</f>
        <v>ND</v>
      </c>
      <c r="G1275" s="7" t="str">
        <f>'Reported burning'!G1275</f>
        <v>ND</v>
      </c>
      <c r="H1275" s="7" t="str">
        <f>'Reported burning'!H1275</f>
        <v>Presence</v>
      </c>
      <c r="I1275" s="4">
        <v>1997</v>
      </c>
      <c r="J1275" s="4" t="s">
        <v>2402</v>
      </c>
      <c r="K1275" s="4" t="s">
        <v>2308</v>
      </c>
      <c r="L1275" s="4" t="s">
        <v>2308</v>
      </c>
      <c r="M1275" s="4" t="s">
        <v>2308</v>
      </c>
      <c r="N1275" s="4" t="s">
        <v>2308</v>
      </c>
      <c r="O1275" s="4" t="s">
        <v>2308</v>
      </c>
      <c r="P1275" s="4" t="s">
        <v>2308</v>
      </c>
      <c r="Q1275" s="4" t="s">
        <v>2308</v>
      </c>
      <c r="R1275" s="4" t="s">
        <v>2308</v>
      </c>
      <c r="S1275" s="4" t="s">
        <v>2308</v>
      </c>
      <c r="T1275" s="4" t="s">
        <v>2308</v>
      </c>
      <c r="U1275" s="4" t="s">
        <v>2308</v>
      </c>
      <c r="V1275" s="4" t="s">
        <v>2308</v>
      </c>
      <c r="W1275" s="4" t="s">
        <v>2308</v>
      </c>
      <c r="X1275" s="4" t="s">
        <v>406</v>
      </c>
      <c r="Y1275" s="4" t="s">
        <v>86</v>
      </c>
      <c r="Z1275" s="4" t="s">
        <v>2308</v>
      </c>
      <c r="AA1275" s="5" t="s">
        <v>3915</v>
      </c>
      <c r="AB1275" s="4"/>
      <c r="AC1275" s="173"/>
    </row>
    <row r="1276" spans="1:29" ht="43.5">
      <c r="A1276" s="7" t="str">
        <f>'Reported burning'!A1276</f>
        <v>152a</v>
      </c>
      <c r="B1276" s="7" t="str">
        <f>'Reported burning'!B1276</f>
        <v>152a.7</v>
      </c>
      <c r="C1276" s="7" t="str">
        <f>'Reported burning'!C1276</f>
        <v>All</v>
      </c>
      <c r="D1276" s="7" t="str">
        <f>'Reported burning'!D1276</f>
        <v>All</v>
      </c>
      <c r="E1276" s="7" t="str">
        <f>'Reported burning'!E1276</f>
        <v>Forestry, Traditional</v>
      </c>
      <c r="F1276" s="7" t="str">
        <f>'Reported burning'!F1276</f>
        <v>ND</v>
      </c>
      <c r="G1276" s="7" t="str">
        <f>'Reported burning'!G1276</f>
        <v>ND</v>
      </c>
      <c r="H1276" s="7" t="str">
        <f>'Reported burning'!H1276</f>
        <v>Presence</v>
      </c>
      <c r="I1276" s="4">
        <v>1998</v>
      </c>
      <c r="J1276" s="4" t="s">
        <v>2401</v>
      </c>
      <c r="K1276" s="4" t="s">
        <v>2308</v>
      </c>
      <c r="L1276" s="4" t="s">
        <v>2308</v>
      </c>
      <c r="M1276" s="4" t="s">
        <v>2308</v>
      </c>
      <c r="N1276" s="4" t="s">
        <v>2308</v>
      </c>
      <c r="O1276" s="4" t="s">
        <v>2308</v>
      </c>
      <c r="P1276" s="4" t="s">
        <v>2308</v>
      </c>
      <c r="Q1276" s="4" t="s">
        <v>2308</v>
      </c>
      <c r="R1276" s="4" t="s">
        <v>2308</v>
      </c>
      <c r="S1276" s="4" t="s">
        <v>2308</v>
      </c>
      <c r="T1276" s="4" t="s">
        <v>2308</v>
      </c>
      <c r="U1276" s="4" t="s">
        <v>2308</v>
      </c>
      <c r="V1276" s="4" t="s">
        <v>2308</v>
      </c>
      <c r="W1276" s="4" t="s">
        <v>2308</v>
      </c>
      <c r="X1276" s="4" t="s">
        <v>406</v>
      </c>
      <c r="Y1276" s="4" t="s">
        <v>86</v>
      </c>
      <c r="Z1276" s="4" t="s">
        <v>2308</v>
      </c>
      <c r="AA1276" s="5" t="s">
        <v>3915</v>
      </c>
      <c r="AB1276" s="4"/>
      <c r="AC1276" s="173"/>
    </row>
    <row r="1277" spans="1:29" ht="43.5">
      <c r="A1277" s="7" t="str">
        <f>'Reported burning'!A1277</f>
        <v>152a</v>
      </c>
      <c r="B1277" s="7" t="str">
        <f>'Reported burning'!B1277</f>
        <v>152a.8</v>
      </c>
      <c r="C1277" s="7" t="str">
        <f>'Reported burning'!C1277</f>
        <v>All</v>
      </c>
      <c r="D1277" s="7" t="str">
        <f>'Reported burning'!D1277</f>
        <v>All</v>
      </c>
      <c r="E1277" s="7" t="str">
        <f>'Reported burning'!E1277</f>
        <v>Forestry, Traditional</v>
      </c>
      <c r="F1277" s="7" t="str">
        <f>'Reported burning'!F1277</f>
        <v>ND</v>
      </c>
      <c r="G1277" s="7" t="str">
        <f>'Reported burning'!G1277</f>
        <v>ND</v>
      </c>
      <c r="H1277" s="7" t="str">
        <f>'Reported burning'!H1277</f>
        <v>Presence</v>
      </c>
      <c r="I1277" s="4">
        <v>1999</v>
      </c>
      <c r="J1277" s="4" t="s">
        <v>2403</v>
      </c>
      <c r="K1277" s="4" t="s">
        <v>2308</v>
      </c>
      <c r="L1277" s="4" t="s">
        <v>2308</v>
      </c>
      <c r="M1277" s="4" t="s">
        <v>2308</v>
      </c>
      <c r="N1277" s="4" t="s">
        <v>2308</v>
      </c>
      <c r="O1277" s="4" t="s">
        <v>2308</v>
      </c>
      <c r="P1277" s="4" t="s">
        <v>2308</v>
      </c>
      <c r="Q1277" s="4" t="s">
        <v>2308</v>
      </c>
      <c r="R1277" s="4" t="s">
        <v>2308</v>
      </c>
      <c r="S1277" s="4" t="s">
        <v>2308</v>
      </c>
      <c r="T1277" s="4" t="s">
        <v>2308</v>
      </c>
      <c r="U1277" s="4" t="s">
        <v>2308</v>
      </c>
      <c r="V1277" s="4" t="s">
        <v>2308</v>
      </c>
      <c r="W1277" s="4" t="s">
        <v>2308</v>
      </c>
      <c r="X1277" s="4" t="s">
        <v>406</v>
      </c>
      <c r="Y1277" s="4" t="s">
        <v>86</v>
      </c>
      <c r="Z1277" s="4" t="s">
        <v>2308</v>
      </c>
      <c r="AA1277" s="5" t="s">
        <v>3915</v>
      </c>
      <c r="AB1277" s="4"/>
      <c r="AC1277" s="173"/>
    </row>
    <row r="1278" spans="1:29" ht="43.5">
      <c r="A1278" s="7" t="str">
        <f>'Reported burning'!A1278</f>
        <v>152a</v>
      </c>
      <c r="B1278" s="7" t="str">
        <f>'Reported burning'!B1278</f>
        <v>152a.9</v>
      </c>
      <c r="C1278" s="7" t="str">
        <f>'Reported burning'!C1278</f>
        <v>All</v>
      </c>
      <c r="D1278" s="7" t="str">
        <f>'Reported burning'!D1278</f>
        <v>All</v>
      </c>
      <c r="E1278" s="7" t="str">
        <f>'Reported burning'!E1278</f>
        <v>Forestry, Traditional</v>
      </c>
      <c r="F1278" s="7" t="str">
        <f>'Reported burning'!F1278</f>
        <v>ND</v>
      </c>
      <c r="G1278" s="7" t="str">
        <f>'Reported burning'!G1278</f>
        <v>ND</v>
      </c>
      <c r="H1278" s="7" t="str">
        <f>'Reported burning'!H1278</f>
        <v>Presence</v>
      </c>
      <c r="I1278" s="4">
        <v>2000</v>
      </c>
      <c r="J1278" s="4" t="s">
        <v>2403</v>
      </c>
      <c r="K1278" s="4" t="s">
        <v>2308</v>
      </c>
      <c r="L1278" s="4" t="s">
        <v>2308</v>
      </c>
      <c r="M1278" s="4" t="s">
        <v>2308</v>
      </c>
      <c r="N1278" s="4" t="s">
        <v>2308</v>
      </c>
      <c r="O1278" s="4" t="s">
        <v>2308</v>
      </c>
      <c r="P1278" s="4" t="s">
        <v>2308</v>
      </c>
      <c r="Q1278" s="4" t="s">
        <v>2308</v>
      </c>
      <c r="R1278" s="4" t="s">
        <v>2308</v>
      </c>
      <c r="S1278" s="4" t="s">
        <v>2308</v>
      </c>
      <c r="T1278" s="4" t="s">
        <v>2308</v>
      </c>
      <c r="U1278" s="4" t="s">
        <v>2308</v>
      </c>
      <c r="V1278" s="4" t="s">
        <v>2308</v>
      </c>
      <c r="W1278" s="4" t="s">
        <v>2308</v>
      </c>
      <c r="X1278" s="4" t="s">
        <v>406</v>
      </c>
      <c r="Y1278" s="4" t="s">
        <v>86</v>
      </c>
      <c r="Z1278" s="4" t="s">
        <v>2308</v>
      </c>
      <c r="AA1278" s="5" t="s">
        <v>3915</v>
      </c>
      <c r="AB1278" s="4"/>
      <c r="AC1278" s="173"/>
    </row>
    <row r="1279" spans="1:29" ht="43.5">
      <c r="A1279" s="7" t="str">
        <f>'Reported burning'!A1279</f>
        <v>152a</v>
      </c>
      <c r="B1279" s="7" t="str">
        <f>'Reported burning'!B1279</f>
        <v>152a.10</v>
      </c>
      <c r="C1279" s="7" t="str">
        <f>'Reported burning'!C1279</f>
        <v>All</v>
      </c>
      <c r="D1279" s="7" t="str">
        <f>'Reported burning'!D1279</f>
        <v>All</v>
      </c>
      <c r="E1279" s="7" t="str">
        <f>'Reported burning'!E1279</f>
        <v>Forestry, Traditional</v>
      </c>
      <c r="F1279" s="7" t="str">
        <f>'Reported burning'!F1279</f>
        <v>ND</v>
      </c>
      <c r="G1279" s="7" t="str">
        <f>'Reported burning'!G1279</f>
        <v>ND</v>
      </c>
      <c r="H1279" s="7" t="str">
        <f>'Reported burning'!H1279</f>
        <v>Presence</v>
      </c>
      <c r="I1279" s="4">
        <v>2001</v>
      </c>
      <c r="J1279" s="4" t="s">
        <v>2403</v>
      </c>
      <c r="K1279" s="4" t="s">
        <v>2308</v>
      </c>
      <c r="L1279" s="4" t="s">
        <v>2308</v>
      </c>
      <c r="M1279" s="4" t="s">
        <v>2308</v>
      </c>
      <c r="N1279" s="4" t="s">
        <v>2308</v>
      </c>
      <c r="O1279" s="4" t="s">
        <v>2308</v>
      </c>
      <c r="P1279" s="4" t="s">
        <v>2308</v>
      </c>
      <c r="Q1279" s="4" t="s">
        <v>2308</v>
      </c>
      <c r="R1279" s="4" t="s">
        <v>2308</v>
      </c>
      <c r="S1279" s="4" t="s">
        <v>2308</v>
      </c>
      <c r="T1279" s="4" t="s">
        <v>2308</v>
      </c>
      <c r="U1279" s="4" t="s">
        <v>2308</v>
      </c>
      <c r="V1279" s="4" t="s">
        <v>2308</v>
      </c>
      <c r="W1279" s="4" t="s">
        <v>2308</v>
      </c>
      <c r="X1279" s="4" t="s">
        <v>406</v>
      </c>
      <c r="Y1279" s="4" t="s">
        <v>86</v>
      </c>
      <c r="Z1279" s="4" t="s">
        <v>2308</v>
      </c>
      <c r="AA1279" s="5" t="s">
        <v>3915</v>
      </c>
      <c r="AB1279" s="4"/>
      <c r="AC1279" s="173"/>
    </row>
    <row r="1280" spans="1:29" ht="43.5">
      <c r="A1280" s="7" t="str">
        <f>'Reported burning'!A1280</f>
        <v>152a</v>
      </c>
      <c r="B1280" s="7" t="str">
        <f>'Reported burning'!B1280</f>
        <v>152a.11</v>
      </c>
      <c r="C1280" s="7" t="str">
        <f>'Reported burning'!C1280</f>
        <v>All</v>
      </c>
      <c r="D1280" s="7" t="str">
        <f>'Reported burning'!D1280</f>
        <v>All</v>
      </c>
      <c r="E1280" s="7" t="str">
        <f>'Reported burning'!E1280</f>
        <v>Forestry, Traditional</v>
      </c>
      <c r="F1280" s="7" t="str">
        <f>'Reported burning'!F1280</f>
        <v>ND</v>
      </c>
      <c r="G1280" s="7" t="str">
        <f>'Reported burning'!G1280</f>
        <v>ND</v>
      </c>
      <c r="H1280" s="7" t="str">
        <f>'Reported burning'!H1280</f>
        <v>Presence</v>
      </c>
      <c r="I1280" s="4">
        <v>2002</v>
      </c>
      <c r="J1280" s="4" t="s">
        <v>2403</v>
      </c>
      <c r="K1280" s="4" t="s">
        <v>2308</v>
      </c>
      <c r="L1280" s="4" t="s">
        <v>2308</v>
      </c>
      <c r="M1280" s="4" t="s">
        <v>2308</v>
      </c>
      <c r="N1280" s="4" t="s">
        <v>2308</v>
      </c>
      <c r="O1280" s="4" t="s">
        <v>2308</v>
      </c>
      <c r="P1280" s="4" t="s">
        <v>2308</v>
      </c>
      <c r="Q1280" s="4" t="s">
        <v>2308</v>
      </c>
      <c r="R1280" s="4" t="s">
        <v>2308</v>
      </c>
      <c r="S1280" s="4" t="s">
        <v>2308</v>
      </c>
      <c r="T1280" s="4" t="s">
        <v>2308</v>
      </c>
      <c r="U1280" s="4" t="s">
        <v>2308</v>
      </c>
      <c r="V1280" s="4" t="s">
        <v>2308</v>
      </c>
      <c r="W1280" s="4" t="s">
        <v>2308</v>
      </c>
      <c r="X1280" s="4" t="s">
        <v>406</v>
      </c>
      <c r="Y1280" s="4" t="s">
        <v>86</v>
      </c>
      <c r="Z1280" s="4" t="s">
        <v>2308</v>
      </c>
      <c r="AA1280" s="5" t="s">
        <v>3915</v>
      </c>
      <c r="AB1280" s="4"/>
      <c r="AC1280" s="173"/>
    </row>
    <row r="1281" spans="1:29" ht="43.5">
      <c r="A1281" s="7" t="str">
        <f>'Reported burning'!A1281</f>
        <v>152a</v>
      </c>
      <c r="B1281" s="7" t="str">
        <f>'Reported burning'!B1281</f>
        <v>152a.12</v>
      </c>
      <c r="C1281" s="7" t="str">
        <f>'Reported burning'!C1281</f>
        <v>All</v>
      </c>
      <c r="D1281" s="7" t="str">
        <f>'Reported burning'!D1281</f>
        <v>All</v>
      </c>
      <c r="E1281" s="7" t="str">
        <f>'Reported burning'!E1281</f>
        <v>Forestry, Traditional</v>
      </c>
      <c r="F1281" s="7" t="str">
        <f>'Reported burning'!F1281</f>
        <v>ND</v>
      </c>
      <c r="G1281" s="7" t="str">
        <f>'Reported burning'!G1281</f>
        <v>ND</v>
      </c>
      <c r="H1281" s="7" t="str">
        <f>'Reported burning'!H1281</f>
        <v>Presence</v>
      </c>
      <c r="I1281" s="4">
        <v>2003</v>
      </c>
      <c r="J1281" s="4" t="s">
        <v>2403</v>
      </c>
      <c r="K1281" s="4" t="s">
        <v>2308</v>
      </c>
      <c r="L1281" s="4" t="s">
        <v>2308</v>
      </c>
      <c r="M1281" s="4" t="s">
        <v>2308</v>
      </c>
      <c r="N1281" s="4" t="s">
        <v>2308</v>
      </c>
      <c r="O1281" s="4" t="s">
        <v>2308</v>
      </c>
      <c r="P1281" s="4" t="s">
        <v>2308</v>
      </c>
      <c r="Q1281" s="4" t="s">
        <v>2308</v>
      </c>
      <c r="R1281" s="4" t="s">
        <v>2308</v>
      </c>
      <c r="S1281" s="4" t="s">
        <v>2308</v>
      </c>
      <c r="T1281" s="4" t="s">
        <v>2308</v>
      </c>
      <c r="U1281" s="4" t="s">
        <v>2308</v>
      </c>
      <c r="V1281" s="4" t="s">
        <v>2308</v>
      </c>
      <c r="W1281" s="4" t="s">
        <v>2308</v>
      </c>
      <c r="X1281" s="4" t="s">
        <v>406</v>
      </c>
      <c r="Y1281" s="4" t="s">
        <v>86</v>
      </c>
      <c r="Z1281" s="4" t="s">
        <v>2308</v>
      </c>
      <c r="AA1281" s="5" t="s">
        <v>3915</v>
      </c>
      <c r="AB1281" s="4"/>
      <c r="AC1281" s="173"/>
    </row>
    <row r="1282" spans="1:29" ht="40" customHeight="1">
      <c r="A1282" s="7" t="str">
        <f>'Reported burning'!A1282</f>
        <v>152a</v>
      </c>
      <c r="B1282" s="7" t="str">
        <f>'Reported burning'!B1282</f>
        <v>152a.13</v>
      </c>
      <c r="C1282" s="7" t="str">
        <f>'Reported burning'!C1282</f>
        <v>Human, deliberate</v>
      </c>
      <c r="D1282" s="7" t="str">
        <f>'Reported burning'!D1282</f>
        <v>Hunting</v>
      </c>
      <c r="E1282" s="7" t="str">
        <f>'Reported burning'!E1282</f>
        <v>Forestry, Traditional</v>
      </c>
      <c r="F1282" s="7" t="str">
        <f>'Reported burning'!F1282</f>
        <v>Shrubland (Mixed forest &amp; grassland)</v>
      </c>
      <c r="G1282" s="7" t="str">
        <f>'Reported burning'!G1282</f>
        <v>Shrubland (Mixed forest &amp; grassland)</v>
      </c>
      <c r="H1282" s="7" t="str">
        <f>'Reported burning'!H1282</f>
        <v>Presence</v>
      </c>
      <c r="I1282" s="4"/>
      <c r="J1282" s="4" t="s">
        <v>2308</v>
      </c>
      <c r="K1282" s="4" t="s">
        <v>2308</v>
      </c>
      <c r="L1282" s="4" t="s">
        <v>2308</v>
      </c>
      <c r="M1282" s="4" t="s">
        <v>2308</v>
      </c>
      <c r="N1282" s="4" t="s">
        <v>2308</v>
      </c>
      <c r="O1282" s="4" t="s">
        <v>2308</v>
      </c>
      <c r="P1282" s="4" t="s">
        <v>2308</v>
      </c>
      <c r="Q1282" s="4" t="s">
        <v>2308</v>
      </c>
      <c r="R1282" s="4" t="s">
        <v>2308</v>
      </c>
      <c r="S1282" s="4" t="s">
        <v>2308</v>
      </c>
      <c r="T1282" s="4" t="s">
        <v>2308</v>
      </c>
      <c r="U1282" s="4" t="s">
        <v>2308</v>
      </c>
      <c r="V1282" s="4" t="s">
        <v>2308</v>
      </c>
      <c r="W1282" s="4" t="s">
        <v>2308</v>
      </c>
      <c r="X1282" s="4" t="s">
        <v>2308</v>
      </c>
      <c r="Y1282" s="4" t="s">
        <v>2308</v>
      </c>
      <c r="Z1282" s="4" t="s">
        <v>2308</v>
      </c>
      <c r="AA1282" s="5" t="s">
        <v>3935</v>
      </c>
      <c r="AB1282" s="4"/>
    </row>
    <row r="1283" spans="1:29" ht="40" customHeight="1">
      <c r="A1283" s="7" t="str">
        <f>'Reported burning'!A1283</f>
        <v>152a</v>
      </c>
      <c r="B1283" s="7" t="str">
        <f>'Reported burning'!B1283</f>
        <v>152a.14</v>
      </c>
      <c r="C1283" s="7" t="str">
        <f>'Reported burning'!C1283</f>
        <v>Human, deliberate</v>
      </c>
      <c r="D1283" s="7" t="str">
        <f>'Reported burning'!D1283</f>
        <v>Fishing</v>
      </c>
      <c r="E1283" s="7" t="str">
        <f>'Reported burning'!E1283</f>
        <v>Forestry, Traditional</v>
      </c>
      <c r="F1283" s="7" t="str">
        <f>'Reported burning'!F1283</f>
        <v>Shrubland (Mixed forest &amp; grassland)</v>
      </c>
      <c r="G1283" s="7" t="str">
        <f>'Reported burning'!G1283</f>
        <v>Shrubland (Mixed forest &amp; grassland)</v>
      </c>
      <c r="H1283" s="7" t="str">
        <f>'Reported burning'!H1283</f>
        <v>Presence</v>
      </c>
      <c r="I1283" s="4"/>
      <c r="J1283" s="4" t="s">
        <v>2308</v>
      </c>
      <c r="K1283" s="4" t="s">
        <v>2308</v>
      </c>
      <c r="L1283" s="4" t="s">
        <v>2308</v>
      </c>
      <c r="M1283" s="4" t="s">
        <v>2308</v>
      </c>
      <c r="N1283" s="4" t="s">
        <v>2308</v>
      </c>
      <c r="O1283" s="4" t="s">
        <v>2308</v>
      </c>
      <c r="P1283" s="4" t="s">
        <v>2308</v>
      </c>
      <c r="Q1283" s="4" t="s">
        <v>2308</v>
      </c>
      <c r="R1283" s="4" t="s">
        <v>2308</v>
      </c>
      <c r="S1283" s="4" t="s">
        <v>2308</v>
      </c>
      <c r="T1283" s="4" t="s">
        <v>2308</v>
      </c>
      <c r="U1283" s="4" t="s">
        <v>2308</v>
      </c>
      <c r="V1283" s="4" t="s">
        <v>2308</v>
      </c>
      <c r="W1283" s="4" t="s">
        <v>2308</v>
      </c>
      <c r="X1283" s="4" t="s">
        <v>2308</v>
      </c>
      <c r="Y1283" s="4" t="s">
        <v>2308</v>
      </c>
      <c r="Z1283" s="4" t="s">
        <v>2308</v>
      </c>
      <c r="AA1283" s="4"/>
      <c r="AB1283" s="4"/>
    </row>
    <row r="1284" spans="1:29" ht="40" customHeight="1">
      <c r="A1284" s="7" t="str">
        <f>'Reported burning'!A1284</f>
        <v>152a</v>
      </c>
      <c r="B1284" s="7" t="str">
        <f>'Reported burning'!B1284</f>
        <v>152a.15</v>
      </c>
      <c r="C1284" s="7" t="str">
        <f>'Reported burning'!C1284</f>
        <v>Human, deliberate</v>
      </c>
      <c r="D1284" s="7" t="str">
        <f>'Reported burning'!D1284</f>
        <v>Accessibility</v>
      </c>
      <c r="E1284" s="7" t="str">
        <f>'Reported burning'!E1284</f>
        <v>Forestry, Traditional</v>
      </c>
      <c r="F1284" s="7" t="str">
        <f>'Reported burning'!F1284</f>
        <v>Shrubland (Mixed forest &amp; grassland)</v>
      </c>
      <c r="G1284" s="7" t="str">
        <f>'Reported burning'!G1284</f>
        <v>Shrubland (Mixed forest &amp; grassland)</v>
      </c>
      <c r="H1284" s="7" t="str">
        <f>'Reported burning'!H1284</f>
        <v>Presence</v>
      </c>
      <c r="I1284" s="4"/>
      <c r="J1284" s="4" t="s">
        <v>2308</v>
      </c>
      <c r="K1284" s="4" t="s">
        <v>2308</v>
      </c>
      <c r="L1284" s="4" t="s">
        <v>2308</v>
      </c>
      <c r="M1284" s="4" t="s">
        <v>2308</v>
      </c>
      <c r="N1284" s="4" t="s">
        <v>2308</v>
      </c>
      <c r="O1284" s="4" t="s">
        <v>2308</v>
      </c>
      <c r="P1284" s="4" t="s">
        <v>2308</v>
      </c>
      <c r="Q1284" s="4" t="s">
        <v>2308</v>
      </c>
      <c r="R1284" s="4" t="s">
        <v>2308</v>
      </c>
      <c r="S1284" s="4" t="s">
        <v>2308</v>
      </c>
      <c r="T1284" s="4" t="s">
        <v>2308</v>
      </c>
      <c r="U1284" s="4" t="s">
        <v>2308</v>
      </c>
      <c r="V1284" s="4" t="s">
        <v>2308</v>
      </c>
      <c r="W1284" s="4" t="s">
        <v>2308</v>
      </c>
      <c r="X1284" s="4" t="s">
        <v>2308</v>
      </c>
      <c r="Y1284" s="4" t="s">
        <v>2308</v>
      </c>
      <c r="Z1284" s="4" t="s">
        <v>2308</v>
      </c>
      <c r="AA1284" s="4"/>
      <c r="AB1284" s="4"/>
    </row>
    <row r="1285" spans="1:29" ht="40" customHeight="1">
      <c r="A1285" s="7" t="str">
        <f>'Reported burning'!A1285</f>
        <v>152a</v>
      </c>
      <c r="B1285" s="7" t="str">
        <f>'Reported burning'!B1285</f>
        <v>152a.16</v>
      </c>
      <c r="C1285" s="7" t="str">
        <f>'Reported burning'!C1285</f>
        <v>Human, deliberate</v>
      </c>
      <c r="D1285" s="7" t="str">
        <f>'Reported burning'!D1285</f>
        <v>Pest management</v>
      </c>
      <c r="E1285" s="7" t="str">
        <f>'Reported burning'!E1285</f>
        <v>Forestry, Traditional</v>
      </c>
      <c r="F1285" s="7" t="str">
        <f>'Reported burning'!F1285</f>
        <v>Shrubland (Mixed forest &amp; grassland)</v>
      </c>
      <c r="G1285" s="7" t="str">
        <f>'Reported burning'!G1285</f>
        <v>Shrubland (Mixed forest &amp; grassland)</v>
      </c>
      <c r="H1285" s="7" t="str">
        <f>'Reported burning'!H1285</f>
        <v>Presence</v>
      </c>
      <c r="I1285" s="4"/>
      <c r="J1285" s="4" t="s">
        <v>2308</v>
      </c>
      <c r="K1285" s="4" t="s">
        <v>2308</v>
      </c>
      <c r="L1285" s="4" t="s">
        <v>2308</v>
      </c>
      <c r="M1285" s="4" t="s">
        <v>2308</v>
      </c>
      <c r="N1285" s="4" t="s">
        <v>2308</v>
      </c>
      <c r="O1285" s="4" t="s">
        <v>2308</v>
      </c>
      <c r="P1285" s="4" t="s">
        <v>2308</v>
      </c>
      <c r="Q1285" s="4" t="s">
        <v>2308</v>
      </c>
      <c r="R1285" s="4" t="s">
        <v>2308</v>
      </c>
      <c r="S1285" s="4" t="s">
        <v>2308</v>
      </c>
      <c r="T1285" s="4" t="s">
        <v>2308</v>
      </c>
      <c r="U1285" s="4" t="s">
        <v>2308</v>
      </c>
      <c r="V1285" s="4" t="s">
        <v>2308</v>
      </c>
      <c r="W1285" s="4" t="s">
        <v>2308</v>
      </c>
      <c r="X1285" s="4" t="s">
        <v>2308</v>
      </c>
      <c r="Y1285" s="4" t="s">
        <v>2308</v>
      </c>
      <c r="Z1285" s="4" t="s">
        <v>2308</v>
      </c>
      <c r="AA1285" s="4"/>
      <c r="AB1285" s="4"/>
    </row>
    <row r="1286" spans="1:29" ht="40" customHeight="1">
      <c r="A1286" s="7" t="str">
        <f>'Reported burning'!A1286</f>
        <v>152a</v>
      </c>
      <c r="B1286" s="7" t="str">
        <f>'Reported burning'!B1286</f>
        <v>152a.17</v>
      </c>
      <c r="C1286" s="7" t="str">
        <f>'Reported burning'!C1286</f>
        <v>Human, deliberate</v>
      </c>
      <c r="D1286" s="7" t="str">
        <f>'Reported burning'!D1286</f>
        <v>Pyrome management</v>
      </c>
      <c r="E1286" s="7" t="str">
        <f>'Reported burning'!E1286</f>
        <v>Forestry, Traditional</v>
      </c>
      <c r="F1286" s="7" t="str">
        <f>'Reported burning'!F1286</f>
        <v>Shrubland (Mixed forest &amp; grassland)</v>
      </c>
      <c r="G1286" s="7" t="str">
        <f>'Reported burning'!G1286</f>
        <v>Shrubland (Mixed forest &amp; grassland)</v>
      </c>
      <c r="H1286" s="7" t="str">
        <f>'Reported burning'!H1286</f>
        <v>Presence</v>
      </c>
      <c r="I1286" s="4"/>
      <c r="J1286" s="4" t="s">
        <v>2308</v>
      </c>
      <c r="K1286" s="4" t="s">
        <v>2308</v>
      </c>
      <c r="L1286" s="4" t="s">
        <v>2308</v>
      </c>
      <c r="M1286" s="4" t="s">
        <v>2308</v>
      </c>
      <c r="N1286" s="4" t="s">
        <v>2308</v>
      </c>
      <c r="O1286" s="4" t="s">
        <v>2308</v>
      </c>
      <c r="P1286" s="4" t="s">
        <v>2308</v>
      </c>
      <c r="Q1286" s="4" t="s">
        <v>2308</v>
      </c>
      <c r="R1286" s="4" t="s">
        <v>2308</v>
      </c>
      <c r="S1286" s="4" t="s">
        <v>2308</v>
      </c>
      <c r="T1286" s="4" t="s">
        <v>2308</v>
      </c>
      <c r="U1286" s="4" t="s">
        <v>2308</v>
      </c>
      <c r="V1286" s="4" t="s">
        <v>2308</v>
      </c>
      <c r="W1286" s="4" t="s">
        <v>2308</v>
      </c>
      <c r="X1286" s="4" t="s">
        <v>2308</v>
      </c>
      <c r="Y1286" s="4" t="s">
        <v>2308</v>
      </c>
      <c r="Z1286" s="4" t="s">
        <v>2308</v>
      </c>
      <c r="AA1286" s="4"/>
      <c r="AB1286" s="4"/>
    </row>
    <row r="1287" spans="1:29" ht="40" customHeight="1">
      <c r="A1287" s="7" t="str">
        <f>'Reported burning'!A1287</f>
        <v>152a</v>
      </c>
      <c r="B1287" s="7" t="str">
        <f>'Reported burning'!B1287</f>
        <v>152a.17</v>
      </c>
      <c r="C1287" s="7" t="str">
        <f>'Reported burning'!C1287</f>
        <v>Human, deliberate</v>
      </c>
      <c r="D1287" s="7" t="str">
        <f>'Reported burning'!D1287</f>
        <v>Crop field preparation</v>
      </c>
      <c r="E1287" s="7" t="str">
        <f>'Reported burning'!E1287</f>
        <v>Cropping, Swidden</v>
      </c>
      <c r="F1287" s="7" t="str">
        <f>'Reported burning'!F1287</f>
        <v>Shrubland (Mixed forest &amp; grassland)</v>
      </c>
      <c r="G1287" s="7" t="str">
        <f>'Reported burning'!G1287</f>
        <v>Shrubland (Mixed forest &amp; grassland)</v>
      </c>
      <c r="H1287" s="7" t="str">
        <f>'Reported burning'!H1287</f>
        <v>Presence</v>
      </c>
      <c r="I1287" s="4"/>
      <c r="J1287" s="4" t="s">
        <v>2308</v>
      </c>
      <c r="K1287" s="4" t="s">
        <v>2308</v>
      </c>
      <c r="L1287" s="4" t="s">
        <v>2308</v>
      </c>
      <c r="M1287" s="4" t="s">
        <v>2308</v>
      </c>
      <c r="N1287" s="4" t="s">
        <v>2308</v>
      </c>
      <c r="O1287" s="4" t="s">
        <v>2308</v>
      </c>
      <c r="P1287" s="4" t="s">
        <v>2308</v>
      </c>
      <c r="Q1287" s="4" t="s">
        <v>2308</v>
      </c>
      <c r="R1287" s="4" t="s">
        <v>2308</v>
      </c>
      <c r="S1287" s="4" t="s">
        <v>2308</v>
      </c>
      <c r="T1287" s="4" t="s">
        <v>2308</v>
      </c>
      <c r="U1287" s="4" t="s">
        <v>2308</v>
      </c>
      <c r="V1287" s="4" t="s">
        <v>2308</v>
      </c>
      <c r="W1287" s="4" t="s">
        <v>2308</v>
      </c>
      <c r="X1287" s="4" t="s">
        <v>2308</v>
      </c>
      <c r="Y1287" s="4" t="s">
        <v>2308</v>
      </c>
      <c r="Z1287" s="4" t="s">
        <v>2308</v>
      </c>
      <c r="AA1287" s="4"/>
      <c r="AB1287" s="4"/>
    </row>
    <row r="1288" spans="1:29" ht="40" customHeight="1">
      <c r="A1288" s="7" t="str">
        <f>'Reported burning'!A1288</f>
        <v>152a</v>
      </c>
      <c r="B1288" s="7" t="str">
        <f>'Reported burning'!B1288</f>
        <v>152a.18</v>
      </c>
      <c r="C1288" s="7" t="str">
        <f>'Reported burning'!C1288</f>
        <v>Human, escaped</v>
      </c>
      <c r="D1288" s="7" t="str">
        <f>'Reported burning'!D1288</f>
        <v>ND</v>
      </c>
      <c r="E1288" s="7" t="str">
        <f>'Reported burning'!E1288</f>
        <v>Forestry, Traditional</v>
      </c>
      <c r="F1288" s="7" t="str">
        <f>'Reported burning'!F1288</f>
        <v>Shrubland (Mixed forest &amp; grassland)</v>
      </c>
      <c r="G1288" s="7" t="str">
        <f>'Reported burning'!G1288</f>
        <v>Forest</v>
      </c>
      <c r="H1288" s="7" t="str">
        <f>'Reported burning'!H1288</f>
        <v>Presence</v>
      </c>
      <c r="I1288" s="4"/>
      <c r="J1288" s="4" t="s">
        <v>2308</v>
      </c>
      <c r="K1288" s="4" t="s">
        <v>2308</v>
      </c>
      <c r="L1288" s="4" t="s">
        <v>2308</v>
      </c>
      <c r="M1288" s="4" t="s">
        <v>2308</v>
      </c>
      <c r="N1288" s="4" t="s">
        <v>2308</v>
      </c>
      <c r="O1288" s="4" t="s">
        <v>2308</v>
      </c>
      <c r="P1288" s="4" t="s">
        <v>2308</v>
      </c>
      <c r="Q1288" s="4" t="s">
        <v>2308</v>
      </c>
      <c r="R1288" s="4" t="s">
        <v>2308</v>
      </c>
      <c r="S1288" s="4" t="s">
        <v>2308</v>
      </c>
      <c r="T1288" s="4" t="s">
        <v>2308</v>
      </c>
      <c r="U1288" s="4" t="s">
        <v>2308</v>
      </c>
      <c r="V1288" s="4" t="s">
        <v>2308</v>
      </c>
      <c r="W1288" s="4" t="s">
        <v>2308</v>
      </c>
      <c r="X1288" s="4" t="s">
        <v>2308</v>
      </c>
      <c r="Y1288" s="4" t="s">
        <v>2308</v>
      </c>
      <c r="Z1288" s="4" t="s">
        <v>2308</v>
      </c>
      <c r="AA1288" s="4"/>
      <c r="AB1288" s="4"/>
    </row>
    <row r="1289" spans="1:29" ht="37" customHeight="1">
      <c r="A1289" s="7" t="str">
        <f>'Reported burning'!A1289</f>
        <v>153a</v>
      </c>
      <c r="B1289" s="7" t="str">
        <f>'Reported burning'!B1289</f>
        <v>153a.1</v>
      </c>
      <c r="C1289" s="7" t="str">
        <f>'Reported burning'!C1289</f>
        <v>Human, deliberate</v>
      </c>
      <c r="D1289" s="7" t="str">
        <f>'Reported burning'!D1289</f>
        <v>Rangeland management</v>
      </c>
      <c r="E1289" s="7" t="str">
        <f>'Reported burning'!E1289</f>
        <v>Pastoralism, Migratory</v>
      </c>
      <c r="F1289" s="7" t="str">
        <f>'Reported burning'!F1289</f>
        <v>ND</v>
      </c>
      <c r="G1289" s="7" t="str">
        <f>'Reported burning'!G1289</f>
        <v>ND</v>
      </c>
      <c r="H1289" s="7" t="str">
        <f>'Reported burning'!H1289</f>
        <v>Presence</v>
      </c>
      <c r="I1289" s="4"/>
      <c r="J1289" s="4" t="s">
        <v>2308</v>
      </c>
      <c r="K1289" s="4" t="s">
        <v>2308</v>
      </c>
      <c r="L1289" s="4" t="s">
        <v>2308</v>
      </c>
      <c r="M1289" s="4" t="s">
        <v>2308</v>
      </c>
      <c r="N1289" s="4" t="s">
        <v>2308</v>
      </c>
      <c r="O1289" s="4" t="s">
        <v>2308</v>
      </c>
      <c r="P1289" s="4" t="s">
        <v>2308</v>
      </c>
      <c r="Q1289" s="4" t="s">
        <v>2308</v>
      </c>
      <c r="R1289" s="4" t="s">
        <v>2308</v>
      </c>
      <c r="S1289" s="4" t="s">
        <v>2308</v>
      </c>
      <c r="T1289" s="4" t="s">
        <v>2308</v>
      </c>
      <c r="U1289" s="4" t="s">
        <v>2308</v>
      </c>
      <c r="V1289" s="4" t="s">
        <v>2308</v>
      </c>
      <c r="W1289" s="4" t="s">
        <v>2308</v>
      </c>
      <c r="X1289" s="4" t="s">
        <v>194</v>
      </c>
      <c r="Y1289" s="4" t="s">
        <v>38</v>
      </c>
      <c r="Z1289" s="4" t="s">
        <v>2308</v>
      </c>
      <c r="AA1289" s="4"/>
      <c r="AB1289" s="4"/>
    </row>
    <row r="1290" spans="1:29" ht="37" customHeight="1">
      <c r="A1290" s="7" t="str">
        <f>'Reported burning'!A1290</f>
        <v>153b</v>
      </c>
      <c r="B1290" s="7" t="str">
        <f>'Reported burning'!B1290</f>
        <v>153b.1</v>
      </c>
      <c r="C1290" s="7" t="str">
        <f>'Reported burning'!C1290</f>
        <v>Human, deliberate</v>
      </c>
      <c r="D1290" s="7" t="str">
        <f>'Reported burning'!D1290</f>
        <v>Rangeland management</v>
      </c>
      <c r="E1290" s="7" t="str">
        <f>'Reported burning'!E1290</f>
        <v>Pastoralism, Migratory</v>
      </c>
      <c r="F1290" s="7" t="str">
        <f>'Reported burning'!F1290</f>
        <v>ND</v>
      </c>
      <c r="G1290" s="7" t="str">
        <f>'Reported burning'!G1290</f>
        <v>ND</v>
      </c>
      <c r="H1290" s="7" t="str">
        <f>'Reported burning'!H1290</f>
        <v>Presence</v>
      </c>
      <c r="I1290" s="4"/>
      <c r="J1290" s="4" t="s">
        <v>2308</v>
      </c>
      <c r="K1290" s="4" t="s">
        <v>2308</v>
      </c>
      <c r="L1290" s="4" t="s">
        <v>2308</v>
      </c>
      <c r="M1290" s="4" t="s">
        <v>2308</v>
      </c>
      <c r="N1290" s="4" t="s">
        <v>2308</v>
      </c>
      <c r="O1290" s="4" t="s">
        <v>2308</v>
      </c>
      <c r="P1290" s="4" t="s">
        <v>2308</v>
      </c>
      <c r="Q1290" s="4" t="s">
        <v>2308</v>
      </c>
      <c r="R1290" s="4" t="s">
        <v>2308</v>
      </c>
      <c r="S1290" s="4" t="s">
        <v>2308</v>
      </c>
      <c r="T1290" s="4" t="s">
        <v>2308</v>
      </c>
      <c r="U1290" s="4" t="s">
        <v>2308</v>
      </c>
      <c r="V1290" s="4" t="s">
        <v>2308</v>
      </c>
      <c r="W1290" s="4" t="s">
        <v>2308</v>
      </c>
      <c r="X1290" s="4" t="s">
        <v>194</v>
      </c>
      <c r="Y1290" s="4" t="s">
        <v>38</v>
      </c>
      <c r="Z1290" s="4" t="s">
        <v>2308</v>
      </c>
      <c r="AA1290" s="4"/>
      <c r="AB1290" s="4"/>
    </row>
    <row r="1291" spans="1:29" ht="43" customHeight="1">
      <c r="A1291" s="7" t="str">
        <f>'Reported burning'!A1291</f>
        <v>154a</v>
      </c>
      <c r="B1291" s="7" t="str">
        <f>'Reported burning'!B1291</f>
        <v>154a.1</v>
      </c>
      <c r="C1291" s="7" t="str">
        <f>'Reported burning'!C1291</f>
        <v>Human, deliberate</v>
      </c>
      <c r="D1291" s="7" t="str">
        <f>'Reported burning'!D1291</f>
        <v>Pest management</v>
      </c>
      <c r="E1291" s="7" t="str">
        <f>'Reported burning'!E1291</f>
        <v>Pastoralism, Migratory</v>
      </c>
      <c r="F1291" s="7" t="str">
        <f>'Reported burning'!F1291</f>
        <v>ND</v>
      </c>
      <c r="G1291" s="7" t="str">
        <f>'Reported burning'!G1291</f>
        <v>ND</v>
      </c>
      <c r="H1291" s="7" t="str">
        <f>'Reported burning'!H1291</f>
        <v>Presence</v>
      </c>
      <c r="I1291" s="6"/>
      <c r="J1291" s="4" t="s">
        <v>2308</v>
      </c>
      <c r="K1291" s="4" t="s">
        <v>2308</v>
      </c>
      <c r="L1291" s="4" t="s">
        <v>2308</v>
      </c>
      <c r="M1291" s="4" t="s">
        <v>2308</v>
      </c>
      <c r="N1291" s="4" t="s">
        <v>2308</v>
      </c>
      <c r="O1291" s="4" t="s">
        <v>2308</v>
      </c>
      <c r="P1291" s="4" t="s">
        <v>2308</v>
      </c>
      <c r="Q1291" s="4" t="s">
        <v>2308</v>
      </c>
      <c r="R1291" s="4" t="s">
        <v>2308</v>
      </c>
      <c r="S1291" s="4" t="s">
        <v>2308</v>
      </c>
      <c r="T1291" s="4" t="s">
        <v>2308</v>
      </c>
      <c r="U1291" s="4" t="s">
        <v>2308</v>
      </c>
      <c r="V1291" s="4" t="s">
        <v>2308</v>
      </c>
      <c r="W1291" s="4" t="s">
        <v>2308</v>
      </c>
      <c r="X1291" s="4" t="s">
        <v>35</v>
      </c>
      <c r="Y1291" s="4" t="s">
        <v>34</v>
      </c>
      <c r="Z1291" s="4" t="s">
        <v>2308</v>
      </c>
      <c r="AA1291" s="4"/>
      <c r="AB1291" s="5" t="s">
        <v>3964</v>
      </c>
    </row>
    <row r="1292" spans="1:29" ht="43" customHeight="1">
      <c r="A1292" s="7" t="str">
        <f>'Reported burning'!A1292</f>
        <v>154b</v>
      </c>
      <c r="B1292" s="7" t="str">
        <f>'Reported burning'!B1292</f>
        <v>154b.1</v>
      </c>
      <c r="C1292" s="7" t="str">
        <f>'Reported burning'!C1292</f>
        <v>Human, deliberate</v>
      </c>
      <c r="D1292" s="7" t="str">
        <f>'Reported burning'!D1292</f>
        <v>Pest management</v>
      </c>
      <c r="E1292" s="7" t="str">
        <f>'Reported burning'!E1292</f>
        <v>Pastoralism, Migratory</v>
      </c>
      <c r="F1292" s="7" t="str">
        <f>'Reported burning'!F1292</f>
        <v>ND</v>
      </c>
      <c r="G1292" s="7" t="str">
        <f>'Reported burning'!G1292</f>
        <v>ND</v>
      </c>
      <c r="H1292" s="7" t="str">
        <f>'Reported burning'!H1292</f>
        <v>Presence</v>
      </c>
      <c r="I1292" s="4"/>
      <c r="J1292" s="4" t="s">
        <v>2308</v>
      </c>
      <c r="K1292" s="4" t="s">
        <v>2308</v>
      </c>
      <c r="L1292" s="4" t="s">
        <v>2308</v>
      </c>
      <c r="M1292" s="4" t="s">
        <v>2308</v>
      </c>
      <c r="N1292" s="4" t="s">
        <v>2308</v>
      </c>
      <c r="O1292" s="4" t="s">
        <v>2308</v>
      </c>
      <c r="P1292" s="4" t="s">
        <v>2308</v>
      </c>
      <c r="Q1292" s="4" t="s">
        <v>2308</v>
      </c>
      <c r="R1292" s="4" t="s">
        <v>2308</v>
      </c>
      <c r="S1292" s="4" t="s">
        <v>2308</v>
      </c>
      <c r="T1292" s="4" t="s">
        <v>2308</v>
      </c>
      <c r="U1292" s="4" t="s">
        <v>2308</v>
      </c>
      <c r="V1292" s="4" t="s">
        <v>2308</v>
      </c>
      <c r="W1292" s="4" t="s">
        <v>2308</v>
      </c>
      <c r="X1292" s="4" t="s">
        <v>35</v>
      </c>
      <c r="Y1292" s="4" t="s">
        <v>34</v>
      </c>
      <c r="Z1292" s="4" t="s">
        <v>2308</v>
      </c>
      <c r="AA1292" s="4"/>
      <c r="AB1292" s="5" t="s">
        <v>3964</v>
      </c>
    </row>
    <row r="1293" spans="1:29" ht="43" customHeight="1">
      <c r="A1293" s="7" t="str">
        <f>'Reported burning'!A1293</f>
        <v>154c</v>
      </c>
      <c r="B1293" s="7" t="str">
        <f>'Reported burning'!B1293</f>
        <v>154c.1</v>
      </c>
      <c r="C1293" s="7" t="str">
        <f>'Reported burning'!C1293</f>
        <v>Human, deliberate</v>
      </c>
      <c r="D1293" s="7" t="str">
        <f>'Reported burning'!D1293</f>
        <v>Pest management</v>
      </c>
      <c r="E1293" s="7" t="str">
        <f>'Reported burning'!E1293</f>
        <v>Pastoralism, Migratory</v>
      </c>
      <c r="F1293" s="7" t="str">
        <f>'Reported burning'!F1293</f>
        <v>ND</v>
      </c>
      <c r="G1293" s="7" t="str">
        <f>'Reported burning'!G1293</f>
        <v>ND</v>
      </c>
      <c r="H1293" s="7" t="str">
        <f>'Reported burning'!H1293</f>
        <v>Presence</v>
      </c>
      <c r="I1293" s="4"/>
      <c r="J1293" s="4" t="s">
        <v>2308</v>
      </c>
      <c r="K1293" s="4" t="s">
        <v>2308</v>
      </c>
      <c r="L1293" s="4" t="s">
        <v>2308</v>
      </c>
      <c r="M1293" s="4" t="s">
        <v>2308</v>
      </c>
      <c r="N1293" s="4" t="s">
        <v>2308</v>
      </c>
      <c r="O1293" s="4" t="s">
        <v>2308</v>
      </c>
      <c r="P1293" s="4" t="s">
        <v>2308</v>
      </c>
      <c r="Q1293" s="4" t="s">
        <v>2308</v>
      </c>
      <c r="R1293" s="4" t="s">
        <v>2308</v>
      </c>
      <c r="S1293" s="4" t="s">
        <v>2308</v>
      </c>
      <c r="T1293" s="4" t="s">
        <v>2308</v>
      </c>
      <c r="U1293" s="4" t="s">
        <v>2308</v>
      </c>
      <c r="V1293" s="4" t="s">
        <v>2308</v>
      </c>
      <c r="W1293" s="4" t="s">
        <v>2308</v>
      </c>
      <c r="X1293" s="4" t="s">
        <v>35</v>
      </c>
      <c r="Y1293" s="4" t="s">
        <v>34</v>
      </c>
      <c r="Z1293" s="4" t="s">
        <v>2308</v>
      </c>
      <c r="AA1293" s="4"/>
      <c r="AB1293" s="5" t="s">
        <v>3964</v>
      </c>
    </row>
    <row r="1294" spans="1:29" ht="43" customHeight="1">
      <c r="A1294" s="7" t="str">
        <f>'Reported burning'!A1294</f>
        <v>154d</v>
      </c>
      <c r="B1294" s="7" t="str">
        <f>'Reported burning'!B1294</f>
        <v>154d.1</v>
      </c>
      <c r="C1294" s="7" t="str">
        <f>'Reported burning'!C1294</f>
        <v>Human, deliberate</v>
      </c>
      <c r="D1294" s="7" t="str">
        <f>'Reported burning'!D1294</f>
        <v>Pest management</v>
      </c>
      <c r="E1294" s="7" t="str">
        <f>'Reported burning'!E1294</f>
        <v>Pastoralism, Migratory</v>
      </c>
      <c r="F1294" s="7" t="str">
        <f>'Reported burning'!F1294</f>
        <v>ND</v>
      </c>
      <c r="G1294" s="7" t="str">
        <f>'Reported burning'!G1294</f>
        <v>ND</v>
      </c>
      <c r="H1294" s="7" t="str">
        <f>'Reported burning'!H1294</f>
        <v>Presence</v>
      </c>
      <c r="I1294" s="4"/>
      <c r="J1294" s="4" t="s">
        <v>2308</v>
      </c>
      <c r="K1294" s="4" t="s">
        <v>2308</v>
      </c>
      <c r="L1294" s="4" t="s">
        <v>2308</v>
      </c>
      <c r="M1294" s="4" t="s">
        <v>2308</v>
      </c>
      <c r="N1294" s="4" t="s">
        <v>2308</v>
      </c>
      <c r="O1294" s="4" t="s">
        <v>2308</v>
      </c>
      <c r="P1294" s="4" t="s">
        <v>2308</v>
      </c>
      <c r="Q1294" s="4" t="s">
        <v>2308</v>
      </c>
      <c r="R1294" s="4" t="s">
        <v>2308</v>
      </c>
      <c r="S1294" s="4" t="s">
        <v>2308</v>
      </c>
      <c r="T1294" s="4" t="s">
        <v>2308</v>
      </c>
      <c r="U1294" s="4" t="s">
        <v>2308</v>
      </c>
      <c r="V1294" s="4" t="s">
        <v>2308</v>
      </c>
      <c r="W1294" s="4" t="s">
        <v>2308</v>
      </c>
      <c r="X1294" s="4" t="s">
        <v>35</v>
      </c>
      <c r="Y1294" s="4" t="s">
        <v>34</v>
      </c>
      <c r="Z1294" s="4" t="s">
        <v>2308</v>
      </c>
      <c r="AA1294" s="4"/>
      <c r="AB1294" s="5" t="s">
        <v>3964</v>
      </c>
    </row>
    <row r="1295" spans="1:29" ht="43" customHeight="1">
      <c r="A1295" s="7" t="str">
        <f>'Reported burning'!A1295</f>
        <v>154e</v>
      </c>
      <c r="B1295" s="7" t="str">
        <f>'Reported burning'!B1295</f>
        <v>154e.1</v>
      </c>
      <c r="C1295" s="7" t="str">
        <f>'Reported burning'!C1295</f>
        <v>Human, deliberate</v>
      </c>
      <c r="D1295" s="7" t="str">
        <f>'Reported burning'!D1295</f>
        <v>Pest management</v>
      </c>
      <c r="E1295" s="7" t="str">
        <f>'Reported burning'!E1295</f>
        <v>Pastoralism, Migratory</v>
      </c>
      <c r="F1295" s="7" t="str">
        <f>'Reported burning'!F1295</f>
        <v>ND</v>
      </c>
      <c r="G1295" s="7" t="str">
        <f>'Reported burning'!G1295</f>
        <v>ND</v>
      </c>
      <c r="H1295" s="7" t="str">
        <f>'Reported burning'!H1295</f>
        <v>Presence</v>
      </c>
      <c r="I1295" s="4"/>
      <c r="J1295" s="4" t="s">
        <v>2308</v>
      </c>
      <c r="K1295" s="4" t="s">
        <v>2308</v>
      </c>
      <c r="L1295" s="4" t="s">
        <v>2308</v>
      </c>
      <c r="M1295" s="4" t="s">
        <v>2308</v>
      </c>
      <c r="N1295" s="4" t="s">
        <v>2308</v>
      </c>
      <c r="O1295" s="4" t="s">
        <v>2308</v>
      </c>
      <c r="P1295" s="4" t="s">
        <v>2308</v>
      </c>
      <c r="Q1295" s="4" t="s">
        <v>2308</v>
      </c>
      <c r="R1295" s="4" t="s">
        <v>2308</v>
      </c>
      <c r="S1295" s="4" t="s">
        <v>2308</v>
      </c>
      <c r="T1295" s="4" t="s">
        <v>2308</v>
      </c>
      <c r="U1295" s="4" t="s">
        <v>2308</v>
      </c>
      <c r="V1295" s="4" t="s">
        <v>2308</v>
      </c>
      <c r="W1295" s="4" t="s">
        <v>2308</v>
      </c>
      <c r="X1295" s="4" t="s">
        <v>35</v>
      </c>
      <c r="Y1295" s="4" t="s">
        <v>34</v>
      </c>
      <c r="Z1295" s="4" t="s">
        <v>2308</v>
      </c>
      <c r="AA1295" s="4"/>
      <c r="AB1295" s="5" t="s">
        <v>3964</v>
      </c>
    </row>
    <row r="1296" spans="1:29" ht="43" customHeight="1">
      <c r="A1296" s="7" t="str">
        <f>'Reported burning'!A1296</f>
        <v>154f</v>
      </c>
      <c r="B1296" s="7" t="str">
        <f>'Reported burning'!B1296</f>
        <v>154f.1</v>
      </c>
      <c r="C1296" s="7" t="str">
        <f>'Reported burning'!C1296</f>
        <v>Human, deliberate</v>
      </c>
      <c r="D1296" s="7" t="str">
        <f>'Reported burning'!D1296</f>
        <v>Pest management</v>
      </c>
      <c r="E1296" s="7" t="str">
        <f>'Reported burning'!E1296</f>
        <v>Pastoralism, Migratory</v>
      </c>
      <c r="F1296" s="7" t="str">
        <f>'Reported burning'!F1296</f>
        <v>ND</v>
      </c>
      <c r="G1296" s="7" t="str">
        <f>'Reported burning'!G1296</f>
        <v>ND</v>
      </c>
      <c r="H1296" s="7" t="str">
        <f>'Reported burning'!H1296</f>
        <v>Presence</v>
      </c>
      <c r="I1296" s="4"/>
      <c r="J1296" s="4" t="s">
        <v>2308</v>
      </c>
      <c r="K1296" s="4" t="s">
        <v>2308</v>
      </c>
      <c r="L1296" s="4" t="s">
        <v>2308</v>
      </c>
      <c r="M1296" s="4" t="s">
        <v>2308</v>
      </c>
      <c r="N1296" s="4" t="s">
        <v>2308</v>
      </c>
      <c r="O1296" s="4" t="s">
        <v>2308</v>
      </c>
      <c r="P1296" s="4" t="s">
        <v>2308</v>
      </c>
      <c r="Q1296" s="4" t="s">
        <v>2308</v>
      </c>
      <c r="R1296" s="4" t="s">
        <v>2308</v>
      </c>
      <c r="S1296" s="4" t="s">
        <v>2308</v>
      </c>
      <c r="T1296" s="4" t="s">
        <v>2308</v>
      </c>
      <c r="U1296" s="4" t="s">
        <v>2308</v>
      </c>
      <c r="V1296" s="4" t="s">
        <v>2308</v>
      </c>
      <c r="W1296" s="4" t="s">
        <v>2308</v>
      </c>
      <c r="X1296" s="4" t="s">
        <v>35</v>
      </c>
      <c r="Y1296" s="4" t="s">
        <v>34</v>
      </c>
      <c r="Z1296" s="4" t="s">
        <v>2308</v>
      </c>
      <c r="AA1296" s="4"/>
      <c r="AB1296" s="5" t="s">
        <v>3964</v>
      </c>
    </row>
    <row r="1297" spans="1:28" ht="43.5">
      <c r="A1297" s="7" t="str">
        <f>'Reported burning'!A1297</f>
        <v>155b</v>
      </c>
      <c r="B1297" s="7" t="str">
        <f>'Reported burning'!B1297</f>
        <v>155b.1</v>
      </c>
      <c r="C1297" s="7" t="str">
        <f>'Reported burning'!C1297</f>
        <v>Human, deliberate</v>
      </c>
      <c r="D1297" s="7" t="str">
        <f>'Reported burning'!D1297</f>
        <v>Pasture renewal</v>
      </c>
      <c r="E1297" s="7" t="str">
        <f>'Reported burning'!E1297</f>
        <v>Pastoralism, Migratory</v>
      </c>
      <c r="F1297" s="7" t="str">
        <f>'Reported burning'!F1297</f>
        <v>Shrubland (Mixed forest &amp; grassland)</v>
      </c>
      <c r="G1297" s="7" t="str">
        <f>'Reported burning'!G1297</f>
        <v>ND</v>
      </c>
      <c r="H1297" s="7" t="str">
        <f>'Reported burning'!H1297</f>
        <v>Presence</v>
      </c>
      <c r="I1297" s="4"/>
      <c r="J1297" s="4" t="s">
        <v>2308</v>
      </c>
      <c r="K1297" s="4" t="s">
        <v>2308</v>
      </c>
      <c r="L1297" s="4" t="s">
        <v>2308</v>
      </c>
      <c r="M1297" s="4" t="s">
        <v>2308</v>
      </c>
      <c r="N1297" s="4" t="s">
        <v>2308</v>
      </c>
      <c r="O1297" s="4" t="s">
        <v>2308</v>
      </c>
      <c r="P1297" s="4" t="s">
        <v>2308</v>
      </c>
      <c r="Q1297" s="4" t="s">
        <v>2308</v>
      </c>
      <c r="R1297" s="4" t="s">
        <v>2308</v>
      </c>
      <c r="S1297" s="4" t="s">
        <v>2308</v>
      </c>
      <c r="T1297" s="4" t="s">
        <v>2308</v>
      </c>
      <c r="U1297" s="4" t="s">
        <v>2308</v>
      </c>
      <c r="V1297" s="4" t="s">
        <v>2308</v>
      </c>
      <c r="W1297" s="4" t="s">
        <v>2308</v>
      </c>
      <c r="X1297" s="4" t="s">
        <v>2308</v>
      </c>
      <c r="Y1297" s="4" t="s">
        <v>2308</v>
      </c>
      <c r="Z1297" s="4" t="s">
        <v>2308</v>
      </c>
      <c r="AA1297" s="5" t="s">
        <v>4434</v>
      </c>
      <c r="AB1297" s="5" t="s">
        <v>4009</v>
      </c>
    </row>
    <row r="1298" spans="1:28" ht="43.5">
      <c r="A1298" s="7" t="str">
        <f>'Reported burning'!A1298</f>
        <v>155c</v>
      </c>
      <c r="B1298" s="7" t="str">
        <f>'Reported burning'!B1298</f>
        <v>155c.1</v>
      </c>
      <c r="C1298" s="7" t="str">
        <f>'Reported burning'!C1298</f>
        <v>Human, deliberate</v>
      </c>
      <c r="D1298" s="7" t="str">
        <f>'Reported burning'!D1298</f>
        <v>Pasture renewal</v>
      </c>
      <c r="E1298" s="7" t="str">
        <f>'Reported burning'!E1298</f>
        <v>Pastoralism, Migratory</v>
      </c>
      <c r="F1298" s="7" t="str">
        <f>'Reported burning'!F1298</f>
        <v>Shrubland (Mixed forest &amp; grassland)</v>
      </c>
      <c r="G1298" s="7" t="str">
        <f>'Reported burning'!G1298</f>
        <v>ND</v>
      </c>
      <c r="H1298" s="7" t="str">
        <f>'Reported burning'!H1298</f>
        <v>Presence</v>
      </c>
      <c r="I1298" s="4"/>
      <c r="J1298" s="4" t="s">
        <v>2308</v>
      </c>
      <c r="K1298" s="4" t="s">
        <v>2308</v>
      </c>
      <c r="L1298" s="4" t="s">
        <v>2308</v>
      </c>
      <c r="M1298" s="4" t="s">
        <v>2308</v>
      </c>
      <c r="N1298" s="4" t="s">
        <v>2308</v>
      </c>
      <c r="O1298" s="4" t="s">
        <v>2308</v>
      </c>
      <c r="P1298" s="4" t="s">
        <v>2308</v>
      </c>
      <c r="Q1298" s="4" t="s">
        <v>2308</v>
      </c>
      <c r="R1298" s="4" t="s">
        <v>2308</v>
      </c>
      <c r="S1298" s="4" t="s">
        <v>2308</v>
      </c>
      <c r="T1298" s="4" t="s">
        <v>2308</v>
      </c>
      <c r="U1298" s="4" t="s">
        <v>2308</v>
      </c>
      <c r="V1298" s="4" t="s">
        <v>2308</v>
      </c>
      <c r="W1298" s="4" t="s">
        <v>2308</v>
      </c>
      <c r="X1298" s="4" t="s">
        <v>2308</v>
      </c>
      <c r="Y1298" s="4" t="s">
        <v>2308</v>
      </c>
      <c r="Z1298" s="4" t="s">
        <v>2308</v>
      </c>
      <c r="AA1298" s="5" t="s">
        <v>4434</v>
      </c>
      <c r="AB1298" s="5" t="s">
        <v>4009</v>
      </c>
    </row>
    <row r="1299" spans="1:28" ht="43.5">
      <c r="A1299" s="7" t="str">
        <f>'Reported burning'!A1299</f>
        <v>155e</v>
      </c>
      <c r="B1299" s="7" t="str">
        <f>'Reported burning'!B1299</f>
        <v>155e.1</v>
      </c>
      <c r="C1299" s="7" t="str">
        <f>'Reported burning'!C1299</f>
        <v>Human, deliberate</v>
      </c>
      <c r="D1299" s="7" t="str">
        <f>'Reported burning'!D1299</f>
        <v>Pasture renewal</v>
      </c>
      <c r="E1299" s="7" t="str">
        <f>'Reported burning'!E1299</f>
        <v>Pastoralism, Migratory</v>
      </c>
      <c r="F1299" s="7" t="str">
        <f>'Reported burning'!F1299</f>
        <v>Shrubland (Mixed forest &amp; grassland)</v>
      </c>
      <c r="G1299" s="7" t="str">
        <f>'Reported burning'!G1299</f>
        <v>ND</v>
      </c>
      <c r="H1299" s="7" t="str">
        <f>'Reported burning'!H1299</f>
        <v>Presence</v>
      </c>
      <c r="I1299" s="4"/>
      <c r="J1299" s="4" t="s">
        <v>2308</v>
      </c>
      <c r="K1299" s="4" t="s">
        <v>2308</v>
      </c>
      <c r="L1299" s="4" t="s">
        <v>2308</v>
      </c>
      <c r="M1299" s="4" t="s">
        <v>2308</v>
      </c>
      <c r="N1299" s="4" t="s">
        <v>2308</v>
      </c>
      <c r="O1299" s="4" t="s">
        <v>2308</v>
      </c>
      <c r="P1299" s="4" t="s">
        <v>2308</v>
      </c>
      <c r="Q1299" s="4" t="s">
        <v>2308</v>
      </c>
      <c r="R1299" s="4" t="s">
        <v>2308</v>
      </c>
      <c r="S1299" s="4" t="s">
        <v>2308</v>
      </c>
      <c r="T1299" s="4" t="s">
        <v>2308</v>
      </c>
      <c r="U1299" s="4" t="s">
        <v>2308</v>
      </c>
      <c r="V1299" s="4" t="s">
        <v>2308</v>
      </c>
      <c r="W1299" s="4" t="s">
        <v>2308</v>
      </c>
      <c r="X1299" s="4" t="s">
        <v>2308</v>
      </c>
      <c r="Y1299" s="4" t="s">
        <v>2308</v>
      </c>
      <c r="Z1299" s="4" t="s">
        <v>2308</v>
      </c>
      <c r="AA1299" s="5" t="s">
        <v>4434</v>
      </c>
      <c r="AB1299" s="5" t="s">
        <v>4009</v>
      </c>
    </row>
    <row r="1300" spans="1:28" ht="43.5">
      <c r="A1300" s="7" t="str">
        <f>'Reported burning'!A1300</f>
        <v>155f</v>
      </c>
      <c r="B1300" s="7" t="str">
        <f>'Reported burning'!B1300</f>
        <v>155f.1</v>
      </c>
      <c r="C1300" s="7" t="str">
        <f>'Reported burning'!C1300</f>
        <v>Human, deliberate</v>
      </c>
      <c r="D1300" s="7" t="str">
        <f>'Reported burning'!D1300</f>
        <v>Pasture renewal</v>
      </c>
      <c r="E1300" s="7" t="str">
        <f>'Reported burning'!E1300</f>
        <v>Pastoralism, Migratory</v>
      </c>
      <c r="F1300" s="7" t="str">
        <f>'Reported burning'!F1300</f>
        <v>Shrubland (Mixed forest &amp; grassland)</v>
      </c>
      <c r="G1300" s="7" t="str">
        <f>'Reported burning'!G1300</f>
        <v>ND</v>
      </c>
      <c r="H1300" s="7" t="str">
        <f>'Reported burning'!H1300</f>
        <v>Presence</v>
      </c>
      <c r="I1300" s="4"/>
      <c r="J1300" s="4" t="s">
        <v>2308</v>
      </c>
      <c r="K1300" s="4" t="s">
        <v>2308</v>
      </c>
      <c r="L1300" s="4" t="s">
        <v>2308</v>
      </c>
      <c r="M1300" s="4" t="s">
        <v>2308</v>
      </c>
      <c r="N1300" s="4" t="s">
        <v>2308</v>
      </c>
      <c r="O1300" s="4" t="s">
        <v>2308</v>
      </c>
      <c r="P1300" s="4" t="s">
        <v>2308</v>
      </c>
      <c r="Q1300" s="4" t="s">
        <v>2308</v>
      </c>
      <c r="R1300" s="4" t="s">
        <v>2308</v>
      </c>
      <c r="S1300" s="4" t="s">
        <v>2308</v>
      </c>
      <c r="T1300" s="4" t="s">
        <v>2308</v>
      </c>
      <c r="U1300" s="4" t="s">
        <v>2308</v>
      </c>
      <c r="V1300" s="4" t="s">
        <v>2308</v>
      </c>
      <c r="W1300" s="4" t="s">
        <v>2308</v>
      </c>
      <c r="X1300" s="4" t="s">
        <v>2308</v>
      </c>
      <c r="Y1300" s="4" t="s">
        <v>2308</v>
      </c>
      <c r="Z1300" s="4" t="s">
        <v>2308</v>
      </c>
      <c r="AA1300" s="5" t="s">
        <v>4434</v>
      </c>
      <c r="AB1300" s="5" t="s">
        <v>4009</v>
      </c>
    </row>
    <row r="1301" spans="1:28" ht="43.5">
      <c r="A1301" s="7" t="str">
        <f>'Reported burning'!A1301</f>
        <v>155j</v>
      </c>
      <c r="B1301" s="7" t="str">
        <f>'Reported burning'!B1301</f>
        <v>155j.1</v>
      </c>
      <c r="C1301" s="7" t="str">
        <f>'Reported burning'!C1301</f>
        <v>Human, deliberate</v>
      </c>
      <c r="D1301" s="7" t="str">
        <f>'Reported burning'!D1301</f>
        <v>Pasture renewal</v>
      </c>
      <c r="E1301" s="7" t="str">
        <f>'Reported burning'!E1301</f>
        <v>Pastoralism, Migratory</v>
      </c>
      <c r="F1301" s="7" t="str">
        <f>'Reported burning'!F1301</f>
        <v>Shrubland (Mixed forest &amp; grassland)</v>
      </c>
      <c r="G1301" s="7" t="str">
        <f>'Reported burning'!G1301</f>
        <v>ND</v>
      </c>
      <c r="H1301" s="7" t="str">
        <f>'Reported burning'!H1301</f>
        <v>Presence</v>
      </c>
      <c r="I1301" s="4"/>
      <c r="J1301" s="4" t="s">
        <v>2308</v>
      </c>
      <c r="K1301" s="4" t="s">
        <v>2308</v>
      </c>
      <c r="L1301" s="4" t="s">
        <v>2308</v>
      </c>
      <c r="M1301" s="4" t="s">
        <v>2308</v>
      </c>
      <c r="N1301" s="4" t="s">
        <v>2308</v>
      </c>
      <c r="O1301" s="4" t="s">
        <v>2308</v>
      </c>
      <c r="P1301" s="4" t="s">
        <v>2308</v>
      </c>
      <c r="Q1301" s="4" t="s">
        <v>2308</v>
      </c>
      <c r="R1301" s="4" t="s">
        <v>2308</v>
      </c>
      <c r="S1301" s="4" t="s">
        <v>2308</v>
      </c>
      <c r="T1301" s="4" t="s">
        <v>2308</v>
      </c>
      <c r="U1301" s="4" t="s">
        <v>2308</v>
      </c>
      <c r="V1301" s="4" t="s">
        <v>2308</v>
      </c>
      <c r="W1301" s="4" t="s">
        <v>2308</v>
      </c>
      <c r="X1301" s="4" t="s">
        <v>2308</v>
      </c>
      <c r="Y1301" s="4" t="s">
        <v>2308</v>
      </c>
      <c r="Z1301" s="4" t="s">
        <v>2308</v>
      </c>
      <c r="AA1301" s="5" t="s">
        <v>4435</v>
      </c>
      <c r="AB1301" s="5" t="s">
        <v>4009</v>
      </c>
    </row>
    <row r="1302" spans="1:28" ht="43.5">
      <c r="A1302" s="7" t="str">
        <f>'Reported burning'!A1302</f>
        <v>155k</v>
      </c>
      <c r="B1302" s="7" t="str">
        <f>'Reported burning'!B1302</f>
        <v>155k.1</v>
      </c>
      <c r="C1302" s="7" t="str">
        <f>'Reported burning'!C1302</f>
        <v>Human, deliberate</v>
      </c>
      <c r="D1302" s="7" t="str">
        <f>'Reported burning'!D1302</f>
        <v>Pasture renewal</v>
      </c>
      <c r="E1302" s="7" t="str">
        <f>'Reported burning'!E1302</f>
        <v>Pastoralism, Migratory</v>
      </c>
      <c r="F1302" s="7" t="str">
        <f>'Reported burning'!F1302</f>
        <v>Shrubland (Mixed forest &amp; grassland)</v>
      </c>
      <c r="G1302" s="7" t="str">
        <f>'Reported burning'!G1302</f>
        <v>ND</v>
      </c>
      <c r="H1302" s="7" t="str">
        <f>'Reported burning'!H1302</f>
        <v>Presence</v>
      </c>
      <c r="I1302" s="4"/>
      <c r="J1302" s="4" t="s">
        <v>2308</v>
      </c>
      <c r="K1302" s="4" t="s">
        <v>2308</v>
      </c>
      <c r="L1302" s="4" t="s">
        <v>2308</v>
      </c>
      <c r="M1302" s="4" t="s">
        <v>2308</v>
      </c>
      <c r="N1302" s="4" t="s">
        <v>2308</v>
      </c>
      <c r="O1302" s="4" t="s">
        <v>2308</v>
      </c>
      <c r="P1302" s="4" t="s">
        <v>2308</v>
      </c>
      <c r="Q1302" s="4" t="s">
        <v>2308</v>
      </c>
      <c r="R1302" s="4" t="s">
        <v>2308</v>
      </c>
      <c r="S1302" s="4" t="s">
        <v>2308</v>
      </c>
      <c r="T1302" s="4" t="s">
        <v>2308</v>
      </c>
      <c r="U1302" s="4" t="s">
        <v>2308</v>
      </c>
      <c r="V1302" s="4" t="s">
        <v>2308</v>
      </c>
      <c r="W1302" s="4" t="s">
        <v>2308</v>
      </c>
      <c r="X1302" s="4" t="s">
        <v>2308</v>
      </c>
      <c r="Y1302" s="4" t="s">
        <v>2308</v>
      </c>
      <c r="Z1302" s="4" t="s">
        <v>2308</v>
      </c>
      <c r="AA1302" s="5" t="s">
        <v>4435</v>
      </c>
      <c r="AB1302" s="5" t="s">
        <v>4009</v>
      </c>
    </row>
    <row r="1303" spans="1:28" ht="43.5">
      <c r="A1303" s="7" t="str">
        <f>'Reported burning'!A1303</f>
        <v>155l</v>
      </c>
      <c r="B1303" s="7" t="str">
        <f>'Reported burning'!B1303</f>
        <v>155l.1</v>
      </c>
      <c r="C1303" s="7" t="str">
        <f>'Reported burning'!C1303</f>
        <v>Human, deliberate</v>
      </c>
      <c r="D1303" s="7" t="str">
        <f>'Reported burning'!D1303</f>
        <v>Pasture renewal</v>
      </c>
      <c r="E1303" s="7" t="str">
        <f>'Reported burning'!E1303</f>
        <v>Pastoralism, Migratory</v>
      </c>
      <c r="F1303" s="7" t="str">
        <f>'Reported burning'!F1303</f>
        <v>Shrubland (Mixed forest &amp; grassland)</v>
      </c>
      <c r="G1303" s="7" t="str">
        <f>'Reported burning'!G1303</f>
        <v>ND</v>
      </c>
      <c r="H1303" s="7" t="str">
        <f>'Reported burning'!H1303</f>
        <v>Presence</v>
      </c>
      <c r="I1303" s="4"/>
      <c r="J1303" s="4" t="s">
        <v>2308</v>
      </c>
      <c r="K1303" s="4" t="s">
        <v>2308</v>
      </c>
      <c r="L1303" s="4" t="s">
        <v>2308</v>
      </c>
      <c r="M1303" s="4" t="s">
        <v>2308</v>
      </c>
      <c r="N1303" s="4" t="s">
        <v>2308</v>
      </c>
      <c r="O1303" s="4" t="s">
        <v>2308</v>
      </c>
      <c r="P1303" s="4" t="s">
        <v>2308</v>
      </c>
      <c r="Q1303" s="4" t="s">
        <v>2308</v>
      </c>
      <c r="R1303" s="4" t="s">
        <v>2308</v>
      </c>
      <c r="S1303" s="4" t="s">
        <v>2308</v>
      </c>
      <c r="T1303" s="4" t="s">
        <v>2308</v>
      </c>
      <c r="U1303" s="4" t="s">
        <v>2308</v>
      </c>
      <c r="V1303" s="4" t="s">
        <v>2308</v>
      </c>
      <c r="W1303" s="4" t="s">
        <v>2308</v>
      </c>
      <c r="X1303" s="4" t="s">
        <v>2308</v>
      </c>
      <c r="Y1303" s="4" t="s">
        <v>2308</v>
      </c>
      <c r="Z1303" s="4" t="s">
        <v>2308</v>
      </c>
      <c r="AA1303" s="5" t="s">
        <v>4436</v>
      </c>
      <c r="AB1303" s="5" t="s">
        <v>4009</v>
      </c>
    </row>
    <row r="1304" spans="1:28" ht="43.5">
      <c r="A1304" s="7" t="str">
        <f>'Reported burning'!A1304</f>
        <v>155b</v>
      </c>
      <c r="B1304" s="7" t="str">
        <f>'Reported burning'!B1304</f>
        <v>155b.2</v>
      </c>
      <c r="C1304" s="7" t="str">
        <f>'Reported burning'!C1304</f>
        <v>Human, escaped</v>
      </c>
      <c r="D1304" s="7" t="str">
        <f>'Reported burning'!D1304</f>
        <v>Pasture renewal</v>
      </c>
      <c r="E1304" s="7" t="str">
        <f>'Reported burning'!E1304</f>
        <v>Pastoralism, Migratory</v>
      </c>
      <c r="F1304" s="7" t="str">
        <f>'Reported burning'!F1304</f>
        <v>Shrubland (Mixed forest &amp; grassland)</v>
      </c>
      <c r="G1304" s="7" t="str">
        <f>'Reported burning'!G1304</f>
        <v>ND</v>
      </c>
      <c r="H1304" s="7" t="str">
        <f>'Reported burning'!H1304</f>
        <v>Presence</v>
      </c>
      <c r="I1304" s="4"/>
      <c r="J1304" s="4" t="s">
        <v>2308</v>
      </c>
      <c r="K1304" s="4" t="s">
        <v>2308</v>
      </c>
      <c r="L1304" s="4" t="s">
        <v>2308</v>
      </c>
      <c r="M1304" s="4" t="s">
        <v>2308</v>
      </c>
      <c r="N1304" s="4" t="s">
        <v>2308</v>
      </c>
      <c r="O1304" s="4" t="s">
        <v>2308</v>
      </c>
      <c r="P1304" s="4" t="s">
        <v>2308</v>
      </c>
      <c r="Q1304" s="4" t="s">
        <v>2308</v>
      </c>
      <c r="R1304" s="4" t="s">
        <v>2308</v>
      </c>
      <c r="S1304" s="4" t="s">
        <v>2308</v>
      </c>
      <c r="T1304" s="4" t="s">
        <v>2308</v>
      </c>
      <c r="U1304" s="4" t="s">
        <v>2308</v>
      </c>
      <c r="V1304" s="4" t="s">
        <v>2308</v>
      </c>
      <c r="W1304" s="4" t="s">
        <v>2308</v>
      </c>
      <c r="X1304" s="4" t="s">
        <v>2308</v>
      </c>
      <c r="Y1304" s="4" t="s">
        <v>2308</v>
      </c>
      <c r="Z1304" s="4" t="s">
        <v>2308</v>
      </c>
      <c r="AA1304" s="5" t="s">
        <v>4434</v>
      </c>
      <c r="AB1304" s="5" t="s">
        <v>4009</v>
      </c>
    </row>
    <row r="1305" spans="1:28" ht="43.5">
      <c r="A1305" s="7" t="str">
        <f>'Reported burning'!A1305</f>
        <v>155c</v>
      </c>
      <c r="B1305" s="7" t="str">
        <f>'Reported burning'!B1305</f>
        <v>155c.2</v>
      </c>
      <c r="C1305" s="7" t="str">
        <f>'Reported burning'!C1305</f>
        <v>Human, escaped</v>
      </c>
      <c r="D1305" s="7" t="str">
        <f>'Reported burning'!D1305</f>
        <v>Pasture renewal</v>
      </c>
      <c r="E1305" s="7" t="str">
        <f>'Reported burning'!E1305</f>
        <v>Pastoralism, Migratory</v>
      </c>
      <c r="F1305" s="7" t="str">
        <f>'Reported burning'!F1305</f>
        <v>Shrubland (Mixed forest &amp; grassland)</v>
      </c>
      <c r="G1305" s="7" t="str">
        <f>'Reported burning'!G1305</f>
        <v>ND</v>
      </c>
      <c r="H1305" s="7" t="str">
        <f>'Reported burning'!H1305</f>
        <v>Presence</v>
      </c>
      <c r="I1305" s="4"/>
      <c r="J1305" s="4" t="s">
        <v>2308</v>
      </c>
      <c r="K1305" s="4" t="s">
        <v>2308</v>
      </c>
      <c r="L1305" s="4" t="s">
        <v>2308</v>
      </c>
      <c r="M1305" s="4" t="s">
        <v>2308</v>
      </c>
      <c r="N1305" s="4" t="s">
        <v>2308</v>
      </c>
      <c r="O1305" s="4" t="s">
        <v>2308</v>
      </c>
      <c r="P1305" s="4" t="s">
        <v>2308</v>
      </c>
      <c r="Q1305" s="4" t="s">
        <v>2308</v>
      </c>
      <c r="R1305" s="4" t="s">
        <v>2308</v>
      </c>
      <c r="S1305" s="4" t="s">
        <v>2308</v>
      </c>
      <c r="T1305" s="4" t="s">
        <v>2308</v>
      </c>
      <c r="U1305" s="4" t="s">
        <v>2308</v>
      </c>
      <c r="V1305" s="4" t="s">
        <v>2308</v>
      </c>
      <c r="W1305" s="4" t="s">
        <v>2308</v>
      </c>
      <c r="X1305" s="4" t="s">
        <v>2308</v>
      </c>
      <c r="Y1305" s="4" t="s">
        <v>2308</v>
      </c>
      <c r="Z1305" s="4" t="s">
        <v>2308</v>
      </c>
      <c r="AA1305" s="5" t="s">
        <v>4434</v>
      </c>
      <c r="AB1305" s="5" t="s">
        <v>4009</v>
      </c>
    </row>
    <row r="1306" spans="1:28" ht="43.5">
      <c r="A1306" s="7" t="str">
        <f>'Reported burning'!A1306</f>
        <v>155e</v>
      </c>
      <c r="B1306" s="7" t="str">
        <f>'Reported burning'!B1306</f>
        <v>155e.2</v>
      </c>
      <c r="C1306" s="7" t="str">
        <f>'Reported burning'!C1306</f>
        <v>Human, escaped</v>
      </c>
      <c r="D1306" s="7" t="str">
        <f>'Reported burning'!D1306</f>
        <v>Pasture renewal</v>
      </c>
      <c r="E1306" s="7" t="str">
        <f>'Reported burning'!E1306</f>
        <v>Pastoralism, Migratory</v>
      </c>
      <c r="F1306" s="7" t="str">
        <f>'Reported burning'!F1306</f>
        <v>Shrubland (Mixed forest &amp; grassland)</v>
      </c>
      <c r="G1306" s="7" t="str">
        <f>'Reported burning'!G1306</f>
        <v>ND</v>
      </c>
      <c r="H1306" s="7" t="str">
        <f>'Reported burning'!H1306</f>
        <v>Presence</v>
      </c>
      <c r="I1306" s="4"/>
      <c r="J1306" s="4" t="s">
        <v>2308</v>
      </c>
      <c r="K1306" s="4" t="s">
        <v>2308</v>
      </c>
      <c r="L1306" s="4" t="s">
        <v>2308</v>
      </c>
      <c r="M1306" s="4" t="s">
        <v>2308</v>
      </c>
      <c r="N1306" s="4" t="s">
        <v>2308</v>
      </c>
      <c r="O1306" s="4" t="s">
        <v>2308</v>
      </c>
      <c r="P1306" s="4" t="s">
        <v>2308</v>
      </c>
      <c r="Q1306" s="4" t="s">
        <v>2308</v>
      </c>
      <c r="R1306" s="4" t="s">
        <v>2308</v>
      </c>
      <c r="S1306" s="4" t="s">
        <v>2308</v>
      </c>
      <c r="T1306" s="4" t="s">
        <v>2308</v>
      </c>
      <c r="U1306" s="4" t="s">
        <v>2308</v>
      </c>
      <c r="V1306" s="4" t="s">
        <v>2308</v>
      </c>
      <c r="W1306" s="4" t="s">
        <v>2308</v>
      </c>
      <c r="X1306" s="4" t="s">
        <v>2308</v>
      </c>
      <c r="Y1306" s="4" t="s">
        <v>2308</v>
      </c>
      <c r="Z1306" s="4" t="s">
        <v>2308</v>
      </c>
      <c r="AA1306" s="5" t="s">
        <v>4434</v>
      </c>
      <c r="AB1306" s="5" t="s">
        <v>4009</v>
      </c>
    </row>
    <row r="1307" spans="1:28" ht="43.5">
      <c r="A1307" s="7" t="str">
        <f>'Reported burning'!A1307</f>
        <v>155f</v>
      </c>
      <c r="B1307" s="7" t="str">
        <f>'Reported burning'!B1307</f>
        <v>155f.2</v>
      </c>
      <c r="C1307" s="7" t="str">
        <f>'Reported burning'!C1307</f>
        <v>Human, escaped</v>
      </c>
      <c r="D1307" s="7" t="str">
        <f>'Reported burning'!D1307</f>
        <v>Pasture renewal</v>
      </c>
      <c r="E1307" s="7" t="str">
        <f>'Reported burning'!E1307</f>
        <v>Pastoralism, Migratory</v>
      </c>
      <c r="F1307" s="7" t="str">
        <f>'Reported burning'!F1307</f>
        <v>Shrubland (Mixed forest &amp; grassland)</v>
      </c>
      <c r="G1307" s="7" t="str">
        <f>'Reported burning'!G1307</f>
        <v>ND</v>
      </c>
      <c r="H1307" s="7" t="str">
        <f>'Reported burning'!H1307</f>
        <v>Presence</v>
      </c>
      <c r="I1307" s="4"/>
      <c r="J1307" s="4" t="s">
        <v>2308</v>
      </c>
      <c r="K1307" s="4" t="s">
        <v>2308</v>
      </c>
      <c r="L1307" s="4" t="s">
        <v>2308</v>
      </c>
      <c r="M1307" s="4" t="s">
        <v>2308</v>
      </c>
      <c r="N1307" s="4" t="s">
        <v>2308</v>
      </c>
      <c r="O1307" s="4" t="s">
        <v>2308</v>
      </c>
      <c r="P1307" s="4" t="s">
        <v>2308</v>
      </c>
      <c r="Q1307" s="4" t="s">
        <v>2308</v>
      </c>
      <c r="R1307" s="4" t="s">
        <v>2308</v>
      </c>
      <c r="S1307" s="4" t="s">
        <v>2308</v>
      </c>
      <c r="T1307" s="4" t="s">
        <v>2308</v>
      </c>
      <c r="U1307" s="4" t="s">
        <v>2308</v>
      </c>
      <c r="V1307" s="4" t="s">
        <v>2308</v>
      </c>
      <c r="W1307" s="4" t="s">
        <v>2308</v>
      </c>
      <c r="X1307" s="4" t="s">
        <v>2308</v>
      </c>
      <c r="Y1307" s="4" t="s">
        <v>2308</v>
      </c>
      <c r="Z1307" s="4" t="s">
        <v>2308</v>
      </c>
      <c r="AA1307" s="5" t="s">
        <v>4437</v>
      </c>
      <c r="AB1307" s="5" t="s">
        <v>4009</v>
      </c>
    </row>
    <row r="1308" spans="1:28" ht="43.5">
      <c r="A1308" s="7" t="str">
        <f>'Reported burning'!A1308</f>
        <v>155j</v>
      </c>
      <c r="B1308" s="7" t="str">
        <f>'Reported burning'!B1308</f>
        <v>155j.2</v>
      </c>
      <c r="C1308" s="7" t="str">
        <f>'Reported burning'!C1308</f>
        <v>Human, escaped</v>
      </c>
      <c r="D1308" s="7" t="str">
        <f>'Reported burning'!D1308</f>
        <v>Pasture renewal</v>
      </c>
      <c r="E1308" s="7" t="str">
        <f>'Reported burning'!E1308</f>
        <v>Pastoralism, Migratory</v>
      </c>
      <c r="F1308" s="7" t="str">
        <f>'Reported burning'!F1308</f>
        <v>Shrubland (Mixed forest &amp; grassland)</v>
      </c>
      <c r="G1308" s="7" t="str">
        <f>'Reported burning'!G1308</f>
        <v>ND</v>
      </c>
      <c r="H1308" s="7" t="str">
        <f>'Reported burning'!H1308</f>
        <v>Presence</v>
      </c>
      <c r="I1308" s="4"/>
      <c r="J1308" s="4" t="s">
        <v>2308</v>
      </c>
      <c r="K1308" s="4" t="s">
        <v>2308</v>
      </c>
      <c r="L1308" s="4" t="s">
        <v>2308</v>
      </c>
      <c r="M1308" s="4" t="s">
        <v>2308</v>
      </c>
      <c r="N1308" s="4" t="s">
        <v>2308</v>
      </c>
      <c r="O1308" s="4" t="s">
        <v>2308</v>
      </c>
      <c r="P1308" s="4" t="s">
        <v>2308</v>
      </c>
      <c r="Q1308" s="4" t="s">
        <v>2308</v>
      </c>
      <c r="R1308" s="4" t="s">
        <v>2308</v>
      </c>
      <c r="S1308" s="4" t="s">
        <v>2308</v>
      </c>
      <c r="T1308" s="4" t="s">
        <v>2308</v>
      </c>
      <c r="U1308" s="4" t="s">
        <v>2308</v>
      </c>
      <c r="V1308" s="4" t="s">
        <v>2308</v>
      </c>
      <c r="W1308" s="4" t="s">
        <v>2308</v>
      </c>
      <c r="X1308" s="4" t="s">
        <v>2308</v>
      </c>
      <c r="Y1308" s="4" t="s">
        <v>2308</v>
      </c>
      <c r="Z1308" s="4" t="s">
        <v>2308</v>
      </c>
      <c r="AA1308" s="5" t="s">
        <v>4435</v>
      </c>
      <c r="AB1308" s="5" t="s">
        <v>4009</v>
      </c>
    </row>
    <row r="1309" spans="1:28" ht="43.5">
      <c r="A1309" s="7" t="str">
        <f>'Reported burning'!A1309</f>
        <v>155k</v>
      </c>
      <c r="B1309" s="7" t="str">
        <f>'Reported burning'!B1309</f>
        <v>155k.2</v>
      </c>
      <c r="C1309" s="7" t="str">
        <f>'Reported burning'!C1309</f>
        <v>Human, escaped</v>
      </c>
      <c r="D1309" s="7" t="str">
        <f>'Reported burning'!D1309</f>
        <v>Pasture renewal</v>
      </c>
      <c r="E1309" s="7" t="str">
        <f>'Reported burning'!E1309</f>
        <v>Pastoralism, Migratory</v>
      </c>
      <c r="F1309" s="7" t="str">
        <f>'Reported burning'!F1309</f>
        <v>Shrubland (Mixed forest &amp; grassland)</v>
      </c>
      <c r="G1309" s="7" t="str">
        <f>'Reported burning'!G1309</f>
        <v>ND</v>
      </c>
      <c r="H1309" s="7" t="str">
        <f>'Reported burning'!H1309</f>
        <v>Presence</v>
      </c>
      <c r="I1309" s="4"/>
      <c r="J1309" s="4" t="s">
        <v>2308</v>
      </c>
      <c r="K1309" s="4" t="s">
        <v>2308</v>
      </c>
      <c r="L1309" s="4" t="s">
        <v>2308</v>
      </c>
      <c r="M1309" s="4" t="s">
        <v>2308</v>
      </c>
      <c r="N1309" s="4" t="s">
        <v>2308</v>
      </c>
      <c r="O1309" s="4" t="s">
        <v>2308</v>
      </c>
      <c r="P1309" s="4" t="s">
        <v>2308</v>
      </c>
      <c r="Q1309" s="4" t="s">
        <v>2308</v>
      </c>
      <c r="R1309" s="4" t="s">
        <v>2308</v>
      </c>
      <c r="S1309" s="4" t="s">
        <v>2308</v>
      </c>
      <c r="T1309" s="4" t="s">
        <v>2308</v>
      </c>
      <c r="U1309" s="4" t="s">
        <v>2308</v>
      </c>
      <c r="V1309" s="4" t="s">
        <v>2308</v>
      </c>
      <c r="W1309" s="4" t="s">
        <v>2308</v>
      </c>
      <c r="X1309" s="4" t="s">
        <v>2308</v>
      </c>
      <c r="Y1309" s="4" t="s">
        <v>2308</v>
      </c>
      <c r="Z1309" s="4" t="s">
        <v>2308</v>
      </c>
      <c r="AA1309" s="5" t="s">
        <v>4435</v>
      </c>
      <c r="AB1309" s="5" t="s">
        <v>4009</v>
      </c>
    </row>
    <row r="1310" spans="1:28" ht="43.5">
      <c r="A1310" s="7" t="str">
        <f>'Reported burning'!A1310</f>
        <v>155l</v>
      </c>
      <c r="B1310" s="7" t="str">
        <f>'Reported burning'!B1310</f>
        <v>155l.2</v>
      </c>
      <c r="C1310" s="7" t="str">
        <f>'Reported burning'!C1310</f>
        <v>Human, escaped</v>
      </c>
      <c r="D1310" s="7" t="str">
        <f>'Reported burning'!D1310</f>
        <v>Pasture renewal</v>
      </c>
      <c r="E1310" s="7" t="str">
        <f>'Reported burning'!E1310</f>
        <v>Pastoralism, Migratory</v>
      </c>
      <c r="F1310" s="7" t="str">
        <f>'Reported burning'!F1310</f>
        <v>Shrubland (Mixed forest &amp; grassland)</v>
      </c>
      <c r="G1310" s="7" t="str">
        <f>'Reported burning'!G1310</f>
        <v>ND</v>
      </c>
      <c r="H1310" s="7" t="str">
        <f>'Reported burning'!H1310</f>
        <v>Presence</v>
      </c>
      <c r="I1310" s="4"/>
      <c r="J1310" s="4" t="s">
        <v>2308</v>
      </c>
      <c r="K1310" s="4" t="s">
        <v>2308</v>
      </c>
      <c r="L1310" s="4" t="s">
        <v>2308</v>
      </c>
      <c r="M1310" s="4" t="s">
        <v>2308</v>
      </c>
      <c r="N1310" s="4" t="s">
        <v>2308</v>
      </c>
      <c r="O1310" s="4" t="s">
        <v>2308</v>
      </c>
      <c r="P1310" s="4" t="s">
        <v>2308</v>
      </c>
      <c r="Q1310" s="4" t="s">
        <v>2308</v>
      </c>
      <c r="R1310" s="4" t="s">
        <v>2308</v>
      </c>
      <c r="S1310" s="4" t="s">
        <v>2308</v>
      </c>
      <c r="T1310" s="4" t="s">
        <v>2308</v>
      </c>
      <c r="U1310" s="4" t="s">
        <v>2308</v>
      </c>
      <c r="V1310" s="4" t="s">
        <v>2308</v>
      </c>
      <c r="W1310" s="4" t="s">
        <v>2308</v>
      </c>
      <c r="X1310" s="4" t="s">
        <v>2308</v>
      </c>
      <c r="Y1310" s="4" t="s">
        <v>2308</v>
      </c>
      <c r="Z1310" s="4" t="s">
        <v>2308</v>
      </c>
      <c r="AA1310" s="5" t="s">
        <v>4436</v>
      </c>
      <c r="AB1310" s="5" t="s">
        <v>4009</v>
      </c>
    </row>
    <row r="1311" spans="1:28" ht="34.5" customHeight="1">
      <c r="A1311" s="7" t="str">
        <f>'Reported burning'!A1311</f>
        <v>156b</v>
      </c>
      <c r="B1311" s="7" t="str">
        <f>'Reported burning'!B1311</f>
        <v>156b.1</v>
      </c>
      <c r="C1311" s="7" t="str">
        <f>'Reported burning'!C1311</f>
        <v>Human, deliberate</v>
      </c>
      <c r="D1311" s="7" t="str">
        <f>'Reported burning'!D1311</f>
        <v>Pest management</v>
      </c>
      <c r="E1311" s="7" t="str">
        <f>'Reported burning'!E1311</f>
        <v>Pastoralism, Migratory</v>
      </c>
      <c r="F1311" s="7" t="str">
        <f>'Reported burning'!F1311</f>
        <v>Shrubland (Mixed forest &amp; grassland)</v>
      </c>
      <c r="G1311" s="7" t="str">
        <f>'Reported burning'!G1311</f>
        <v>ND</v>
      </c>
      <c r="H1311" s="7" t="str">
        <f>'Reported burning'!H1311</f>
        <v>Presence</v>
      </c>
      <c r="I1311" s="4"/>
      <c r="J1311" s="4" t="s">
        <v>2308</v>
      </c>
      <c r="K1311" s="4" t="s">
        <v>2308</v>
      </c>
      <c r="L1311" s="4" t="s">
        <v>2308</v>
      </c>
      <c r="M1311" s="4" t="s">
        <v>2308</v>
      </c>
      <c r="N1311" s="4" t="s">
        <v>2308</v>
      </c>
      <c r="O1311" s="4" t="s">
        <v>2308</v>
      </c>
      <c r="P1311" s="4" t="s">
        <v>2308</v>
      </c>
      <c r="Q1311" s="4" t="s">
        <v>2308</v>
      </c>
      <c r="R1311" s="4" t="s">
        <v>2308</v>
      </c>
      <c r="S1311" s="4" t="s">
        <v>2308</v>
      </c>
      <c r="T1311" s="4" t="s">
        <v>2308</v>
      </c>
      <c r="U1311" s="4" t="s">
        <v>2308</v>
      </c>
      <c r="V1311" s="4" t="s">
        <v>2308</v>
      </c>
      <c r="W1311" s="4" t="s">
        <v>2308</v>
      </c>
      <c r="X1311" s="4" t="s">
        <v>2308</v>
      </c>
      <c r="Y1311" s="4" t="s">
        <v>2308</v>
      </c>
      <c r="Z1311" s="4" t="s">
        <v>2308</v>
      </c>
      <c r="AA1311" s="4" t="s">
        <v>4028</v>
      </c>
      <c r="AB1311" s="4"/>
    </row>
    <row r="1312" spans="1:28" ht="34.5" customHeight="1">
      <c r="A1312" s="7" t="str">
        <f>'Reported burning'!A1312</f>
        <v>156b</v>
      </c>
      <c r="B1312" s="7" t="str">
        <f>'Reported burning'!B1312</f>
        <v>156b.2</v>
      </c>
      <c r="C1312" s="7" t="str">
        <f>'Reported burning'!C1312</f>
        <v>Human, deliberate</v>
      </c>
      <c r="D1312" s="7" t="str">
        <f>'Reported burning'!D1312</f>
        <v>Pest management</v>
      </c>
      <c r="E1312" s="7" t="str">
        <f>'Reported burning'!E1312</f>
        <v>Cattle, Extensive</v>
      </c>
      <c r="F1312" s="7" t="str">
        <f>'Reported burning'!F1312</f>
        <v>Shrubland (Mixed forest &amp; grassland)</v>
      </c>
      <c r="G1312" s="7" t="str">
        <f>'Reported burning'!G1312</f>
        <v>ND</v>
      </c>
      <c r="H1312" s="7" t="str">
        <f>'Reported burning'!H1312</f>
        <v>Presence</v>
      </c>
      <c r="I1312" s="4"/>
      <c r="J1312" s="4" t="s">
        <v>2308</v>
      </c>
      <c r="K1312" s="4" t="s">
        <v>2308</v>
      </c>
      <c r="L1312" s="4" t="s">
        <v>2308</v>
      </c>
      <c r="M1312" s="4" t="s">
        <v>2308</v>
      </c>
      <c r="N1312" s="4" t="s">
        <v>2308</v>
      </c>
      <c r="O1312" s="4" t="s">
        <v>2308</v>
      </c>
      <c r="P1312" s="4" t="s">
        <v>2308</v>
      </c>
      <c r="Q1312" s="4" t="s">
        <v>2308</v>
      </c>
      <c r="R1312" s="4" t="s">
        <v>2308</v>
      </c>
      <c r="S1312" s="4" t="s">
        <v>2308</v>
      </c>
      <c r="T1312" s="4" t="s">
        <v>2308</v>
      </c>
      <c r="U1312" s="4" t="s">
        <v>2308</v>
      </c>
      <c r="V1312" s="4" t="s">
        <v>2308</v>
      </c>
      <c r="W1312" s="4" t="s">
        <v>2308</v>
      </c>
      <c r="X1312" s="4" t="s">
        <v>2308</v>
      </c>
      <c r="Y1312" s="4" t="s">
        <v>2308</v>
      </c>
      <c r="Z1312" s="4" t="s">
        <v>2308</v>
      </c>
      <c r="AA1312" s="4" t="s">
        <v>4028</v>
      </c>
      <c r="AB1312" s="4"/>
    </row>
    <row r="1313" spans="1:28" ht="34.5" customHeight="1">
      <c r="A1313" s="7" t="str">
        <f>'Reported burning'!A1313</f>
        <v>156b</v>
      </c>
      <c r="B1313" s="7" t="str">
        <f>'Reported burning'!B1313</f>
        <v>156b.3</v>
      </c>
      <c r="C1313" s="7" t="str">
        <f>'Reported burning'!C1313</f>
        <v>Human, deliberate</v>
      </c>
      <c r="D1313" s="7" t="str">
        <f>'Reported burning'!D1313</f>
        <v>Pest management</v>
      </c>
      <c r="E1313" s="7" t="str">
        <f>'Reported burning'!E1313</f>
        <v>Pastoralism, Migratory</v>
      </c>
      <c r="F1313" s="7" t="str">
        <f>'Reported burning'!F1313</f>
        <v>Forest</v>
      </c>
      <c r="G1313" s="7" t="str">
        <f>'Reported burning'!G1313</f>
        <v>ND</v>
      </c>
      <c r="H1313" s="7" t="str">
        <f>'Reported burning'!H1313</f>
        <v>Presence</v>
      </c>
      <c r="I1313" s="4"/>
      <c r="J1313" s="4" t="s">
        <v>2308</v>
      </c>
      <c r="K1313" s="4" t="s">
        <v>2308</v>
      </c>
      <c r="L1313" s="4" t="s">
        <v>2308</v>
      </c>
      <c r="M1313" s="4" t="s">
        <v>2308</v>
      </c>
      <c r="N1313" s="4" t="s">
        <v>2308</v>
      </c>
      <c r="O1313" s="4" t="s">
        <v>2308</v>
      </c>
      <c r="P1313" s="4" t="s">
        <v>2308</v>
      </c>
      <c r="Q1313" s="4" t="s">
        <v>2308</v>
      </c>
      <c r="R1313" s="4" t="s">
        <v>2308</v>
      </c>
      <c r="S1313" s="4" t="s">
        <v>2308</v>
      </c>
      <c r="T1313" s="4" t="s">
        <v>2308</v>
      </c>
      <c r="U1313" s="4" t="s">
        <v>2308</v>
      </c>
      <c r="V1313" s="4" t="s">
        <v>2308</v>
      </c>
      <c r="W1313" s="4" t="s">
        <v>2308</v>
      </c>
      <c r="X1313" s="4" t="s">
        <v>2308</v>
      </c>
      <c r="Y1313" s="4" t="s">
        <v>2308</v>
      </c>
      <c r="Z1313" s="4" t="s">
        <v>2308</v>
      </c>
      <c r="AA1313" s="4" t="s">
        <v>4028</v>
      </c>
      <c r="AB1313" s="4"/>
    </row>
    <row r="1314" spans="1:28" ht="34.5" customHeight="1">
      <c r="A1314" s="7" t="str">
        <f>'Reported burning'!A1314</f>
        <v>156b</v>
      </c>
      <c r="B1314" s="7" t="str">
        <f>'Reported burning'!B1314</f>
        <v>156b.4</v>
      </c>
      <c r="C1314" s="7" t="str">
        <f>'Reported burning'!C1314</f>
        <v>Human, deliberate</v>
      </c>
      <c r="D1314" s="7" t="str">
        <f>'Reported burning'!D1314</f>
        <v>Pest management</v>
      </c>
      <c r="E1314" s="7" t="str">
        <f>'Reported burning'!E1314</f>
        <v>Cattle, Extensive</v>
      </c>
      <c r="F1314" s="7" t="str">
        <f>'Reported burning'!F1314</f>
        <v>Forest</v>
      </c>
      <c r="G1314" s="7" t="str">
        <f>'Reported burning'!G1314</f>
        <v>ND</v>
      </c>
      <c r="H1314" s="7" t="str">
        <f>'Reported burning'!H1314</f>
        <v>Presence</v>
      </c>
      <c r="I1314" s="4"/>
      <c r="J1314" s="4" t="s">
        <v>2308</v>
      </c>
      <c r="K1314" s="4" t="s">
        <v>2308</v>
      </c>
      <c r="L1314" s="4" t="s">
        <v>2308</v>
      </c>
      <c r="M1314" s="4" t="s">
        <v>2308</v>
      </c>
      <c r="N1314" s="4" t="s">
        <v>2308</v>
      </c>
      <c r="O1314" s="4" t="s">
        <v>2308</v>
      </c>
      <c r="P1314" s="4" t="s">
        <v>2308</v>
      </c>
      <c r="Q1314" s="4" t="s">
        <v>2308</v>
      </c>
      <c r="R1314" s="4" t="s">
        <v>2308</v>
      </c>
      <c r="S1314" s="4" t="s">
        <v>2308</v>
      </c>
      <c r="T1314" s="4" t="s">
        <v>2308</v>
      </c>
      <c r="U1314" s="4" t="s">
        <v>2308</v>
      </c>
      <c r="V1314" s="4" t="s">
        <v>2308</v>
      </c>
      <c r="W1314" s="4" t="s">
        <v>2308</v>
      </c>
      <c r="X1314" s="4" t="s">
        <v>2308</v>
      </c>
      <c r="Y1314" s="4" t="s">
        <v>2308</v>
      </c>
      <c r="Z1314" s="4" t="s">
        <v>2308</v>
      </c>
      <c r="AA1314" s="4" t="s">
        <v>4028</v>
      </c>
      <c r="AB1314" s="4"/>
    </row>
    <row r="1315" spans="1:28" ht="34.5" customHeight="1">
      <c r="A1315" s="7" t="str">
        <f>'Reported burning'!A1315</f>
        <v>156c</v>
      </c>
      <c r="B1315" s="7" t="str">
        <f>'Reported burning'!B1315</f>
        <v>156c.1</v>
      </c>
      <c r="C1315" s="7" t="str">
        <f>'Reported burning'!C1315</f>
        <v>Human, deliberate</v>
      </c>
      <c r="D1315" s="7" t="str">
        <f>'Reported burning'!D1315</f>
        <v>Pest management</v>
      </c>
      <c r="E1315" s="7" t="str">
        <f>'Reported burning'!E1315</f>
        <v>Pastoralism, Migratory</v>
      </c>
      <c r="F1315" s="7" t="str">
        <f>'Reported burning'!F1315</f>
        <v>Shrubland (Mixed forest &amp; grassland)</v>
      </c>
      <c r="G1315" s="7" t="str">
        <f>'Reported burning'!G1315</f>
        <v>ND</v>
      </c>
      <c r="H1315" s="7" t="str">
        <f>'Reported burning'!H1315</f>
        <v>Absence</v>
      </c>
      <c r="I1315" s="4"/>
      <c r="J1315" s="161">
        <v>0</v>
      </c>
      <c r="K1315" s="161">
        <v>0</v>
      </c>
      <c r="L1315" s="161">
        <v>0</v>
      </c>
      <c r="M1315" s="161">
        <v>0</v>
      </c>
      <c r="N1315" s="161">
        <v>0</v>
      </c>
      <c r="O1315" s="161">
        <v>0</v>
      </c>
      <c r="P1315" s="161">
        <v>0</v>
      </c>
      <c r="Q1315" s="161">
        <v>0</v>
      </c>
      <c r="R1315" s="161">
        <v>0</v>
      </c>
      <c r="S1315" s="161">
        <v>0</v>
      </c>
      <c r="T1315" s="161">
        <v>0</v>
      </c>
      <c r="U1315" s="161">
        <v>0</v>
      </c>
      <c r="V1315" s="161">
        <v>0</v>
      </c>
      <c r="W1315" s="4" t="s">
        <v>2308</v>
      </c>
      <c r="X1315" s="4" t="s">
        <v>2308</v>
      </c>
      <c r="Y1315" s="4" t="s">
        <v>2308</v>
      </c>
      <c r="Z1315" s="4" t="s">
        <v>2308</v>
      </c>
      <c r="AA1315" s="5" t="s">
        <v>4029</v>
      </c>
      <c r="AB1315" s="4"/>
    </row>
    <row r="1316" spans="1:28" ht="34.5" customHeight="1">
      <c r="A1316" s="7" t="str">
        <f>'Reported burning'!A1316</f>
        <v>156c</v>
      </c>
      <c r="B1316" s="7" t="str">
        <f>'Reported burning'!B1316</f>
        <v>156c.2</v>
      </c>
      <c r="C1316" s="7" t="str">
        <f>'Reported burning'!C1316</f>
        <v>Human, deliberate</v>
      </c>
      <c r="D1316" s="7" t="str">
        <f>'Reported burning'!D1316</f>
        <v>Pest management</v>
      </c>
      <c r="E1316" s="7" t="str">
        <f>'Reported burning'!E1316</f>
        <v>Cattle, Extensive</v>
      </c>
      <c r="F1316" s="7" t="str">
        <f>'Reported burning'!F1316</f>
        <v>Shrubland (Mixed forest &amp; grassland)</v>
      </c>
      <c r="G1316" s="7" t="str">
        <f>'Reported burning'!G1316</f>
        <v>ND</v>
      </c>
      <c r="H1316" s="7" t="str">
        <f>'Reported burning'!H1316</f>
        <v>Absence</v>
      </c>
      <c r="I1316" s="4"/>
      <c r="J1316" s="161">
        <v>0</v>
      </c>
      <c r="K1316" s="161">
        <v>0</v>
      </c>
      <c r="L1316" s="161">
        <v>0</v>
      </c>
      <c r="M1316" s="161">
        <v>0</v>
      </c>
      <c r="N1316" s="161">
        <v>0</v>
      </c>
      <c r="O1316" s="161">
        <v>0</v>
      </c>
      <c r="P1316" s="161">
        <v>0</v>
      </c>
      <c r="Q1316" s="161">
        <v>0</v>
      </c>
      <c r="R1316" s="161">
        <v>0</v>
      </c>
      <c r="S1316" s="161">
        <v>0</v>
      </c>
      <c r="T1316" s="161">
        <v>0</v>
      </c>
      <c r="U1316" s="161">
        <v>0</v>
      </c>
      <c r="V1316" s="161">
        <v>0</v>
      </c>
      <c r="W1316" s="4" t="s">
        <v>2308</v>
      </c>
      <c r="X1316" s="4" t="s">
        <v>2308</v>
      </c>
      <c r="Y1316" s="4" t="s">
        <v>2308</v>
      </c>
      <c r="Z1316" s="4" t="s">
        <v>2308</v>
      </c>
      <c r="AA1316" s="5" t="s">
        <v>4029</v>
      </c>
      <c r="AB1316" s="4"/>
    </row>
    <row r="1317" spans="1:28" ht="34.5" customHeight="1">
      <c r="A1317" s="7" t="str">
        <f>'Reported burning'!A1317</f>
        <v>156c</v>
      </c>
      <c r="B1317" s="7" t="str">
        <f>'Reported burning'!B1317</f>
        <v>156c.3</v>
      </c>
      <c r="C1317" s="7" t="str">
        <f>'Reported burning'!C1317</f>
        <v>Human, deliberate</v>
      </c>
      <c r="D1317" s="7" t="str">
        <f>'Reported burning'!D1317</f>
        <v>Pest management</v>
      </c>
      <c r="E1317" s="7" t="str">
        <f>'Reported burning'!E1317</f>
        <v>Pastoralism, Migratory</v>
      </c>
      <c r="F1317" s="7" t="str">
        <f>'Reported burning'!F1317</f>
        <v>Forest</v>
      </c>
      <c r="G1317" s="7" t="str">
        <f>'Reported burning'!G1317</f>
        <v>ND</v>
      </c>
      <c r="H1317" s="7" t="str">
        <f>'Reported burning'!H1317</f>
        <v>Absence</v>
      </c>
      <c r="I1317" s="4"/>
      <c r="J1317" s="161">
        <v>0</v>
      </c>
      <c r="K1317" s="161">
        <v>0</v>
      </c>
      <c r="L1317" s="161">
        <v>0</v>
      </c>
      <c r="M1317" s="161">
        <v>0</v>
      </c>
      <c r="N1317" s="161">
        <v>0</v>
      </c>
      <c r="O1317" s="161">
        <v>0</v>
      </c>
      <c r="P1317" s="161">
        <v>0</v>
      </c>
      <c r="Q1317" s="161">
        <v>0</v>
      </c>
      <c r="R1317" s="161">
        <v>0</v>
      </c>
      <c r="S1317" s="161">
        <v>0</v>
      </c>
      <c r="T1317" s="161">
        <v>0</v>
      </c>
      <c r="U1317" s="161">
        <v>0</v>
      </c>
      <c r="V1317" s="161">
        <v>0</v>
      </c>
      <c r="W1317" s="4" t="s">
        <v>2308</v>
      </c>
      <c r="X1317" s="4" t="s">
        <v>2308</v>
      </c>
      <c r="Y1317" s="4" t="s">
        <v>2308</v>
      </c>
      <c r="Z1317" s="4" t="s">
        <v>2308</v>
      </c>
      <c r="AA1317" s="5" t="s">
        <v>4029</v>
      </c>
      <c r="AB1317" s="4"/>
    </row>
    <row r="1318" spans="1:28" ht="34.5" customHeight="1">
      <c r="A1318" s="7" t="str">
        <f>'Reported burning'!A1318</f>
        <v>156c</v>
      </c>
      <c r="B1318" s="7" t="str">
        <f>'Reported burning'!B1318</f>
        <v>156c.4</v>
      </c>
      <c r="C1318" s="7" t="str">
        <f>'Reported burning'!C1318</f>
        <v>Human, deliberate</v>
      </c>
      <c r="D1318" s="7" t="str">
        <f>'Reported burning'!D1318</f>
        <v>Pest management</v>
      </c>
      <c r="E1318" s="7" t="str">
        <f>'Reported burning'!E1318</f>
        <v>Cattle, Extensive</v>
      </c>
      <c r="F1318" s="7" t="str">
        <f>'Reported burning'!F1318</f>
        <v>Forest</v>
      </c>
      <c r="G1318" s="7" t="str">
        <f>'Reported burning'!G1318</f>
        <v>ND</v>
      </c>
      <c r="H1318" s="7" t="str">
        <f>'Reported burning'!H1318</f>
        <v>Absence</v>
      </c>
      <c r="I1318" s="4"/>
      <c r="J1318" s="161">
        <v>0</v>
      </c>
      <c r="K1318" s="161">
        <v>0</v>
      </c>
      <c r="L1318" s="161">
        <v>0</v>
      </c>
      <c r="M1318" s="161">
        <v>0</v>
      </c>
      <c r="N1318" s="161">
        <v>0</v>
      </c>
      <c r="O1318" s="161">
        <v>0</v>
      </c>
      <c r="P1318" s="161">
        <v>0</v>
      </c>
      <c r="Q1318" s="161">
        <v>0</v>
      </c>
      <c r="R1318" s="161">
        <v>0</v>
      </c>
      <c r="S1318" s="161">
        <v>0</v>
      </c>
      <c r="T1318" s="161">
        <v>0</v>
      </c>
      <c r="U1318" s="161">
        <v>0</v>
      </c>
      <c r="V1318" s="161">
        <v>0</v>
      </c>
      <c r="W1318" s="4" t="s">
        <v>2308</v>
      </c>
      <c r="X1318" s="4" t="s">
        <v>2308</v>
      </c>
      <c r="Y1318" s="4" t="s">
        <v>2308</v>
      </c>
      <c r="Z1318" s="4" t="s">
        <v>2308</v>
      </c>
      <c r="AA1318" s="5" t="s">
        <v>4029</v>
      </c>
      <c r="AB1318" s="4"/>
    </row>
    <row r="1319" spans="1:28" ht="29" customHeight="1">
      <c r="A1319" s="7" t="str">
        <f>'Reported burning'!A1319</f>
        <v>156c</v>
      </c>
      <c r="B1319" s="7" t="str">
        <f>'Reported burning'!B1319</f>
        <v>156c.5</v>
      </c>
      <c r="C1319" s="7" t="str">
        <f>'Reported burning'!C1319</f>
        <v>Human, deliberate</v>
      </c>
      <c r="D1319" s="7" t="str">
        <f>'Reported burning'!D1319</f>
        <v>Charcoal production</v>
      </c>
      <c r="E1319" s="7" t="str">
        <f>'Reported burning'!E1319</f>
        <v>Forestry, Traditional</v>
      </c>
      <c r="F1319" s="7" t="str">
        <f>'Reported burning'!F1319</f>
        <v>Shrubland (Mixed forest &amp; grassland)</v>
      </c>
      <c r="G1319" s="7" t="str">
        <f>'Reported burning'!G1319</f>
        <v>ND</v>
      </c>
      <c r="H1319" s="7" t="str">
        <f>'Reported burning'!H1319</f>
        <v>Presence</v>
      </c>
      <c r="I1319" s="4"/>
      <c r="J1319" s="4" t="s">
        <v>2308</v>
      </c>
      <c r="K1319" s="4" t="s">
        <v>2308</v>
      </c>
      <c r="L1319" s="4" t="s">
        <v>2308</v>
      </c>
      <c r="M1319" s="4" t="s">
        <v>2308</v>
      </c>
      <c r="N1319" s="4" t="s">
        <v>2308</v>
      </c>
      <c r="O1319" s="4" t="s">
        <v>2308</v>
      </c>
      <c r="P1319" s="4" t="s">
        <v>2308</v>
      </c>
      <c r="Q1319" s="4" t="s">
        <v>2308</v>
      </c>
      <c r="R1319" s="4" t="s">
        <v>2308</v>
      </c>
      <c r="S1319" s="4" t="s">
        <v>2308</v>
      </c>
      <c r="T1319" s="4" t="s">
        <v>2308</v>
      </c>
      <c r="U1319" s="4" t="s">
        <v>2308</v>
      </c>
      <c r="V1319" s="4" t="s">
        <v>2308</v>
      </c>
      <c r="W1319" s="4" t="s">
        <v>2308</v>
      </c>
      <c r="X1319" s="4" t="s">
        <v>2308</v>
      </c>
      <c r="Y1319" s="4" t="s">
        <v>2308</v>
      </c>
      <c r="Z1319" s="4" t="s">
        <v>2308</v>
      </c>
      <c r="AA1319" s="4"/>
      <c r="AB1319" s="4"/>
    </row>
    <row r="1320" spans="1:28" ht="47" customHeight="1">
      <c r="A1320" s="7" t="str">
        <f>'Reported burning'!A1320</f>
        <v>157a</v>
      </c>
      <c r="B1320" s="7" t="str">
        <f>'Reported burning'!B1320</f>
        <v>157a.1</v>
      </c>
      <c r="C1320" s="7" t="str">
        <f>'Reported burning'!C1320</f>
        <v>Human, deliberate</v>
      </c>
      <c r="D1320" s="7" t="str">
        <f>'Reported burning'!D1320</f>
        <v>Pasture renewal</v>
      </c>
      <c r="E1320" s="7" t="str">
        <f>'Reported burning'!E1320</f>
        <v>Pastoralism, Migratory</v>
      </c>
      <c r="F1320" s="7" t="str">
        <f>'Reported burning'!F1320</f>
        <v>Pasture</v>
      </c>
      <c r="G1320" s="7" t="str">
        <f>'Reported burning'!G1320</f>
        <v>ND</v>
      </c>
      <c r="H1320" s="7" t="str">
        <f>'Reported burning'!H1320</f>
        <v>Presence</v>
      </c>
      <c r="I1320" s="4"/>
      <c r="J1320" s="4" t="s">
        <v>2308</v>
      </c>
      <c r="K1320" s="4" t="s">
        <v>2308</v>
      </c>
      <c r="L1320" s="4" t="s">
        <v>2308</v>
      </c>
      <c r="M1320" s="4" t="s">
        <v>2308</v>
      </c>
      <c r="N1320" s="4" t="s">
        <v>2308</v>
      </c>
      <c r="O1320" s="4" t="s">
        <v>2308</v>
      </c>
      <c r="P1320" s="4" t="s">
        <v>2308</v>
      </c>
      <c r="Q1320" s="4" t="s">
        <v>2308</v>
      </c>
      <c r="R1320" s="4" t="s">
        <v>2308</v>
      </c>
      <c r="S1320" s="4" t="s">
        <v>2308</v>
      </c>
      <c r="T1320" s="4" t="s">
        <v>2308</v>
      </c>
      <c r="U1320" s="4" t="s">
        <v>2308</v>
      </c>
      <c r="V1320" s="4" t="s">
        <v>2308</v>
      </c>
      <c r="W1320" s="4" t="s">
        <v>2308</v>
      </c>
      <c r="X1320" s="4" t="s">
        <v>2308</v>
      </c>
      <c r="Y1320" s="4" t="s">
        <v>2308</v>
      </c>
      <c r="Z1320" s="4" t="s">
        <v>2308</v>
      </c>
      <c r="AA1320" s="5" t="s">
        <v>4059</v>
      </c>
      <c r="AB1320" s="4"/>
    </row>
    <row r="1321" spans="1:28" ht="47" customHeight="1">
      <c r="A1321" s="7" t="str">
        <f>'Reported burning'!A1321</f>
        <v>157a</v>
      </c>
      <c r="B1321" s="7" t="str">
        <f>'Reported burning'!B1321</f>
        <v>157a.2</v>
      </c>
      <c r="C1321" s="7" t="str">
        <f>'Reported burning'!C1321</f>
        <v>Human, deliberate</v>
      </c>
      <c r="D1321" s="7" t="str">
        <f>'Reported burning'!D1321</f>
        <v>Rangeland management</v>
      </c>
      <c r="E1321" s="7" t="str">
        <f>'Reported burning'!E1321</f>
        <v>Pastoralism, Migratory</v>
      </c>
      <c r="F1321" s="7" t="str">
        <f>'Reported burning'!F1321</f>
        <v>Shrubland (Mixed forest &amp; grassland)</v>
      </c>
      <c r="G1321" s="7" t="str">
        <f>'Reported burning'!G1321</f>
        <v>ND</v>
      </c>
      <c r="H1321" s="7" t="str">
        <f>'Reported burning'!H1321</f>
        <v>Presence</v>
      </c>
      <c r="I1321" s="4"/>
      <c r="J1321" s="4" t="s">
        <v>2308</v>
      </c>
      <c r="K1321" s="4" t="s">
        <v>2308</v>
      </c>
      <c r="L1321" s="4" t="s">
        <v>2308</v>
      </c>
      <c r="M1321" s="4" t="s">
        <v>2308</v>
      </c>
      <c r="N1321" s="4" t="s">
        <v>2308</v>
      </c>
      <c r="O1321" s="4" t="s">
        <v>2308</v>
      </c>
      <c r="P1321" s="4" t="s">
        <v>2308</v>
      </c>
      <c r="Q1321" s="4" t="s">
        <v>2308</v>
      </c>
      <c r="R1321" s="4" t="s">
        <v>2308</v>
      </c>
      <c r="S1321" s="4" t="s">
        <v>2308</v>
      </c>
      <c r="T1321" s="4" t="s">
        <v>2308</v>
      </c>
      <c r="U1321" s="4" t="s">
        <v>2308</v>
      </c>
      <c r="V1321" s="4" t="s">
        <v>2308</v>
      </c>
      <c r="W1321" s="4" t="s">
        <v>2308</v>
      </c>
      <c r="X1321" s="4" t="s">
        <v>2308</v>
      </c>
      <c r="Y1321" s="4" t="s">
        <v>2308</v>
      </c>
      <c r="Z1321" s="4" t="s">
        <v>2308</v>
      </c>
      <c r="AA1321" s="5" t="s">
        <v>4060</v>
      </c>
      <c r="AB1321" s="4"/>
    </row>
    <row r="1322" spans="1:28" ht="47" customHeight="1">
      <c r="A1322" s="7" t="str">
        <f>'Reported burning'!A1322</f>
        <v>157b</v>
      </c>
      <c r="B1322" s="7" t="str">
        <f>'Reported burning'!B1322</f>
        <v>157a.3</v>
      </c>
      <c r="C1322" s="7" t="str">
        <f>'Reported burning'!C1322</f>
        <v>Human, deliberate</v>
      </c>
      <c r="D1322" s="7" t="str">
        <f>'Reported burning'!D1322</f>
        <v>Pasture renewal</v>
      </c>
      <c r="E1322" s="7" t="str">
        <f>'Reported burning'!E1322</f>
        <v>Mixed cropping-livestock small holder, Subsistence-oriented</v>
      </c>
      <c r="F1322" s="7" t="str">
        <f>'Reported burning'!F1322</f>
        <v>Pasture</v>
      </c>
      <c r="G1322" s="7" t="str">
        <f>'Reported burning'!G1322</f>
        <v>ND</v>
      </c>
      <c r="H1322" s="7" t="str">
        <f>'Reported burning'!H1322</f>
        <v>Presence</v>
      </c>
      <c r="I1322" s="4"/>
      <c r="J1322" s="4" t="s">
        <v>2308</v>
      </c>
      <c r="K1322" s="4" t="s">
        <v>2308</v>
      </c>
      <c r="L1322" s="4" t="s">
        <v>2308</v>
      </c>
      <c r="M1322" s="4" t="s">
        <v>2308</v>
      </c>
      <c r="N1322" s="4" t="s">
        <v>2308</v>
      </c>
      <c r="O1322" s="4" t="s">
        <v>2308</v>
      </c>
      <c r="P1322" s="4" t="s">
        <v>2308</v>
      </c>
      <c r="Q1322" s="4" t="s">
        <v>2308</v>
      </c>
      <c r="R1322" s="4" t="s">
        <v>2308</v>
      </c>
      <c r="S1322" s="4" t="s">
        <v>2308</v>
      </c>
      <c r="T1322" s="4" t="s">
        <v>2308</v>
      </c>
      <c r="U1322" s="4" t="s">
        <v>2308</v>
      </c>
      <c r="V1322" s="4" t="s">
        <v>2308</v>
      </c>
      <c r="W1322" s="4" t="s">
        <v>2308</v>
      </c>
      <c r="X1322" s="4" t="s">
        <v>2308</v>
      </c>
      <c r="Y1322" s="4" t="s">
        <v>2308</v>
      </c>
      <c r="Z1322" s="4" t="s">
        <v>2308</v>
      </c>
      <c r="AA1322" s="5" t="s">
        <v>4059</v>
      </c>
      <c r="AB1322" s="4"/>
    </row>
    <row r="1323" spans="1:28" ht="47" customHeight="1">
      <c r="A1323" s="7" t="str">
        <f>'Reported burning'!A1323</f>
        <v>157b</v>
      </c>
      <c r="B1323" s="7" t="str">
        <f>'Reported burning'!B1323</f>
        <v>157a.4</v>
      </c>
      <c r="C1323" s="7" t="str">
        <f>'Reported burning'!C1323</f>
        <v>Human, deliberate</v>
      </c>
      <c r="D1323" s="7" t="str">
        <f>'Reported burning'!D1323</f>
        <v>Rangeland management</v>
      </c>
      <c r="E1323" s="7" t="str">
        <f>'Reported burning'!E1323</f>
        <v>Mixed cropping-livestock small holder, Subsistence-oriented</v>
      </c>
      <c r="F1323" s="7" t="str">
        <f>'Reported burning'!F1323</f>
        <v>Shrubland (Mixed forest &amp; grassland)</v>
      </c>
      <c r="G1323" s="7" t="str">
        <f>'Reported burning'!G1323</f>
        <v>ND</v>
      </c>
      <c r="H1323" s="7" t="str">
        <f>'Reported burning'!H1323</f>
        <v>Presence</v>
      </c>
      <c r="I1323" s="4"/>
      <c r="J1323" s="4" t="s">
        <v>2308</v>
      </c>
      <c r="K1323" s="4" t="s">
        <v>2308</v>
      </c>
      <c r="L1323" s="4" t="s">
        <v>2308</v>
      </c>
      <c r="M1323" s="4" t="s">
        <v>2308</v>
      </c>
      <c r="N1323" s="4" t="s">
        <v>2308</v>
      </c>
      <c r="O1323" s="4" t="s">
        <v>2308</v>
      </c>
      <c r="P1323" s="4" t="s">
        <v>2308</v>
      </c>
      <c r="Q1323" s="4" t="s">
        <v>2308</v>
      </c>
      <c r="R1323" s="4" t="s">
        <v>2308</v>
      </c>
      <c r="S1323" s="4" t="s">
        <v>2308</v>
      </c>
      <c r="T1323" s="4" t="s">
        <v>2308</v>
      </c>
      <c r="U1323" s="4" t="s">
        <v>2308</v>
      </c>
      <c r="V1323" s="4" t="s">
        <v>2308</v>
      </c>
      <c r="W1323" s="4" t="s">
        <v>2308</v>
      </c>
      <c r="X1323" s="4" t="s">
        <v>2308</v>
      </c>
      <c r="Y1323" s="4" t="s">
        <v>2308</v>
      </c>
      <c r="Z1323" s="4" t="s">
        <v>2308</v>
      </c>
      <c r="AA1323" s="5" t="s">
        <v>4060</v>
      </c>
      <c r="AB1323" s="4"/>
    </row>
    <row r="1324" spans="1:28" ht="47" customHeight="1">
      <c r="A1324" s="7" t="str">
        <f>'Reported burning'!A1324</f>
        <v>157b</v>
      </c>
      <c r="B1324" s="7" t="str">
        <f>'Reported burning'!B1324</f>
        <v>157b.1</v>
      </c>
      <c r="C1324" s="7" t="str">
        <f>'Reported burning'!C1324</f>
        <v>Human, deliberate</v>
      </c>
      <c r="D1324" s="7" t="str">
        <f>'Reported burning'!D1324</f>
        <v>Pasture renewal</v>
      </c>
      <c r="E1324" s="7" t="str">
        <f>'Reported burning'!E1324</f>
        <v>Pastoralism, Migratory</v>
      </c>
      <c r="F1324" s="7" t="str">
        <f>'Reported burning'!F1324</f>
        <v>Pasture</v>
      </c>
      <c r="G1324" s="7" t="str">
        <f>'Reported burning'!G1324</f>
        <v>ND</v>
      </c>
      <c r="H1324" s="7" t="str">
        <f>'Reported burning'!H1324</f>
        <v>Presence</v>
      </c>
      <c r="I1324" s="4"/>
      <c r="J1324" s="4" t="s">
        <v>2308</v>
      </c>
      <c r="K1324" s="4" t="s">
        <v>2308</v>
      </c>
      <c r="L1324" s="4" t="s">
        <v>2308</v>
      </c>
      <c r="M1324" s="4" t="s">
        <v>2308</v>
      </c>
      <c r="N1324" s="4" t="s">
        <v>2308</v>
      </c>
      <c r="O1324" s="4" t="s">
        <v>2308</v>
      </c>
      <c r="P1324" s="4" t="s">
        <v>2308</v>
      </c>
      <c r="Q1324" s="4" t="s">
        <v>2308</v>
      </c>
      <c r="R1324" s="4" t="s">
        <v>2308</v>
      </c>
      <c r="S1324" s="4" t="s">
        <v>2308</v>
      </c>
      <c r="T1324" s="4" t="s">
        <v>2308</v>
      </c>
      <c r="U1324" s="4" t="s">
        <v>2308</v>
      </c>
      <c r="V1324" s="4" t="s">
        <v>2308</v>
      </c>
      <c r="W1324" s="4" t="s">
        <v>2308</v>
      </c>
      <c r="X1324" s="4" t="s">
        <v>2308</v>
      </c>
      <c r="Y1324" s="4" t="s">
        <v>2308</v>
      </c>
      <c r="Z1324" s="4" t="s">
        <v>2308</v>
      </c>
      <c r="AA1324" s="5" t="s">
        <v>4061</v>
      </c>
      <c r="AB1324" s="4"/>
    </row>
    <row r="1325" spans="1:28" ht="47" customHeight="1">
      <c r="A1325" s="7" t="str">
        <f>'Reported burning'!A1325</f>
        <v>157b</v>
      </c>
      <c r="B1325" s="7" t="str">
        <f>'Reported burning'!B1325</f>
        <v>157b.2</v>
      </c>
      <c r="C1325" s="7" t="str">
        <f>'Reported burning'!C1325</f>
        <v>Human, deliberate</v>
      </c>
      <c r="D1325" s="7" t="str">
        <f>'Reported burning'!D1325</f>
        <v>Rangeland management</v>
      </c>
      <c r="E1325" s="7" t="str">
        <f>'Reported burning'!E1325</f>
        <v>Pastoralism, Migratory</v>
      </c>
      <c r="F1325" s="7" t="str">
        <f>'Reported burning'!F1325</f>
        <v>Shrubland (Mixed forest &amp; grassland)</v>
      </c>
      <c r="G1325" s="7" t="str">
        <f>'Reported burning'!G1325</f>
        <v>ND</v>
      </c>
      <c r="H1325" s="7" t="str">
        <f>'Reported burning'!H1325</f>
        <v>Presence</v>
      </c>
      <c r="I1325" s="4"/>
      <c r="J1325" s="4" t="s">
        <v>2308</v>
      </c>
      <c r="K1325" s="4" t="s">
        <v>2308</v>
      </c>
      <c r="L1325" s="4" t="s">
        <v>2308</v>
      </c>
      <c r="M1325" s="4" t="s">
        <v>2308</v>
      </c>
      <c r="N1325" s="4" t="s">
        <v>2308</v>
      </c>
      <c r="O1325" s="4" t="s">
        <v>2308</v>
      </c>
      <c r="P1325" s="4" t="s">
        <v>2308</v>
      </c>
      <c r="Q1325" s="4" t="s">
        <v>2308</v>
      </c>
      <c r="R1325" s="4" t="s">
        <v>2308</v>
      </c>
      <c r="S1325" s="4" t="s">
        <v>2308</v>
      </c>
      <c r="T1325" s="4" t="s">
        <v>2308</v>
      </c>
      <c r="U1325" s="4" t="s">
        <v>2308</v>
      </c>
      <c r="V1325" s="4" t="s">
        <v>2308</v>
      </c>
      <c r="W1325" s="4" t="s">
        <v>2308</v>
      </c>
      <c r="X1325" s="4" t="s">
        <v>2308</v>
      </c>
      <c r="Y1325" s="4" t="s">
        <v>2308</v>
      </c>
      <c r="Z1325" s="4" t="s">
        <v>2308</v>
      </c>
      <c r="AA1325" s="5" t="s">
        <v>4063</v>
      </c>
      <c r="AB1325" s="4"/>
    </row>
    <row r="1326" spans="1:28" ht="47" customHeight="1">
      <c r="A1326" s="7" t="str">
        <f>'Reported burning'!A1326</f>
        <v>157b</v>
      </c>
      <c r="B1326" s="7" t="str">
        <f>'Reported burning'!B1326</f>
        <v>157b.3</v>
      </c>
      <c r="C1326" s="7" t="str">
        <f>'Reported burning'!C1326</f>
        <v>Human, deliberate</v>
      </c>
      <c r="D1326" s="7" t="str">
        <f>'Reported burning'!D1326</f>
        <v>Pasture renewal</v>
      </c>
      <c r="E1326" s="7" t="str">
        <f>'Reported burning'!E1326</f>
        <v>Mixed cropping-livestock small holder, Subsistence-oriented</v>
      </c>
      <c r="F1326" s="7" t="str">
        <f>'Reported burning'!F1326</f>
        <v>Pasture</v>
      </c>
      <c r="G1326" s="7" t="str">
        <f>'Reported burning'!G1326</f>
        <v>ND</v>
      </c>
      <c r="H1326" s="7" t="str">
        <f>'Reported burning'!H1326</f>
        <v>Presence</v>
      </c>
      <c r="I1326" s="4"/>
      <c r="J1326" s="4" t="s">
        <v>2308</v>
      </c>
      <c r="K1326" s="4" t="s">
        <v>2308</v>
      </c>
      <c r="L1326" s="4" t="s">
        <v>2308</v>
      </c>
      <c r="M1326" s="4" t="s">
        <v>2308</v>
      </c>
      <c r="N1326" s="4" t="s">
        <v>2308</v>
      </c>
      <c r="O1326" s="4" t="s">
        <v>2308</v>
      </c>
      <c r="P1326" s="4" t="s">
        <v>2308</v>
      </c>
      <c r="Q1326" s="4" t="s">
        <v>2308</v>
      </c>
      <c r="R1326" s="4" t="s">
        <v>2308</v>
      </c>
      <c r="S1326" s="4" t="s">
        <v>2308</v>
      </c>
      <c r="T1326" s="4" t="s">
        <v>2308</v>
      </c>
      <c r="U1326" s="4" t="s">
        <v>2308</v>
      </c>
      <c r="V1326" s="4" t="s">
        <v>2308</v>
      </c>
      <c r="W1326" s="4" t="s">
        <v>2308</v>
      </c>
      <c r="X1326" s="4" t="s">
        <v>2308</v>
      </c>
      <c r="Y1326" s="4" t="s">
        <v>2308</v>
      </c>
      <c r="Z1326" s="4" t="s">
        <v>2308</v>
      </c>
      <c r="AA1326" s="5" t="s">
        <v>4061</v>
      </c>
      <c r="AB1326" s="4"/>
    </row>
    <row r="1327" spans="1:28" ht="47" customHeight="1">
      <c r="A1327" s="7" t="str">
        <f>'Reported burning'!A1327</f>
        <v>157b</v>
      </c>
      <c r="B1327" s="7" t="str">
        <f>'Reported burning'!B1327</f>
        <v>157b.4</v>
      </c>
      <c r="C1327" s="7" t="str">
        <f>'Reported burning'!C1327</f>
        <v>Human, deliberate</v>
      </c>
      <c r="D1327" s="7" t="str">
        <f>'Reported burning'!D1327</f>
        <v>Rangeland management</v>
      </c>
      <c r="E1327" s="7" t="str">
        <f>'Reported burning'!E1327</f>
        <v>Mixed cropping-livestock small holder, Subsistence-oriented</v>
      </c>
      <c r="F1327" s="7" t="str">
        <f>'Reported burning'!F1327</f>
        <v>Shrubland (Mixed forest &amp; grassland)</v>
      </c>
      <c r="G1327" s="7" t="str">
        <f>'Reported burning'!G1327</f>
        <v>ND</v>
      </c>
      <c r="H1327" s="7" t="str">
        <f>'Reported burning'!H1327</f>
        <v>Presence</v>
      </c>
      <c r="I1327" s="4"/>
      <c r="J1327" s="4" t="s">
        <v>2308</v>
      </c>
      <c r="K1327" s="4" t="s">
        <v>2308</v>
      </c>
      <c r="L1327" s="4" t="s">
        <v>2308</v>
      </c>
      <c r="M1327" s="4" t="s">
        <v>2308</v>
      </c>
      <c r="N1327" s="4" t="s">
        <v>2308</v>
      </c>
      <c r="O1327" s="4" t="s">
        <v>2308</v>
      </c>
      <c r="P1327" s="4" t="s">
        <v>2308</v>
      </c>
      <c r="Q1327" s="4" t="s">
        <v>2308</v>
      </c>
      <c r="R1327" s="4" t="s">
        <v>2308</v>
      </c>
      <c r="S1327" s="4" t="s">
        <v>2308</v>
      </c>
      <c r="T1327" s="4" t="s">
        <v>2308</v>
      </c>
      <c r="U1327" s="4" t="s">
        <v>2308</v>
      </c>
      <c r="V1327" s="4" t="s">
        <v>2308</v>
      </c>
      <c r="W1327" s="4" t="s">
        <v>2308</v>
      </c>
      <c r="X1327" s="4" t="s">
        <v>2308</v>
      </c>
      <c r="Y1327" s="4" t="s">
        <v>2308</v>
      </c>
      <c r="Z1327" s="4" t="s">
        <v>2308</v>
      </c>
      <c r="AA1327" s="5" t="s">
        <v>4063</v>
      </c>
      <c r="AB1327" s="4"/>
    </row>
    <row r="1328" spans="1:28" ht="47" customHeight="1">
      <c r="A1328" s="7" t="str">
        <f>'Reported burning'!A1328</f>
        <v>157c</v>
      </c>
      <c r="B1328" s="7" t="str">
        <f>'Reported burning'!B1328</f>
        <v>157c.1</v>
      </c>
      <c r="C1328" s="7" t="str">
        <f>'Reported burning'!C1328</f>
        <v>Human, deliberate</v>
      </c>
      <c r="D1328" s="7" t="str">
        <f>'Reported burning'!D1328</f>
        <v>Pasture renewal</v>
      </c>
      <c r="E1328" s="7" t="str">
        <f>'Reported burning'!E1328</f>
        <v>Pastoralism, Migratory</v>
      </c>
      <c r="F1328" s="7" t="str">
        <f>'Reported burning'!F1328</f>
        <v>Pasture</v>
      </c>
      <c r="G1328" s="7" t="str">
        <f>'Reported burning'!G1328</f>
        <v>ND</v>
      </c>
      <c r="H1328" s="7" t="str">
        <f>'Reported burning'!H1328</f>
        <v>Presence</v>
      </c>
      <c r="I1328" s="4"/>
      <c r="J1328" s="4" t="s">
        <v>2308</v>
      </c>
      <c r="K1328" s="4" t="s">
        <v>2308</v>
      </c>
      <c r="L1328" s="4" t="s">
        <v>2308</v>
      </c>
      <c r="M1328" s="4" t="s">
        <v>2308</v>
      </c>
      <c r="N1328" s="4" t="s">
        <v>2308</v>
      </c>
      <c r="O1328" s="4" t="s">
        <v>2308</v>
      </c>
      <c r="P1328" s="4" t="s">
        <v>2308</v>
      </c>
      <c r="Q1328" s="4" t="s">
        <v>2308</v>
      </c>
      <c r="R1328" s="4" t="s">
        <v>2308</v>
      </c>
      <c r="S1328" s="4" t="s">
        <v>2308</v>
      </c>
      <c r="T1328" s="4" t="s">
        <v>2308</v>
      </c>
      <c r="U1328" s="4" t="s">
        <v>2308</v>
      </c>
      <c r="V1328" s="4" t="s">
        <v>2308</v>
      </c>
      <c r="W1328" s="4" t="s">
        <v>2308</v>
      </c>
      <c r="X1328" s="4" t="s">
        <v>2308</v>
      </c>
      <c r="Y1328" s="4" t="s">
        <v>2308</v>
      </c>
      <c r="Z1328" s="4" t="s">
        <v>2308</v>
      </c>
      <c r="AA1328" s="5" t="s">
        <v>4062</v>
      </c>
      <c r="AB1328" s="4"/>
    </row>
    <row r="1329" spans="1:28" ht="47" customHeight="1">
      <c r="A1329" s="7" t="str">
        <f>'Reported burning'!A1329</f>
        <v>157c</v>
      </c>
      <c r="B1329" s="7" t="str">
        <f>'Reported burning'!B1329</f>
        <v>157c.2</v>
      </c>
      <c r="C1329" s="7" t="str">
        <f>'Reported burning'!C1329</f>
        <v>Human, deliberate</v>
      </c>
      <c r="D1329" s="7" t="str">
        <f>'Reported burning'!D1329</f>
        <v>Rangeland management</v>
      </c>
      <c r="E1329" s="7" t="str">
        <f>'Reported burning'!E1329</f>
        <v>Pastoralism, Migratory</v>
      </c>
      <c r="F1329" s="7" t="str">
        <f>'Reported burning'!F1329</f>
        <v>Shrubland (Mixed forest &amp; grassland)</v>
      </c>
      <c r="G1329" s="7" t="str">
        <f>'Reported burning'!G1329</f>
        <v>ND</v>
      </c>
      <c r="H1329" s="7" t="str">
        <f>'Reported burning'!H1329</f>
        <v>Presence</v>
      </c>
      <c r="I1329" s="4"/>
      <c r="J1329" s="4" t="s">
        <v>2308</v>
      </c>
      <c r="K1329" s="4" t="s">
        <v>2308</v>
      </c>
      <c r="L1329" s="4" t="s">
        <v>2308</v>
      </c>
      <c r="M1329" s="4" t="s">
        <v>2308</v>
      </c>
      <c r="N1329" s="4" t="s">
        <v>2308</v>
      </c>
      <c r="O1329" s="4" t="s">
        <v>2308</v>
      </c>
      <c r="P1329" s="4" t="s">
        <v>2308</v>
      </c>
      <c r="Q1329" s="4" t="s">
        <v>2308</v>
      </c>
      <c r="R1329" s="4" t="s">
        <v>2308</v>
      </c>
      <c r="S1329" s="4" t="s">
        <v>2308</v>
      </c>
      <c r="T1329" s="4" t="s">
        <v>2308</v>
      </c>
      <c r="U1329" s="4" t="s">
        <v>2308</v>
      </c>
      <c r="V1329" s="4" t="s">
        <v>2308</v>
      </c>
      <c r="W1329" s="4" t="s">
        <v>2308</v>
      </c>
      <c r="X1329" s="4" t="s">
        <v>2308</v>
      </c>
      <c r="Y1329" s="4" t="s">
        <v>2308</v>
      </c>
      <c r="Z1329" s="4" t="s">
        <v>2308</v>
      </c>
      <c r="AA1329" s="5" t="s">
        <v>4063</v>
      </c>
      <c r="AB1329" s="4"/>
    </row>
    <row r="1330" spans="1:28" ht="47" customHeight="1">
      <c r="A1330" s="7" t="str">
        <f>'Reported burning'!A1330</f>
        <v>157c</v>
      </c>
      <c r="B1330" s="7" t="str">
        <f>'Reported burning'!B1330</f>
        <v>157c.3</v>
      </c>
      <c r="C1330" s="7" t="str">
        <f>'Reported burning'!C1330</f>
        <v>Human, deliberate</v>
      </c>
      <c r="D1330" s="7" t="str">
        <f>'Reported burning'!D1330</f>
        <v>Pasture renewal</v>
      </c>
      <c r="E1330" s="7" t="str">
        <f>'Reported burning'!E1330</f>
        <v>Mixed cropping-livestock small holder, Subsistence-oriented</v>
      </c>
      <c r="F1330" s="7" t="str">
        <f>'Reported burning'!F1330</f>
        <v>Pasture</v>
      </c>
      <c r="G1330" s="7" t="str">
        <f>'Reported burning'!G1330</f>
        <v>ND</v>
      </c>
      <c r="H1330" s="7" t="str">
        <f>'Reported burning'!H1330</f>
        <v>Presence</v>
      </c>
      <c r="I1330" s="4"/>
      <c r="J1330" s="4" t="s">
        <v>2308</v>
      </c>
      <c r="K1330" s="4" t="s">
        <v>2308</v>
      </c>
      <c r="L1330" s="4" t="s">
        <v>2308</v>
      </c>
      <c r="M1330" s="4" t="s">
        <v>2308</v>
      </c>
      <c r="N1330" s="4" t="s">
        <v>2308</v>
      </c>
      <c r="O1330" s="4" t="s">
        <v>2308</v>
      </c>
      <c r="P1330" s="4" t="s">
        <v>2308</v>
      </c>
      <c r="Q1330" s="4" t="s">
        <v>2308</v>
      </c>
      <c r="R1330" s="4" t="s">
        <v>2308</v>
      </c>
      <c r="S1330" s="4" t="s">
        <v>2308</v>
      </c>
      <c r="T1330" s="4" t="s">
        <v>2308</v>
      </c>
      <c r="U1330" s="4" t="s">
        <v>2308</v>
      </c>
      <c r="V1330" s="4" t="s">
        <v>2308</v>
      </c>
      <c r="W1330" s="4" t="s">
        <v>2308</v>
      </c>
      <c r="X1330" s="4" t="s">
        <v>2308</v>
      </c>
      <c r="Y1330" s="4" t="s">
        <v>2308</v>
      </c>
      <c r="Z1330" s="4" t="s">
        <v>2308</v>
      </c>
      <c r="AA1330" s="5" t="s">
        <v>4062</v>
      </c>
      <c r="AB1330" s="4"/>
    </row>
    <row r="1331" spans="1:28" ht="47" customHeight="1">
      <c r="A1331" s="7" t="str">
        <f>'Reported burning'!A1331</f>
        <v>157c</v>
      </c>
      <c r="B1331" s="7" t="str">
        <f>'Reported burning'!B1331</f>
        <v>157c.4</v>
      </c>
      <c r="C1331" s="7" t="str">
        <f>'Reported burning'!C1331</f>
        <v>Human, deliberate</v>
      </c>
      <c r="D1331" s="7" t="str">
        <f>'Reported burning'!D1331</f>
        <v>Rangeland management</v>
      </c>
      <c r="E1331" s="7" t="str">
        <f>'Reported burning'!E1331</f>
        <v>Mixed cropping-livestock small holder, Subsistence-oriented</v>
      </c>
      <c r="F1331" s="7" t="str">
        <f>'Reported burning'!F1331</f>
        <v>Shrubland (Mixed forest &amp; grassland)</v>
      </c>
      <c r="G1331" s="7" t="str">
        <f>'Reported burning'!G1331</f>
        <v>ND</v>
      </c>
      <c r="H1331" s="7" t="str">
        <f>'Reported burning'!H1331</f>
        <v>Presence</v>
      </c>
      <c r="I1331" s="4"/>
      <c r="J1331" s="4" t="s">
        <v>2308</v>
      </c>
      <c r="K1331" s="4" t="s">
        <v>2308</v>
      </c>
      <c r="L1331" s="4" t="s">
        <v>2308</v>
      </c>
      <c r="M1331" s="4" t="s">
        <v>2308</v>
      </c>
      <c r="N1331" s="4" t="s">
        <v>2308</v>
      </c>
      <c r="O1331" s="4" t="s">
        <v>2308</v>
      </c>
      <c r="P1331" s="4" t="s">
        <v>2308</v>
      </c>
      <c r="Q1331" s="4" t="s">
        <v>2308</v>
      </c>
      <c r="R1331" s="4" t="s">
        <v>2308</v>
      </c>
      <c r="S1331" s="4" t="s">
        <v>2308</v>
      </c>
      <c r="T1331" s="4" t="s">
        <v>2308</v>
      </c>
      <c r="U1331" s="4" t="s">
        <v>2308</v>
      </c>
      <c r="V1331" s="4" t="s">
        <v>2308</v>
      </c>
      <c r="W1331" s="4" t="s">
        <v>2308</v>
      </c>
      <c r="X1331" s="4" t="s">
        <v>2308</v>
      </c>
      <c r="Y1331" s="4" t="s">
        <v>2308</v>
      </c>
      <c r="Z1331" s="4" t="s">
        <v>2308</v>
      </c>
      <c r="AA1331" s="5" t="s">
        <v>4063</v>
      </c>
      <c r="AB1331" s="4"/>
    </row>
    <row r="1332" spans="1:28" ht="33" customHeight="1">
      <c r="A1332" s="7" t="str">
        <f>'Reported burning'!A1332</f>
        <v>158a</v>
      </c>
      <c r="B1332" s="7" t="str">
        <f>'Reported burning'!B1332</f>
        <v>158a.1</v>
      </c>
      <c r="C1332" s="7" t="str">
        <f>'Reported burning'!C1332</f>
        <v>Human, deliberate</v>
      </c>
      <c r="D1332" s="7" t="str">
        <f>'Reported burning'!D1332</f>
        <v>Rangeland management</v>
      </c>
      <c r="E1332" s="7" t="str">
        <f>'Reported burning'!E1332</f>
        <v>Pastoralism, Migratory</v>
      </c>
      <c r="F1332" s="7" t="str">
        <f>'Reported burning'!F1332</f>
        <v>Shrubland (Mixed forest &amp; grassland)</v>
      </c>
      <c r="G1332" s="7" t="str">
        <f>'Reported burning'!G1332</f>
        <v>ND</v>
      </c>
      <c r="H1332" s="7" t="str">
        <f>'Reported burning'!H1332</f>
        <v>Presence</v>
      </c>
      <c r="I1332" s="4"/>
      <c r="J1332" s="4" t="s">
        <v>2308</v>
      </c>
      <c r="K1332" s="4" t="s">
        <v>2308</v>
      </c>
      <c r="L1332" s="4" t="s">
        <v>2308</v>
      </c>
      <c r="M1332" s="4" t="s">
        <v>2308</v>
      </c>
      <c r="N1332" s="4" t="s">
        <v>2308</v>
      </c>
      <c r="O1332" s="4" t="s">
        <v>2308</v>
      </c>
      <c r="P1332" s="4" t="s">
        <v>2308</v>
      </c>
      <c r="Q1332" s="4" t="s">
        <v>2308</v>
      </c>
      <c r="R1332" s="4" t="s">
        <v>2308</v>
      </c>
      <c r="S1332" s="4" t="s">
        <v>2308</v>
      </c>
      <c r="T1332" s="4" t="s">
        <v>2308</v>
      </c>
      <c r="U1332" s="4" t="s">
        <v>2308</v>
      </c>
      <c r="V1332" s="4" t="s">
        <v>2308</v>
      </c>
      <c r="W1332" s="4" t="s">
        <v>2308</v>
      </c>
      <c r="X1332" s="4" t="s">
        <v>35</v>
      </c>
      <c r="Y1332" s="4" t="s">
        <v>38</v>
      </c>
      <c r="Z1332" s="4" t="s">
        <v>2308</v>
      </c>
      <c r="AA1332" s="4"/>
      <c r="AB1332" s="4"/>
    </row>
    <row r="1333" spans="1:28" ht="33" customHeight="1">
      <c r="A1333" s="7" t="str">
        <f>'Reported burning'!A1333</f>
        <v>158a</v>
      </c>
      <c r="B1333" s="7" t="str">
        <f>'Reported burning'!B1333</f>
        <v>158a.2</v>
      </c>
      <c r="C1333" s="7" t="str">
        <f>'Reported burning'!C1333</f>
        <v>Human, deliberate</v>
      </c>
      <c r="D1333" s="7" t="str">
        <f>'Reported burning'!D1333</f>
        <v>Pasture renewal</v>
      </c>
      <c r="E1333" s="7" t="str">
        <f>'Reported burning'!E1333</f>
        <v>Pastoralism, Migratory</v>
      </c>
      <c r="F1333" s="7" t="str">
        <f>'Reported burning'!F1333</f>
        <v>Pasture</v>
      </c>
      <c r="G1333" s="7" t="str">
        <f>'Reported burning'!G1333</f>
        <v>ND</v>
      </c>
      <c r="H1333" s="7" t="str">
        <f>'Reported burning'!H1333</f>
        <v>Presence</v>
      </c>
      <c r="I1333" s="4"/>
      <c r="J1333" s="4" t="s">
        <v>2308</v>
      </c>
      <c r="K1333" s="4" t="s">
        <v>2308</v>
      </c>
      <c r="L1333" s="4" t="s">
        <v>2308</v>
      </c>
      <c r="M1333" s="4" t="s">
        <v>2308</v>
      </c>
      <c r="N1333" s="4" t="s">
        <v>2308</v>
      </c>
      <c r="O1333" s="4" t="s">
        <v>2308</v>
      </c>
      <c r="P1333" s="4" t="s">
        <v>2308</v>
      </c>
      <c r="Q1333" s="4" t="s">
        <v>2308</v>
      </c>
      <c r="R1333" s="4" t="s">
        <v>2308</v>
      </c>
      <c r="S1333" s="4" t="s">
        <v>2308</v>
      </c>
      <c r="T1333" s="4" t="s">
        <v>2308</v>
      </c>
      <c r="U1333" s="4" t="s">
        <v>2308</v>
      </c>
      <c r="V1333" s="4" t="s">
        <v>2308</v>
      </c>
      <c r="W1333" s="4" t="s">
        <v>2308</v>
      </c>
      <c r="X1333" s="4" t="s">
        <v>35</v>
      </c>
      <c r="Y1333" s="4" t="s">
        <v>38</v>
      </c>
      <c r="Z1333" s="4" t="s">
        <v>2308</v>
      </c>
      <c r="AA1333" s="4"/>
      <c r="AB1333" s="4"/>
    </row>
    <row r="1334" spans="1:28" ht="33" customHeight="1">
      <c r="A1334" s="7" t="str">
        <f>'Reported burning'!A1334</f>
        <v>158a</v>
      </c>
      <c r="B1334" s="7" t="str">
        <f>'Reported burning'!B1334</f>
        <v>158a.3</v>
      </c>
      <c r="C1334" s="7" t="str">
        <f>'Reported burning'!C1334</f>
        <v>Human, escaped</v>
      </c>
      <c r="D1334" s="7" t="str">
        <f>'Reported burning'!D1334</f>
        <v>ND</v>
      </c>
      <c r="E1334" s="7" t="str">
        <f>'Reported burning'!E1334</f>
        <v>Pastoralism, Migratory</v>
      </c>
      <c r="F1334" s="7" t="str">
        <f>'Reported burning'!F1334</f>
        <v>ND</v>
      </c>
      <c r="G1334" s="7" t="str">
        <f>'Reported burning'!G1334</f>
        <v>Forest</v>
      </c>
      <c r="H1334" s="7" t="str">
        <f>'Reported burning'!H1334</f>
        <v>Presence</v>
      </c>
      <c r="I1334" s="4"/>
      <c r="J1334" s="4" t="s">
        <v>2308</v>
      </c>
      <c r="K1334" s="4" t="s">
        <v>2308</v>
      </c>
      <c r="L1334" s="4" t="s">
        <v>2308</v>
      </c>
      <c r="M1334" s="4" t="s">
        <v>2308</v>
      </c>
      <c r="N1334" s="4" t="s">
        <v>2308</v>
      </c>
      <c r="O1334" s="4" t="s">
        <v>2308</v>
      </c>
      <c r="P1334" s="4" t="s">
        <v>2308</v>
      </c>
      <c r="Q1334" s="4" t="s">
        <v>2308</v>
      </c>
      <c r="R1334" s="4" t="s">
        <v>2308</v>
      </c>
      <c r="S1334" s="4" t="s">
        <v>2308</v>
      </c>
      <c r="T1334" s="4" t="s">
        <v>2308</v>
      </c>
      <c r="U1334" s="4" t="s">
        <v>2308</v>
      </c>
      <c r="V1334" s="4" t="s">
        <v>2308</v>
      </c>
      <c r="W1334" s="4" t="s">
        <v>2308</v>
      </c>
      <c r="X1334" s="4" t="s">
        <v>35</v>
      </c>
      <c r="Y1334" s="4" t="s">
        <v>38</v>
      </c>
      <c r="Z1334" s="4" t="s">
        <v>2308</v>
      </c>
      <c r="AA1334" s="4"/>
      <c r="AB1334" s="4"/>
    </row>
    <row r="1335" spans="1:28" ht="33" customHeight="1">
      <c r="A1335" s="7" t="str">
        <f>'Reported burning'!A1335</f>
        <v>158a</v>
      </c>
      <c r="B1335" s="7" t="str">
        <f>'Reported burning'!B1335</f>
        <v>158a.4</v>
      </c>
      <c r="C1335" s="7" t="str">
        <f>'Reported burning'!C1335</f>
        <v>Human, deliberate</v>
      </c>
      <c r="D1335" s="7" t="str">
        <f>'Reported burning'!D1335</f>
        <v>Rangeland management</v>
      </c>
      <c r="E1335" s="7" t="str">
        <f>'Reported burning'!E1335</f>
        <v>Cattle, Extensive</v>
      </c>
      <c r="F1335" s="7" t="str">
        <f>'Reported burning'!F1335</f>
        <v>Shrubland (Mixed forest &amp; grassland)</v>
      </c>
      <c r="G1335" s="7" t="str">
        <f>'Reported burning'!G1335</f>
        <v>ND</v>
      </c>
      <c r="H1335" s="7" t="str">
        <f>'Reported burning'!H1335</f>
        <v>Presence</v>
      </c>
      <c r="I1335" s="4"/>
      <c r="J1335" s="4" t="s">
        <v>2308</v>
      </c>
      <c r="K1335" s="4" t="s">
        <v>2308</v>
      </c>
      <c r="L1335" s="4" t="s">
        <v>2308</v>
      </c>
      <c r="M1335" s="4" t="s">
        <v>2308</v>
      </c>
      <c r="N1335" s="4" t="s">
        <v>2308</v>
      </c>
      <c r="O1335" s="4" t="s">
        <v>2308</v>
      </c>
      <c r="P1335" s="4" t="s">
        <v>2308</v>
      </c>
      <c r="Q1335" s="4" t="s">
        <v>2308</v>
      </c>
      <c r="R1335" s="4" t="s">
        <v>2308</v>
      </c>
      <c r="S1335" s="4" t="s">
        <v>2308</v>
      </c>
      <c r="T1335" s="4" t="s">
        <v>2308</v>
      </c>
      <c r="U1335" s="4" t="s">
        <v>2308</v>
      </c>
      <c r="V1335" s="4" t="s">
        <v>2308</v>
      </c>
      <c r="W1335" s="4" t="s">
        <v>2308</v>
      </c>
      <c r="X1335" s="4" t="s">
        <v>2308</v>
      </c>
      <c r="Y1335" s="4" t="s">
        <v>2308</v>
      </c>
      <c r="Z1335" s="4" t="s">
        <v>2308</v>
      </c>
      <c r="AA1335" s="4"/>
      <c r="AB1335" s="4"/>
    </row>
    <row r="1336" spans="1:28" ht="33" customHeight="1">
      <c r="A1336" s="7" t="str">
        <f>'Reported burning'!A1336</f>
        <v>158a</v>
      </c>
      <c r="B1336" s="7" t="str">
        <f>'Reported burning'!B1336</f>
        <v>158a.5</v>
      </c>
      <c r="C1336" s="7" t="str">
        <f>'Reported burning'!C1336</f>
        <v>Human, deliberate</v>
      </c>
      <c r="D1336" s="7" t="str">
        <f>'Reported burning'!D1336</f>
        <v>Pasture renewal</v>
      </c>
      <c r="E1336" s="7" t="str">
        <f>'Reported burning'!E1336</f>
        <v>Cattle, Extensive</v>
      </c>
      <c r="F1336" s="7" t="str">
        <f>'Reported burning'!F1336</f>
        <v>Pasture</v>
      </c>
      <c r="G1336" s="7" t="str">
        <f>'Reported burning'!G1336</f>
        <v>ND</v>
      </c>
      <c r="H1336" s="7" t="str">
        <f>'Reported burning'!H1336</f>
        <v>Presence</v>
      </c>
      <c r="I1336" s="4"/>
      <c r="J1336" s="4" t="s">
        <v>2308</v>
      </c>
      <c r="K1336" s="4" t="s">
        <v>2308</v>
      </c>
      <c r="L1336" s="4" t="s">
        <v>2308</v>
      </c>
      <c r="M1336" s="4" t="s">
        <v>2308</v>
      </c>
      <c r="N1336" s="4" t="s">
        <v>2308</v>
      </c>
      <c r="O1336" s="4" t="s">
        <v>2308</v>
      </c>
      <c r="P1336" s="4" t="s">
        <v>2308</v>
      </c>
      <c r="Q1336" s="4" t="s">
        <v>2308</v>
      </c>
      <c r="R1336" s="4" t="s">
        <v>2308</v>
      </c>
      <c r="S1336" s="4" t="s">
        <v>2308</v>
      </c>
      <c r="T1336" s="4" t="s">
        <v>2308</v>
      </c>
      <c r="U1336" s="4" t="s">
        <v>2308</v>
      </c>
      <c r="V1336" s="4" t="s">
        <v>2308</v>
      </c>
      <c r="W1336" s="4" t="s">
        <v>2308</v>
      </c>
      <c r="X1336" s="4" t="s">
        <v>2308</v>
      </c>
      <c r="Y1336" s="4" t="s">
        <v>2308</v>
      </c>
      <c r="Z1336" s="4" t="s">
        <v>2308</v>
      </c>
      <c r="AA1336" s="4"/>
      <c r="AB1336" s="4"/>
    </row>
    <row r="1337" spans="1:28" ht="33" customHeight="1">
      <c r="A1337" s="7" t="str">
        <f>'Reported burning'!A1337</f>
        <v>158a</v>
      </c>
      <c r="B1337" s="7" t="str">
        <f>'Reported burning'!B1337</f>
        <v>158a.6</v>
      </c>
      <c r="C1337" s="7" t="str">
        <f>'Reported burning'!C1337</f>
        <v>Human, deliberate</v>
      </c>
      <c r="D1337" s="7" t="str">
        <f>'Reported burning'!D1337</f>
        <v>ND</v>
      </c>
      <c r="E1337" s="7" t="str">
        <f>'Reported burning'!E1337</f>
        <v>Cattle, Extensive</v>
      </c>
      <c r="F1337" s="7" t="str">
        <f>'Reported burning'!F1337</f>
        <v>Forest</v>
      </c>
      <c r="G1337" s="7" t="str">
        <f>'Reported burning'!G1337</f>
        <v>Forest</v>
      </c>
      <c r="H1337" s="7" t="str">
        <f>'Reported burning'!H1337</f>
        <v>Presence</v>
      </c>
      <c r="I1337" s="4"/>
      <c r="J1337" s="4" t="s">
        <v>2308</v>
      </c>
      <c r="K1337" s="4" t="s">
        <v>2308</v>
      </c>
      <c r="L1337" s="4" t="s">
        <v>2308</v>
      </c>
      <c r="M1337" s="4" t="s">
        <v>2308</v>
      </c>
      <c r="N1337" s="4" t="s">
        <v>2308</v>
      </c>
      <c r="O1337" s="4" t="s">
        <v>2308</v>
      </c>
      <c r="P1337" s="4" t="s">
        <v>2308</v>
      </c>
      <c r="Q1337" s="4" t="s">
        <v>2308</v>
      </c>
      <c r="R1337" s="4" t="s">
        <v>2308</v>
      </c>
      <c r="S1337" s="4" t="s">
        <v>2308</v>
      </c>
      <c r="T1337" s="4" t="s">
        <v>2308</v>
      </c>
      <c r="U1337" s="4" t="s">
        <v>2308</v>
      </c>
      <c r="V1337" s="4" t="s">
        <v>2308</v>
      </c>
      <c r="W1337" s="4" t="s">
        <v>2308</v>
      </c>
      <c r="X1337" s="4" t="s">
        <v>2308</v>
      </c>
      <c r="Y1337" s="4" t="s">
        <v>2308</v>
      </c>
      <c r="Z1337" s="4" t="s">
        <v>2308</v>
      </c>
      <c r="AA1337" s="4"/>
      <c r="AB1337" s="4"/>
    </row>
    <row r="1338" spans="1:28" ht="33" customHeight="1">
      <c r="A1338" s="7" t="str">
        <f>'Reported burning'!A1338</f>
        <v>158a</v>
      </c>
      <c r="B1338" s="7" t="str">
        <f>'Reported burning'!B1338</f>
        <v>158a.7</v>
      </c>
      <c r="C1338" s="7" t="str">
        <f>'Reported burning'!C1338</f>
        <v>Human, deliberate</v>
      </c>
      <c r="D1338" s="7" t="str">
        <f>'Reported burning'!D1338</f>
        <v>Forest clearance</v>
      </c>
      <c r="E1338" s="7" t="str">
        <f>'Reported burning'!E1338</f>
        <v>Cropping, Monoculture, Subsistence-oriented</v>
      </c>
      <c r="F1338" s="7" t="str">
        <f>'Reported burning'!F1338</f>
        <v>Forest</v>
      </c>
      <c r="G1338" s="7" t="str">
        <f>'Reported burning'!G1338</f>
        <v>Forest</v>
      </c>
      <c r="H1338" s="7" t="str">
        <f>'Reported burning'!H1338</f>
        <v>Presence</v>
      </c>
      <c r="I1338" s="4"/>
      <c r="J1338" s="4" t="s">
        <v>2308</v>
      </c>
      <c r="K1338" s="4" t="s">
        <v>2308</v>
      </c>
      <c r="L1338" s="4" t="s">
        <v>2308</v>
      </c>
      <c r="M1338" s="4" t="s">
        <v>2308</v>
      </c>
      <c r="N1338" s="4" t="s">
        <v>2308</v>
      </c>
      <c r="O1338" s="4" t="s">
        <v>2308</v>
      </c>
      <c r="P1338" s="4" t="s">
        <v>2308</v>
      </c>
      <c r="Q1338" s="4" t="s">
        <v>2308</v>
      </c>
      <c r="R1338" s="4" t="s">
        <v>2308</v>
      </c>
      <c r="S1338" s="4" t="s">
        <v>2308</v>
      </c>
      <c r="T1338" s="4" t="s">
        <v>2308</v>
      </c>
      <c r="U1338" s="4" t="s">
        <v>2308</v>
      </c>
      <c r="V1338" s="4" t="s">
        <v>2308</v>
      </c>
      <c r="W1338" s="4" t="s">
        <v>2308</v>
      </c>
      <c r="X1338" s="4" t="s">
        <v>2308</v>
      </c>
      <c r="Y1338" s="4" t="s">
        <v>2308</v>
      </c>
      <c r="Z1338" s="4" t="s">
        <v>2308</v>
      </c>
      <c r="AA1338" s="4"/>
      <c r="AB1338" s="4"/>
    </row>
    <row r="1339" spans="1:28" ht="61" customHeight="1">
      <c r="A1339" s="7" t="str">
        <f>'Reported burning'!A1339</f>
        <v>159a</v>
      </c>
      <c r="B1339" s="7" t="str">
        <f>'Reported burning'!B1339</f>
        <v>159a.1</v>
      </c>
      <c r="C1339" s="7" t="str">
        <f>'Reported burning'!C1339</f>
        <v>Human, deliberate</v>
      </c>
      <c r="D1339" s="7" t="str">
        <f>'Reported burning'!D1339</f>
        <v>Rangeland management</v>
      </c>
      <c r="E1339" s="7" t="str">
        <f>'Reported burning'!E1339</f>
        <v>Pastoralism, Migratory</v>
      </c>
      <c r="F1339" s="7" t="str">
        <f>'Reported burning'!F1339</f>
        <v>Grassland</v>
      </c>
      <c r="G1339" s="7" t="str">
        <f>'Reported burning'!G1339</f>
        <v>ND</v>
      </c>
      <c r="H1339" s="7" t="str">
        <f>'Reported burning'!H1339</f>
        <v>Absence</v>
      </c>
      <c r="I1339" s="4"/>
      <c r="J1339" s="4" t="s">
        <v>2396</v>
      </c>
      <c r="K1339" s="4" t="s">
        <v>2396</v>
      </c>
      <c r="L1339" s="4" t="s">
        <v>2396</v>
      </c>
      <c r="M1339" s="4" t="s">
        <v>2396</v>
      </c>
      <c r="N1339" s="4" t="s">
        <v>2396</v>
      </c>
      <c r="O1339" s="4" t="s">
        <v>2396</v>
      </c>
      <c r="P1339" s="4" t="s">
        <v>2396</v>
      </c>
      <c r="Q1339" s="4" t="s">
        <v>2396</v>
      </c>
      <c r="R1339" s="4" t="s">
        <v>2396</v>
      </c>
      <c r="S1339" s="4" t="s">
        <v>2396</v>
      </c>
      <c r="T1339" s="4" t="s">
        <v>2396</v>
      </c>
      <c r="U1339" s="4" t="s">
        <v>2396</v>
      </c>
      <c r="V1339" s="4" t="s">
        <v>2396</v>
      </c>
      <c r="W1339" s="4" t="s">
        <v>2396</v>
      </c>
      <c r="X1339" s="4" t="s">
        <v>2308</v>
      </c>
      <c r="Y1339" s="4" t="s">
        <v>2308</v>
      </c>
      <c r="Z1339" s="4" t="s">
        <v>2308</v>
      </c>
      <c r="AA1339" s="5" t="s">
        <v>4096</v>
      </c>
      <c r="AB1339" s="4"/>
    </row>
    <row r="1340" spans="1:28" ht="61" customHeight="1">
      <c r="A1340" s="7" t="str">
        <f>'Reported burning'!A1340</f>
        <v>159b</v>
      </c>
      <c r="B1340" s="7" t="str">
        <f>'Reported burning'!B1340</f>
        <v>159b.1</v>
      </c>
      <c r="C1340" s="7" t="str">
        <f>'Reported burning'!C1340</f>
        <v>Human, deliberate</v>
      </c>
      <c r="D1340" s="7" t="str">
        <f>'Reported burning'!D1340</f>
        <v>Rangeland management</v>
      </c>
      <c r="E1340" s="7" t="str">
        <f>'Reported burning'!E1340</f>
        <v>Pastoralism, Migratory</v>
      </c>
      <c r="F1340" s="7" t="str">
        <f>'Reported burning'!F1340</f>
        <v>Grassland</v>
      </c>
      <c r="G1340" s="7" t="str">
        <f>'Reported burning'!G1340</f>
        <v>ND</v>
      </c>
      <c r="H1340" s="7" t="str">
        <f>'Reported burning'!H1340</f>
        <v>Absence</v>
      </c>
      <c r="I1340" s="4"/>
      <c r="J1340" s="4" t="s">
        <v>2396</v>
      </c>
      <c r="K1340" s="4" t="s">
        <v>2396</v>
      </c>
      <c r="L1340" s="4" t="s">
        <v>2396</v>
      </c>
      <c r="M1340" s="4" t="s">
        <v>2396</v>
      </c>
      <c r="N1340" s="4" t="s">
        <v>2396</v>
      </c>
      <c r="O1340" s="4" t="s">
        <v>2396</v>
      </c>
      <c r="P1340" s="4" t="s">
        <v>2396</v>
      </c>
      <c r="Q1340" s="4" t="s">
        <v>2396</v>
      </c>
      <c r="R1340" s="4" t="s">
        <v>2396</v>
      </c>
      <c r="S1340" s="4" t="s">
        <v>2396</v>
      </c>
      <c r="T1340" s="4" t="s">
        <v>2396</v>
      </c>
      <c r="U1340" s="4" t="s">
        <v>2396</v>
      </c>
      <c r="V1340" s="4" t="s">
        <v>2396</v>
      </c>
      <c r="W1340" s="4" t="s">
        <v>2396</v>
      </c>
      <c r="X1340" s="4" t="s">
        <v>2308</v>
      </c>
      <c r="Y1340" s="4" t="s">
        <v>2308</v>
      </c>
      <c r="Z1340" s="4" t="s">
        <v>2308</v>
      </c>
      <c r="AA1340" s="5" t="s">
        <v>4096</v>
      </c>
      <c r="AB1340" s="4"/>
    </row>
    <row r="1341" spans="1:28" ht="61" customHeight="1">
      <c r="A1341" s="7" t="str">
        <f>'Reported burning'!A1341</f>
        <v>159c</v>
      </c>
      <c r="B1341" s="7" t="str">
        <f>'Reported burning'!B1341</f>
        <v>159c.1</v>
      </c>
      <c r="C1341" s="7" t="str">
        <f>'Reported burning'!C1341</f>
        <v>Human, deliberate</v>
      </c>
      <c r="D1341" s="7" t="str">
        <f>'Reported burning'!D1341</f>
        <v>Rangeland management</v>
      </c>
      <c r="E1341" s="7" t="str">
        <f>'Reported burning'!E1341</f>
        <v>Pastoralism, Migratory</v>
      </c>
      <c r="F1341" s="7" t="str">
        <f>'Reported burning'!F1341</f>
        <v>Grassland</v>
      </c>
      <c r="G1341" s="7" t="str">
        <f>'Reported burning'!G1341</f>
        <v>ND</v>
      </c>
      <c r="H1341" s="7" t="str">
        <f>'Reported burning'!H1341</f>
        <v>Absence</v>
      </c>
      <c r="I1341" s="4"/>
      <c r="J1341" s="4" t="s">
        <v>2396</v>
      </c>
      <c r="K1341" s="4" t="s">
        <v>2396</v>
      </c>
      <c r="L1341" s="4" t="s">
        <v>2396</v>
      </c>
      <c r="M1341" s="4" t="s">
        <v>2396</v>
      </c>
      <c r="N1341" s="4" t="s">
        <v>2396</v>
      </c>
      <c r="O1341" s="4" t="s">
        <v>2396</v>
      </c>
      <c r="P1341" s="4" t="s">
        <v>2396</v>
      </c>
      <c r="Q1341" s="4" t="s">
        <v>2396</v>
      </c>
      <c r="R1341" s="4" t="s">
        <v>2396</v>
      </c>
      <c r="S1341" s="4" t="s">
        <v>2396</v>
      </c>
      <c r="T1341" s="4" t="s">
        <v>2396</v>
      </c>
      <c r="U1341" s="4" t="s">
        <v>2396</v>
      </c>
      <c r="V1341" s="4" t="s">
        <v>2396</v>
      </c>
      <c r="W1341" s="4" t="s">
        <v>2396</v>
      </c>
      <c r="X1341" s="4" t="s">
        <v>2308</v>
      </c>
      <c r="Y1341" s="4" t="s">
        <v>2308</v>
      </c>
      <c r="Z1341" s="4" t="s">
        <v>2308</v>
      </c>
      <c r="AA1341" s="5" t="s">
        <v>4096</v>
      </c>
      <c r="AB1341" s="4"/>
    </row>
    <row r="1342" spans="1:28" ht="61" customHeight="1">
      <c r="A1342" s="7" t="str">
        <f>'Reported burning'!A1342</f>
        <v>159d</v>
      </c>
      <c r="B1342" s="7" t="str">
        <f>'Reported burning'!B1342</f>
        <v>159d.1</v>
      </c>
      <c r="C1342" s="7" t="str">
        <f>'Reported burning'!C1342</f>
        <v>Human, deliberate</v>
      </c>
      <c r="D1342" s="7" t="str">
        <f>'Reported burning'!D1342</f>
        <v>Rangeland management</v>
      </c>
      <c r="E1342" s="7" t="str">
        <f>'Reported burning'!E1342</f>
        <v>Pastoralism, Migratory</v>
      </c>
      <c r="F1342" s="7" t="str">
        <f>'Reported burning'!F1342</f>
        <v>Grassland</v>
      </c>
      <c r="G1342" s="7" t="str">
        <f>'Reported burning'!G1342</f>
        <v>ND</v>
      </c>
      <c r="H1342" s="7" t="str">
        <f>'Reported burning'!H1342</f>
        <v>Absence</v>
      </c>
      <c r="I1342" s="4"/>
      <c r="J1342" s="4" t="s">
        <v>2396</v>
      </c>
      <c r="K1342" s="4" t="s">
        <v>2396</v>
      </c>
      <c r="L1342" s="4" t="s">
        <v>2396</v>
      </c>
      <c r="M1342" s="4" t="s">
        <v>2396</v>
      </c>
      <c r="N1342" s="4" t="s">
        <v>2396</v>
      </c>
      <c r="O1342" s="4" t="s">
        <v>2396</v>
      </c>
      <c r="P1342" s="4" t="s">
        <v>2396</v>
      </c>
      <c r="Q1342" s="4" t="s">
        <v>2396</v>
      </c>
      <c r="R1342" s="4" t="s">
        <v>2396</v>
      </c>
      <c r="S1342" s="4" t="s">
        <v>2396</v>
      </c>
      <c r="T1342" s="4" t="s">
        <v>2396</v>
      </c>
      <c r="U1342" s="4" t="s">
        <v>2396</v>
      </c>
      <c r="V1342" s="4" t="s">
        <v>2396</v>
      </c>
      <c r="W1342" s="4" t="s">
        <v>2396</v>
      </c>
      <c r="X1342" s="4" t="s">
        <v>2308</v>
      </c>
      <c r="Y1342" s="4" t="s">
        <v>2308</v>
      </c>
      <c r="Z1342" s="4" t="s">
        <v>2308</v>
      </c>
      <c r="AA1342" s="5" t="s">
        <v>4096</v>
      </c>
      <c r="AB1342" s="4"/>
    </row>
    <row r="1343" spans="1:28" ht="61" customHeight="1">
      <c r="A1343" s="7" t="str">
        <f>'Reported burning'!A1343</f>
        <v>159a</v>
      </c>
      <c r="B1343" s="7" t="str">
        <f>'Reported burning'!B1343</f>
        <v>159a.2</v>
      </c>
      <c r="C1343" s="7" t="str">
        <f>'Reported burning'!C1343</f>
        <v>Human, deliberate</v>
      </c>
      <c r="D1343" s="7" t="str">
        <f>'Reported burning'!D1343</f>
        <v>Rangeland management</v>
      </c>
      <c r="E1343" s="7" t="str">
        <f>'Reported burning'!E1343</f>
        <v>Pastoralism, Migratory</v>
      </c>
      <c r="F1343" s="7" t="str">
        <f>'Reported burning'!F1343</f>
        <v>Shrubland (Mixed forest &amp; grassland)</v>
      </c>
      <c r="G1343" s="7" t="str">
        <f>'Reported burning'!G1343</f>
        <v>ND</v>
      </c>
      <c r="H1343" s="7" t="str">
        <f>'Reported burning'!H1343</f>
        <v>Absence</v>
      </c>
      <c r="I1343" s="4"/>
      <c r="J1343" s="4" t="s">
        <v>2396</v>
      </c>
      <c r="K1343" s="4" t="s">
        <v>2396</v>
      </c>
      <c r="L1343" s="4" t="s">
        <v>2396</v>
      </c>
      <c r="M1343" s="4" t="s">
        <v>2396</v>
      </c>
      <c r="N1343" s="4" t="s">
        <v>2396</v>
      </c>
      <c r="O1343" s="4" t="s">
        <v>2396</v>
      </c>
      <c r="P1343" s="4" t="s">
        <v>2396</v>
      </c>
      <c r="Q1343" s="4" t="s">
        <v>2396</v>
      </c>
      <c r="R1343" s="4" t="s">
        <v>2396</v>
      </c>
      <c r="S1343" s="4" t="s">
        <v>2396</v>
      </c>
      <c r="T1343" s="4" t="s">
        <v>2396</v>
      </c>
      <c r="U1343" s="4" t="s">
        <v>2396</v>
      </c>
      <c r="V1343" s="4" t="s">
        <v>2396</v>
      </c>
      <c r="W1343" s="4" t="s">
        <v>2396</v>
      </c>
      <c r="X1343" s="4" t="s">
        <v>2308</v>
      </c>
      <c r="Y1343" s="4" t="s">
        <v>2308</v>
      </c>
      <c r="Z1343" s="4" t="s">
        <v>2308</v>
      </c>
      <c r="AA1343" s="5" t="s">
        <v>4096</v>
      </c>
      <c r="AB1343" s="4"/>
    </row>
    <row r="1344" spans="1:28" ht="61" customHeight="1">
      <c r="A1344" s="7" t="str">
        <f>'Reported burning'!A1344</f>
        <v>159b</v>
      </c>
      <c r="B1344" s="7" t="str">
        <f>'Reported burning'!B1344</f>
        <v>159b.2</v>
      </c>
      <c r="C1344" s="7" t="str">
        <f>'Reported burning'!C1344</f>
        <v>Human, deliberate</v>
      </c>
      <c r="D1344" s="7" t="str">
        <f>'Reported burning'!D1344</f>
        <v>Rangeland management</v>
      </c>
      <c r="E1344" s="7" t="str">
        <f>'Reported burning'!E1344</f>
        <v>Pastoralism, Migratory</v>
      </c>
      <c r="F1344" s="7" t="str">
        <f>'Reported burning'!F1344</f>
        <v>Shrubland (Mixed forest &amp; grassland)</v>
      </c>
      <c r="G1344" s="7" t="str">
        <f>'Reported burning'!G1344</f>
        <v>ND</v>
      </c>
      <c r="H1344" s="7" t="str">
        <f>'Reported burning'!H1344</f>
        <v>Absence</v>
      </c>
      <c r="I1344" s="4"/>
      <c r="J1344" s="4" t="s">
        <v>2396</v>
      </c>
      <c r="K1344" s="4" t="s">
        <v>2396</v>
      </c>
      <c r="L1344" s="4" t="s">
        <v>2396</v>
      </c>
      <c r="M1344" s="4" t="s">
        <v>2396</v>
      </c>
      <c r="N1344" s="4" t="s">
        <v>2396</v>
      </c>
      <c r="O1344" s="4" t="s">
        <v>2396</v>
      </c>
      <c r="P1344" s="4" t="s">
        <v>2396</v>
      </c>
      <c r="Q1344" s="4" t="s">
        <v>2396</v>
      </c>
      <c r="R1344" s="4" t="s">
        <v>2396</v>
      </c>
      <c r="S1344" s="4" t="s">
        <v>2396</v>
      </c>
      <c r="T1344" s="4" t="s">
        <v>2396</v>
      </c>
      <c r="U1344" s="4" t="s">
        <v>2396</v>
      </c>
      <c r="V1344" s="4" t="s">
        <v>2396</v>
      </c>
      <c r="W1344" s="4" t="s">
        <v>2396</v>
      </c>
      <c r="X1344" s="4" t="s">
        <v>2308</v>
      </c>
      <c r="Y1344" s="4" t="s">
        <v>2308</v>
      </c>
      <c r="Z1344" s="4" t="s">
        <v>2308</v>
      </c>
      <c r="AA1344" s="5" t="s">
        <v>4096</v>
      </c>
      <c r="AB1344" s="4"/>
    </row>
    <row r="1345" spans="1:28" ht="61" customHeight="1">
      <c r="A1345" s="7" t="str">
        <f>'Reported burning'!A1345</f>
        <v>159c</v>
      </c>
      <c r="B1345" s="7" t="str">
        <f>'Reported burning'!B1345</f>
        <v>159c.2</v>
      </c>
      <c r="C1345" s="7" t="str">
        <f>'Reported burning'!C1345</f>
        <v>Human, deliberate</v>
      </c>
      <c r="D1345" s="7" t="str">
        <f>'Reported burning'!D1345</f>
        <v>Rangeland management</v>
      </c>
      <c r="E1345" s="7" t="str">
        <f>'Reported burning'!E1345</f>
        <v>Pastoralism, Migratory</v>
      </c>
      <c r="F1345" s="7" t="str">
        <f>'Reported burning'!F1345</f>
        <v>Shrubland (Mixed forest &amp; grassland)</v>
      </c>
      <c r="G1345" s="7" t="str">
        <f>'Reported burning'!G1345</f>
        <v>ND</v>
      </c>
      <c r="H1345" s="7" t="str">
        <f>'Reported burning'!H1345</f>
        <v>Absence</v>
      </c>
      <c r="I1345" s="4"/>
      <c r="J1345" s="4" t="s">
        <v>2396</v>
      </c>
      <c r="K1345" s="4" t="s">
        <v>2396</v>
      </c>
      <c r="L1345" s="4" t="s">
        <v>2396</v>
      </c>
      <c r="M1345" s="4" t="s">
        <v>2396</v>
      </c>
      <c r="N1345" s="4" t="s">
        <v>2396</v>
      </c>
      <c r="O1345" s="4" t="s">
        <v>2396</v>
      </c>
      <c r="P1345" s="4" t="s">
        <v>2396</v>
      </c>
      <c r="Q1345" s="4" t="s">
        <v>2396</v>
      </c>
      <c r="R1345" s="4" t="s">
        <v>2396</v>
      </c>
      <c r="S1345" s="4" t="s">
        <v>2396</v>
      </c>
      <c r="T1345" s="4" t="s">
        <v>2396</v>
      </c>
      <c r="U1345" s="4" t="s">
        <v>2396</v>
      </c>
      <c r="V1345" s="4" t="s">
        <v>2396</v>
      </c>
      <c r="W1345" s="4" t="s">
        <v>2396</v>
      </c>
      <c r="X1345" s="4" t="s">
        <v>2308</v>
      </c>
      <c r="Y1345" s="4" t="s">
        <v>2308</v>
      </c>
      <c r="Z1345" s="4" t="s">
        <v>2308</v>
      </c>
      <c r="AA1345" s="5" t="s">
        <v>4096</v>
      </c>
      <c r="AB1345" s="4"/>
    </row>
    <row r="1346" spans="1:28" ht="61" customHeight="1">
      <c r="A1346" s="7" t="str">
        <f>'Reported burning'!A1346</f>
        <v>159d</v>
      </c>
      <c r="B1346" s="7" t="str">
        <f>'Reported burning'!B1346</f>
        <v>159d.2</v>
      </c>
      <c r="C1346" s="7" t="str">
        <f>'Reported burning'!C1346</f>
        <v>Human, deliberate</v>
      </c>
      <c r="D1346" s="7" t="str">
        <f>'Reported burning'!D1346</f>
        <v>Rangeland management</v>
      </c>
      <c r="E1346" s="7" t="str">
        <f>'Reported burning'!E1346</f>
        <v>Pastoralism, Migratory</v>
      </c>
      <c r="F1346" s="7" t="str">
        <f>'Reported burning'!F1346</f>
        <v>Shrubland (Mixed forest &amp; grassland)</v>
      </c>
      <c r="G1346" s="7" t="str">
        <f>'Reported burning'!G1346</f>
        <v>ND</v>
      </c>
      <c r="H1346" s="7" t="str">
        <f>'Reported burning'!H1346</f>
        <v>Absence</v>
      </c>
      <c r="I1346" s="4"/>
      <c r="J1346" s="4" t="s">
        <v>2396</v>
      </c>
      <c r="K1346" s="4" t="s">
        <v>2396</v>
      </c>
      <c r="L1346" s="4" t="s">
        <v>2396</v>
      </c>
      <c r="M1346" s="4" t="s">
        <v>2396</v>
      </c>
      <c r="N1346" s="4" t="s">
        <v>2396</v>
      </c>
      <c r="O1346" s="4" t="s">
        <v>2396</v>
      </c>
      <c r="P1346" s="4" t="s">
        <v>2396</v>
      </c>
      <c r="Q1346" s="4" t="s">
        <v>2396</v>
      </c>
      <c r="R1346" s="4" t="s">
        <v>2396</v>
      </c>
      <c r="S1346" s="4" t="s">
        <v>2396</v>
      </c>
      <c r="T1346" s="4" t="s">
        <v>2396</v>
      </c>
      <c r="U1346" s="4" t="s">
        <v>2396</v>
      </c>
      <c r="V1346" s="4" t="s">
        <v>2396</v>
      </c>
      <c r="W1346" s="4" t="s">
        <v>2396</v>
      </c>
      <c r="X1346" s="4" t="s">
        <v>2308</v>
      </c>
      <c r="Y1346" s="4" t="s">
        <v>2308</v>
      </c>
      <c r="Z1346" s="4" t="s">
        <v>2308</v>
      </c>
      <c r="AA1346" s="5" t="s">
        <v>4096</v>
      </c>
      <c r="AB1346" s="4"/>
    </row>
    <row r="1347" spans="1:28" ht="41" customHeight="1">
      <c r="A1347" s="7" t="str">
        <f>'Reported burning'!A1347</f>
        <v>160a</v>
      </c>
      <c r="B1347" s="7" t="str">
        <f>'Reported burning'!B1347</f>
        <v>160a.1</v>
      </c>
      <c r="C1347" s="7" t="str">
        <f>'Reported burning'!C1347</f>
        <v>Unknown</v>
      </c>
      <c r="D1347" s="7" t="str">
        <f>'Reported burning'!D1347</f>
        <v>ND</v>
      </c>
      <c r="E1347" s="7" t="str">
        <f>'Reported burning'!E1347</f>
        <v>ND</v>
      </c>
      <c r="F1347" s="7" t="str">
        <f>'Reported burning'!F1347</f>
        <v>ND</v>
      </c>
      <c r="G1347" s="7" t="str">
        <f>'Reported burning'!G1347</f>
        <v>Forest</v>
      </c>
      <c r="H1347" s="7" t="str">
        <f>'Reported burning'!H1347</f>
        <v>Presence</v>
      </c>
      <c r="I1347" s="4">
        <v>2007</v>
      </c>
      <c r="J1347" s="4" t="s">
        <v>2308</v>
      </c>
      <c r="K1347" s="4" t="s">
        <v>2308</v>
      </c>
      <c r="L1347" s="4" t="s">
        <v>2308</v>
      </c>
      <c r="M1347" s="4" t="s">
        <v>2308</v>
      </c>
      <c r="N1347" s="4" t="s">
        <v>2308</v>
      </c>
      <c r="O1347" s="4" t="s">
        <v>2308</v>
      </c>
      <c r="P1347" s="4" t="s">
        <v>2308</v>
      </c>
      <c r="Q1347" s="4" t="s">
        <v>2308</v>
      </c>
      <c r="R1347" s="4" t="s">
        <v>2308</v>
      </c>
      <c r="S1347" s="4" t="s">
        <v>2308</v>
      </c>
      <c r="T1347" s="4" t="s">
        <v>2308</v>
      </c>
      <c r="U1347" s="4" t="s">
        <v>2308</v>
      </c>
      <c r="V1347" s="4" t="s">
        <v>2308</v>
      </c>
      <c r="W1347" s="4" t="s">
        <v>2308</v>
      </c>
      <c r="X1347" s="4" t="s">
        <v>2308</v>
      </c>
      <c r="Y1347" s="4" t="s">
        <v>2308</v>
      </c>
      <c r="Z1347" s="4" t="s">
        <v>2308</v>
      </c>
      <c r="AA1347" s="5" t="s">
        <v>4120</v>
      </c>
      <c r="AB1347" s="4"/>
    </row>
    <row r="1348" spans="1:28" ht="41" customHeight="1">
      <c r="A1348" s="161" t="str">
        <f>'Reported burning'!A1348</f>
        <v>160f</v>
      </c>
      <c r="B1348" s="161" t="str">
        <f>'Reported burning'!B1348</f>
        <v>160f.1</v>
      </c>
      <c r="C1348" s="161" t="str">
        <f>'Reported burning'!C1348</f>
        <v>Unknown</v>
      </c>
      <c r="D1348" s="161" t="str">
        <f>'Reported burning'!D1348</f>
        <v>ND</v>
      </c>
      <c r="E1348" s="161" t="str">
        <f>'Reported burning'!E1348</f>
        <v>ND</v>
      </c>
      <c r="F1348" s="161" t="str">
        <f>'Reported burning'!F1348</f>
        <v>ND</v>
      </c>
      <c r="G1348" s="161" t="str">
        <f>'Reported burning'!G1348</f>
        <v>Forest</v>
      </c>
      <c r="H1348" s="161" t="str">
        <f>'Reported burning'!H1348</f>
        <v>Presence</v>
      </c>
      <c r="I1348" s="4">
        <v>2007</v>
      </c>
      <c r="J1348" s="4" t="s">
        <v>2308</v>
      </c>
      <c r="K1348" s="4" t="s">
        <v>2308</v>
      </c>
      <c r="L1348" s="4" t="s">
        <v>2308</v>
      </c>
      <c r="M1348" s="4" t="s">
        <v>2308</v>
      </c>
      <c r="N1348" s="4" t="s">
        <v>2308</v>
      </c>
      <c r="O1348" s="4" t="s">
        <v>2308</v>
      </c>
      <c r="P1348" s="4" t="s">
        <v>2308</v>
      </c>
      <c r="Q1348" s="4" t="s">
        <v>2308</v>
      </c>
      <c r="R1348" s="4" t="s">
        <v>2308</v>
      </c>
      <c r="S1348" s="4" t="s">
        <v>2308</v>
      </c>
      <c r="T1348" s="4" t="s">
        <v>2308</v>
      </c>
      <c r="U1348" s="4" t="s">
        <v>2308</v>
      </c>
      <c r="V1348" s="4" t="s">
        <v>2308</v>
      </c>
      <c r="W1348" s="4" t="s">
        <v>2308</v>
      </c>
      <c r="X1348" s="4" t="s">
        <v>2308</v>
      </c>
      <c r="Y1348" s="4" t="s">
        <v>2308</v>
      </c>
      <c r="Z1348" s="4" t="s">
        <v>2308</v>
      </c>
      <c r="AA1348" s="5" t="s">
        <v>4120</v>
      </c>
      <c r="AB1348" s="4"/>
    </row>
    <row r="1349" spans="1:28" ht="41" customHeight="1">
      <c r="A1349" s="161" t="str">
        <f>'Reported burning'!A1349</f>
        <v>160a</v>
      </c>
      <c r="B1349" s="161" t="str">
        <f>'Reported burning'!B1349</f>
        <v>160a.2</v>
      </c>
      <c r="C1349" s="161" t="str">
        <f>'Reported burning'!C1349</f>
        <v>Unknown</v>
      </c>
      <c r="D1349" s="161" t="str">
        <f>'Reported burning'!D1349</f>
        <v>ND</v>
      </c>
      <c r="E1349" s="161" t="str">
        <f>'Reported burning'!E1349</f>
        <v>ND</v>
      </c>
      <c r="F1349" s="161" t="str">
        <f>'Reported burning'!F1349</f>
        <v>ND</v>
      </c>
      <c r="G1349" s="161" t="str">
        <f>'Reported burning'!G1349</f>
        <v>Cropland</v>
      </c>
      <c r="H1349" s="161" t="str">
        <f>'Reported burning'!H1349</f>
        <v>Presence</v>
      </c>
      <c r="I1349" s="4">
        <v>2007</v>
      </c>
      <c r="J1349" s="4" t="s">
        <v>2308</v>
      </c>
      <c r="K1349" s="4" t="s">
        <v>2308</v>
      </c>
      <c r="L1349" s="4" t="s">
        <v>2308</v>
      </c>
      <c r="M1349" s="4" t="s">
        <v>2308</v>
      </c>
      <c r="N1349" s="4" t="s">
        <v>2308</v>
      </c>
      <c r="O1349" s="4" t="s">
        <v>2308</v>
      </c>
      <c r="P1349" s="4" t="s">
        <v>2308</v>
      </c>
      <c r="Q1349" s="4" t="s">
        <v>2308</v>
      </c>
      <c r="R1349" s="4" t="s">
        <v>2308</v>
      </c>
      <c r="S1349" s="4" t="s">
        <v>2308</v>
      </c>
      <c r="T1349" s="4" t="s">
        <v>2308</v>
      </c>
      <c r="U1349" s="4" t="s">
        <v>2308</v>
      </c>
      <c r="V1349" s="4" t="s">
        <v>2308</v>
      </c>
      <c r="W1349" s="4" t="s">
        <v>2308</v>
      </c>
      <c r="X1349" s="4" t="s">
        <v>2308</v>
      </c>
      <c r="Y1349" s="4" t="s">
        <v>2308</v>
      </c>
      <c r="Z1349" s="4" t="s">
        <v>2308</v>
      </c>
      <c r="AA1349" s="5" t="s">
        <v>4120</v>
      </c>
      <c r="AB1349" s="4"/>
    </row>
    <row r="1350" spans="1:28" ht="41" customHeight="1">
      <c r="A1350" s="161" t="str">
        <f>'Reported burning'!A1350</f>
        <v>160f</v>
      </c>
      <c r="B1350" s="161" t="str">
        <f>'Reported burning'!B1350</f>
        <v>160f.2</v>
      </c>
      <c r="C1350" s="161" t="str">
        <f>'Reported burning'!C1350</f>
        <v>Unknown</v>
      </c>
      <c r="D1350" s="161" t="str">
        <f>'Reported burning'!D1350</f>
        <v>ND</v>
      </c>
      <c r="E1350" s="161" t="str">
        <f>'Reported burning'!E1350</f>
        <v>ND</v>
      </c>
      <c r="F1350" s="161" t="str">
        <f>'Reported burning'!F1350</f>
        <v>ND</v>
      </c>
      <c r="G1350" s="161" t="str">
        <f>'Reported burning'!G1350</f>
        <v>Cropland</v>
      </c>
      <c r="H1350" s="161" t="str">
        <f>'Reported burning'!H1350</f>
        <v>Presence</v>
      </c>
      <c r="I1350" s="4">
        <v>2007</v>
      </c>
      <c r="J1350" s="4" t="s">
        <v>2308</v>
      </c>
      <c r="K1350" s="4" t="s">
        <v>2308</v>
      </c>
      <c r="L1350" s="4" t="s">
        <v>2308</v>
      </c>
      <c r="M1350" s="4" t="s">
        <v>2308</v>
      </c>
      <c r="N1350" s="4" t="s">
        <v>2308</v>
      </c>
      <c r="O1350" s="4" t="s">
        <v>2308</v>
      </c>
      <c r="P1350" s="4" t="s">
        <v>2308</v>
      </c>
      <c r="Q1350" s="4" t="s">
        <v>2308</v>
      </c>
      <c r="R1350" s="4" t="s">
        <v>2308</v>
      </c>
      <c r="S1350" s="4" t="s">
        <v>2308</v>
      </c>
      <c r="T1350" s="4" t="s">
        <v>2308</v>
      </c>
      <c r="U1350" s="4" t="s">
        <v>2308</v>
      </c>
      <c r="V1350" s="4" t="s">
        <v>2308</v>
      </c>
      <c r="W1350" s="4" t="s">
        <v>2308</v>
      </c>
      <c r="X1350" s="4" t="s">
        <v>2308</v>
      </c>
      <c r="Y1350" s="4" t="s">
        <v>2308</v>
      </c>
      <c r="Z1350" s="4" t="s">
        <v>2308</v>
      </c>
      <c r="AA1350" s="5" t="s">
        <v>4120</v>
      </c>
      <c r="AB1350" s="4"/>
    </row>
    <row r="1351" spans="1:28" ht="41" customHeight="1">
      <c r="A1351" s="161" t="str">
        <f>'Reported burning'!A1351</f>
        <v>160a</v>
      </c>
      <c r="B1351" s="161" t="str">
        <f>'Reported burning'!B1351</f>
        <v>160a.3</v>
      </c>
      <c r="C1351" s="161" t="str">
        <f>'Reported burning'!C1351</f>
        <v>Unknown</v>
      </c>
      <c r="D1351" s="161" t="str">
        <f>'Reported burning'!D1351</f>
        <v>ND</v>
      </c>
      <c r="E1351" s="161" t="str">
        <f>'Reported burning'!E1351</f>
        <v>ND</v>
      </c>
      <c r="F1351" s="161" t="str">
        <f>'Reported burning'!F1351</f>
        <v>ND</v>
      </c>
      <c r="G1351" s="161" t="str">
        <f>'Reported burning'!G1351</f>
        <v>Shrubland (Mixed forest &amp; grassland)</v>
      </c>
      <c r="H1351" s="161" t="str">
        <f>'Reported burning'!H1351</f>
        <v>Presence</v>
      </c>
      <c r="I1351" s="4">
        <v>2007</v>
      </c>
      <c r="J1351" s="4" t="s">
        <v>2308</v>
      </c>
      <c r="K1351" s="4" t="s">
        <v>2308</v>
      </c>
      <c r="L1351" s="4" t="s">
        <v>2308</v>
      </c>
      <c r="M1351" s="4" t="s">
        <v>2308</v>
      </c>
      <c r="N1351" s="4" t="s">
        <v>2308</v>
      </c>
      <c r="O1351" s="4" t="s">
        <v>2308</v>
      </c>
      <c r="P1351" s="4" t="s">
        <v>2308</v>
      </c>
      <c r="Q1351" s="4" t="s">
        <v>2308</v>
      </c>
      <c r="R1351" s="4" t="s">
        <v>2308</v>
      </c>
      <c r="S1351" s="4" t="s">
        <v>2308</v>
      </c>
      <c r="T1351" s="4" t="s">
        <v>2308</v>
      </c>
      <c r="U1351" s="4" t="s">
        <v>2308</v>
      </c>
      <c r="V1351" s="4" t="s">
        <v>2308</v>
      </c>
      <c r="W1351" s="4" t="s">
        <v>2308</v>
      </c>
      <c r="X1351" s="4" t="s">
        <v>2308</v>
      </c>
      <c r="Y1351" s="4" t="s">
        <v>2308</v>
      </c>
      <c r="Z1351" s="4" t="s">
        <v>2308</v>
      </c>
      <c r="AA1351" s="5" t="s">
        <v>4120</v>
      </c>
      <c r="AB1351" s="4"/>
    </row>
    <row r="1352" spans="1:28" ht="41" customHeight="1">
      <c r="A1352" s="161" t="str">
        <f>'Reported burning'!A1352</f>
        <v>160f</v>
      </c>
      <c r="B1352" s="161" t="str">
        <f>'Reported burning'!B1352</f>
        <v>160f.3</v>
      </c>
      <c r="C1352" s="161" t="str">
        <f>'Reported burning'!C1352</f>
        <v>Unknown</v>
      </c>
      <c r="D1352" s="161" t="str">
        <f>'Reported burning'!D1352</f>
        <v>ND</v>
      </c>
      <c r="E1352" s="161" t="str">
        <f>'Reported burning'!E1352</f>
        <v>ND</v>
      </c>
      <c r="F1352" s="161" t="str">
        <f>'Reported burning'!F1352</f>
        <v>ND</v>
      </c>
      <c r="G1352" s="161" t="str">
        <f>'Reported burning'!G1352</f>
        <v>Shrubland (Mixed forest &amp; grassland)</v>
      </c>
      <c r="H1352" s="161" t="str">
        <f>'Reported burning'!H1352</f>
        <v>Presence</v>
      </c>
      <c r="I1352" s="4">
        <v>2007</v>
      </c>
      <c r="J1352" s="4" t="s">
        <v>2308</v>
      </c>
      <c r="K1352" s="4" t="s">
        <v>2308</v>
      </c>
      <c r="L1352" s="4" t="s">
        <v>2308</v>
      </c>
      <c r="M1352" s="4" t="s">
        <v>2308</v>
      </c>
      <c r="N1352" s="4" t="s">
        <v>2308</v>
      </c>
      <c r="O1352" s="4" t="s">
        <v>2308</v>
      </c>
      <c r="P1352" s="4" t="s">
        <v>2308</v>
      </c>
      <c r="Q1352" s="4" t="s">
        <v>2308</v>
      </c>
      <c r="R1352" s="4" t="s">
        <v>2308</v>
      </c>
      <c r="S1352" s="4" t="s">
        <v>2308</v>
      </c>
      <c r="T1352" s="4" t="s">
        <v>2308</v>
      </c>
      <c r="U1352" s="4" t="s">
        <v>2308</v>
      </c>
      <c r="V1352" s="4" t="s">
        <v>2308</v>
      </c>
      <c r="W1352" s="4" t="s">
        <v>2308</v>
      </c>
      <c r="X1352" s="4" t="s">
        <v>2308</v>
      </c>
      <c r="Y1352" s="4" t="s">
        <v>2308</v>
      </c>
      <c r="Z1352" s="4" t="s">
        <v>2308</v>
      </c>
      <c r="AA1352" s="5" t="s">
        <v>4120</v>
      </c>
      <c r="AB1352" s="4"/>
    </row>
    <row r="1353" spans="1:28" ht="29" customHeight="1">
      <c r="A1353" s="161" t="str">
        <f>'Reported burning'!A1353</f>
        <v>161a</v>
      </c>
      <c r="B1353" s="161" t="str">
        <f>'Reported burning'!B1353</f>
        <v>161a.1</v>
      </c>
      <c r="C1353" s="161" t="str">
        <f>'Reported burning'!C1353</f>
        <v>Human, deliberate</v>
      </c>
      <c r="D1353" s="161" t="str">
        <f>'Reported burning'!D1353</f>
        <v>Rangeland management</v>
      </c>
      <c r="E1353" s="161" t="str">
        <f>'Reported burning'!E1353</f>
        <v>Pastoralism, Migratory</v>
      </c>
      <c r="F1353" s="161" t="str">
        <f>'Reported burning'!F1353</f>
        <v>Grassland</v>
      </c>
      <c r="G1353" s="161" t="str">
        <f>'Reported burning'!G1353</f>
        <v>ND</v>
      </c>
      <c r="H1353" s="161" t="str">
        <f>'Reported burning'!H1353</f>
        <v>Absence</v>
      </c>
      <c r="I1353" s="4"/>
      <c r="J1353" s="4" t="s">
        <v>2396</v>
      </c>
      <c r="K1353" s="4" t="s">
        <v>2396</v>
      </c>
      <c r="L1353" s="4" t="s">
        <v>2396</v>
      </c>
      <c r="M1353" s="4" t="s">
        <v>2396</v>
      </c>
      <c r="N1353" s="4" t="s">
        <v>2396</v>
      </c>
      <c r="O1353" s="4" t="s">
        <v>2396</v>
      </c>
      <c r="P1353" s="4" t="s">
        <v>2396</v>
      </c>
      <c r="Q1353" s="4" t="s">
        <v>2396</v>
      </c>
      <c r="R1353" s="4" t="s">
        <v>2396</v>
      </c>
      <c r="S1353" s="4" t="s">
        <v>2396</v>
      </c>
      <c r="T1353" s="4" t="s">
        <v>2396</v>
      </c>
      <c r="U1353" s="4" t="s">
        <v>2396</v>
      </c>
      <c r="V1353" s="4" t="s">
        <v>2396</v>
      </c>
      <c r="W1353" s="4" t="s">
        <v>2308</v>
      </c>
      <c r="X1353" s="4" t="s">
        <v>2308</v>
      </c>
      <c r="Y1353" s="4" t="s">
        <v>2308</v>
      </c>
      <c r="Z1353" s="4" t="s">
        <v>2308</v>
      </c>
      <c r="AA1353" s="4"/>
      <c r="AB1353" s="4"/>
    </row>
    <row r="1354" spans="1:28" ht="29" customHeight="1">
      <c r="A1354" s="161" t="str">
        <f>'Reported burning'!A1354</f>
        <v>161a</v>
      </c>
      <c r="B1354" s="161" t="str">
        <f>'Reported burning'!B1354</f>
        <v>161a.2</v>
      </c>
      <c r="C1354" s="161" t="str">
        <f>'Reported burning'!C1354</f>
        <v>Human, deliberate</v>
      </c>
      <c r="D1354" s="161" t="str">
        <f>'Reported burning'!D1354</f>
        <v>Rangeland management</v>
      </c>
      <c r="E1354" s="161" t="str">
        <f>'Reported burning'!E1354</f>
        <v>Pastoralism, Migratory</v>
      </c>
      <c r="F1354" s="161" t="str">
        <f>'Reported burning'!F1354</f>
        <v>Forest</v>
      </c>
      <c r="G1354" s="161" t="str">
        <f>'Reported burning'!G1354</f>
        <v>ND</v>
      </c>
      <c r="H1354" s="161" t="str">
        <f>'Reported burning'!H1354</f>
        <v>Absence</v>
      </c>
      <c r="I1354" s="4"/>
      <c r="J1354" s="4" t="s">
        <v>2396</v>
      </c>
      <c r="K1354" s="4" t="s">
        <v>2396</v>
      </c>
      <c r="L1354" s="4" t="s">
        <v>2396</v>
      </c>
      <c r="M1354" s="4" t="s">
        <v>2396</v>
      </c>
      <c r="N1354" s="4" t="s">
        <v>2396</v>
      </c>
      <c r="O1354" s="4" t="s">
        <v>2396</v>
      </c>
      <c r="P1354" s="4" t="s">
        <v>2396</v>
      </c>
      <c r="Q1354" s="4" t="s">
        <v>2396</v>
      </c>
      <c r="R1354" s="4" t="s">
        <v>2396</v>
      </c>
      <c r="S1354" s="4" t="s">
        <v>2396</v>
      </c>
      <c r="T1354" s="4" t="s">
        <v>2396</v>
      </c>
      <c r="U1354" s="4" t="s">
        <v>2396</v>
      </c>
      <c r="V1354" s="4" t="s">
        <v>2396</v>
      </c>
      <c r="W1354" s="4" t="s">
        <v>2308</v>
      </c>
      <c r="X1354" s="4" t="s">
        <v>2308</v>
      </c>
      <c r="Y1354" s="4" t="s">
        <v>2308</v>
      </c>
      <c r="Z1354" s="4" t="s">
        <v>2308</v>
      </c>
      <c r="AA1354" s="4"/>
      <c r="AB1354" s="4"/>
    </row>
    <row r="1355" spans="1:28" ht="29" customHeight="1">
      <c r="A1355" s="161" t="str">
        <f>'Reported burning'!A1355</f>
        <v>161a</v>
      </c>
      <c r="B1355" s="161" t="str">
        <f>'Reported burning'!B1355</f>
        <v>161a.3</v>
      </c>
      <c r="C1355" s="161" t="str">
        <f>'Reported burning'!C1355</f>
        <v>Human, deliberate</v>
      </c>
      <c r="D1355" s="161" t="str">
        <f>'Reported burning'!D1355</f>
        <v>Rangeland management</v>
      </c>
      <c r="E1355" s="161" t="str">
        <f>'Reported burning'!E1355</f>
        <v>Pastoralism, Migratory</v>
      </c>
      <c r="F1355" s="161" t="str">
        <f>'Reported burning'!F1355</f>
        <v>Shrubland (Mixed forest &amp; grassland)</v>
      </c>
      <c r="G1355" s="161" t="str">
        <f>'Reported burning'!G1355</f>
        <v>ND</v>
      </c>
      <c r="H1355" s="161" t="str">
        <f>'Reported burning'!H1355</f>
        <v>Absence</v>
      </c>
      <c r="I1355" s="4"/>
      <c r="J1355" s="4" t="s">
        <v>2396</v>
      </c>
      <c r="K1355" s="4" t="s">
        <v>2396</v>
      </c>
      <c r="L1355" s="4" t="s">
        <v>2396</v>
      </c>
      <c r="M1355" s="4" t="s">
        <v>2396</v>
      </c>
      <c r="N1355" s="4" t="s">
        <v>2396</v>
      </c>
      <c r="O1355" s="4" t="s">
        <v>2396</v>
      </c>
      <c r="P1355" s="4" t="s">
        <v>2396</v>
      </c>
      <c r="Q1355" s="4" t="s">
        <v>2396</v>
      </c>
      <c r="R1355" s="4" t="s">
        <v>2396</v>
      </c>
      <c r="S1355" s="4" t="s">
        <v>2396</v>
      </c>
      <c r="T1355" s="4" t="s">
        <v>2396</v>
      </c>
      <c r="U1355" s="4" t="s">
        <v>2396</v>
      </c>
      <c r="V1355" s="4" t="s">
        <v>2396</v>
      </c>
      <c r="W1355" s="4" t="s">
        <v>2308</v>
      </c>
      <c r="X1355" s="4" t="s">
        <v>2308</v>
      </c>
      <c r="Y1355" s="4" t="s">
        <v>2308</v>
      </c>
      <c r="Z1355" s="4" t="s">
        <v>2308</v>
      </c>
      <c r="AA1355" s="4"/>
      <c r="AB1355" s="4"/>
    </row>
    <row r="1356" spans="1:28" ht="29" customHeight="1">
      <c r="A1356" s="161" t="str">
        <f>'Reported burning'!A1356</f>
        <v>161a</v>
      </c>
      <c r="B1356" s="161" t="str">
        <f>'Reported burning'!B1356</f>
        <v>161a.4</v>
      </c>
      <c r="C1356" s="161" t="str">
        <f>'Reported burning'!C1356</f>
        <v>Human, accidental</v>
      </c>
      <c r="D1356" s="161" t="str">
        <f>'Reported burning'!D1356</f>
        <v>ND</v>
      </c>
      <c r="E1356" s="161" t="str">
        <f>'Reported burning'!E1356</f>
        <v>ND</v>
      </c>
      <c r="F1356" s="161" t="str">
        <f>'Reported burning'!F1356</f>
        <v>ND</v>
      </c>
      <c r="G1356" s="161" t="str">
        <f>'Reported burning'!G1356</f>
        <v>Forest</v>
      </c>
      <c r="H1356" s="161" t="str">
        <f>'Reported burning'!H1356</f>
        <v>Presence</v>
      </c>
      <c r="I1356" s="4"/>
      <c r="J1356" s="4" t="s">
        <v>2396</v>
      </c>
      <c r="K1356" s="4" t="s">
        <v>2396</v>
      </c>
      <c r="L1356" s="4" t="s">
        <v>2396</v>
      </c>
      <c r="M1356" s="4" t="s">
        <v>2396</v>
      </c>
      <c r="N1356" s="4" t="s">
        <v>2396</v>
      </c>
      <c r="O1356" s="4" t="s">
        <v>2396</v>
      </c>
      <c r="P1356" s="4" t="s">
        <v>2396</v>
      </c>
      <c r="Q1356" s="4" t="s">
        <v>2396</v>
      </c>
      <c r="R1356" s="4" t="s">
        <v>2396</v>
      </c>
      <c r="S1356" s="4" t="s">
        <v>2396</v>
      </c>
      <c r="T1356" s="4" t="s">
        <v>2396</v>
      </c>
      <c r="U1356" s="4" t="s">
        <v>2396</v>
      </c>
      <c r="V1356" s="4" t="s">
        <v>2396</v>
      </c>
      <c r="W1356" s="4" t="s">
        <v>2308</v>
      </c>
      <c r="X1356" s="4" t="s">
        <v>195</v>
      </c>
      <c r="Y1356" s="4" t="s">
        <v>34</v>
      </c>
      <c r="Z1356" s="4" t="s">
        <v>2308</v>
      </c>
      <c r="AA1356" s="4"/>
      <c r="AB1356" s="4"/>
    </row>
    <row r="1357" spans="1:28" ht="29" customHeight="1">
      <c r="A1357" s="161" t="str">
        <f>'Reported burning'!A1357</f>
        <v>161a</v>
      </c>
      <c r="B1357" s="161" t="str">
        <f>'Reported burning'!B1357</f>
        <v>161a.5</v>
      </c>
      <c r="C1357" s="161" t="str">
        <f>'Reported burning'!C1357</f>
        <v>Human, accidental</v>
      </c>
      <c r="D1357" s="161" t="str">
        <f>'Reported burning'!D1357</f>
        <v>ND</v>
      </c>
      <c r="E1357" s="161" t="str">
        <f>'Reported burning'!E1357</f>
        <v>ND</v>
      </c>
      <c r="F1357" s="161" t="str">
        <f>'Reported burning'!F1357</f>
        <v>ND</v>
      </c>
      <c r="G1357" s="161" t="str">
        <f>'Reported burning'!G1357</f>
        <v>Forest</v>
      </c>
      <c r="H1357" s="161" t="str">
        <f>'Reported burning'!H1357</f>
        <v>Presence</v>
      </c>
      <c r="I1357" s="4">
        <v>1994</v>
      </c>
      <c r="J1357" s="4" t="s">
        <v>2308</v>
      </c>
      <c r="K1357" s="4" t="s">
        <v>2308</v>
      </c>
      <c r="L1357" s="4" t="s">
        <v>2308</v>
      </c>
      <c r="M1357" s="4" t="s">
        <v>2308</v>
      </c>
      <c r="N1357" s="4" t="s">
        <v>2308</v>
      </c>
      <c r="O1357" s="4" t="s">
        <v>2308</v>
      </c>
      <c r="P1357" s="4" t="s">
        <v>2308</v>
      </c>
      <c r="Q1357" s="4" t="s">
        <v>2308</v>
      </c>
      <c r="R1357" s="4" t="s">
        <v>2308</v>
      </c>
      <c r="S1357" s="4" t="s">
        <v>2308</v>
      </c>
      <c r="T1357" s="4" t="s">
        <v>2406</v>
      </c>
      <c r="U1357" s="4" t="s">
        <v>2308</v>
      </c>
      <c r="V1357" s="4" t="s">
        <v>2308</v>
      </c>
      <c r="W1357" s="4" t="s">
        <v>2308</v>
      </c>
      <c r="X1357" s="4" t="s">
        <v>195</v>
      </c>
      <c r="Y1357" s="4" t="s">
        <v>34</v>
      </c>
      <c r="Z1357" s="4" t="s">
        <v>2308</v>
      </c>
      <c r="AA1357" s="4"/>
      <c r="AB1357" s="4" t="s">
        <v>4155</v>
      </c>
    </row>
    <row r="1358" spans="1:28" ht="29" customHeight="1">
      <c r="A1358" s="161" t="str">
        <f>'Reported burning'!A1358</f>
        <v>161a</v>
      </c>
      <c r="B1358" s="161" t="str">
        <f>'Reported burning'!B1358</f>
        <v>161a.6</v>
      </c>
      <c r="C1358" s="161" t="str">
        <f>'Reported burning'!C1358</f>
        <v>Human, accidental</v>
      </c>
      <c r="D1358" s="161" t="str">
        <f>'Reported burning'!D1358</f>
        <v>ND</v>
      </c>
      <c r="E1358" s="161" t="str">
        <f>'Reported burning'!E1358</f>
        <v>ND</v>
      </c>
      <c r="F1358" s="161" t="str">
        <f>'Reported burning'!F1358</f>
        <v>ND</v>
      </c>
      <c r="G1358" s="161" t="str">
        <f>'Reported burning'!G1358</f>
        <v>Forest</v>
      </c>
      <c r="H1358" s="161" t="str">
        <f>'Reported burning'!H1358</f>
        <v>Presence</v>
      </c>
      <c r="I1358" s="4">
        <v>1996</v>
      </c>
      <c r="J1358" s="4" t="s">
        <v>2308</v>
      </c>
      <c r="K1358" s="4" t="s">
        <v>2308</v>
      </c>
      <c r="L1358" s="4" t="s">
        <v>2308</v>
      </c>
      <c r="M1358" s="4" t="s">
        <v>2308</v>
      </c>
      <c r="N1358" s="4" t="s">
        <v>2308</v>
      </c>
      <c r="O1358" s="4" t="s">
        <v>2308</v>
      </c>
      <c r="P1358" s="4" t="s">
        <v>2308</v>
      </c>
      <c r="Q1358" s="4" t="s">
        <v>2308</v>
      </c>
      <c r="R1358" s="4" t="s">
        <v>2308</v>
      </c>
      <c r="S1358" s="4" t="s">
        <v>2308</v>
      </c>
      <c r="T1358" s="4" t="s">
        <v>2406</v>
      </c>
      <c r="U1358" s="4" t="s">
        <v>2308</v>
      </c>
      <c r="V1358" s="4" t="s">
        <v>2308</v>
      </c>
      <c r="W1358" s="4" t="s">
        <v>2308</v>
      </c>
      <c r="X1358" s="4" t="s">
        <v>195</v>
      </c>
      <c r="Y1358" s="4" t="s">
        <v>34</v>
      </c>
      <c r="Z1358" s="4" t="s">
        <v>2308</v>
      </c>
      <c r="AA1358" s="4"/>
      <c r="AB1358" s="4" t="s">
        <v>4155</v>
      </c>
    </row>
    <row r="1359" spans="1:28" ht="29" customHeight="1">
      <c r="A1359" s="161" t="str">
        <f>'Reported burning'!A1359</f>
        <v>161a</v>
      </c>
      <c r="B1359" s="161" t="str">
        <f>'Reported burning'!B1359</f>
        <v>161a.7</v>
      </c>
      <c r="C1359" s="161" t="str">
        <f>'Reported burning'!C1359</f>
        <v>Human, accidental</v>
      </c>
      <c r="D1359" s="161" t="str">
        <f>'Reported burning'!D1359</f>
        <v>ND</v>
      </c>
      <c r="E1359" s="161" t="str">
        <f>'Reported burning'!E1359</f>
        <v>ND</v>
      </c>
      <c r="F1359" s="161" t="str">
        <f>'Reported burning'!F1359</f>
        <v>ND</v>
      </c>
      <c r="G1359" s="161" t="str">
        <f>'Reported burning'!G1359</f>
        <v>Forest</v>
      </c>
      <c r="H1359" s="161" t="str">
        <f>'Reported burning'!H1359</f>
        <v>Presence</v>
      </c>
      <c r="I1359" s="4">
        <v>1997</v>
      </c>
      <c r="J1359" s="4" t="s">
        <v>2308</v>
      </c>
      <c r="K1359" s="4" t="s">
        <v>2308</v>
      </c>
      <c r="L1359" s="4" t="s">
        <v>2308</v>
      </c>
      <c r="M1359" s="4" t="s">
        <v>2308</v>
      </c>
      <c r="N1359" s="4" t="s">
        <v>2308</v>
      </c>
      <c r="O1359" s="4" t="s">
        <v>2308</v>
      </c>
      <c r="P1359" s="4" t="s">
        <v>2308</v>
      </c>
      <c r="Q1359" s="4" t="s">
        <v>2308</v>
      </c>
      <c r="R1359" s="4" t="s">
        <v>2308</v>
      </c>
      <c r="S1359" s="4" t="s">
        <v>2308</v>
      </c>
      <c r="T1359" s="4" t="s">
        <v>2406</v>
      </c>
      <c r="U1359" s="4" t="s">
        <v>2308</v>
      </c>
      <c r="V1359" s="4" t="s">
        <v>2308</v>
      </c>
      <c r="W1359" s="4" t="s">
        <v>2308</v>
      </c>
      <c r="X1359" s="4" t="s">
        <v>195</v>
      </c>
      <c r="Y1359" s="4" t="s">
        <v>34</v>
      </c>
      <c r="Z1359" s="4" t="s">
        <v>2308</v>
      </c>
      <c r="AA1359" s="4"/>
      <c r="AB1359" s="4" t="s">
        <v>4155</v>
      </c>
    </row>
    <row r="1360" spans="1:28" ht="29" customHeight="1">
      <c r="A1360" s="161" t="str">
        <f>'Reported burning'!A1360</f>
        <v>161a</v>
      </c>
      <c r="B1360" s="161" t="str">
        <f>'Reported burning'!B1360</f>
        <v>161a.8</v>
      </c>
      <c r="C1360" s="161" t="str">
        <f>'Reported burning'!C1360</f>
        <v>Human, accidental</v>
      </c>
      <c r="D1360" s="161" t="str">
        <f>'Reported burning'!D1360</f>
        <v>ND</v>
      </c>
      <c r="E1360" s="161" t="str">
        <f>'Reported burning'!E1360</f>
        <v>ND</v>
      </c>
      <c r="F1360" s="161" t="str">
        <f>'Reported burning'!F1360</f>
        <v>ND</v>
      </c>
      <c r="G1360" s="161" t="str">
        <f>'Reported burning'!G1360</f>
        <v>Forest</v>
      </c>
      <c r="H1360" s="161" t="str">
        <f>'Reported burning'!H1360</f>
        <v>Presence</v>
      </c>
      <c r="I1360" s="4">
        <v>2007</v>
      </c>
      <c r="J1360" s="4" t="s">
        <v>2308</v>
      </c>
      <c r="K1360" s="4" t="s">
        <v>2308</v>
      </c>
      <c r="L1360" s="4" t="s">
        <v>2308</v>
      </c>
      <c r="M1360" s="4" t="s">
        <v>2308</v>
      </c>
      <c r="N1360" s="4" t="s">
        <v>2308</v>
      </c>
      <c r="O1360" s="4" t="s">
        <v>2308</v>
      </c>
      <c r="P1360" s="4" t="s">
        <v>2308</v>
      </c>
      <c r="Q1360" s="4" t="s">
        <v>2308</v>
      </c>
      <c r="R1360" s="4" t="s">
        <v>2308</v>
      </c>
      <c r="S1360" s="4" t="s">
        <v>2308</v>
      </c>
      <c r="T1360" s="4" t="s">
        <v>2406</v>
      </c>
      <c r="U1360" s="4" t="s">
        <v>2308</v>
      </c>
      <c r="V1360" s="4" t="s">
        <v>2308</v>
      </c>
      <c r="W1360" s="4" t="s">
        <v>2308</v>
      </c>
      <c r="X1360" s="4" t="s">
        <v>195</v>
      </c>
      <c r="Y1360" s="4" t="s">
        <v>34</v>
      </c>
      <c r="Z1360" s="4" t="s">
        <v>2308</v>
      </c>
      <c r="AA1360" s="4"/>
      <c r="AB1360" s="4" t="s">
        <v>4155</v>
      </c>
    </row>
    <row r="1361" spans="1:28" ht="29" customHeight="1">
      <c r="A1361" s="161" t="str">
        <f>'Reported burning'!A1361</f>
        <v>161a</v>
      </c>
      <c r="B1361" s="161" t="str">
        <f>'Reported burning'!B1361</f>
        <v>161a.9</v>
      </c>
      <c r="C1361" s="161" t="str">
        <f>'Reported burning'!C1361</f>
        <v>Lightning</v>
      </c>
      <c r="D1361" s="161" t="str">
        <f>'Reported burning'!D1361</f>
        <v>ND</v>
      </c>
      <c r="E1361" s="161" t="str">
        <f>'Reported burning'!E1361</f>
        <v>ND</v>
      </c>
      <c r="F1361" s="161" t="str">
        <f>'Reported burning'!F1361</f>
        <v>ND</v>
      </c>
      <c r="G1361" s="161" t="str">
        <f>'Reported burning'!G1361</f>
        <v>Forest</v>
      </c>
      <c r="H1361" s="161" t="str">
        <f>'Reported burning'!H1361</f>
        <v>Absence</v>
      </c>
      <c r="I1361" s="4"/>
      <c r="J1361" s="4" t="s">
        <v>2396</v>
      </c>
      <c r="K1361" s="4" t="s">
        <v>2396</v>
      </c>
      <c r="L1361" s="4" t="s">
        <v>2396</v>
      </c>
      <c r="M1361" s="4" t="s">
        <v>2396</v>
      </c>
      <c r="N1361" s="4" t="s">
        <v>2396</v>
      </c>
      <c r="O1361" s="4" t="s">
        <v>2396</v>
      </c>
      <c r="P1361" s="4" t="s">
        <v>2396</v>
      </c>
      <c r="Q1361" s="4" t="s">
        <v>2396</v>
      </c>
      <c r="R1361" s="4" t="s">
        <v>2396</v>
      </c>
      <c r="S1361" s="4" t="s">
        <v>2396</v>
      </c>
      <c r="T1361" s="4" t="s">
        <v>2396</v>
      </c>
      <c r="U1361" s="4" t="s">
        <v>2396</v>
      </c>
      <c r="V1361" s="4" t="s">
        <v>2396</v>
      </c>
      <c r="W1361" s="4" t="s">
        <v>2308</v>
      </c>
      <c r="X1361" s="4" t="s">
        <v>195</v>
      </c>
      <c r="Y1361" s="4" t="s">
        <v>34</v>
      </c>
      <c r="Z1361" s="4" t="s">
        <v>2308</v>
      </c>
      <c r="AA1361" s="4"/>
      <c r="AB1361" s="4"/>
    </row>
    <row r="1362" spans="1:28" ht="32" customHeight="1">
      <c r="A1362" s="161" t="str">
        <f>'Reported burning'!A1362</f>
        <v>162a</v>
      </c>
      <c r="B1362" s="161" t="str">
        <f>'Reported burning'!B1362</f>
        <v>162a.1</v>
      </c>
      <c r="C1362" s="161" t="str">
        <f>'Reported burning'!C1362</f>
        <v>Human, deliberate</v>
      </c>
      <c r="D1362" s="161" t="str">
        <f>'Reported burning'!D1362</f>
        <v>Pasture renewal</v>
      </c>
      <c r="E1362" s="161" t="str">
        <f>'Reported burning'!E1362</f>
        <v>Pastoralism, Migratory</v>
      </c>
      <c r="F1362" s="161" t="str">
        <f>'Reported burning'!F1362</f>
        <v>Grassland</v>
      </c>
      <c r="G1362" s="161" t="str">
        <f>'Reported burning'!G1362</f>
        <v>ND</v>
      </c>
      <c r="H1362" s="161" t="str">
        <f>'Reported burning'!H1362</f>
        <v>Presence</v>
      </c>
      <c r="I1362" s="4"/>
      <c r="J1362" s="4" t="s">
        <v>2308</v>
      </c>
      <c r="K1362" s="4" t="s">
        <v>2308</v>
      </c>
      <c r="L1362" s="4" t="s">
        <v>2308</v>
      </c>
      <c r="M1362" s="4" t="s">
        <v>2308</v>
      </c>
      <c r="N1362" s="4" t="s">
        <v>2308</v>
      </c>
      <c r="O1362" s="4" t="s">
        <v>2308</v>
      </c>
      <c r="P1362" s="4" t="s">
        <v>2308</v>
      </c>
      <c r="Q1362" s="4" t="s">
        <v>2308</v>
      </c>
      <c r="R1362" s="4" t="s">
        <v>2308</v>
      </c>
      <c r="S1362" s="4" t="s">
        <v>2308</v>
      </c>
      <c r="T1362" s="4" t="s">
        <v>2308</v>
      </c>
      <c r="U1362" s="4" t="s">
        <v>2308</v>
      </c>
      <c r="V1362" s="4" t="s">
        <v>2308</v>
      </c>
      <c r="W1362" s="4" t="s">
        <v>2308</v>
      </c>
      <c r="X1362" s="4" t="s">
        <v>2308</v>
      </c>
      <c r="Y1362" s="4" t="s">
        <v>2308</v>
      </c>
      <c r="Z1362" s="4" t="s">
        <v>2308</v>
      </c>
      <c r="AA1362" s="4"/>
      <c r="AB1362" s="4"/>
    </row>
    <row r="1363" spans="1:28" ht="32" customHeight="1">
      <c r="A1363" s="161" t="str">
        <f>'Reported burning'!A1363</f>
        <v>162a</v>
      </c>
      <c r="B1363" s="161" t="str">
        <f>'Reported burning'!B1363</f>
        <v>162a.2</v>
      </c>
      <c r="C1363" s="161" t="str">
        <f>'Reported burning'!C1363</f>
        <v>Human, deliberate</v>
      </c>
      <c r="D1363" s="161" t="str">
        <f>'Reported burning'!D1363</f>
        <v>Pasture renewal</v>
      </c>
      <c r="E1363" s="161" t="str">
        <f>'Reported burning'!E1363</f>
        <v>Cattle, Extensive</v>
      </c>
      <c r="F1363" s="161" t="str">
        <f>'Reported burning'!F1363</f>
        <v>Grassland</v>
      </c>
      <c r="G1363" s="161" t="str">
        <f>'Reported burning'!G1363</f>
        <v>ND</v>
      </c>
      <c r="H1363" s="161" t="str">
        <f>'Reported burning'!H1363</f>
        <v>Presence</v>
      </c>
      <c r="I1363" s="4"/>
      <c r="J1363" s="4" t="s">
        <v>2308</v>
      </c>
      <c r="K1363" s="4" t="s">
        <v>2308</v>
      </c>
      <c r="L1363" s="4" t="s">
        <v>2308</v>
      </c>
      <c r="M1363" s="4" t="s">
        <v>2308</v>
      </c>
      <c r="N1363" s="4" t="s">
        <v>2308</v>
      </c>
      <c r="O1363" s="4" t="s">
        <v>2308</v>
      </c>
      <c r="P1363" s="4" t="s">
        <v>2308</v>
      </c>
      <c r="Q1363" s="4" t="s">
        <v>2308</v>
      </c>
      <c r="R1363" s="4" t="s">
        <v>2308</v>
      </c>
      <c r="S1363" s="4" t="s">
        <v>2308</v>
      </c>
      <c r="T1363" s="4" t="s">
        <v>2308</v>
      </c>
      <c r="U1363" s="4" t="s">
        <v>2308</v>
      </c>
      <c r="V1363" s="4" t="s">
        <v>2308</v>
      </c>
      <c r="W1363" s="4" t="s">
        <v>2308</v>
      </c>
      <c r="X1363" s="4" t="s">
        <v>2308</v>
      </c>
      <c r="Y1363" s="4" t="s">
        <v>2308</v>
      </c>
      <c r="Z1363" s="4" t="s">
        <v>2308</v>
      </c>
      <c r="AA1363" s="4"/>
      <c r="AB1363" s="4"/>
    </row>
    <row r="1364" spans="1:28" ht="32" customHeight="1">
      <c r="A1364" s="161" t="str">
        <f>'Reported burning'!A1364</f>
        <v>162b</v>
      </c>
      <c r="B1364" s="161" t="str">
        <f>'Reported burning'!B1364</f>
        <v>162b.1</v>
      </c>
      <c r="C1364" s="161" t="str">
        <f>'Reported burning'!C1364</f>
        <v>Human, deliberate</v>
      </c>
      <c r="D1364" s="161" t="str">
        <f>'Reported burning'!D1364</f>
        <v>Pasture renewal</v>
      </c>
      <c r="E1364" s="161" t="str">
        <f>'Reported burning'!E1364</f>
        <v>Pastoralism, Migratory</v>
      </c>
      <c r="F1364" s="161" t="str">
        <f>'Reported burning'!F1364</f>
        <v>Grassland</v>
      </c>
      <c r="G1364" s="161" t="str">
        <f>'Reported burning'!G1364</f>
        <v>ND</v>
      </c>
      <c r="H1364" s="161" t="str">
        <f>'Reported burning'!H1364</f>
        <v>Presence</v>
      </c>
      <c r="I1364" s="4"/>
      <c r="J1364" s="4" t="s">
        <v>2308</v>
      </c>
      <c r="K1364" s="4" t="s">
        <v>2308</v>
      </c>
      <c r="L1364" s="4" t="s">
        <v>2308</v>
      </c>
      <c r="M1364" s="4" t="s">
        <v>2308</v>
      </c>
      <c r="N1364" s="4" t="s">
        <v>2308</v>
      </c>
      <c r="O1364" s="4" t="s">
        <v>2308</v>
      </c>
      <c r="P1364" s="4" t="s">
        <v>2308</v>
      </c>
      <c r="Q1364" s="4" t="s">
        <v>2308</v>
      </c>
      <c r="R1364" s="4" t="s">
        <v>2308</v>
      </c>
      <c r="S1364" s="4" t="s">
        <v>2308</v>
      </c>
      <c r="T1364" s="4" t="s">
        <v>2406</v>
      </c>
      <c r="U1364" s="4" t="s">
        <v>2308</v>
      </c>
      <c r="V1364" s="4" t="s">
        <v>2308</v>
      </c>
      <c r="W1364" s="4" t="s">
        <v>2308</v>
      </c>
      <c r="X1364" s="4" t="s">
        <v>432</v>
      </c>
      <c r="Y1364" s="4" t="s">
        <v>35</v>
      </c>
      <c r="Z1364" s="4" t="s">
        <v>64</v>
      </c>
      <c r="AA1364" s="4"/>
      <c r="AB1364" s="4" t="s">
        <v>4171</v>
      </c>
    </row>
    <row r="1365" spans="1:28" ht="32" customHeight="1">
      <c r="A1365" s="161" t="str">
        <f>'Reported burning'!A1365</f>
        <v>162b</v>
      </c>
      <c r="B1365" s="161" t="str">
        <f>'Reported burning'!B1365</f>
        <v>162b.2</v>
      </c>
      <c r="C1365" s="161" t="str">
        <f>'Reported burning'!C1365</f>
        <v>Human, deliberate</v>
      </c>
      <c r="D1365" s="161" t="str">
        <f>'Reported burning'!D1365</f>
        <v>Pasture renewal</v>
      </c>
      <c r="E1365" s="161" t="str">
        <f>'Reported burning'!E1365</f>
        <v>Cattle, Extensive</v>
      </c>
      <c r="F1365" s="161" t="str">
        <f>'Reported burning'!F1365</f>
        <v>Grassland</v>
      </c>
      <c r="G1365" s="161" t="str">
        <f>'Reported burning'!G1365</f>
        <v>ND</v>
      </c>
      <c r="H1365" s="161" t="str">
        <f>'Reported burning'!H1365</f>
        <v>Presence</v>
      </c>
      <c r="I1365" s="4"/>
      <c r="J1365" s="4" t="s">
        <v>2308</v>
      </c>
      <c r="K1365" s="4" t="s">
        <v>2308</v>
      </c>
      <c r="L1365" s="4" t="s">
        <v>2308</v>
      </c>
      <c r="M1365" s="4" t="s">
        <v>2308</v>
      </c>
      <c r="N1365" s="4" t="s">
        <v>2308</v>
      </c>
      <c r="O1365" s="4" t="s">
        <v>2308</v>
      </c>
      <c r="P1365" s="4" t="s">
        <v>2308</v>
      </c>
      <c r="Q1365" s="4" t="s">
        <v>2308</v>
      </c>
      <c r="R1365" s="4" t="s">
        <v>2308</v>
      </c>
      <c r="S1365" s="4" t="s">
        <v>2308</v>
      </c>
      <c r="T1365" s="4" t="s">
        <v>2406</v>
      </c>
      <c r="U1365" s="4" t="s">
        <v>2308</v>
      </c>
      <c r="V1365" s="4" t="s">
        <v>2308</v>
      </c>
      <c r="W1365" s="4" t="s">
        <v>2308</v>
      </c>
      <c r="X1365" s="4" t="s">
        <v>432</v>
      </c>
      <c r="Y1365" s="4" t="s">
        <v>35</v>
      </c>
      <c r="Z1365" s="4" t="s">
        <v>64</v>
      </c>
      <c r="AA1365" s="4"/>
      <c r="AB1365" s="4" t="s">
        <v>4171</v>
      </c>
    </row>
    <row r="1366" spans="1:28" ht="87">
      <c r="A1366" s="165" t="str">
        <f>'Reported burning'!A1366</f>
        <v>163a</v>
      </c>
      <c r="B1366" s="165" t="str">
        <f>'Reported burning'!B1366</f>
        <v>163a.1</v>
      </c>
      <c r="C1366" s="165" t="str">
        <f>'Reported burning'!C1366</f>
        <v>Human, deliberate</v>
      </c>
      <c r="D1366" s="165" t="str">
        <f>'Reported burning'!D1366</f>
        <v>Rangeland management</v>
      </c>
      <c r="E1366" s="165" t="str">
        <f>'Reported burning'!E1366</f>
        <v>Pastoralism, Migratory</v>
      </c>
      <c r="F1366" s="165" t="str">
        <f>'Reported burning'!F1366</f>
        <v>Shrubland (Mixed forest &amp; grassland)</v>
      </c>
      <c r="G1366" s="165" t="str">
        <f>'Reported burning'!G1366</f>
        <v>ND</v>
      </c>
      <c r="H1366" s="165" t="str">
        <f>'Reported burning'!H1366</f>
        <v>Presence</v>
      </c>
      <c r="I1366" s="6"/>
      <c r="J1366" s="4" t="s">
        <v>2308</v>
      </c>
      <c r="K1366" s="4" t="s">
        <v>2308</v>
      </c>
      <c r="L1366" s="4" t="s">
        <v>2308</v>
      </c>
      <c r="M1366" s="4" t="s">
        <v>2308</v>
      </c>
      <c r="N1366" s="4" t="s">
        <v>2308</v>
      </c>
      <c r="O1366" s="4" t="s">
        <v>2308</v>
      </c>
      <c r="P1366" s="4" t="s">
        <v>2308</v>
      </c>
      <c r="Q1366" s="4" t="s">
        <v>2308</v>
      </c>
      <c r="R1366" s="4" t="s">
        <v>2308</v>
      </c>
      <c r="S1366" s="4" t="s">
        <v>2308</v>
      </c>
      <c r="T1366" s="4" t="s">
        <v>2308</v>
      </c>
      <c r="U1366" s="4" t="s">
        <v>2308</v>
      </c>
      <c r="V1366" s="4" t="s">
        <v>2308</v>
      </c>
      <c r="W1366" s="4" t="s">
        <v>2308</v>
      </c>
      <c r="X1366" s="4" t="s">
        <v>2308</v>
      </c>
      <c r="Y1366" s="4" t="s">
        <v>2308</v>
      </c>
      <c r="Z1366" s="4" t="s">
        <v>2308</v>
      </c>
      <c r="AA1366" s="5" t="s">
        <v>4184</v>
      </c>
      <c r="AB1366" s="4"/>
    </row>
    <row r="1367" spans="1:28" ht="87">
      <c r="A1367" s="161" t="str">
        <f>'Reported burning'!A1367</f>
        <v>163a</v>
      </c>
      <c r="B1367" s="161" t="str">
        <f>'Reported burning'!B1367</f>
        <v>163a.2</v>
      </c>
      <c r="C1367" s="161" t="str">
        <f>'Reported burning'!C1367</f>
        <v>Human, deliberate</v>
      </c>
      <c r="D1367" s="161" t="str">
        <f>'Reported burning'!D1367</f>
        <v>Rangeland management</v>
      </c>
      <c r="E1367" s="161" t="str">
        <f>'Reported burning'!E1367</f>
        <v>Cattle, Extensive</v>
      </c>
      <c r="F1367" s="161" t="str">
        <f>'Reported burning'!F1367</f>
        <v>Shrubland (Mixed forest &amp; grassland)</v>
      </c>
      <c r="G1367" s="161" t="str">
        <f>'Reported burning'!G1367</f>
        <v>ND</v>
      </c>
      <c r="H1367" s="161" t="str">
        <f>'Reported burning'!H1367</f>
        <v>Presence</v>
      </c>
      <c r="I1367" s="4"/>
      <c r="J1367" s="4" t="s">
        <v>2308</v>
      </c>
      <c r="K1367" s="4" t="s">
        <v>2308</v>
      </c>
      <c r="L1367" s="4" t="s">
        <v>2308</v>
      </c>
      <c r="M1367" s="4" t="s">
        <v>2308</v>
      </c>
      <c r="N1367" s="4" t="s">
        <v>2308</v>
      </c>
      <c r="O1367" s="4" t="s">
        <v>2308</v>
      </c>
      <c r="P1367" s="4" t="s">
        <v>2308</v>
      </c>
      <c r="Q1367" s="4" t="s">
        <v>2308</v>
      </c>
      <c r="R1367" s="4" t="s">
        <v>2308</v>
      </c>
      <c r="S1367" s="4" t="s">
        <v>2308</v>
      </c>
      <c r="T1367" s="4" t="s">
        <v>2308</v>
      </c>
      <c r="U1367" s="4" t="s">
        <v>2308</v>
      </c>
      <c r="V1367" s="4" t="s">
        <v>2308</v>
      </c>
      <c r="W1367" s="4" t="s">
        <v>2308</v>
      </c>
      <c r="X1367" s="4" t="s">
        <v>2308</v>
      </c>
      <c r="Y1367" s="4" t="s">
        <v>2308</v>
      </c>
      <c r="Z1367" s="4" t="s">
        <v>2308</v>
      </c>
      <c r="AA1367" s="5" t="s">
        <v>4184</v>
      </c>
      <c r="AB1367" s="4"/>
    </row>
    <row r="1368" spans="1:28" ht="48" customHeight="1">
      <c r="A1368" s="161" t="str">
        <f>'Reported burning'!A1368</f>
        <v>164a</v>
      </c>
      <c r="B1368" s="161" t="str">
        <f>'Reported burning'!B1368</f>
        <v>164a.1</v>
      </c>
      <c r="C1368" s="161" t="str">
        <f>'Reported burning'!C1368</f>
        <v>Human, deliberate</v>
      </c>
      <c r="D1368" s="161" t="str">
        <f>'Reported burning'!D1368</f>
        <v>Forest clearance</v>
      </c>
      <c r="E1368" s="161" t="str">
        <f>'Reported burning'!E1368</f>
        <v>Pastoralism, Migratory</v>
      </c>
      <c r="F1368" s="161" t="str">
        <f>'Reported burning'!F1368</f>
        <v>Forest</v>
      </c>
      <c r="G1368" s="161" t="str">
        <f>'Reported burning'!G1368</f>
        <v>ND</v>
      </c>
      <c r="H1368" s="161" t="str">
        <f>'Reported burning'!H1368</f>
        <v>Presence</v>
      </c>
      <c r="I1368" s="4"/>
      <c r="J1368" s="4" t="s">
        <v>2308</v>
      </c>
      <c r="K1368" s="4" t="s">
        <v>2308</v>
      </c>
      <c r="L1368" s="4" t="s">
        <v>2308</v>
      </c>
      <c r="M1368" s="4" t="s">
        <v>2308</v>
      </c>
      <c r="N1368" s="4" t="s">
        <v>2308</v>
      </c>
      <c r="O1368" s="4" t="s">
        <v>2308</v>
      </c>
      <c r="P1368" s="4" t="s">
        <v>2308</v>
      </c>
      <c r="Q1368" s="4" t="s">
        <v>2308</v>
      </c>
      <c r="R1368" s="4" t="s">
        <v>2308</v>
      </c>
      <c r="S1368" s="4" t="s">
        <v>2308</v>
      </c>
      <c r="T1368" s="4" t="s">
        <v>2308</v>
      </c>
      <c r="U1368" s="4" t="s">
        <v>2308</v>
      </c>
      <c r="V1368" s="4" t="s">
        <v>2308</v>
      </c>
      <c r="W1368" s="4" t="s">
        <v>2308</v>
      </c>
      <c r="X1368" s="4" t="s">
        <v>2308</v>
      </c>
      <c r="Y1368" s="4" t="s">
        <v>2308</v>
      </c>
      <c r="Z1368" s="4" t="s">
        <v>2308</v>
      </c>
      <c r="AA1368" s="5" t="s">
        <v>4194</v>
      </c>
      <c r="AB1368" s="4"/>
    </row>
    <row r="1369" spans="1:28" ht="48" customHeight="1">
      <c r="A1369" s="161" t="str">
        <f>'Reported burning'!A1369</f>
        <v>164a</v>
      </c>
      <c r="B1369" s="161" t="str">
        <f>'Reported burning'!B1369</f>
        <v>164a.2</v>
      </c>
      <c r="C1369" s="161" t="str">
        <f>'Reported burning'!C1369</f>
        <v>Human, deliberate</v>
      </c>
      <c r="D1369" s="161" t="str">
        <f>'Reported burning'!D1369</f>
        <v>Forest clearance</v>
      </c>
      <c r="E1369" s="161" t="str">
        <f>'Reported burning'!E1369</f>
        <v>Cattle, Extensive</v>
      </c>
      <c r="F1369" s="161" t="str">
        <f>'Reported burning'!F1369</f>
        <v>Forest</v>
      </c>
      <c r="G1369" s="161" t="str">
        <f>'Reported burning'!G1369</f>
        <v>ND</v>
      </c>
      <c r="H1369" s="161" t="str">
        <f>'Reported burning'!H1369</f>
        <v>Presence</v>
      </c>
      <c r="I1369" s="4"/>
      <c r="J1369" s="4" t="s">
        <v>2308</v>
      </c>
      <c r="K1369" s="4" t="s">
        <v>2308</v>
      </c>
      <c r="L1369" s="4" t="s">
        <v>2308</v>
      </c>
      <c r="M1369" s="4" t="s">
        <v>2308</v>
      </c>
      <c r="N1369" s="4" t="s">
        <v>2308</v>
      </c>
      <c r="O1369" s="4" t="s">
        <v>2308</v>
      </c>
      <c r="P1369" s="4" t="s">
        <v>2308</v>
      </c>
      <c r="Q1369" s="4" t="s">
        <v>2308</v>
      </c>
      <c r="R1369" s="4" t="s">
        <v>2308</v>
      </c>
      <c r="S1369" s="4" t="s">
        <v>2308</v>
      </c>
      <c r="T1369" s="4" t="s">
        <v>2308</v>
      </c>
      <c r="U1369" s="4" t="s">
        <v>2308</v>
      </c>
      <c r="V1369" s="4" t="s">
        <v>2308</v>
      </c>
      <c r="W1369" s="4" t="s">
        <v>2308</v>
      </c>
      <c r="X1369" s="4" t="s">
        <v>2308</v>
      </c>
      <c r="Y1369" s="4" t="s">
        <v>2308</v>
      </c>
      <c r="Z1369" s="4" t="s">
        <v>2308</v>
      </c>
      <c r="AA1369" s="5" t="s">
        <v>4194</v>
      </c>
      <c r="AB1369" s="4"/>
    </row>
    <row r="1370" spans="1:28" ht="49.5" customHeight="1">
      <c r="A1370" s="161" t="str">
        <f>'Reported burning'!A1370</f>
        <v>165a</v>
      </c>
      <c r="B1370" s="161" t="str">
        <f>'Reported burning'!B1370</f>
        <v>165a.1</v>
      </c>
      <c r="C1370" s="161" t="str">
        <f>'Reported burning'!C1370</f>
        <v>Human, deliberate</v>
      </c>
      <c r="D1370" s="161" t="str">
        <f>'Reported burning'!D1370</f>
        <v>Crop field preparation</v>
      </c>
      <c r="E1370" s="161" t="str">
        <f>'Reported burning'!E1370</f>
        <v>Mixed cropping-livestock small holder, Subsistence-oriented</v>
      </c>
      <c r="F1370" s="161" t="str">
        <f>'Reported burning'!F1370</f>
        <v>Shrubland (Mixed forest &amp; grassland)</v>
      </c>
      <c r="G1370" s="161" t="str">
        <f>'Reported burning'!G1370</f>
        <v>ND</v>
      </c>
      <c r="H1370" s="161" t="str">
        <f>'Reported burning'!H1370</f>
        <v>Presence</v>
      </c>
      <c r="I1370" s="4"/>
      <c r="J1370" s="4" t="s">
        <v>2308</v>
      </c>
      <c r="K1370" s="4" t="s">
        <v>2308</v>
      </c>
      <c r="L1370" s="4" t="s">
        <v>2308</v>
      </c>
      <c r="M1370" s="4" t="s">
        <v>2308</v>
      </c>
      <c r="N1370" s="4" t="s">
        <v>2308</v>
      </c>
      <c r="O1370" s="4" t="s">
        <v>2308</v>
      </c>
      <c r="P1370" s="4" t="s">
        <v>2308</v>
      </c>
      <c r="Q1370" s="4" t="s">
        <v>2308</v>
      </c>
      <c r="R1370" s="4" t="s">
        <v>2308</v>
      </c>
      <c r="S1370" s="4" t="s">
        <v>2308</v>
      </c>
      <c r="T1370" s="4" t="s">
        <v>2308</v>
      </c>
      <c r="U1370" s="4" t="s">
        <v>2308</v>
      </c>
      <c r="V1370" s="4" t="s">
        <v>2308</v>
      </c>
      <c r="W1370" s="4" t="s">
        <v>2308</v>
      </c>
      <c r="X1370" s="4" t="s">
        <v>412</v>
      </c>
      <c r="Y1370" s="4" t="s">
        <v>68</v>
      </c>
      <c r="Z1370" s="4" t="s">
        <v>64</v>
      </c>
      <c r="AA1370" s="5" t="s">
        <v>4234</v>
      </c>
      <c r="AB1370" s="4"/>
    </row>
    <row r="1371" spans="1:28" ht="49.5" customHeight="1">
      <c r="A1371" s="161" t="str">
        <f>'Reported burning'!A1371</f>
        <v>165a</v>
      </c>
      <c r="B1371" s="161" t="str">
        <f>'Reported burning'!B1371</f>
        <v>165a.2</v>
      </c>
      <c r="C1371" s="161" t="str">
        <f>'Reported burning'!C1371</f>
        <v>Human, deliberate</v>
      </c>
      <c r="D1371" s="161" t="str">
        <f>'Reported burning'!D1371</f>
        <v>Pasture renewal</v>
      </c>
      <c r="E1371" s="161" t="str">
        <f>'Reported burning'!E1371</f>
        <v>Mixed cropping-livestock small holder, Subsistence-oriented</v>
      </c>
      <c r="F1371" s="161" t="str">
        <f>'Reported burning'!F1371</f>
        <v>Shrubland (Mixed forest &amp; grassland)</v>
      </c>
      <c r="G1371" s="161" t="str">
        <f>'Reported burning'!G1371</f>
        <v>ND</v>
      </c>
      <c r="H1371" s="161" t="str">
        <f>'Reported burning'!H1371</f>
        <v>Presence</v>
      </c>
      <c r="I1371" s="4"/>
      <c r="J1371" s="4" t="s">
        <v>2308</v>
      </c>
      <c r="K1371" s="4" t="s">
        <v>2308</v>
      </c>
      <c r="L1371" s="4" t="s">
        <v>2308</v>
      </c>
      <c r="M1371" s="4" t="s">
        <v>2308</v>
      </c>
      <c r="N1371" s="4" t="s">
        <v>2308</v>
      </c>
      <c r="O1371" s="4" t="s">
        <v>2308</v>
      </c>
      <c r="P1371" s="4" t="s">
        <v>2308</v>
      </c>
      <c r="Q1371" s="4" t="s">
        <v>2308</v>
      </c>
      <c r="R1371" s="4" t="s">
        <v>2308</v>
      </c>
      <c r="S1371" s="4" t="s">
        <v>2308</v>
      </c>
      <c r="T1371" s="4" t="s">
        <v>2308</v>
      </c>
      <c r="U1371" s="4" t="s">
        <v>2308</v>
      </c>
      <c r="V1371" s="4" t="s">
        <v>2308</v>
      </c>
      <c r="W1371" s="4" t="s">
        <v>2308</v>
      </c>
      <c r="X1371" s="4" t="s">
        <v>86</v>
      </c>
      <c r="Y1371" s="4" t="s">
        <v>432</v>
      </c>
      <c r="Z1371" s="4" t="s">
        <v>76</v>
      </c>
      <c r="AA1371" s="5" t="s">
        <v>4234</v>
      </c>
      <c r="AB1371" s="4"/>
    </row>
    <row r="1372" spans="1:28" ht="49.5" customHeight="1">
      <c r="A1372" s="161" t="str">
        <f>'Reported burning'!A1372</f>
        <v>165a</v>
      </c>
      <c r="B1372" s="161" t="str">
        <f>'Reported burning'!B1372</f>
        <v>165a.3</v>
      </c>
      <c r="C1372" s="161" t="str">
        <f>'Reported burning'!C1372</f>
        <v>Human, deliberate</v>
      </c>
      <c r="D1372" s="161" t="str">
        <f>'Reported burning'!D1372</f>
        <v>Pest management</v>
      </c>
      <c r="E1372" s="161" t="str">
        <f>'Reported burning'!E1372</f>
        <v>Mixed cropping-livestock small holder, Subsistence-oriented</v>
      </c>
      <c r="F1372" s="161" t="str">
        <f>'Reported burning'!F1372</f>
        <v>Shrubland (Mixed forest &amp; grassland)</v>
      </c>
      <c r="G1372" s="161" t="str">
        <f>'Reported burning'!G1372</f>
        <v>ND</v>
      </c>
      <c r="H1372" s="161" t="str">
        <f>'Reported burning'!H1372</f>
        <v>Presence</v>
      </c>
      <c r="I1372" s="4"/>
      <c r="J1372" s="4" t="s">
        <v>2308</v>
      </c>
      <c r="K1372" s="4" t="s">
        <v>2308</v>
      </c>
      <c r="L1372" s="4" t="s">
        <v>2308</v>
      </c>
      <c r="M1372" s="4" t="s">
        <v>2308</v>
      </c>
      <c r="N1372" s="4" t="s">
        <v>2308</v>
      </c>
      <c r="O1372" s="4" t="s">
        <v>2308</v>
      </c>
      <c r="P1372" s="4" t="s">
        <v>2308</v>
      </c>
      <c r="Q1372" s="4" t="s">
        <v>2308</v>
      </c>
      <c r="R1372" s="4" t="s">
        <v>2308</v>
      </c>
      <c r="S1372" s="4" t="s">
        <v>2308</v>
      </c>
      <c r="T1372" s="4" t="s">
        <v>2308</v>
      </c>
      <c r="U1372" s="4" t="s">
        <v>2308</v>
      </c>
      <c r="V1372" s="4" t="s">
        <v>2308</v>
      </c>
      <c r="W1372" s="4" t="s">
        <v>2308</v>
      </c>
      <c r="X1372" s="4" t="s">
        <v>86</v>
      </c>
      <c r="Y1372" s="4" t="s">
        <v>68</v>
      </c>
      <c r="Z1372" s="4" t="s">
        <v>64</v>
      </c>
      <c r="AA1372" s="5" t="s">
        <v>4238</v>
      </c>
      <c r="AB1372" s="4"/>
    </row>
    <row r="1373" spans="1:28" ht="49.5" customHeight="1">
      <c r="A1373" s="161" t="str">
        <f>'Reported burning'!A1373</f>
        <v>165a</v>
      </c>
      <c r="B1373" s="161" t="str">
        <f>'Reported burning'!B1373</f>
        <v>165a.4</v>
      </c>
      <c r="C1373" s="161" t="str">
        <f>'Reported burning'!C1373</f>
        <v>Human, deliberate</v>
      </c>
      <c r="D1373" s="161" t="str">
        <f>'Reported burning'!D1373</f>
        <v>Crop residue burning</v>
      </c>
      <c r="E1373" s="161" t="str">
        <f>'Reported burning'!E1373</f>
        <v>Mixed cropping-livestock small holder, Subsistence-oriented</v>
      </c>
      <c r="F1373" s="161" t="str">
        <f>'Reported burning'!F1373</f>
        <v>Cropland</v>
      </c>
      <c r="G1373" s="161" t="str">
        <f>'Reported burning'!G1373</f>
        <v>ND</v>
      </c>
      <c r="H1373" s="161" t="str">
        <f>'Reported burning'!H1373</f>
        <v>Presence</v>
      </c>
      <c r="I1373" s="4"/>
      <c r="J1373" s="4" t="s">
        <v>2308</v>
      </c>
      <c r="K1373" s="4" t="s">
        <v>2308</v>
      </c>
      <c r="L1373" s="4" t="s">
        <v>2308</v>
      </c>
      <c r="M1373" s="4" t="s">
        <v>2308</v>
      </c>
      <c r="N1373" s="4" t="s">
        <v>2308</v>
      </c>
      <c r="O1373" s="4" t="s">
        <v>2308</v>
      </c>
      <c r="P1373" s="4" t="s">
        <v>2308</v>
      </c>
      <c r="Q1373" s="4" t="s">
        <v>2308</v>
      </c>
      <c r="R1373" s="4" t="s">
        <v>2308</v>
      </c>
      <c r="S1373" s="4" t="s">
        <v>2308</v>
      </c>
      <c r="T1373" s="4" t="s">
        <v>2308</v>
      </c>
      <c r="U1373" s="4" t="s">
        <v>2308</v>
      </c>
      <c r="V1373" s="4" t="s">
        <v>2308</v>
      </c>
      <c r="W1373" s="4" t="s">
        <v>2308</v>
      </c>
      <c r="X1373" s="4" t="s">
        <v>432</v>
      </c>
      <c r="Y1373" s="4" t="s">
        <v>68</v>
      </c>
      <c r="Z1373" s="4" t="s">
        <v>64</v>
      </c>
      <c r="AA1373" s="5" t="s">
        <v>4234</v>
      </c>
      <c r="AB1373" s="4"/>
    </row>
    <row r="1374" spans="1:28" ht="49.5" customHeight="1">
      <c r="A1374" s="161" t="str">
        <f>'Reported burning'!A1374</f>
        <v>165a</v>
      </c>
      <c r="B1374" s="161" t="str">
        <f>'Reported burning'!B1374</f>
        <v>165a.5</v>
      </c>
      <c r="C1374" s="161" t="str">
        <f>'Reported burning'!C1374</f>
        <v>Human, deliberate</v>
      </c>
      <c r="D1374" s="161" t="str">
        <f>'Reported burning'!D1374</f>
        <v>Forest clearance</v>
      </c>
      <c r="E1374" s="161" t="str">
        <f>'Reported burning'!E1374</f>
        <v>Mixed cropping-livestock small holder, Subsistence-oriented</v>
      </c>
      <c r="F1374" s="161" t="str">
        <f>'Reported burning'!F1374</f>
        <v>Forest</v>
      </c>
      <c r="G1374" s="161" t="str">
        <f>'Reported burning'!G1374</f>
        <v>ND</v>
      </c>
      <c r="H1374" s="161" t="str">
        <f>'Reported burning'!H1374</f>
        <v>Presence</v>
      </c>
      <c r="I1374" s="4"/>
      <c r="J1374" s="4" t="s">
        <v>2308</v>
      </c>
      <c r="K1374" s="4" t="s">
        <v>2308</v>
      </c>
      <c r="L1374" s="4" t="s">
        <v>2308</v>
      </c>
      <c r="M1374" s="4" t="s">
        <v>2308</v>
      </c>
      <c r="N1374" s="4" t="s">
        <v>2308</v>
      </c>
      <c r="O1374" s="4" t="s">
        <v>2308</v>
      </c>
      <c r="P1374" s="4" t="s">
        <v>2308</v>
      </c>
      <c r="Q1374" s="4" t="s">
        <v>2308</v>
      </c>
      <c r="R1374" s="4" t="s">
        <v>2308</v>
      </c>
      <c r="S1374" s="4" t="s">
        <v>2308</v>
      </c>
      <c r="T1374" s="4" t="s">
        <v>2308</v>
      </c>
      <c r="U1374" s="4" t="s">
        <v>2308</v>
      </c>
      <c r="V1374" s="4" t="s">
        <v>2308</v>
      </c>
      <c r="W1374" s="4" t="s">
        <v>2308</v>
      </c>
      <c r="X1374" s="4" t="s">
        <v>411</v>
      </c>
      <c r="Y1374" s="4" t="s">
        <v>68</v>
      </c>
      <c r="Z1374" s="4" t="s">
        <v>64</v>
      </c>
      <c r="AA1374" s="5" t="s">
        <v>4239</v>
      </c>
      <c r="AB1374" s="4"/>
    </row>
    <row r="1375" spans="1:28" ht="49.5" customHeight="1">
      <c r="A1375" s="161" t="str">
        <f>'Reported burning'!A1375</f>
        <v>165a</v>
      </c>
      <c r="B1375" s="161" t="str">
        <f>'Reported burning'!B1375</f>
        <v>165a.6</v>
      </c>
      <c r="C1375" s="161" t="str">
        <f>'Reported burning'!C1375</f>
        <v>Human, deliberate</v>
      </c>
      <c r="D1375" s="161" t="str">
        <f>'Reported burning'!D1375</f>
        <v>Hunting</v>
      </c>
      <c r="E1375" s="161" t="str">
        <f>'Reported burning'!E1375</f>
        <v>Mixed cropping-livestock small holder, Subsistence-oriented</v>
      </c>
      <c r="F1375" s="161" t="str">
        <f>'Reported burning'!F1375</f>
        <v>Shrubland (Mixed forest &amp; grassland)</v>
      </c>
      <c r="G1375" s="161" t="str">
        <f>'Reported burning'!G1375</f>
        <v>ND</v>
      </c>
      <c r="H1375" s="161" t="str">
        <f>'Reported burning'!H1375</f>
        <v>Presence</v>
      </c>
      <c r="I1375" s="4"/>
      <c r="J1375" s="4" t="s">
        <v>2308</v>
      </c>
      <c r="K1375" s="4" t="s">
        <v>2308</v>
      </c>
      <c r="L1375" s="4" t="s">
        <v>2308</v>
      </c>
      <c r="M1375" s="4" t="s">
        <v>2308</v>
      </c>
      <c r="N1375" s="4" t="s">
        <v>2308</v>
      </c>
      <c r="O1375" s="4" t="s">
        <v>2308</v>
      </c>
      <c r="P1375" s="4" t="s">
        <v>2308</v>
      </c>
      <c r="Q1375" s="4" t="s">
        <v>2308</v>
      </c>
      <c r="R1375" s="4" t="s">
        <v>2308</v>
      </c>
      <c r="S1375" s="4" t="s">
        <v>2308</v>
      </c>
      <c r="T1375" s="4" t="s">
        <v>2308</v>
      </c>
      <c r="U1375" s="4" t="s">
        <v>2308</v>
      </c>
      <c r="V1375" s="4" t="s">
        <v>2308</v>
      </c>
      <c r="W1375" s="4" t="s">
        <v>2308</v>
      </c>
      <c r="X1375" s="4" t="s">
        <v>411</v>
      </c>
      <c r="Y1375" s="4" t="s">
        <v>68</v>
      </c>
      <c r="Z1375" s="4" t="s">
        <v>76</v>
      </c>
      <c r="AA1375" s="5" t="s">
        <v>4240</v>
      </c>
      <c r="AB1375" s="4"/>
    </row>
    <row r="1376" spans="1:28" ht="49.5" customHeight="1">
      <c r="A1376" s="161" t="str">
        <f>'Reported burning'!A1376</f>
        <v>165a</v>
      </c>
      <c r="B1376" s="161" t="str">
        <f>'Reported burning'!B1376</f>
        <v>165a.7</v>
      </c>
      <c r="C1376" s="161" t="str">
        <f>'Reported burning'!C1376</f>
        <v>Human, deliberate</v>
      </c>
      <c r="D1376" s="161" t="str">
        <f>'Reported burning'!D1376</f>
        <v>Charcoal production</v>
      </c>
      <c r="E1376" s="161" t="str">
        <f>'Reported burning'!E1376</f>
        <v>Forestry, Small-scale</v>
      </c>
      <c r="F1376" s="161" t="str">
        <f>'Reported burning'!F1376</f>
        <v>Shrubland (Mixed forest &amp; grassland)</v>
      </c>
      <c r="G1376" s="161" t="str">
        <f>'Reported burning'!G1376</f>
        <v>ND</v>
      </c>
      <c r="H1376" s="161" t="str">
        <f>'Reported burning'!H1376</f>
        <v>Presence</v>
      </c>
      <c r="I1376" s="4"/>
      <c r="J1376" s="4" t="s">
        <v>2308</v>
      </c>
      <c r="K1376" s="4" t="s">
        <v>2308</v>
      </c>
      <c r="L1376" s="4" t="s">
        <v>2308</v>
      </c>
      <c r="M1376" s="4" t="s">
        <v>2308</v>
      </c>
      <c r="N1376" s="4" t="s">
        <v>2308</v>
      </c>
      <c r="O1376" s="4" t="s">
        <v>2308</v>
      </c>
      <c r="P1376" s="4" t="s">
        <v>2308</v>
      </c>
      <c r="Q1376" s="4" t="s">
        <v>2308</v>
      </c>
      <c r="R1376" s="4" t="s">
        <v>2308</v>
      </c>
      <c r="S1376" s="4" t="s">
        <v>2308</v>
      </c>
      <c r="T1376" s="4" t="s">
        <v>2308</v>
      </c>
      <c r="U1376" s="4" t="s">
        <v>2308</v>
      </c>
      <c r="V1376" s="4" t="s">
        <v>2308</v>
      </c>
      <c r="W1376" s="4" t="s">
        <v>2308</v>
      </c>
      <c r="X1376" s="4" t="s">
        <v>34</v>
      </c>
      <c r="Y1376" s="4" t="s">
        <v>432</v>
      </c>
      <c r="Z1376" s="4" t="s">
        <v>64</v>
      </c>
      <c r="AA1376" s="5" t="s">
        <v>4234</v>
      </c>
      <c r="AB1376" s="4"/>
    </row>
    <row r="1377" spans="1:28" ht="49.5" customHeight="1">
      <c r="A1377" s="161" t="str">
        <f>'Reported burning'!A1377</f>
        <v>165a</v>
      </c>
      <c r="B1377" s="161" t="str">
        <f>'Reported burning'!B1377</f>
        <v>165a.8</v>
      </c>
      <c r="C1377" s="161" t="str">
        <f>'Reported burning'!C1377</f>
        <v>Human, escaped</v>
      </c>
      <c r="D1377" s="161" t="str">
        <f>'Reported burning'!D1377</f>
        <v>Charcoal production</v>
      </c>
      <c r="E1377" s="161" t="str">
        <f>'Reported burning'!E1377</f>
        <v>Forestry, Small-scale</v>
      </c>
      <c r="F1377" s="161" t="str">
        <f>'Reported burning'!F1377</f>
        <v>Shrubland (Mixed forest &amp; grassland)</v>
      </c>
      <c r="G1377" s="161" t="str">
        <f>'Reported burning'!G1377</f>
        <v>ND</v>
      </c>
      <c r="H1377" s="161" t="str">
        <f>'Reported burning'!H1377</f>
        <v>Presence</v>
      </c>
      <c r="I1377" s="4"/>
      <c r="J1377" s="4" t="s">
        <v>2308</v>
      </c>
      <c r="K1377" s="4" t="s">
        <v>2308</v>
      </c>
      <c r="L1377" s="4" t="s">
        <v>2308</v>
      </c>
      <c r="M1377" s="4" t="s">
        <v>2308</v>
      </c>
      <c r="N1377" s="4" t="s">
        <v>2308</v>
      </c>
      <c r="O1377" s="4" t="s">
        <v>2308</v>
      </c>
      <c r="P1377" s="4" t="s">
        <v>2308</v>
      </c>
      <c r="Q1377" s="4" t="s">
        <v>2308</v>
      </c>
      <c r="R1377" s="4" t="s">
        <v>2308</v>
      </c>
      <c r="S1377" s="4" t="s">
        <v>2308</v>
      </c>
      <c r="T1377" s="4" t="s">
        <v>2308</v>
      </c>
      <c r="U1377" s="4" t="s">
        <v>2308</v>
      </c>
      <c r="V1377" s="4" t="s">
        <v>2308</v>
      </c>
      <c r="W1377" s="4" t="s">
        <v>2308</v>
      </c>
      <c r="X1377" s="4" t="s">
        <v>34</v>
      </c>
      <c r="Y1377" s="4" t="s">
        <v>432</v>
      </c>
      <c r="Z1377" s="4" t="s">
        <v>64</v>
      </c>
      <c r="AA1377" s="4"/>
      <c r="AB1377" s="4"/>
    </row>
    <row r="1378" spans="1:28" ht="49.5" customHeight="1">
      <c r="A1378" s="161" t="str">
        <f>'Reported burning'!A1378</f>
        <v>165a</v>
      </c>
      <c r="B1378" s="161" t="str">
        <f>'Reported burning'!B1378</f>
        <v>165a.9</v>
      </c>
      <c r="C1378" s="161" t="str">
        <f>'Reported burning'!C1378</f>
        <v>Human, deliberate</v>
      </c>
      <c r="D1378" s="161" t="str">
        <f>'Reported burning'!D1378</f>
        <v>Harvesting of Timber</v>
      </c>
      <c r="E1378" s="161" t="str">
        <f>'Reported burning'!E1378</f>
        <v>Forestry, Small-scale</v>
      </c>
      <c r="F1378" s="161" t="str">
        <f>'Reported burning'!F1378</f>
        <v>Shrubland (Mixed forest &amp; grassland)</v>
      </c>
      <c r="G1378" s="161" t="str">
        <f>'Reported burning'!G1378</f>
        <v>ND</v>
      </c>
      <c r="H1378" s="161" t="str">
        <f>'Reported burning'!H1378</f>
        <v>Presence</v>
      </c>
      <c r="I1378" s="4"/>
      <c r="J1378" s="4" t="s">
        <v>2308</v>
      </c>
      <c r="K1378" s="4" t="s">
        <v>2308</v>
      </c>
      <c r="L1378" s="4" t="s">
        <v>2308</v>
      </c>
      <c r="M1378" s="4" t="s">
        <v>2308</v>
      </c>
      <c r="N1378" s="4" t="s">
        <v>2308</v>
      </c>
      <c r="O1378" s="4" t="s">
        <v>2308</v>
      </c>
      <c r="P1378" s="4" t="s">
        <v>2308</v>
      </c>
      <c r="Q1378" s="4" t="s">
        <v>2308</v>
      </c>
      <c r="R1378" s="4" t="s">
        <v>2308</v>
      </c>
      <c r="S1378" s="4" t="s">
        <v>2308</v>
      </c>
      <c r="T1378" s="4" t="s">
        <v>2308</v>
      </c>
      <c r="U1378" s="4" t="s">
        <v>2308</v>
      </c>
      <c r="V1378" s="4" t="s">
        <v>2308</v>
      </c>
      <c r="W1378" s="4" t="s">
        <v>2308</v>
      </c>
      <c r="X1378" s="4" t="s">
        <v>34</v>
      </c>
      <c r="Y1378" s="4" t="s">
        <v>68</v>
      </c>
      <c r="Z1378" s="4" t="s">
        <v>76</v>
      </c>
      <c r="AA1378" s="5" t="s">
        <v>4238</v>
      </c>
      <c r="AB1378" s="4"/>
    </row>
    <row r="1379" spans="1:28" ht="49.5" customHeight="1">
      <c r="A1379" s="161" t="str">
        <f>'Reported burning'!A1379</f>
        <v>165a</v>
      </c>
      <c r="B1379" s="161" t="str">
        <f>'Reported burning'!B1379</f>
        <v>165a.10</v>
      </c>
      <c r="C1379" s="161" t="str">
        <f>'Reported burning'!C1379</f>
        <v>Human, deliberate</v>
      </c>
      <c r="D1379" s="161" t="str">
        <f>'Reported burning'!D1379</f>
        <v>Accessibility</v>
      </c>
      <c r="E1379" s="161" t="str">
        <f>'Reported burning'!E1379</f>
        <v>Mixed cropping-livestock small holder, Subsistence-oriented</v>
      </c>
      <c r="F1379" s="161" t="str">
        <f>'Reported burning'!F1379</f>
        <v>Shrubland (Mixed forest &amp; grassland)</v>
      </c>
      <c r="G1379" s="161" t="str">
        <f>'Reported burning'!G1379</f>
        <v>ND</v>
      </c>
      <c r="H1379" s="161" t="str">
        <f>'Reported burning'!H1379</f>
        <v>Presence</v>
      </c>
      <c r="I1379" s="4"/>
      <c r="J1379" s="4" t="s">
        <v>2308</v>
      </c>
      <c r="K1379" s="4" t="s">
        <v>2308</v>
      </c>
      <c r="L1379" s="4" t="s">
        <v>2308</v>
      </c>
      <c r="M1379" s="4" t="s">
        <v>2308</v>
      </c>
      <c r="N1379" s="4" t="s">
        <v>2308</v>
      </c>
      <c r="O1379" s="4" t="s">
        <v>2308</v>
      </c>
      <c r="P1379" s="4" t="s">
        <v>2308</v>
      </c>
      <c r="Q1379" s="4" t="s">
        <v>2308</v>
      </c>
      <c r="R1379" s="4" t="s">
        <v>2308</v>
      </c>
      <c r="S1379" s="4" t="s">
        <v>2308</v>
      </c>
      <c r="T1379" s="4" t="s">
        <v>2308</v>
      </c>
      <c r="U1379" s="4" t="s">
        <v>2308</v>
      </c>
      <c r="V1379" s="4" t="s">
        <v>2308</v>
      </c>
      <c r="W1379" s="4" t="s">
        <v>2308</v>
      </c>
      <c r="X1379" s="4" t="s">
        <v>86</v>
      </c>
      <c r="Y1379" s="4" t="s">
        <v>68</v>
      </c>
      <c r="Z1379" s="4" t="s">
        <v>64</v>
      </c>
      <c r="AA1379" s="5" t="s">
        <v>4242</v>
      </c>
      <c r="AB1379" s="4"/>
    </row>
    <row r="1380" spans="1:28" ht="49.5" customHeight="1">
      <c r="A1380" s="161" t="str">
        <f>'Reported burning'!A1380</f>
        <v>165a</v>
      </c>
      <c r="B1380" s="161" t="str">
        <f>'Reported burning'!B1380</f>
        <v>165a.11</v>
      </c>
      <c r="C1380" s="161" t="str">
        <f>'Reported burning'!C1380</f>
        <v>Human, deliberate</v>
      </c>
      <c r="D1380" s="161" t="str">
        <f>'Reported burning'!D1380</f>
        <v>Harvesting of NTFP</v>
      </c>
      <c r="E1380" s="161" t="str">
        <f>'Reported burning'!E1380</f>
        <v>Forestry, Small-scale</v>
      </c>
      <c r="F1380" s="161" t="str">
        <f>'Reported burning'!F1380</f>
        <v>Forest</v>
      </c>
      <c r="G1380" s="161" t="str">
        <f>'Reported burning'!G1380</f>
        <v>ND</v>
      </c>
      <c r="H1380" s="161" t="str">
        <f>'Reported burning'!H1380</f>
        <v>Presence</v>
      </c>
      <c r="I1380" s="4"/>
      <c r="J1380" s="4" t="s">
        <v>2308</v>
      </c>
      <c r="K1380" s="4" t="s">
        <v>2308</v>
      </c>
      <c r="L1380" s="4" t="s">
        <v>2308</v>
      </c>
      <c r="M1380" s="4" t="s">
        <v>2308</v>
      </c>
      <c r="N1380" s="4" t="s">
        <v>2308</v>
      </c>
      <c r="O1380" s="4" t="s">
        <v>2308</v>
      </c>
      <c r="P1380" s="4" t="s">
        <v>2308</v>
      </c>
      <c r="Q1380" s="4" t="s">
        <v>2308</v>
      </c>
      <c r="R1380" s="4" t="s">
        <v>2308</v>
      </c>
      <c r="S1380" s="4" t="s">
        <v>2308</v>
      </c>
      <c r="T1380" s="4" t="s">
        <v>2308</v>
      </c>
      <c r="U1380" s="4" t="s">
        <v>2308</v>
      </c>
      <c r="V1380" s="4" t="s">
        <v>2308</v>
      </c>
      <c r="W1380" s="4" t="s">
        <v>2308</v>
      </c>
      <c r="X1380" s="4" t="s">
        <v>86</v>
      </c>
      <c r="Y1380" s="4" t="s">
        <v>34</v>
      </c>
      <c r="Z1380" s="4" t="s">
        <v>64</v>
      </c>
      <c r="AA1380" s="5" t="s">
        <v>4241</v>
      </c>
      <c r="AB1380" s="4"/>
    </row>
    <row r="1381" spans="1:28" ht="49.5" customHeight="1">
      <c r="A1381" s="161" t="str">
        <f>'Reported burning'!A1381</f>
        <v>165a</v>
      </c>
      <c r="B1381" s="161" t="str">
        <f>'Reported burning'!B1381</f>
        <v>165a.12</v>
      </c>
      <c r="C1381" s="161" t="str">
        <f>'Reported burning'!C1381</f>
        <v>Human, deliberate</v>
      </c>
      <c r="D1381" s="161" t="str">
        <f>'Reported burning'!D1381</f>
        <v>Arson</v>
      </c>
      <c r="E1381" s="161" t="str">
        <f>'Reported burning'!E1381</f>
        <v>Mixed cropping-livestock small holder, Subsistence-oriented</v>
      </c>
      <c r="F1381" s="161" t="str">
        <f>'Reported burning'!F1381</f>
        <v>Forest</v>
      </c>
      <c r="G1381" s="161" t="str">
        <f>'Reported burning'!G1381</f>
        <v>ND</v>
      </c>
      <c r="H1381" s="161" t="str">
        <f>'Reported burning'!H1381</f>
        <v>Presence</v>
      </c>
      <c r="I1381" s="4"/>
      <c r="J1381" s="4" t="s">
        <v>2308</v>
      </c>
      <c r="K1381" s="4" t="s">
        <v>2308</v>
      </c>
      <c r="L1381" s="4" t="s">
        <v>2308</v>
      </c>
      <c r="M1381" s="4" t="s">
        <v>2308</v>
      </c>
      <c r="N1381" s="4" t="s">
        <v>2308</v>
      </c>
      <c r="O1381" s="4" t="s">
        <v>2308</v>
      </c>
      <c r="P1381" s="4" t="s">
        <v>2308</v>
      </c>
      <c r="Q1381" s="4" t="s">
        <v>2308</v>
      </c>
      <c r="R1381" s="4" t="s">
        <v>2308</v>
      </c>
      <c r="S1381" s="4" t="s">
        <v>2308</v>
      </c>
      <c r="T1381" s="4" t="s">
        <v>2308</v>
      </c>
      <c r="U1381" s="4" t="s">
        <v>2308</v>
      </c>
      <c r="V1381" s="4" t="s">
        <v>2308</v>
      </c>
      <c r="W1381" s="4" t="s">
        <v>2308</v>
      </c>
      <c r="X1381" s="4" t="s">
        <v>2308</v>
      </c>
      <c r="Y1381" s="4" t="s">
        <v>2308</v>
      </c>
      <c r="Z1381" s="4" t="s">
        <v>2308</v>
      </c>
      <c r="AA1381" s="5" t="s">
        <v>4237</v>
      </c>
      <c r="AB1381" s="4"/>
    </row>
    <row r="1382" spans="1:28" ht="49.5" customHeight="1">
      <c r="A1382" s="161" t="str">
        <f>'Reported burning'!A1382</f>
        <v>165a</v>
      </c>
      <c r="B1382" s="161" t="str">
        <f>'Reported burning'!B1382</f>
        <v>165a.13</v>
      </c>
      <c r="C1382" s="161" t="str">
        <f>'Reported burning'!C1382</f>
        <v>Human, escaped</v>
      </c>
      <c r="D1382" s="161" t="str">
        <f>'Reported burning'!D1382</f>
        <v>Domestic</v>
      </c>
      <c r="E1382" s="161" t="str">
        <f>'Reported burning'!E1382</f>
        <v>Mixed cropping-livestock small holder, Subsistence-oriented</v>
      </c>
      <c r="F1382" s="161" t="str">
        <f>'Reported burning'!F1382</f>
        <v>ND</v>
      </c>
      <c r="G1382" s="161" t="str">
        <f>'Reported burning'!G1382</f>
        <v>ND</v>
      </c>
      <c r="H1382" s="161" t="str">
        <f>'Reported burning'!H1382</f>
        <v>Presence</v>
      </c>
      <c r="I1382" s="4"/>
      <c r="J1382" s="4" t="s">
        <v>2308</v>
      </c>
      <c r="K1382" s="4" t="s">
        <v>2308</v>
      </c>
      <c r="L1382" s="4" t="s">
        <v>2308</v>
      </c>
      <c r="M1382" s="4" t="s">
        <v>2308</v>
      </c>
      <c r="N1382" s="4" t="s">
        <v>2308</v>
      </c>
      <c r="O1382" s="4" t="s">
        <v>2308</v>
      </c>
      <c r="P1382" s="4" t="s">
        <v>2308</v>
      </c>
      <c r="Q1382" s="4" t="s">
        <v>2308</v>
      </c>
      <c r="R1382" s="4" t="s">
        <v>2308</v>
      </c>
      <c r="S1382" s="4" t="s">
        <v>2308</v>
      </c>
      <c r="T1382" s="4" t="s">
        <v>2308</v>
      </c>
      <c r="U1382" s="4" t="s">
        <v>2308</v>
      </c>
      <c r="V1382" s="4" t="s">
        <v>2308</v>
      </c>
      <c r="W1382" s="4" t="s">
        <v>2308</v>
      </c>
      <c r="X1382" s="4" t="s">
        <v>406</v>
      </c>
      <c r="Y1382" s="4" t="s">
        <v>133</v>
      </c>
      <c r="Z1382" s="4" t="s">
        <v>2344</v>
      </c>
      <c r="AA1382" s="5" t="s">
        <v>4235</v>
      </c>
      <c r="AB1382" s="4"/>
    </row>
    <row r="1383" spans="1:28" ht="49.5" customHeight="1">
      <c r="A1383" s="161" t="str">
        <f>'Reported burning'!A1383</f>
        <v>165a</v>
      </c>
      <c r="B1383" s="161" t="str">
        <f>'Reported burning'!B1383</f>
        <v>165a.14</v>
      </c>
      <c r="C1383" s="161" t="str">
        <f>'Reported burning'!C1383</f>
        <v>Human, escaped</v>
      </c>
      <c r="D1383" s="161" t="str">
        <f>'Reported burning'!D1383</f>
        <v>Domestic</v>
      </c>
      <c r="E1383" s="161" t="str">
        <f>'Reported burning'!E1383</f>
        <v>Forestry, Small-scale</v>
      </c>
      <c r="F1383" s="161" t="str">
        <f>'Reported burning'!F1383</f>
        <v>ND</v>
      </c>
      <c r="G1383" s="161" t="str">
        <f>'Reported burning'!G1383</f>
        <v>ND</v>
      </c>
      <c r="H1383" s="161" t="str">
        <f>'Reported burning'!H1383</f>
        <v>Presence</v>
      </c>
      <c r="I1383" s="4"/>
      <c r="J1383" s="4" t="s">
        <v>2308</v>
      </c>
      <c r="K1383" s="4" t="s">
        <v>2308</v>
      </c>
      <c r="L1383" s="4" t="s">
        <v>2308</v>
      </c>
      <c r="M1383" s="4" t="s">
        <v>2308</v>
      </c>
      <c r="N1383" s="4" t="s">
        <v>2308</v>
      </c>
      <c r="O1383" s="4" t="s">
        <v>2308</v>
      </c>
      <c r="P1383" s="4" t="s">
        <v>2308</v>
      </c>
      <c r="Q1383" s="4" t="s">
        <v>2308</v>
      </c>
      <c r="R1383" s="4" t="s">
        <v>2308</v>
      </c>
      <c r="S1383" s="4" t="s">
        <v>2308</v>
      </c>
      <c r="T1383" s="4" t="s">
        <v>2308</v>
      </c>
      <c r="U1383" s="4" t="s">
        <v>2308</v>
      </c>
      <c r="V1383" s="4" t="s">
        <v>2308</v>
      </c>
      <c r="W1383" s="4" t="s">
        <v>2308</v>
      </c>
      <c r="X1383" s="4" t="s">
        <v>406</v>
      </c>
      <c r="Y1383" s="4" t="s">
        <v>133</v>
      </c>
      <c r="Z1383" s="4" t="s">
        <v>2344</v>
      </c>
      <c r="AA1383" s="5" t="s">
        <v>4235</v>
      </c>
      <c r="AB1383" s="4"/>
    </row>
    <row r="1384" spans="1:28" ht="49.5" customHeight="1">
      <c r="A1384" s="161" t="str">
        <f>'Reported burning'!A1384</f>
        <v>165b</v>
      </c>
      <c r="B1384" s="161" t="str">
        <f>'Reported burning'!B1384</f>
        <v>165b.1</v>
      </c>
      <c r="C1384" s="161" t="str">
        <f>'Reported burning'!C1384</f>
        <v>Human, deliberate</v>
      </c>
      <c r="D1384" s="161" t="str">
        <f>'Reported burning'!D1384</f>
        <v>Pasture renewal</v>
      </c>
      <c r="E1384" s="161" t="str">
        <f>'Reported burning'!E1384</f>
        <v>Pastoralism, Migratory</v>
      </c>
      <c r="F1384" s="161" t="str">
        <f>'Reported burning'!F1384</f>
        <v>Shrubland (Mixed forest &amp; grassland)</v>
      </c>
      <c r="G1384" s="161" t="str">
        <f>'Reported burning'!G1384</f>
        <v>ND</v>
      </c>
      <c r="H1384" s="161" t="str">
        <f>'Reported burning'!H1384</f>
        <v>Presence</v>
      </c>
      <c r="I1384" s="4"/>
      <c r="J1384" s="4" t="s">
        <v>2308</v>
      </c>
      <c r="K1384" s="4" t="s">
        <v>2308</v>
      </c>
      <c r="L1384" s="4" t="s">
        <v>2308</v>
      </c>
      <c r="M1384" s="4" t="s">
        <v>2308</v>
      </c>
      <c r="N1384" s="4" t="s">
        <v>2308</v>
      </c>
      <c r="O1384" s="4" t="s">
        <v>2308</v>
      </c>
      <c r="P1384" s="4" t="s">
        <v>2308</v>
      </c>
      <c r="Q1384" s="4" t="s">
        <v>2308</v>
      </c>
      <c r="R1384" s="4" t="s">
        <v>2308</v>
      </c>
      <c r="S1384" s="4" t="s">
        <v>2308</v>
      </c>
      <c r="T1384" s="4" t="s">
        <v>2308</v>
      </c>
      <c r="U1384" s="4" t="s">
        <v>2308</v>
      </c>
      <c r="V1384" s="4" t="s">
        <v>2308</v>
      </c>
      <c r="W1384" s="4" t="s">
        <v>2308</v>
      </c>
      <c r="X1384" s="4" t="s">
        <v>411</v>
      </c>
      <c r="Y1384" s="4" t="s">
        <v>432</v>
      </c>
      <c r="Z1384" s="4" t="s">
        <v>64</v>
      </c>
      <c r="AA1384" s="5" t="s">
        <v>4234</v>
      </c>
      <c r="AB1384" s="4"/>
    </row>
    <row r="1385" spans="1:28" ht="49.5" customHeight="1">
      <c r="A1385" s="161" t="str">
        <f>'Reported burning'!A1385</f>
        <v>165b</v>
      </c>
      <c r="B1385" s="161" t="str">
        <f>'Reported burning'!B1385</f>
        <v>165b.2</v>
      </c>
      <c r="C1385" s="161" t="str">
        <f>'Reported burning'!C1385</f>
        <v>Human, deliberate</v>
      </c>
      <c r="D1385" s="161" t="str">
        <f>'Reported burning'!D1385</f>
        <v>Pasture renewal</v>
      </c>
      <c r="E1385" s="161" t="str">
        <f>'Reported burning'!E1385</f>
        <v>Cattle, Extensive</v>
      </c>
      <c r="F1385" s="161" t="str">
        <f>'Reported burning'!F1385</f>
        <v>Shrubland (Mixed forest &amp; grassland)</v>
      </c>
      <c r="G1385" s="161" t="str">
        <f>'Reported burning'!G1385</f>
        <v>ND</v>
      </c>
      <c r="H1385" s="161" t="str">
        <f>'Reported burning'!H1385</f>
        <v>Presence</v>
      </c>
      <c r="I1385" s="4"/>
      <c r="J1385" s="4" t="s">
        <v>2308</v>
      </c>
      <c r="K1385" s="4" t="s">
        <v>2308</v>
      </c>
      <c r="L1385" s="4" t="s">
        <v>2308</v>
      </c>
      <c r="M1385" s="4" t="s">
        <v>2308</v>
      </c>
      <c r="N1385" s="4" t="s">
        <v>2308</v>
      </c>
      <c r="O1385" s="4" t="s">
        <v>2308</v>
      </c>
      <c r="P1385" s="4" t="s">
        <v>2308</v>
      </c>
      <c r="Q1385" s="4" t="s">
        <v>2308</v>
      </c>
      <c r="R1385" s="4" t="s">
        <v>2308</v>
      </c>
      <c r="S1385" s="4" t="s">
        <v>2308</v>
      </c>
      <c r="T1385" s="4" t="s">
        <v>2308</v>
      </c>
      <c r="U1385" s="4" t="s">
        <v>2308</v>
      </c>
      <c r="V1385" s="4" t="s">
        <v>2308</v>
      </c>
      <c r="W1385" s="4" t="s">
        <v>2308</v>
      </c>
      <c r="X1385" s="4" t="s">
        <v>411</v>
      </c>
      <c r="Y1385" s="4" t="s">
        <v>432</v>
      </c>
      <c r="Z1385" s="4" t="s">
        <v>64</v>
      </c>
      <c r="AA1385" s="5" t="s">
        <v>4234</v>
      </c>
      <c r="AB1385" s="4"/>
    </row>
    <row r="1386" spans="1:28" ht="49.5" customHeight="1">
      <c r="A1386" s="161" t="str">
        <f>'Reported burning'!A1386</f>
        <v>165b</v>
      </c>
      <c r="B1386" s="161" t="str">
        <f>'Reported burning'!B1386</f>
        <v>165b.3</v>
      </c>
      <c r="C1386" s="161" t="str">
        <f>'Reported burning'!C1386</f>
        <v>Human, deliberate</v>
      </c>
      <c r="D1386" s="161" t="str">
        <f>'Reported burning'!D1386</f>
        <v>Pest management</v>
      </c>
      <c r="E1386" s="161" t="str">
        <f>'Reported burning'!E1386</f>
        <v>Pastoralism, Migratory</v>
      </c>
      <c r="F1386" s="161" t="str">
        <f>'Reported burning'!F1386</f>
        <v>Shrubland (Mixed forest &amp; grassland)</v>
      </c>
      <c r="G1386" s="161" t="str">
        <f>'Reported burning'!G1386</f>
        <v>ND</v>
      </c>
      <c r="H1386" s="161" t="str">
        <f>'Reported burning'!H1386</f>
        <v>Presence</v>
      </c>
      <c r="I1386" s="4"/>
      <c r="J1386" s="4" t="s">
        <v>2308</v>
      </c>
      <c r="K1386" s="4" t="s">
        <v>2308</v>
      </c>
      <c r="L1386" s="4" t="s">
        <v>2308</v>
      </c>
      <c r="M1386" s="4" t="s">
        <v>2308</v>
      </c>
      <c r="N1386" s="4" t="s">
        <v>2308</v>
      </c>
      <c r="O1386" s="4" t="s">
        <v>2308</v>
      </c>
      <c r="P1386" s="4" t="s">
        <v>2308</v>
      </c>
      <c r="Q1386" s="4" t="s">
        <v>2308</v>
      </c>
      <c r="R1386" s="4" t="s">
        <v>2308</v>
      </c>
      <c r="S1386" s="4" t="s">
        <v>2308</v>
      </c>
      <c r="T1386" s="4" t="s">
        <v>2308</v>
      </c>
      <c r="U1386" s="4" t="s">
        <v>2308</v>
      </c>
      <c r="V1386" s="4" t="s">
        <v>2308</v>
      </c>
      <c r="W1386" s="4" t="s">
        <v>2308</v>
      </c>
      <c r="X1386" s="4" t="s">
        <v>86</v>
      </c>
      <c r="Y1386" s="4" t="s">
        <v>68</v>
      </c>
      <c r="Z1386" s="4" t="s">
        <v>64</v>
      </c>
      <c r="AA1386" s="5" t="s">
        <v>4234</v>
      </c>
      <c r="AB1386" s="4"/>
    </row>
    <row r="1387" spans="1:28" ht="49.5" customHeight="1">
      <c r="A1387" s="161" t="str">
        <f>'Reported burning'!A1387</f>
        <v>165b</v>
      </c>
      <c r="B1387" s="161" t="str">
        <f>'Reported burning'!B1387</f>
        <v>165b.4</v>
      </c>
      <c r="C1387" s="161" t="str">
        <f>'Reported burning'!C1387</f>
        <v>Human, deliberate</v>
      </c>
      <c r="D1387" s="161" t="str">
        <f>'Reported burning'!D1387</f>
        <v>Pest management</v>
      </c>
      <c r="E1387" s="161" t="str">
        <f>'Reported burning'!E1387</f>
        <v>Cattle, Extensive</v>
      </c>
      <c r="F1387" s="161" t="str">
        <f>'Reported burning'!F1387</f>
        <v>Shrubland (Mixed forest &amp; grassland)</v>
      </c>
      <c r="G1387" s="161" t="str">
        <f>'Reported burning'!G1387</f>
        <v>ND</v>
      </c>
      <c r="H1387" s="161" t="str">
        <f>'Reported burning'!H1387</f>
        <v>Presence</v>
      </c>
      <c r="I1387" s="4"/>
      <c r="J1387" s="4" t="s">
        <v>2308</v>
      </c>
      <c r="K1387" s="4" t="s">
        <v>2308</v>
      </c>
      <c r="L1387" s="4" t="s">
        <v>2308</v>
      </c>
      <c r="M1387" s="4" t="s">
        <v>2308</v>
      </c>
      <c r="N1387" s="4" t="s">
        <v>2308</v>
      </c>
      <c r="O1387" s="4" t="s">
        <v>2308</v>
      </c>
      <c r="P1387" s="4" t="s">
        <v>2308</v>
      </c>
      <c r="Q1387" s="4" t="s">
        <v>2308</v>
      </c>
      <c r="R1387" s="4" t="s">
        <v>2308</v>
      </c>
      <c r="S1387" s="4" t="s">
        <v>2308</v>
      </c>
      <c r="T1387" s="4" t="s">
        <v>2308</v>
      </c>
      <c r="U1387" s="4" t="s">
        <v>2308</v>
      </c>
      <c r="V1387" s="4" t="s">
        <v>2308</v>
      </c>
      <c r="W1387" s="4" t="s">
        <v>2308</v>
      </c>
      <c r="X1387" s="4" t="s">
        <v>86</v>
      </c>
      <c r="Y1387" s="4" t="s">
        <v>68</v>
      </c>
      <c r="Z1387" s="4" t="s">
        <v>64</v>
      </c>
      <c r="AA1387" s="5" t="s">
        <v>4234</v>
      </c>
      <c r="AB1387" s="4"/>
    </row>
    <row r="1388" spans="1:28" ht="49.5" customHeight="1">
      <c r="A1388" s="161" t="str">
        <f>'Reported burning'!A1388</f>
        <v>165b</v>
      </c>
      <c r="B1388" s="161" t="str">
        <f>'Reported burning'!B1388</f>
        <v>165b.5</v>
      </c>
      <c r="C1388" s="161" t="str">
        <f>'Reported burning'!C1388</f>
        <v>Human, deliberate</v>
      </c>
      <c r="D1388" s="161" t="str">
        <f>'Reported burning'!D1388</f>
        <v>Harvesting of NTFP</v>
      </c>
      <c r="E1388" s="161" t="str">
        <f>'Reported burning'!E1388</f>
        <v>Pastoralism, Migratory</v>
      </c>
      <c r="F1388" s="161" t="str">
        <f>'Reported burning'!F1388</f>
        <v>Forest</v>
      </c>
      <c r="G1388" s="161" t="str">
        <f>'Reported burning'!G1388</f>
        <v>ND</v>
      </c>
      <c r="H1388" s="161" t="str">
        <f>'Reported burning'!H1388</f>
        <v>Presence</v>
      </c>
      <c r="I1388" s="4"/>
      <c r="J1388" s="4" t="s">
        <v>2308</v>
      </c>
      <c r="K1388" s="4" t="s">
        <v>2308</v>
      </c>
      <c r="L1388" s="4" t="s">
        <v>2308</v>
      </c>
      <c r="M1388" s="4" t="s">
        <v>2308</v>
      </c>
      <c r="N1388" s="4" t="s">
        <v>2308</v>
      </c>
      <c r="O1388" s="4" t="s">
        <v>2308</v>
      </c>
      <c r="P1388" s="4" t="s">
        <v>2308</v>
      </c>
      <c r="Q1388" s="4" t="s">
        <v>2308</v>
      </c>
      <c r="R1388" s="4" t="s">
        <v>2308</v>
      </c>
      <c r="S1388" s="4" t="s">
        <v>2308</v>
      </c>
      <c r="T1388" s="4" t="s">
        <v>2308</v>
      </c>
      <c r="U1388" s="4" t="s">
        <v>2308</v>
      </c>
      <c r="V1388" s="4" t="s">
        <v>2308</v>
      </c>
      <c r="W1388" s="4" t="s">
        <v>2308</v>
      </c>
      <c r="X1388" s="4" t="s">
        <v>86</v>
      </c>
      <c r="Y1388" s="4" t="s">
        <v>411</v>
      </c>
      <c r="Z1388" s="4" t="s">
        <v>64</v>
      </c>
      <c r="AA1388" s="5" t="s">
        <v>4243</v>
      </c>
      <c r="AB1388" s="4"/>
    </row>
    <row r="1389" spans="1:28" ht="49.5" customHeight="1">
      <c r="A1389" s="161" t="str">
        <f>'Reported burning'!A1389</f>
        <v>165b</v>
      </c>
      <c r="B1389" s="161" t="str">
        <f>'Reported burning'!B1389</f>
        <v>165b.6</v>
      </c>
      <c r="C1389" s="161" t="str">
        <f>'Reported burning'!C1389</f>
        <v>Human, deliberate</v>
      </c>
      <c r="D1389" s="161" t="str">
        <f>'Reported burning'!D1389</f>
        <v>Harvesting of NTFP</v>
      </c>
      <c r="E1389" s="161" t="str">
        <f>'Reported burning'!E1389</f>
        <v>Cattle, Extensive</v>
      </c>
      <c r="F1389" s="161" t="str">
        <f>'Reported burning'!F1389</f>
        <v>Forest</v>
      </c>
      <c r="G1389" s="161" t="str">
        <f>'Reported burning'!G1389</f>
        <v>ND</v>
      </c>
      <c r="H1389" s="161" t="str">
        <f>'Reported burning'!H1389</f>
        <v>Presence</v>
      </c>
      <c r="I1389" s="4"/>
      <c r="J1389" s="4" t="s">
        <v>2308</v>
      </c>
      <c r="K1389" s="4" t="s">
        <v>2308</v>
      </c>
      <c r="L1389" s="4" t="s">
        <v>2308</v>
      </c>
      <c r="M1389" s="4" t="s">
        <v>2308</v>
      </c>
      <c r="N1389" s="4" t="s">
        <v>2308</v>
      </c>
      <c r="O1389" s="4" t="s">
        <v>2308</v>
      </c>
      <c r="P1389" s="4" t="s">
        <v>2308</v>
      </c>
      <c r="Q1389" s="4" t="s">
        <v>2308</v>
      </c>
      <c r="R1389" s="4" t="s">
        <v>2308</v>
      </c>
      <c r="S1389" s="4" t="s">
        <v>2308</v>
      </c>
      <c r="T1389" s="4" t="s">
        <v>2308</v>
      </c>
      <c r="U1389" s="4" t="s">
        <v>2308</v>
      </c>
      <c r="V1389" s="4" t="s">
        <v>2308</v>
      </c>
      <c r="W1389" s="4" t="s">
        <v>2308</v>
      </c>
      <c r="X1389" s="4" t="s">
        <v>86</v>
      </c>
      <c r="Y1389" s="4" t="s">
        <v>411</v>
      </c>
      <c r="Z1389" s="4" t="s">
        <v>64</v>
      </c>
      <c r="AA1389" s="5" t="s">
        <v>4243</v>
      </c>
      <c r="AB1389" s="4"/>
    </row>
    <row r="1390" spans="1:28" ht="49.5" customHeight="1">
      <c r="A1390" s="161" t="str">
        <f>'Reported burning'!A1390</f>
        <v>165b</v>
      </c>
      <c r="B1390" s="161" t="str">
        <f>'Reported burning'!B1390</f>
        <v>165b.7</v>
      </c>
      <c r="C1390" s="161" t="str">
        <f>'Reported burning'!C1390</f>
        <v>Human, deliberate</v>
      </c>
      <c r="D1390" s="161" t="str">
        <f>'Reported burning'!D1390</f>
        <v>Harvesting of Timber</v>
      </c>
      <c r="E1390" s="161" t="str">
        <f>'Reported burning'!E1390</f>
        <v>Pastoralism, Migratory</v>
      </c>
      <c r="F1390" s="161" t="str">
        <f>'Reported burning'!F1390</f>
        <v>Forest</v>
      </c>
      <c r="G1390" s="161" t="str">
        <f>'Reported burning'!G1390</f>
        <v>ND</v>
      </c>
      <c r="H1390" s="161" t="str">
        <f>'Reported burning'!H1390</f>
        <v>Presence</v>
      </c>
      <c r="I1390" s="4"/>
      <c r="J1390" s="4" t="s">
        <v>2308</v>
      </c>
      <c r="K1390" s="4" t="s">
        <v>2308</v>
      </c>
      <c r="L1390" s="4" t="s">
        <v>2308</v>
      </c>
      <c r="M1390" s="4" t="s">
        <v>2308</v>
      </c>
      <c r="N1390" s="4" t="s">
        <v>2308</v>
      </c>
      <c r="O1390" s="4" t="s">
        <v>2308</v>
      </c>
      <c r="P1390" s="4" t="s">
        <v>2308</v>
      </c>
      <c r="Q1390" s="4" t="s">
        <v>2308</v>
      </c>
      <c r="R1390" s="4" t="s">
        <v>2308</v>
      </c>
      <c r="S1390" s="4" t="s">
        <v>2308</v>
      </c>
      <c r="T1390" s="4" t="s">
        <v>2308</v>
      </c>
      <c r="U1390" s="4" t="s">
        <v>2308</v>
      </c>
      <c r="V1390" s="4" t="s">
        <v>2308</v>
      </c>
      <c r="W1390" s="4" t="s">
        <v>2308</v>
      </c>
      <c r="X1390" s="4" t="s">
        <v>432</v>
      </c>
      <c r="Y1390" s="4" t="s">
        <v>68</v>
      </c>
      <c r="Z1390" s="4" t="s">
        <v>64</v>
      </c>
      <c r="AA1390" s="5" t="s">
        <v>4244</v>
      </c>
      <c r="AB1390" s="4"/>
    </row>
    <row r="1391" spans="1:28" ht="49.5" customHeight="1">
      <c r="A1391" s="161" t="str">
        <f>'Reported burning'!A1391</f>
        <v>165b</v>
      </c>
      <c r="B1391" s="161" t="str">
        <f>'Reported burning'!B1391</f>
        <v>165b.8</v>
      </c>
      <c r="C1391" s="161" t="str">
        <f>'Reported burning'!C1391</f>
        <v>Human, deliberate</v>
      </c>
      <c r="D1391" s="161" t="str">
        <f>'Reported burning'!D1391</f>
        <v>Harvesting of Timber</v>
      </c>
      <c r="E1391" s="161" t="str">
        <f>'Reported burning'!E1391</f>
        <v>Cattle, Extensive</v>
      </c>
      <c r="F1391" s="161" t="str">
        <f>'Reported burning'!F1391</f>
        <v>Forest</v>
      </c>
      <c r="G1391" s="161" t="str">
        <f>'Reported burning'!G1391</f>
        <v>ND</v>
      </c>
      <c r="H1391" s="161" t="str">
        <f>'Reported burning'!H1391</f>
        <v>Presence</v>
      </c>
      <c r="I1391" s="4"/>
      <c r="J1391" s="4" t="s">
        <v>2308</v>
      </c>
      <c r="K1391" s="4" t="s">
        <v>2308</v>
      </c>
      <c r="L1391" s="4" t="s">
        <v>2308</v>
      </c>
      <c r="M1391" s="4" t="s">
        <v>2308</v>
      </c>
      <c r="N1391" s="4" t="s">
        <v>2308</v>
      </c>
      <c r="O1391" s="4" t="s">
        <v>2308</v>
      </c>
      <c r="P1391" s="4" t="s">
        <v>2308</v>
      </c>
      <c r="Q1391" s="4" t="s">
        <v>2308</v>
      </c>
      <c r="R1391" s="4" t="s">
        <v>2308</v>
      </c>
      <c r="S1391" s="4" t="s">
        <v>2308</v>
      </c>
      <c r="T1391" s="4" t="s">
        <v>2308</v>
      </c>
      <c r="U1391" s="4" t="s">
        <v>2308</v>
      </c>
      <c r="V1391" s="4" t="s">
        <v>2308</v>
      </c>
      <c r="W1391" s="4" t="s">
        <v>2308</v>
      </c>
      <c r="X1391" s="4" t="s">
        <v>432</v>
      </c>
      <c r="Y1391" s="4" t="s">
        <v>68</v>
      </c>
      <c r="Z1391" s="4" t="s">
        <v>64</v>
      </c>
      <c r="AA1391" s="5" t="s">
        <v>4244</v>
      </c>
      <c r="AB1391" s="4"/>
    </row>
    <row r="1392" spans="1:28" ht="49.5" customHeight="1">
      <c r="A1392" s="161" t="str">
        <f>'Reported burning'!A1392</f>
        <v>165b</v>
      </c>
      <c r="B1392" s="161" t="str">
        <f>'Reported burning'!B1392</f>
        <v>165b.9</v>
      </c>
      <c r="C1392" s="161" t="str">
        <f>'Reported burning'!C1392</f>
        <v>Human, deliberate</v>
      </c>
      <c r="D1392" s="161" t="str">
        <f>'Reported burning'!D1392</f>
        <v>Accessibility</v>
      </c>
      <c r="E1392" s="161" t="str">
        <f>'Reported burning'!E1392</f>
        <v>Pastoralism, Migratory</v>
      </c>
      <c r="F1392" s="161" t="str">
        <f>'Reported burning'!F1392</f>
        <v>Shrubland (Mixed forest &amp; grassland)</v>
      </c>
      <c r="G1392" s="161" t="str">
        <f>'Reported burning'!G1392</f>
        <v>ND</v>
      </c>
      <c r="H1392" s="161" t="str">
        <f>'Reported burning'!H1392</f>
        <v>Presence</v>
      </c>
      <c r="I1392" s="4"/>
      <c r="J1392" s="4" t="s">
        <v>2308</v>
      </c>
      <c r="K1392" s="4" t="s">
        <v>2308</v>
      </c>
      <c r="L1392" s="4" t="s">
        <v>2308</v>
      </c>
      <c r="M1392" s="4" t="s">
        <v>2308</v>
      </c>
      <c r="N1392" s="4" t="s">
        <v>2308</v>
      </c>
      <c r="O1392" s="4" t="s">
        <v>2308</v>
      </c>
      <c r="P1392" s="4" t="s">
        <v>2308</v>
      </c>
      <c r="Q1392" s="4" t="s">
        <v>2308</v>
      </c>
      <c r="R1392" s="4" t="s">
        <v>2308</v>
      </c>
      <c r="S1392" s="4" t="s">
        <v>2308</v>
      </c>
      <c r="T1392" s="4" t="s">
        <v>2308</v>
      </c>
      <c r="U1392" s="4" t="s">
        <v>2308</v>
      </c>
      <c r="V1392" s="4" t="s">
        <v>2308</v>
      </c>
      <c r="W1392" s="4" t="s">
        <v>2308</v>
      </c>
      <c r="X1392" s="4" t="s">
        <v>86</v>
      </c>
      <c r="Y1392" s="4" t="s">
        <v>68</v>
      </c>
      <c r="Z1392" s="4" t="s">
        <v>64</v>
      </c>
      <c r="AA1392" s="20" t="s">
        <v>4236</v>
      </c>
      <c r="AB1392" s="4"/>
    </row>
    <row r="1393" spans="1:28" ht="49.5" customHeight="1">
      <c r="A1393" s="161" t="str">
        <f>'Reported burning'!A1393</f>
        <v>165b</v>
      </c>
      <c r="B1393" s="161" t="str">
        <f>'Reported burning'!B1393</f>
        <v>165b.10</v>
      </c>
      <c r="C1393" s="161" t="str">
        <f>'Reported burning'!C1393</f>
        <v>Human, deliberate</v>
      </c>
      <c r="D1393" s="161" t="str">
        <f>'Reported burning'!D1393</f>
        <v>Accessibility</v>
      </c>
      <c r="E1393" s="161" t="str">
        <f>'Reported burning'!E1393</f>
        <v>Cattle, Extensive</v>
      </c>
      <c r="F1393" s="161" t="str">
        <f>'Reported burning'!F1393</f>
        <v>Shrubland (Mixed forest &amp; grassland)</v>
      </c>
      <c r="G1393" s="161" t="str">
        <f>'Reported burning'!G1393</f>
        <v>ND</v>
      </c>
      <c r="H1393" s="161" t="str">
        <f>'Reported burning'!H1393</f>
        <v>Presence</v>
      </c>
      <c r="I1393" s="4"/>
      <c r="J1393" s="4" t="s">
        <v>2308</v>
      </c>
      <c r="K1393" s="4" t="s">
        <v>2308</v>
      </c>
      <c r="L1393" s="4" t="s">
        <v>2308</v>
      </c>
      <c r="M1393" s="4" t="s">
        <v>2308</v>
      </c>
      <c r="N1393" s="4" t="s">
        <v>2308</v>
      </c>
      <c r="O1393" s="4" t="s">
        <v>2308</v>
      </c>
      <c r="P1393" s="4" t="s">
        <v>2308</v>
      </c>
      <c r="Q1393" s="4" t="s">
        <v>2308</v>
      </c>
      <c r="R1393" s="4" t="s">
        <v>2308</v>
      </c>
      <c r="S1393" s="4" t="s">
        <v>2308</v>
      </c>
      <c r="T1393" s="4" t="s">
        <v>2308</v>
      </c>
      <c r="U1393" s="4" t="s">
        <v>2308</v>
      </c>
      <c r="V1393" s="4" t="s">
        <v>2308</v>
      </c>
      <c r="W1393" s="4" t="s">
        <v>2308</v>
      </c>
      <c r="X1393" s="4" t="s">
        <v>86</v>
      </c>
      <c r="Y1393" s="4" t="s">
        <v>68</v>
      </c>
      <c r="Z1393" s="4" t="s">
        <v>64</v>
      </c>
      <c r="AA1393" s="20" t="s">
        <v>4236</v>
      </c>
      <c r="AB1393" s="4"/>
    </row>
    <row r="1394" spans="1:28" ht="49.5" customHeight="1">
      <c r="A1394" s="161" t="str">
        <f>'Reported burning'!A1394</f>
        <v>165b</v>
      </c>
      <c r="B1394" s="161" t="str">
        <f>'Reported burning'!B1394</f>
        <v>165b.11</v>
      </c>
      <c r="C1394" s="161" t="str">
        <f>'Reported burning'!C1394</f>
        <v>Human, escaped</v>
      </c>
      <c r="D1394" s="161" t="str">
        <f>'Reported burning'!D1394</f>
        <v>Domestic</v>
      </c>
      <c r="E1394" s="161" t="str">
        <f>'Reported burning'!E1394</f>
        <v>Pastoralism, Migratory</v>
      </c>
      <c r="F1394" s="161" t="str">
        <f>'Reported burning'!F1394</f>
        <v>ND</v>
      </c>
      <c r="G1394" s="161" t="str">
        <f>'Reported burning'!G1394</f>
        <v>ND</v>
      </c>
      <c r="H1394" s="161" t="str">
        <f>'Reported burning'!H1394</f>
        <v>Presence</v>
      </c>
      <c r="I1394" s="4"/>
      <c r="J1394" s="4" t="s">
        <v>2308</v>
      </c>
      <c r="K1394" s="4" t="s">
        <v>2308</v>
      </c>
      <c r="L1394" s="4" t="s">
        <v>2308</v>
      </c>
      <c r="M1394" s="4" t="s">
        <v>2308</v>
      </c>
      <c r="N1394" s="4" t="s">
        <v>2308</v>
      </c>
      <c r="O1394" s="4" t="s">
        <v>2308</v>
      </c>
      <c r="P1394" s="4" t="s">
        <v>2308</v>
      </c>
      <c r="Q1394" s="4" t="s">
        <v>2308</v>
      </c>
      <c r="R1394" s="4" t="s">
        <v>2308</v>
      </c>
      <c r="S1394" s="4" t="s">
        <v>2308</v>
      </c>
      <c r="T1394" s="4" t="s">
        <v>2308</v>
      </c>
      <c r="U1394" s="4" t="s">
        <v>2308</v>
      </c>
      <c r="V1394" s="4" t="s">
        <v>2308</v>
      </c>
      <c r="W1394" s="4" t="s">
        <v>2308</v>
      </c>
      <c r="X1394" s="4" t="s">
        <v>406</v>
      </c>
      <c r="Y1394" s="4" t="s">
        <v>133</v>
      </c>
      <c r="Z1394" s="4" t="s">
        <v>2344</v>
      </c>
      <c r="AA1394" s="5" t="s">
        <v>4235</v>
      </c>
      <c r="AB1394" s="4"/>
    </row>
    <row r="1395" spans="1:28" ht="49.5" customHeight="1">
      <c r="A1395" s="161" t="str">
        <f>'Reported burning'!A1395</f>
        <v>165b</v>
      </c>
      <c r="B1395" s="161" t="str">
        <f>'Reported burning'!B1395</f>
        <v>165b.12</v>
      </c>
      <c r="C1395" s="161" t="str">
        <f>'Reported burning'!C1395</f>
        <v>Human, escaped</v>
      </c>
      <c r="D1395" s="161" t="str">
        <f>'Reported burning'!D1395</f>
        <v>Domestic</v>
      </c>
      <c r="E1395" s="161" t="str">
        <f>'Reported burning'!E1395</f>
        <v>Cattle, Extensive</v>
      </c>
      <c r="F1395" s="161" t="str">
        <f>'Reported burning'!F1395</f>
        <v>ND</v>
      </c>
      <c r="G1395" s="161" t="str">
        <f>'Reported burning'!G1395</f>
        <v>ND</v>
      </c>
      <c r="H1395" s="161" t="str">
        <f>'Reported burning'!H1395</f>
        <v>Presence</v>
      </c>
      <c r="I1395" s="4"/>
      <c r="J1395" s="4" t="s">
        <v>2308</v>
      </c>
      <c r="K1395" s="4" t="s">
        <v>2308</v>
      </c>
      <c r="L1395" s="4" t="s">
        <v>2308</v>
      </c>
      <c r="M1395" s="4" t="s">
        <v>2308</v>
      </c>
      <c r="N1395" s="4" t="s">
        <v>2308</v>
      </c>
      <c r="O1395" s="4" t="s">
        <v>2308</v>
      </c>
      <c r="P1395" s="4" t="s">
        <v>2308</v>
      </c>
      <c r="Q1395" s="4" t="s">
        <v>2308</v>
      </c>
      <c r="R1395" s="4" t="s">
        <v>2308</v>
      </c>
      <c r="S1395" s="4" t="s">
        <v>2308</v>
      </c>
      <c r="T1395" s="4" t="s">
        <v>2308</v>
      </c>
      <c r="U1395" s="4" t="s">
        <v>2308</v>
      </c>
      <c r="V1395" s="4" t="s">
        <v>2308</v>
      </c>
      <c r="W1395" s="4" t="s">
        <v>2308</v>
      </c>
      <c r="X1395" s="4" t="s">
        <v>406</v>
      </c>
      <c r="Y1395" s="4" t="s">
        <v>133</v>
      </c>
      <c r="Z1395" s="4" t="s">
        <v>2344</v>
      </c>
      <c r="AA1395" s="5" t="s">
        <v>4235</v>
      </c>
      <c r="AB1395" s="4"/>
    </row>
    <row r="1396" spans="1:28" ht="29" customHeight="1">
      <c r="A1396" s="161" t="str">
        <f>'Reported burning'!A1396</f>
        <v>166a</v>
      </c>
      <c r="B1396" s="161" t="str">
        <f>'Reported burning'!B1396</f>
        <v>166a.1</v>
      </c>
      <c r="C1396" s="161" t="str">
        <f>'Reported burning'!C1396</f>
        <v>Human, deliberate</v>
      </c>
      <c r="D1396" s="161" t="str">
        <f>'Reported burning'!D1396</f>
        <v>Pasture renewal</v>
      </c>
      <c r="E1396" s="161" t="str">
        <f>'Reported burning'!E1396</f>
        <v>Cropping, Intensive</v>
      </c>
      <c r="F1396" s="161" t="str">
        <f>'Reported burning'!F1396</f>
        <v>Grassland</v>
      </c>
      <c r="G1396" s="161" t="str">
        <f>'Reported burning'!G1396</f>
        <v>ND</v>
      </c>
      <c r="H1396" s="161" t="str">
        <f>'Reported burning'!H1396</f>
        <v>Absence</v>
      </c>
      <c r="I1396" s="4"/>
      <c r="J1396" s="4">
        <v>0</v>
      </c>
      <c r="K1396" s="4">
        <v>0</v>
      </c>
      <c r="L1396" s="4">
        <v>0</v>
      </c>
      <c r="M1396" s="4">
        <v>0</v>
      </c>
      <c r="N1396" s="4">
        <v>0</v>
      </c>
      <c r="O1396" s="4">
        <v>0</v>
      </c>
      <c r="P1396" s="4">
        <v>0</v>
      </c>
      <c r="Q1396" s="4">
        <v>0</v>
      </c>
      <c r="R1396" s="4">
        <v>0</v>
      </c>
      <c r="S1396" s="4">
        <v>0</v>
      </c>
      <c r="T1396" s="4">
        <v>0</v>
      </c>
      <c r="U1396" s="4">
        <v>0</v>
      </c>
      <c r="V1396" s="4">
        <v>0</v>
      </c>
      <c r="W1396" s="4" t="s">
        <v>2308</v>
      </c>
      <c r="X1396" s="4" t="s">
        <v>2308</v>
      </c>
      <c r="Y1396" s="4" t="s">
        <v>2308</v>
      </c>
      <c r="Z1396" s="4" t="s">
        <v>2308</v>
      </c>
      <c r="AA1396" s="4"/>
      <c r="AB1396" s="4"/>
    </row>
    <row r="1397" spans="1:28" ht="29" customHeight="1">
      <c r="A1397" s="161" t="str">
        <f>'Reported burning'!A1397</f>
        <v>166b</v>
      </c>
      <c r="B1397" s="161" t="str">
        <f>'Reported burning'!B1397</f>
        <v>166a.2</v>
      </c>
      <c r="C1397" s="161" t="str">
        <f>'Reported burning'!C1397</f>
        <v>Human, deliberate</v>
      </c>
      <c r="D1397" s="161" t="str">
        <f>'Reported burning'!D1397</f>
        <v>Pasture renewal</v>
      </c>
      <c r="E1397" s="161" t="str">
        <f>'Reported burning'!E1397</f>
        <v>Cattle, Extensive</v>
      </c>
      <c r="F1397" s="161" t="str">
        <f>'Reported burning'!F1397</f>
        <v>Grassland</v>
      </c>
      <c r="G1397" s="161" t="str">
        <f>'Reported burning'!G1397</f>
        <v>Grassland</v>
      </c>
      <c r="H1397" s="161" t="str">
        <f>'Reported burning'!H1397</f>
        <v>Presence</v>
      </c>
      <c r="I1397" s="4"/>
      <c r="J1397" s="4" t="s">
        <v>2308</v>
      </c>
      <c r="K1397" s="4" t="s">
        <v>2308</v>
      </c>
      <c r="L1397" s="4" t="s">
        <v>2308</v>
      </c>
      <c r="M1397" s="4" t="s">
        <v>2308</v>
      </c>
      <c r="N1397" s="4" t="s">
        <v>2308</v>
      </c>
      <c r="O1397" s="4" t="s">
        <v>2308</v>
      </c>
      <c r="P1397" s="4" t="s">
        <v>2308</v>
      </c>
      <c r="Q1397" s="4" t="s">
        <v>2308</v>
      </c>
      <c r="R1397" s="4" t="s">
        <v>2308</v>
      </c>
      <c r="S1397" s="4" t="s">
        <v>2308</v>
      </c>
      <c r="T1397" s="4" t="s">
        <v>2308</v>
      </c>
      <c r="U1397" s="4" t="s">
        <v>2308</v>
      </c>
      <c r="V1397" s="4" t="s">
        <v>2308</v>
      </c>
      <c r="W1397" s="4" t="s">
        <v>2308</v>
      </c>
      <c r="X1397" s="4" t="s">
        <v>2308</v>
      </c>
      <c r="Y1397" s="4" t="s">
        <v>2308</v>
      </c>
      <c r="Z1397" s="4" t="s">
        <v>2308</v>
      </c>
      <c r="AA1397" s="4"/>
      <c r="AB1397" s="4"/>
    </row>
    <row r="1398" spans="1:28" ht="36.5" customHeight="1">
      <c r="A1398" s="161" t="str">
        <f>'Reported burning'!A1398</f>
        <v>166b</v>
      </c>
      <c r="B1398" s="161" t="str">
        <f>'Reported burning'!B1398</f>
        <v>166a.3</v>
      </c>
      <c r="C1398" s="161" t="str">
        <f>'Reported burning'!C1398</f>
        <v>All</v>
      </c>
      <c r="D1398" s="161" t="str">
        <f>'Reported burning'!D1398</f>
        <v>ND</v>
      </c>
      <c r="E1398" s="161" t="str">
        <f>'Reported burning'!E1398</f>
        <v>Cattle, Extensive</v>
      </c>
      <c r="F1398" s="161" t="str">
        <f>'Reported burning'!F1398</f>
        <v>ND</v>
      </c>
      <c r="G1398" s="161" t="str">
        <f>'Reported burning'!G1398</f>
        <v>Grassland</v>
      </c>
      <c r="H1398" s="161" t="str">
        <f>'Reported burning'!H1398</f>
        <v>Presence</v>
      </c>
      <c r="I1398" s="4">
        <v>2002</v>
      </c>
      <c r="J1398" s="4" t="s">
        <v>2308</v>
      </c>
      <c r="K1398" s="4" t="s">
        <v>2308</v>
      </c>
      <c r="L1398" s="4" t="s">
        <v>2308</v>
      </c>
      <c r="M1398" s="4" t="s">
        <v>2308</v>
      </c>
      <c r="N1398" s="4" t="s">
        <v>2308</v>
      </c>
      <c r="O1398" s="4" t="s">
        <v>2308</v>
      </c>
      <c r="P1398" s="4" t="s">
        <v>2308</v>
      </c>
      <c r="Q1398" s="4" t="s">
        <v>2308</v>
      </c>
      <c r="R1398" s="4" t="s">
        <v>2308</v>
      </c>
      <c r="S1398" s="4" t="s">
        <v>2308</v>
      </c>
      <c r="T1398" s="4" t="s">
        <v>2308</v>
      </c>
      <c r="U1398" s="4" t="s">
        <v>2308</v>
      </c>
      <c r="V1398" s="4" t="s">
        <v>2308</v>
      </c>
      <c r="W1398" s="4" t="s">
        <v>2433</v>
      </c>
      <c r="X1398" s="4" t="s">
        <v>2308</v>
      </c>
      <c r="Y1398" s="4" t="s">
        <v>2308</v>
      </c>
      <c r="Z1398" s="4" t="s">
        <v>2308</v>
      </c>
      <c r="AA1398" s="4"/>
      <c r="AB1398" s="5" t="s">
        <v>4256</v>
      </c>
    </row>
    <row r="1399" spans="1:28" ht="44.5" customHeight="1">
      <c r="A1399" s="161" t="str">
        <f>'Reported burning'!A1399</f>
        <v>166b</v>
      </c>
      <c r="B1399" s="161" t="str">
        <f>'Reported burning'!B1399</f>
        <v>166a.4</v>
      </c>
      <c r="C1399" s="161" t="str">
        <f>'Reported burning'!C1399</f>
        <v>All</v>
      </c>
      <c r="D1399" s="161" t="str">
        <f>'Reported burning'!D1399</f>
        <v>ND</v>
      </c>
      <c r="E1399" s="161" t="str">
        <f>'Reported burning'!E1399</f>
        <v>Cattle, Extensive</v>
      </c>
      <c r="F1399" s="161" t="str">
        <f>'Reported burning'!F1399</f>
        <v>ND</v>
      </c>
      <c r="G1399" s="161" t="str">
        <f>'Reported burning'!G1399</f>
        <v>Grassland</v>
      </c>
      <c r="H1399" s="161" t="str">
        <f>'Reported burning'!H1399</f>
        <v>Presence</v>
      </c>
      <c r="I1399" s="4">
        <v>2005</v>
      </c>
      <c r="J1399" s="4" t="s">
        <v>2308</v>
      </c>
      <c r="K1399" s="4" t="s">
        <v>2308</v>
      </c>
      <c r="L1399" s="4" t="s">
        <v>2308</v>
      </c>
      <c r="M1399" s="4" t="s">
        <v>2308</v>
      </c>
      <c r="N1399" s="4" t="s">
        <v>2308</v>
      </c>
      <c r="O1399" s="4" t="s">
        <v>2308</v>
      </c>
      <c r="P1399" s="4" t="s">
        <v>2308</v>
      </c>
      <c r="Q1399" s="4" t="s">
        <v>2308</v>
      </c>
      <c r="R1399" s="4" t="s">
        <v>2308</v>
      </c>
      <c r="S1399" s="4" t="s">
        <v>2308</v>
      </c>
      <c r="T1399" s="4" t="s">
        <v>2308</v>
      </c>
      <c r="U1399" s="4" t="s">
        <v>2308</v>
      </c>
      <c r="V1399" s="4" t="s">
        <v>2308</v>
      </c>
      <c r="W1399" s="4" t="s">
        <v>2433</v>
      </c>
      <c r="X1399" s="4" t="s">
        <v>2308</v>
      </c>
      <c r="Y1399" s="4" t="s">
        <v>2308</v>
      </c>
      <c r="Z1399" s="4" t="s">
        <v>2308</v>
      </c>
      <c r="AA1399" s="4"/>
      <c r="AB1399" s="5" t="s">
        <v>4256</v>
      </c>
    </row>
    <row r="1400" spans="1:28" ht="87">
      <c r="A1400" s="161" t="str">
        <f>'Reported burning'!A1400</f>
        <v>167a</v>
      </c>
      <c r="B1400" s="161" t="str">
        <f>'Reported burning'!B1400</f>
        <v>167a.1</v>
      </c>
      <c r="C1400" s="161" t="str">
        <f>'Reported burning'!C1400</f>
        <v>Human, deliberate</v>
      </c>
      <c r="D1400" s="161" t="str">
        <f>'Reported burning'!D1400</f>
        <v>Rangeland management</v>
      </c>
      <c r="E1400" s="161" t="str">
        <f>'Reported burning'!E1400</f>
        <v>Cattle, Extensive</v>
      </c>
      <c r="F1400" s="161" t="str">
        <f>'Reported burning'!F1400</f>
        <v>Shrubland (Mixed forest &amp; grassland)</v>
      </c>
      <c r="G1400" s="161" t="str">
        <f>'Reported burning'!G1400</f>
        <v>ND</v>
      </c>
      <c r="H1400" s="161" t="str">
        <f>'Reported burning'!H1400</f>
        <v>Presence</v>
      </c>
      <c r="I1400" s="4"/>
      <c r="J1400" s="4" t="s">
        <v>2308</v>
      </c>
      <c r="K1400" s="4" t="s">
        <v>2308</v>
      </c>
      <c r="L1400" s="4" t="s">
        <v>2308</v>
      </c>
      <c r="M1400" s="4" t="s">
        <v>2308</v>
      </c>
      <c r="N1400" s="4" t="s">
        <v>2308</v>
      </c>
      <c r="O1400" s="4" t="s">
        <v>2308</v>
      </c>
      <c r="P1400" s="4" t="s">
        <v>2308</v>
      </c>
      <c r="Q1400" s="4" t="s">
        <v>2308</v>
      </c>
      <c r="R1400" s="4" t="s">
        <v>2308</v>
      </c>
      <c r="S1400" s="4" t="s">
        <v>2308</v>
      </c>
      <c r="T1400" s="4" t="s">
        <v>2308</v>
      </c>
      <c r="U1400" s="4" t="s">
        <v>2308</v>
      </c>
      <c r="V1400" s="4" t="s">
        <v>2308</v>
      </c>
      <c r="W1400" s="4" t="s">
        <v>2308</v>
      </c>
      <c r="X1400" s="4" t="s">
        <v>2308</v>
      </c>
      <c r="Y1400" s="4" t="s">
        <v>2308</v>
      </c>
      <c r="Z1400" s="4" t="s">
        <v>2308</v>
      </c>
      <c r="AA1400" s="5" t="s">
        <v>4265</v>
      </c>
      <c r="AB1400" s="4"/>
    </row>
    <row r="1401" spans="1:28" ht="46" customHeight="1">
      <c r="A1401" s="165" t="str">
        <f>'Reported burning'!A1401</f>
        <v>168a</v>
      </c>
      <c r="B1401" s="165" t="str">
        <f>'Reported burning'!B1401</f>
        <v>168a.1</v>
      </c>
      <c r="C1401" s="165" t="str">
        <f>'Reported burning'!C1401</f>
        <v>Human, deliberate</v>
      </c>
      <c r="D1401" s="165" t="str">
        <f>'Reported burning'!D1401</f>
        <v>Pyrome management</v>
      </c>
      <c r="E1401" s="165" t="str">
        <f>'Reported burning'!E1401</f>
        <v>Biodiversity conservation</v>
      </c>
      <c r="F1401" s="165" t="str">
        <f>'Reported burning'!F1401</f>
        <v>Shrubland (Mixed forest &amp; grassland)</v>
      </c>
      <c r="G1401" s="165" t="str">
        <f>'Reported burning'!G1401</f>
        <v>ND</v>
      </c>
      <c r="H1401" s="165" t="str">
        <f>'Reported burning'!H1401</f>
        <v>Presence</v>
      </c>
      <c r="I1401" s="6"/>
      <c r="J1401" s="4" t="s">
        <v>2308</v>
      </c>
      <c r="K1401" s="4" t="s">
        <v>2308</v>
      </c>
      <c r="L1401" s="4" t="s">
        <v>2308</v>
      </c>
      <c r="M1401" s="4" t="s">
        <v>2308</v>
      </c>
      <c r="N1401" s="4" t="s">
        <v>2308</v>
      </c>
      <c r="O1401" s="4" t="s">
        <v>2308</v>
      </c>
      <c r="P1401" s="4" t="s">
        <v>2308</v>
      </c>
      <c r="Q1401" s="4" t="s">
        <v>2308</v>
      </c>
      <c r="R1401" s="4" t="s">
        <v>2308</v>
      </c>
      <c r="S1401" s="4" t="s">
        <v>2308</v>
      </c>
      <c r="T1401" s="4" t="s">
        <v>2308</v>
      </c>
      <c r="U1401" s="4" t="s">
        <v>2308</v>
      </c>
      <c r="V1401" s="4" t="s">
        <v>2308</v>
      </c>
      <c r="W1401" s="4" t="s">
        <v>2308</v>
      </c>
      <c r="X1401" s="4" t="s">
        <v>86</v>
      </c>
      <c r="Y1401" s="4" t="s">
        <v>411</v>
      </c>
      <c r="Z1401" s="4" t="s">
        <v>2688</v>
      </c>
      <c r="AA1401" s="5" t="s">
        <v>4277</v>
      </c>
      <c r="AB1401" s="4"/>
    </row>
    <row r="1402" spans="1:28" ht="46" customHeight="1">
      <c r="A1402" s="161" t="str">
        <f>'Reported burning'!A1402</f>
        <v>168a</v>
      </c>
      <c r="B1402" s="161" t="str">
        <f>'Reported burning'!B1402</f>
        <v>168a.2</v>
      </c>
      <c r="C1402" s="161" t="str">
        <f>'Reported burning'!C1402</f>
        <v>Human, deliberate</v>
      </c>
      <c r="D1402" s="161" t="str">
        <f>'Reported burning'!D1402</f>
        <v>Hunting</v>
      </c>
      <c r="E1402" s="161" t="str">
        <f>'Reported burning'!E1402</f>
        <v>Tourism manager</v>
      </c>
      <c r="F1402" s="161" t="str">
        <f>'Reported burning'!F1402</f>
        <v>Shrubland (Mixed forest &amp; grassland)</v>
      </c>
      <c r="G1402" s="161" t="str">
        <f>'Reported burning'!G1402</f>
        <v>ND</v>
      </c>
      <c r="H1402" s="161" t="str">
        <f>'Reported burning'!H1402</f>
        <v>Presence</v>
      </c>
      <c r="I1402" s="4"/>
      <c r="J1402" s="4" t="s">
        <v>2308</v>
      </c>
      <c r="K1402" s="4" t="s">
        <v>2308</v>
      </c>
      <c r="L1402" s="4" t="s">
        <v>2308</v>
      </c>
      <c r="M1402" s="4" t="s">
        <v>2308</v>
      </c>
      <c r="N1402" s="4" t="s">
        <v>2308</v>
      </c>
      <c r="O1402" s="4" t="s">
        <v>2308</v>
      </c>
      <c r="P1402" s="4" t="s">
        <v>2308</v>
      </c>
      <c r="Q1402" s="4" t="s">
        <v>2308</v>
      </c>
      <c r="R1402" s="4" t="s">
        <v>2308</v>
      </c>
      <c r="S1402" s="4" t="s">
        <v>2308</v>
      </c>
      <c r="T1402" s="4" t="s">
        <v>2308</v>
      </c>
      <c r="U1402" s="4" t="s">
        <v>2308</v>
      </c>
      <c r="V1402" s="4" t="s">
        <v>2308</v>
      </c>
      <c r="W1402" s="4" t="s">
        <v>2308</v>
      </c>
      <c r="X1402" s="4" t="s">
        <v>86</v>
      </c>
      <c r="Y1402" s="4" t="s">
        <v>411</v>
      </c>
      <c r="Z1402" s="4" t="s">
        <v>2688</v>
      </c>
      <c r="AA1402" s="5" t="s">
        <v>4276</v>
      </c>
      <c r="AB1402" s="4"/>
    </row>
    <row r="1403" spans="1:28" ht="46" customHeight="1">
      <c r="A1403" s="161" t="str">
        <f>'Reported burning'!A1403</f>
        <v>168a</v>
      </c>
      <c r="B1403" s="161" t="str">
        <f>'Reported burning'!B1403</f>
        <v>168a.3</v>
      </c>
      <c r="C1403" s="161" t="str">
        <f>'Reported burning'!C1403</f>
        <v>Human, escaped</v>
      </c>
      <c r="D1403" s="161" t="str">
        <f>'Reported burning'!D1403</f>
        <v>Hunting</v>
      </c>
      <c r="E1403" s="161" t="str">
        <f>'Reported burning'!E1403</f>
        <v>Forestry, Traditional</v>
      </c>
      <c r="F1403" s="161" t="str">
        <f>'Reported burning'!F1403</f>
        <v>Forest</v>
      </c>
      <c r="G1403" s="161" t="str">
        <f>'Reported burning'!G1403</f>
        <v>ND</v>
      </c>
      <c r="H1403" s="161" t="str">
        <f>'Reported burning'!H1403</f>
        <v>Presence</v>
      </c>
      <c r="I1403" s="4"/>
      <c r="J1403" s="4" t="s">
        <v>2308</v>
      </c>
      <c r="K1403" s="4" t="s">
        <v>2308</v>
      </c>
      <c r="L1403" s="4" t="s">
        <v>2308</v>
      </c>
      <c r="M1403" s="4" t="s">
        <v>2308</v>
      </c>
      <c r="N1403" s="4" t="s">
        <v>2308</v>
      </c>
      <c r="O1403" s="4" t="s">
        <v>2308</v>
      </c>
      <c r="P1403" s="4" t="s">
        <v>2308</v>
      </c>
      <c r="Q1403" s="4" t="s">
        <v>2308</v>
      </c>
      <c r="R1403" s="4" t="s">
        <v>2308</v>
      </c>
      <c r="S1403" s="4" t="s">
        <v>2308</v>
      </c>
      <c r="T1403" s="4" t="s">
        <v>2308</v>
      </c>
      <c r="U1403" s="4" t="s">
        <v>2308</v>
      </c>
      <c r="V1403" s="4" t="s">
        <v>2308</v>
      </c>
      <c r="W1403" s="4" t="s">
        <v>2308</v>
      </c>
      <c r="X1403" s="4" t="s">
        <v>412</v>
      </c>
      <c r="Y1403" s="4" t="s">
        <v>68</v>
      </c>
      <c r="Z1403" s="4" t="s">
        <v>76</v>
      </c>
      <c r="AA1403" s="5" t="s">
        <v>4280</v>
      </c>
      <c r="AB1403" s="4"/>
    </row>
    <row r="1404" spans="1:28" ht="46" customHeight="1">
      <c r="A1404" s="161" t="str">
        <f>'Reported burning'!A1404</f>
        <v>168a</v>
      </c>
      <c r="B1404" s="161" t="str">
        <f>'Reported burning'!B1404</f>
        <v>168a.4</v>
      </c>
      <c r="C1404" s="161" t="str">
        <f>'Reported burning'!C1404</f>
        <v>Human, escaped</v>
      </c>
      <c r="D1404" s="161" t="str">
        <f>'Reported burning'!D1404</f>
        <v>ND</v>
      </c>
      <c r="E1404" s="161" t="str">
        <f>'Reported burning'!E1404</f>
        <v>ND</v>
      </c>
      <c r="F1404" s="161" t="str">
        <f>'Reported burning'!F1404</f>
        <v>Shrubland (Mixed forest &amp; grassland)</v>
      </c>
      <c r="G1404" s="161" t="str">
        <f>'Reported burning'!G1404</f>
        <v>ND</v>
      </c>
      <c r="H1404" s="161" t="str">
        <f>'Reported burning'!H1404</f>
        <v>Presence</v>
      </c>
      <c r="I1404" s="4"/>
      <c r="J1404" s="4" t="s">
        <v>2308</v>
      </c>
      <c r="K1404" s="4" t="s">
        <v>2308</v>
      </c>
      <c r="L1404" s="4" t="s">
        <v>2308</v>
      </c>
      <c r="M1404" s="4" t="s">
        <v>2308</v>
      </c>
      <c r="N1404" s="4" t="s">
        <v>2308</v>
      </c>
      <c r="O1404" s="4" t="s">
        <v>2308</v>
      </c>
      <c r="P1404" s="4" t="s">
        <v>2308</v>
      </c>
      <c r="Q1404" s="4" t="s">
        <v>2308</v>
      </c>
      <c r="R1404" s="4" t="s">
        <v>2308</v>
      </c>
      <c r="S1404" s="4" t="s">
        <v>2308</v>
      </c>
      <c r="T1404" s="4" t="s">
        <v>2308</v>
      </c>
      <c r="U1404" s="4" t="s">
        <v>2308</v>
      </c>
      <c r="V1404" s="4" t="s">
        <v>2308</v>
      </c>
      <c r="W1404" s="4" t="s">
        <v>2308</v>
      </c>
      <c r="X1404" s="4" t="s">
        <v>412</v>
      </c>
      <c r="Y1404" s="4" t="s">
        <v>68</v>
      </c>
      <c r="Z1404" s="4" t="s">
        <v>76</v>
      </c>
      <c r="AA1404" s="5" t="s">
        <v>4281</v>
      </c>
      <c r="AB1404" s="4"/>
    </row>
    <row r="1405" spans="1:28" ht="66" customHeight="1">
      <c r="A1405" s="161" t="str">
        <f>'Reported burning'!A1405</f>
        <v>168b</v>
      </c>
      <c r="B1405" s="161" t="str">
        <f>'Reported burning'!B1405</f>
        <v>168b.1</v>
      </c>
      <c r="C1405" s="161" t="str">
        <f>'Reported burning'!C1405</f>
        <v>Human, deliberate</v>
      </c>
      <c r="D1405" s="161" t="str">
        <f>'Reported burning'!D1405</f>
        <v>Pyrome management</v>
      </c>
      <c r="E1405" s="161" t="str">
        <f>'Reported burning'!E1405</f>
        <v>Mixed cropping-livestock small holder, Subsistence-oriented</v>
      </c>
      <c r="F1405" s="161" t="str">
        <f>'Reported burning'!F1405</f>
        <v>Shrubland (Mixed forest &amp; grassland)</v>
      </c>
      <c r="G1405" s="161" t="str">
        <f>'Reported burning'!G1405</f>
        <v>ND</v>
      </c>
      <c r="H1405" s="161" t="str">
        <f>'Reported burning'!H1405</f>
        <v>Presence</v>
      </c>
      <c r="I1405" s="4"/>
      <c r="J1405" s="4" t="s">
        <v>2308</v>
      </c>
      <c r="K1405" s="4" t="s">
        <v>2394</v>
      </c>
      <c r="L1405" s="4" t="s">
        <v>2308</v>
      </c>
      <c r="M1405" s="4" t="s">
        <v>2308</v>
      </c>
      <c r="N1405" s="4" t="s">
        <v>2308</v>
      </c>
      <c r="O1405" s="4" t="s">
        <v>2394</v>
      </c>
      <c r="P1405" s="4" t="s">
        <v>2308</v>
      </c>
      <c r="Q1405" s="4" t="s">
        <v>2394</v>
      </c>
      <c r="R1405" s="4" t="s">
        <v>2308</v>
      </c>
      <c r="S1405" s="4" t="s">
        <v>2308</v>
      </c>
      <c r="T1405" s="4" t="s">
        <v>2308</v>
      </c>
      <c r="U1405" s="4" t="s">
        <v>2308</v>
      </c>
      <c r="V1405" s="4" t="s">
        <v>2308</v>
      </c>
      <c r="W1405" s="4" t="s">
        <v>2308</v>
      </c>
      <c r="X1405" s="4" t="s">
        <v>86</v>
      </c>
      <c r="Y1405" s="4" t="s">
        <v>412</v>
      </c>
      <c r="Z1405" s="4" t="s">
        <v>64</v>
      </c>
      <c r="AA1405" s="5" t="s">
        <v>4298</v>
      </c>
      <c r="AB1405" s="5" t="s">
        <v>4299</v>
      </c>
    </row>
    <row r="1406" spans="1:28" ht="46" customHeight="1">
      <c r="A1406" s="161" t="str">
        <f>'Reported burning'!A1406</f>
        <v>168b</v>
      </c>
      <c r="B1406" s="161" t="str">
        <f>'Reported burning'!B1406</f>
        <v>168b.2</v>
      </c>
      <c r="C1406" s="161" t="str">
        <f>'Reported burning'!C1406</f>
        <v>Human, deliberate</v>
      </c>
      <c r="D1406" s="161" t="str">
        <f>'Reported burning'!D1406</f>
        <v>Crop field preparation</v>
      </c>
      <c r="E1406" s="161" t="str">
        <f>'Reported burning'!E1406</f>
        <v>Cropping, Swidden</v>
      </c>
      <c r="F1406" s="161" t="str">
        <f>'Reported burning'!F1406</f>
        <v>Shrubland (Mixed forest &amp; grassland)</v>
      </c>
      <c r="G1406" s="161" t="str">
        <f>'Reported burning'!G1406</f>
        <v>ND</v>
      </c>
      <c r="H1406" s="161" t="str">
        <f>'Reported burning'!H1406</f>
        <v>Presence</v>
      </c>
      <c r="I1406" s="4"/>
      <c r="J1406" s="4" t="s">
        <v>2308</v>
      </c>
      <c r="K1406" s="4" t="s">
        <v>2308</v>
      </c>
      <c r="L1406" s="4" t="s">
        <v>2308</v>
      </c>
      <c r="M1406" s="4" t="s">
        <v>2308</v>
      </c>
      <c r="N1406" s="4" t="s">
        <v>2308</v>
      </c>
      <c r="O1406" s="4" t="s">
        <v>2308</v>
      </c>
      <c r="P1406" s="4" t="s">
        <v>2308</v>
      </c>
      <c r="Q1406" s="4" t="s">
        <v>2308</v>
      </c>
      <c r="R1406" s="4" t="s">
        <v>2308</v>
      </c>
      <c r="S1406" s="4" t="s">
        <v>2308</v>
      </c>
      <c r="T1406" s="4" t="s">
        <v>2308</v>
      </c>
      <c r="U1406" s="4" t="s">
        <v>2308</v>
      </c>
      <c r="V1406" s="4" t="s">
        <v>2308</v>
      </c>
      <c r="W1406" s="4" t="s">
        <v>2308</v>
      </c>
      <c r="X1406" s="4" t="s">
        <v>68</v>
      </c>
      <c r="Y1406" s="4" t="s">
        <v>35</v>
      </c>
      <c r="Z1406" s="4" t="s">
        <v>64</v>
      </c>
      <c r="AA1406" s="5" t="s">
        <v>4291</v>
      </c>
      <c r="AB1406" s="4"/>
    </row>
    <row r="1407" spans="1:28" ht="46" customHeight="1">
      <c r="A1407" s="161" t="str">
        <f>'Reported burning'!A1407</f>
        <v>168b</v>
      </c>
      <c r="B1407" s="161" t="str">
        <f>'Reported burning'!B1407</f>
        <v>168b.3</v>
      </c>
      <c r="C1407" s="161" t="str">
        <f>'Reported burning'!C1407</f>
        <v>Human, deliberate</v>
      </c>
      <c r="D1407" s="161" t="str">
        <f>'Reported burning'!D1407</f>
        <v>Harvesting of NTFP</v>
      </c>
      <c r="E1407" s="161" t="str">
        <f>'Reported burning'!E1407</f>
        <v>Forestry, Traditional</v>
      </c>
      <c r="F1407" s="161" t="str">
        <f>'Reported burning'!F1407</f>
        <v>Shrubland (Mixed forest &amp; grassland)</v>
      </c>
      <c r="G1407" s="161" t="str">
        <f>'Reported burning'!G1407</f>
        <v>ND</v>
      </c>
      <c r="H1407" s="161" t="str">
        <f>'Reported burning'!H1407</f>
        <v>Presence</v>
      </c>
      <c r="I1407" s="4"/>
      <c r="J1407" s="4" t="s">
        <v>2308</v>
      </c>
      <c r="K1407" s="4" t="s">
        <v>2308</v>
      </c>
      <c r="L1407" s="4" t="s">
        <v>2308</v>
      </c>
      <c r="M1407" s="4" t="s">
        <v>2308</v>
      </c>
      <c r="N1407" s="4" t="s">
        <v>2308</v>
      </c>
      <c r="O1407" s="4" t="s">
        <v>2308</v>
      </c>
      <c r="P1407" s="4" t="s">
        <v>2308</v>
      </c>
      <c r="Q1407" s="4" t="s">
        <v>2308</v>
      </c>
      <c r="R1407" s="4" t="s">
        <v>2308</v>
      </c>
      <c r="S1407" s="4" t="s">
        <v>2308</v>
      </c>
      <c r="T1407" s="4" t="s">
        <v>2308</v>
      </c>
      <c r="U1407" s="4" t="s">
        <v>2308</v>
      </c>
      <c r="V1407" s="4" t="s">
        <v>2308</v>
      </c>
      <c r="W1407" s="4" t="s">
        <v>2308</v>
      </c>
      <c r="X1407" s="4" t="s">
        <v>34</v>
      </c>
      <c r="Y1407" s="4" t="s">
        <v>432</v>
      </c>
      <c r="Z1407" s="4" t="s">
        <v>64</v>
      </c>
      <c r="AA1407" s="5" t="s">
        <v>4286</v>
      </c>
      <c r="AB1407" s="4"/>
    </row>
    <row r="1408" spans="1:28" ht="46" customHeight="1">
      <c r="A1408" s="161" t="str">
        <f>'Reported burning'!A1408</f>
        <v>168b</v>
      </c>
      <c r="B1408" s="161" t="str">
        <f>'Reported burning'!B1408</f>
        <v>168b.4</v>
      </c>
      <c r="C1408" s="161" t="str">
        <f>'Reported burning'!C1408</f>
        <v>Human, deliberate</v>
      </c>
      <c r="D1408" s="161" t="str">
        <f>'Reported burning'!D1408</f>
        <v>Harvesting of NTFP</v>
      </c>
      <c r="E1408" s="161" t="str">
        <f>'Reported burning'!E1408</f>
        <v>Forestry, Traditional</v>
      </c>
      <c r="F1408" s="161" t="str">
        <f>'Reported burning'!F1408</f>
        <v>Shrubland (Mixed forest &amp; grassland)</v>
      </c>
      <c r="G1408" s="161" t="str">
        <f>'Reported burning'!G1408</f>
        <v>ND</v>
      </c>
      <c r="H1408" s="161" t="str">
        <f>'Reported burning'!H1408</f>
        <v>Presence</v>
      </c>
      <c r="I1408" s="4"/>
      <c r="J1408" s="4" t="s">
        <v>2308</v>
      </c>
      <c r="K1408" s="4" t="s">
        <v>2308</v>
      </c>
      <c r="L1408" s="4" t="s">
        <v>2308</v>
      </c>
      <c r="M1408" s="4" t="s">
        <v>2308</v>
      </c>
      <c r="N1408" s="4" t="s">
        <v>2308</v>
      </c>
      <c r="O1408" s="4" t="s">
        <v>2308</v>
      </c>
      <c r="P1408" s="4" t="s">
        <v>2308</v>
      </c>
      <c r="Q1408" s="4" t="s">
        <v>2308</v>
      </c>
      <c r="R1408" s="4" t="s">
        <v>2308</v>
      </c>
      <c r="S1408" s="4" t="s">
        <v>2308</v>
      </c>
      <c r="T1408" s="4" t="s">
        <v>2308</v>
      </c>
      <c r="U1408" s="4" t="s">
        <v>2308</v>
      </c>
      <c r="V1408" s="4" t="s">
        <v>2308</v>
      </c>
      <c r="W1408" s="4" t="s">
        <v>2308</v>
      </c>
      <c r="X1408" s="4" t="s">
        <v>412</v>
      </c>
      <c r="Y1408" s="4" t="s">
        <v>432</v>
      </c>
      <c r="Z1408" s="4" t="s">
        <v>64</v>
      </c>
      <c r="AA1408" s="5" t="s">
        <v>4290</v>
      </c>
      <c r="AB1408" s="4"/>
    </row>
    <row r="1409" spans="1:28" ht="46" customHeight="1">
      <c r="A1409" s="161" t="str">
        <f>'Reported burning'!A1409</f>
        <v>168b</v>
      </c>
      <c r="B1409" s="161" t="str">
        <f>'Reported burning'!B1409</f>
        <v>168b.5</v>
      </c>
      <c r="C1409" s="161" t="str">
        <f>'Reported burning'!C1409</f>
        <v>Human, deliberate</v>
      </c>
      <c r="D1409" s="161" t="str">
        <f>'Reported burning'!D1409</f>
        <v>Charcoal production</v>
      </c>
      <c r="E1409" s="161" t="str">
        <f>'Reported burning'!E1409</f>
        <v>Forestry, Small-scale</v>
      </c>
      <c r="F1409" s="161" t="str">
        <f>'Reported burning'!F1409</f>
        <v>Shrubland (Mixed forest &amp; grassland)</v>
      </c>
      <c r="G1409" s="161" t="str">
        <f>'Reported burning'!G1409</f>
        <v>ND</v>
      </c>
      <c r="H1409" s="161" t="str">
        <f>'Reported burning'!H1409</f>
        <v>Presence</v>
      </c>
      <c r="I1409" s="4"/>
      <c r="J1409" s="4" t="s">
        <v>2308</v>
      </c>
      <c r="K1409" s="4" t="s">
        <v>2308</v>
      </c>
      <c r="L1409" s="4" t="s">
        <v>2308</v>
      </c>
      <c r="M1409" s="4" t="s">
        <v>2308</v>
      </c>
      <c r="N1409" s="4" t="s">
        <v>2308</v>
      </c>
      <c r="O1409" s="4" t="s">
        <v>2308</v>
      </c>
      <c r="P1409" s="4" t="s">
        <v>2308</v>
      </c>
      <c r="Q1409" s="4" t="s">
        <v>2308</v>
      </c>
      <c r="R1409" s="4" t="s">
        <v>2308</v>
      </c>
      <c r="S1409" s="4" t="s">
        <v>2308</v>
      </c>
      <c r="T1409" s="4" t="s">
        <v>2308</v>
      </c>
      <c r="U1409" s="4" t="s">
        <v>2308</v>
      </c>
      <c r="V1409" s="4" t="s">
        <v>2308</v>
      </c>
      <c r="W1409" s="4" t="s">
        <v>2308</v>
      </c>
      <c r="X1409" s="4" t="s">
        <v>194</v>
      </c>
      <c r="Y1409" s="4" t="s">
        <v>35</v>
      </c>
      <c r="Z1409" s="4" t="s">
        <v>64</v>
      </c>
      <c r="AA1409" s="4" t="s">
        <v>4293</v>
      </c>
      <c r="AB1409" s="4"/>
    </row>
    <row r="1410" spans="1:28" ht="46" customHeight="1">
      <c r="A1410" s="161" t="str">
        <f>'Reported burning'!A1410</f>
        <v>168b</v>
      </c>
      <c r="B1410" s="161" t="str">
        <f>'Reported burning'!B1410</f>
        <v>168b.6</v>
      </c>
      <c r="C1410" s="161" t="str">
        <f>'Reported burning'!C1410</f>
        <v>Human, deliberate</v>
      </c>
      <c r="D1410" s="161" t="str">
        <f>'Reported burning'!D1410</f>
        <v>Pest management</v>
      </c>
      <c r="E1410" s="161" t="str">
        <f>'Reported burning'!E1410</f>
        <v>ND</v>
      </c>
      <c r="F1410" s="161" t="str">
        <f>'Reported burning'!F1410</f>
        <v>Shrubland (Mixed forest &amp; grassland)</v>
      </c>
      <c r="G1410" s="161" t="str">
        <f>'Reported burning'!G1410</f>
        <v>ND</v>
      </c>
      <c r="H1410" s="161" t="str">
        <f>'Reported burning'!H1410</f>
        <v>Presence</v>
      </c>
      <c r="I1410" s="4"/>
      <c r="J1410" s="4" t="s">
        <v>2308</v>
      </c>
      <c r="K1410" s="4" t="s">
        <v>2308</v>
      </c>
      <c r="L1410" s="4" t="s">
        <v>2308</v>
      </c>
      <c r="M1410" s="4" t="s">
        <v>2308</v>
      </c>
      <c r="N1410" s="4" t="s">
        <v>2308</v>
      </c>
      <c r="O1410" s="4" t="s">
        <v>2308</v>
      </c>
      <c r="P1410" s="4" t="s">
        <v>2308</v>
      </c>
      <c r="Q1410" s="4" t="s">
        <v>2308</v>
      </c>
      <c r="R1410" s="4" t="s">
        <v>2308</v>
      </c>
      <c r="S1410" s="4" t="s">
        <v>2308</v>
      </c>
      <c r="T1410" s="4" t="s">
        <v>2308</v>
      </c>
      <c r="U1410" s="4" t="s">
        <v>2308</v>
      </c>
      <c r="V1410" s="4" t="s">
        <v>2308</v>
      </c>
      <c r="W1410" s="4" t="s">
        <v>2308</v>
      </c>
      <c r="X1410" s="4" t="s">
        <v>412</v>
      </c>
      <c r="Y1410" s="4" t="s">
        <v>68</v>
      </c>
      <c r="Z1410" s="4" t="s">
        <v>64</v>
      </c>
      <c r="AA1410" s="5" t="s">
        <v>4292</v>
      </c>
      <c r="AB1410" s="4"/>
    </row>
    <row r="1411" spans="1:28" ht="46" customHeight="1">
      <c r="A1411" s="161" t="str">
        <f>'Reported burning'!A1411</f>
        <v>168b</v>
      </c>
      <c r="B1411" s="161" t="str">
        <f>'Reported burning'!B1411</f>
        <v>168b.7</v>
      </c>
      <c r="C1411" s="161" t="str">
        <f>'Reported burning'!C1411</f>
        <v>Human, deliberate</v>
      </c>
      <c r="D1411" s="161" t="str">
        <f>'Reported burning'!D1411</f>
        <v>Hunting</v>
      </c>
      <c r="E1411" s="161" t="str">
        <f>'Reported burning'!E1411</f>
        <v>Forestry, Traditional</v>
      </c>
      <c r="F1411" s="161" t="str">
        <f>'Reported burning'!F1411</f>
        <v>Shrubland (Mixed forest &amp; grassland)</v>
      </c>
      <c r="G1411" s="161" t="str">
        <f>'Reported burning'!G1411</f>
        <v>ND</v>
      </c>
      <c r="H1411" s="161" t="str">
        <f>'Reported burning'!H1411</f>
        <v>Presence</v>
      </c>
      <c r="I1411" s="4"/>
      <c r="J1411" s="4" t="s">
        <v>2308</v>
      </c>
      <c r="K1411" s="4" t="s">
        <v>2308</v>
      </c>
      <c r="L1411" s="4" t="s">
        <v>2308</v>
      </c>
      <c r="M1411" s="4" t="s">
        <v>2308</v>
      </c>
      <c r="N1411" s="4" t="s">
        <v>2308</v>
      </c>
      <c r="O1411" s="4" t="s">
        <v>2308</v>
      </c>
      <c r="P1411" s="4" t="s">
        <v>2308</v>
      </c>
      <c r="Q1411" s="4" t="s">
        <v>2308</v>
      </c>
      <c r="R1411" s="4" t="s">
        <v>2308</v>
      </c>
      <c r="S1411" s="4" t="s">
        <v>2308</v>
      </c>
      <c r="T1411" s="4" t="s">
        <v>2308</v>
      </c>
      <c r="U1411" s="4" t="s">
        <v>2308</v>
      </c>
      <c r="V1411" s="4" t="s">
        <v>2308</v>
      </c>
      <c r="W1411" s="4" t="s">
        <v>2308</v>
      </c>
      <c r="X1411" s="4" t="s">
        <v>194</v>
      </c>
      <c r="Y1411" s="4" t="s">
        <v>35</v>
      </c>
      <c r="Z1411" s="4" t="s">
        <v>64</v>
      </c>
      <c r="AA1411" s="4" t="s">
        <v>4295</v>
      </c>
      <c r="AB1411" s="4"/>
    </row>
    <row r="1412" spans="1:28" ht="46" customHeight="1">
      <c r="A1412" s="161" t="str">
        <f>'Reported burning'!A1412</f>
        <v>168b</v>
      </c>
      <c r="B1412" s="161" t="str">
        <f>'Reported burning'!B1412</f>
        <v>168b.8</v>
      </c>
      <c r="C1412" s="161" t="str">
        <f>'Reported burning'!C1412</f>
        <v>Human, deliberate</v>
      </c>
      <c r="D1412" s="161" t="str">
        <f>'Reported burning'!D1412</f>
        <v>Pasture renewal</v>
      </c>
      <c r="E1412" s="161" t="str">
        <f>'Reported burning'!E1412</f>
        <v>Mixed cropping-livestock small holder, Subsistence-oriented</v>
      </c>
      <c r="F1412" s="161" t="str">
        <f>'Reported burning'!F1412</f>
        <v>Shrubland (Mixed forest &amp; grassland)</v>
      </c>
      <c r="G1412" s="161" t="str">
        <f>'Reported burning'!G1412</f>
        <v>ND</v>
      </c>
      <c r="H1412" s="161" t="str">
        <f>'Reported burning'!H1412</f>
        <v>Presence</v>
      </c>
      <c r="I1412" s="4"/>
      <c r="J1412" s="4" t="s">
        <v>2308</v>
      </c>
      <c r="K1412" s="4" t="s">
        <v>2308</v>
      </c>
      <c r="L1412" s="4" t="s">
        <v>2308</v>
      </c>
      <c r="M1412" s="4" t="s">
        <v>2308</v>
      </c>
      <c r="N1412" s="4" t="s">
        <v>2308</v>
      </c>
      <c r="O1412" s="4" t="s">
        <v>2308</v>
      </c>
      <c r="P1412" s="4" t="s">
        <v>2308</v>
      </c>
      <c r="Q1412" s="4" t="s">
        <v>2308</v>
      </c>
      <c r="R1412" s="4" t="s">
        <v>2308</v>
      </c>
      <c r="S1412" s="4" t="s">
        <v>2308</v>
      </c>
      <c r="T1412" s="4" t="s">
        <v>2308</v>
      </c>
      <c r="U1412" s="4" t="s">
        <v>2308</v>
      </c>
      <c r="V1412" s="4" t="s">
        <v>2308</v>
      </c>
      <c r="W1412" s="4" t="s">
        <v>2308</v>
      </c>
      <c r="X1412" s="4" t="s">
        <v>194</v>
      </c>
      <c r="Y1412" s="4" t="s">
        <v>35</v>
      </c>
      <c r="Z1412" s="4" t="s">
        <v>64</v>
      </c>
      <c r="AA1412" s="4" t="s">
        <v>4297</v>
      </c>
      <c r="AB1412" s="4"/>
    </row>
    <row r="1413" spans="1:28" ht="54.5" customHeight="1">
      <c r="A1413" s="161" t="str">
        <f>'Reported burning'!A1413</f>
        <v>169a</v>
      </c>
      <c r="B1413" s="161" t="str">
        <f>'Reported burning'!B1413</f>
        <v>169a.1</v>
      </c>
      <c r="C1413" s="161" t="str">
        <f>'Reported burning'!C1413</f>
        <v>Human, deliberate</v>
      </c>
      <c r="D1413" s="161" t="str">
        <f>'Reported burning'!D1413</f>
        <v>Pasture renewal</v>
      </c>
      <c r="E1413" s="161" t="str">
        <f>'Reported burning'!E1413</f>
        <v>Mixed cropping-livestock small holder, Subsistence-oriented</v>
      </c>
      <c r="F1413" s="161" t="str">
        <f>'Reported burning'!F1413</f>
        <v>Shrubland (Mixed forest &amp; grassland)</v>
      </c>
      <c r="G1413" s="161" t="str">
        <f>'Reported burning'!G1413</f>
        <v>ND</v>
      </c>
      <c r="H1413" s="161" t="str">
        <f>'Reported burning'!H1413</f>
        <v>Presence</v>
      </c>
      <c r="I1413" s="4"/>
      <c r="J1413" s="4" t="s">
        <v>2308</v>
      </c>
      <c r="K1413" s="4" t="s">
        <v>2308</v>
      </c>
      <c r="L1413" s="4" t="s">
        <v>2308</v>
      </c>
      <c r="M1413" s="4" t="s">
        <v>2308</v>
      </c>
      <c r="N1413" s="4" t="s">
        <v>2308</v>
      </c>
      <c r="O1413" s="4" t="s">
        <v>2308</v>
      </c>
      <c r="P1413" s="4" t="s">
        <v>2308</v>
      </c>
      <c r="Q1413" s="4" t="s">
        <v>2308</v>
      </c>
      <c r="R1413" s="4" t="s">
        <v>2308</v>
      </c>
      <c r="S1413" s="4" t="s">
        <v>2308</v>
      </c>
      <c r="T1413" s="4" t="s">
        <v>2308</v>
      </c>
      <c r="U1413" s="4" t="s">
        <v>2308</v>
      </c>
      <c r="V1413" s="4" t="s">
        <v>2308</v>
      </c>
      <c r="W1413" s="4" t="s">
        <v>2308</v>
      </c>
      <c r="X1413" s="4" t="s">
        <v>2308</v>
      </c>
      <c r="Y1413" s="4" t="s">
        <v>2308</v>
      </c>
      <c r="Z1413" s="4" t="s">
        <v>2308</v>
      </c>
      <c r="AA1413" s="4" t="s">
        <v>4323</v>
      </c>
      <c r="AB1413" s="5" t="s">
        <v>4329</v>
      </c>
    </row>
    <row r="1414" spans="1:28" ht="54.5" customHeight="1">
      <c r="A1414" s="161" t="str">
        <f>'Reported burning'!A1414</f>
        <v>169a</v>
      </c>
      <c r="B1414" s="161" t="str">
        <f>'Reported burning'!B1414</f>
        <v>169a.2</v>
      </c>
      <c r="C1414" s="161" t="str">
        <f>'Reported burning'!C1414</f>
        <v>Human, escaped</v>
      </c>
      <c r="D1414" s="161" t="str">
        <f>'Reported burning'!D1414</f>
        <v>Pasture renewal</v>
      </c>
      <c r="E1414" s="161" t="str">
        <f>'Reported burning'!E1414</f>
        <v>Mixed cropping-livestock small holder, Subsistence-oriented</v>
      </c>
      <c r="F1414" s="161" t="str">
        <f>'Reported burning'!F1414</f>
        <v>Forest</v>
      </c>
      <c r="G1414" s="161" t="str">
        <f>'Reported burning'!G1414</f>
        <v>ND</v>
      </c>
      <c r="H1414" s="161" t="str">
        <f>'Reported burning'!H1414</f>
        <v>Presence</v>
      </c>
      <c r="I1414" s="4"/>
      <c r="J1414" s="4" t="s">
        <v>2308</v>
      </c>
      <c r="K1414" s="4" t="s">
        <v>2308</v>
      </c>
      <c r="L1414" s="4" t="s">
        <v>2308</v>
      </c>
      <c r="M1414" s="4" t="s">
        <v>2308</v>
      </c>
      <c r="N1414" s="4" t="s">
        <v>2308</v>
      </c>
      <c r="O1414" s="4" t="s">
        <v>2308</v>
      </c>
      <c r="P1414" s="4" t="s">
        <v>2308</v>
      </c>
      <c r="Q1414" s="4" t="s">
        <v>2308</v>
      </c>
      <c r="R1414" s="4" t="s">
        <v>2308</v>
      </c>
      <c r="S1414" s="4" t="s">
        <v>2308</v>
      </c>
      <c r="T1414" s="4" t="s">
        <v>2308</v>
      </c>
      <c r="U1414" s="4" t="s">
        <v>2308</v>
      </c>
      <c r="V1414" s="4" t="s">
        <v>2308</v>
      </c>
      <c r="W1414" s="4" t="s">
        <v>2308</v>
      </c>
      <c r="X1414" s="4" t="s">
        <v>2308</v>
      </c>
      <c r="Y1414" s="4" t="s">
        <v>2308</v>
      </c>
      <c r="Z1414" s="4" t="s">
        <v>2308</v>
      </c>
      <c r="AA1414" s="4" t="s">
        <v>2308</v>
      </c>
      <c r="AB1414" s="5" t="s">
        <v>4329</v>
      </c>
    </row>
    <row r="1415" spans="1:28" ht="54.5" customHeight="1">
      <c r="A1415" s="161" t="str">
        <f>'Reported burning'!A1415</f>
        <v>169a</v>
      </c>
      <c r="B1415" s="161" t="str">
        <f>'Reported burning'!B1415</f>
        <v>169a.3</v>
      </c>
      <c r="C1415" s="161" t="str">
        <f>'Reported burning'!C1415</f>
        <v>Human, deliberate</v>
      </c>
      <c r="D1415" s="161" t="str">
        <f>'Reported burning'!D1415</f>
        <v>Domestic</v>
      </c>
      <c r="E1415" s="161" t="str">
        <f>'Reported burning'!E1415</f>
        <v>All</v>
      </c>
      <c r="F1415" s="161" t="str">
        <f>'Reported burning'!F1415</f>
        <v>ND</v>
      </c>
      <c r="G1415" s="161" t="str">
        <f>'Reported burning'!G1415</f>
        <v>ND</v>
      </c>
      <c r="H1415" s="161" t="str">
        <f>'Reported burning'!H1415</f>
        <v>Presence</v>
      </c>
      <c r="I1415" s="4"/>
      <c r="J1415" s="4" t="s">
        <v>2308</v>
      </c>
      <c r="K1415" s="4" t="s">
        <v>2308</v>
      </c>
      <c r="L1415" s="4" t="s">
        <v>2308</v>
      </c>
      <c r="M1415" s="4" t="s">
        <v>2308</v>
      </c>
      <c r="N1415" s="4" t="s">
        <v>2308</v>
      </c>
      <c r="O1415" s="4" t="s">
        <v>2308</v>
      </c>
      <c r="P1415" s="4" t="s">
        <v>2308</v>
      </c>
      <c r="Q1415" s="4" t="s">
        <v>2308</v>
      </c>
      <c r="R1415" s="4" t="s">
        <v>2308</v>
      </c>
      <c r="S1415" s="4" t="s">
        <v>2308</v>
      </c>
      <c r="T1415" s="4" t="s">
        <v>2308</v>
      </c>
      <c r="U1415" s="4" t="s">
        <v>2308</v>
      </c>
      <c r="V1415" s="4" t="s">
        <v>2308</v>
      </c>
      <c r="W1415" s="4" t="s">
        <v>2308</v>
      </c>
      <c r="X1415" s="4" t="s">
        <v>2308</v>
      </c>
      <c r="Y1415" s="4" t="s">
        <v>2308</v>
      </c>
      <c r="Z1415" s="4" t="s">
        <v>2308</v>
      </c>
      <c r="AA1415" s="4" t="s">
        <v>4328</v>
      </c>
      <c r="AB1415" s="5" t="s">
        <v>4329</v>
      </c>
    </row>
    <row r="1416" spans="1:28" ht="54.5" customHeight="1">
      <c r="A1416" s="161" t="str">
        <f>'Reported burning'!A1416</f>
        <v>169a</v>
      </c>
      <c r="B1416" s="161" t="str">
        <f>'Reported burning'!B1416</f>
        <v>169a.4</v>
      </c>
      <c r="C1416" s="161" t="str">
        <f>'Reported burning'!C1416</f>
        <v>Human, escaped</v>
      </c>
      <c r="D1416" s="161" t="str">
        <f>'Reported burning'!D1416</f>
        <v>Domestic</v>
      </c>
      <c r="E1416" s="161" t="str">
        <f>'Reported burning'!E1416</f>
        <v>All</v>
      </c>
      <c r="F1416" s="161" t="str">
        <f>'Reported burning'!F1416</f>
        <v>ND</v>
      </c>
      <c r="G1416" s="161" t="str">
        <f>'Reported burning'!G1416</f>
        <v>ND</v>
      </c>
      <c r="H1416" s="161" t="str">
        <f>'Reported burning'!H1416</f>
        <v>Presence</v>
      </c>
      <c r="I1416" s="4"/>
      <c r="J1416" s="4" t="s">
        <v>2308</v>
      </c>
      <c r="K1416" s="4" t="s">
        <v>2308</v>
      </c>
      <c r="L1416" s="4" t="s">
        <v>2308</v>
      </c>
      <c r="M1416" s="4" t="s">
        <v>2308</v>
      </c>
      <c r="N1416" s="4" t="s">
        <v>2308</v>
      </c>
      <c r="O1416" s="4" t="s">
        <v>2308</v>
      </c>
      <c r="P1416" s="4" t="s">
        <v>2308</v>
      </c>
      <c r="Q1416" s="4" t="s">
        <v>2308</v>
      </c>
      <c r="R1416" s="4" t="s">
        <v>2308</v>
      </c>
      <c r="S1416" s="4" t="s">
        <v>2308</v>
      </c>
      <c r="T1416" s="4" t="s">
        <v>2308</v>
      </c>
      <c r="U1416" s="4" t="s">
        <v>2308</v>
      </c>
      <c r="V1416" s="4" t="s">
        <v>2308</v>
      </c>
      <c r="W1416" s="4" t="s">
        <v>2308</v>
      </c>
      <c r="X1416" s="4" t="s">
        <v>2308</v>
      </c>
      <c r="Y1416" s="4" t="s">
        <v>2308</v>
      </c>
      <c r="Z1416" s="4" t="s">
        <v>2308</v>
      </c>
      <c r="AA1416" s="4" t="s">
        <v>2308</v>
      </c>
      <c r="AB1416" s="5" t="s">
        <v>4329</v>
      </c>
    </row>
    <row r="1417" spans="1:28" ht="54.5" customHeight="1">
      <c r="A1417" s="161" t="str">
        <f>'Reported burning'!A1417</f>
        <v>169a</v>
      </c>
      <c r="B1417" s="161" t="str">
        <f>'Reported burning'!B1417</f>
        <v>169a.5</v>
      </c>
      <c r="C1417" s="161" t="str">
        <f>'Reported burning'!C1417</f>
        <v>Human, accidental</v>
      </c>
      <c r="D1417" s="161" t="str">
        <f>'Reported burning'!D1417</f>
        <v>Accidental</v>
      </c>
      <c r="E1417" s="161" t="str">
        <f>'Reported burning'!E1417</f>
        <v>All</v>
      </c>
      <c r="F1417" s="161" t="str">
        <f>'Reported burning'!F1417</f>
        <v>ND</v>
      </c>
      <c r="G1417" s="161" t="str">
        <f>'Reported burning'!G1417</f>
        <v>ND</v>
      </c>
      <c r="H1417" s="161" t="str">
        <f>'Reported burning'!H1417</f>
        <v>Presence</v>
      </c>
      <c r="I1417" s="4"/>
      <c r="J1417" s="4" t="s">
        <v>2308</v>
      </c>
      <c r="K1417" s="4" t="s">
        <v>2308</v>
      </c>
      <c r="L1417" s="4" t="s">
        <v>2308</v>
      </c>
      <c r="M1417" s="4" t="s">
        <v>2308</v>
      </c>
      <c r="N1417" s="4" t="s">
        <v>2308</v>
      </c>
      <c r="O1417" s="4" t="s">
        <v>2308</v>
      </c>
      <c r="P1417" s="4" t="s">
        <v>2308</v>
      </c>
      <c r="Q1417" s="4" t="s">
        <v>2308</v>
      </c>
      <c r="R1417" s="4" t="s">
        <v>2308</v>
      </c>
      <c r="S1417" s="4" t="s">
        <v>2308</v>
      </c>
      <c r="T1417" s="4" t="s">
        <v>2308</v>
      </c>
      <c r="U1417" s="4" t="s">
        <v>2308</v>
      </c>
      <c r="V1417" s="4" t="s">
        <v>2308</v>
      </c>
      <c r="W1417" s="4" t="s">
        <v>2308</v>
      </c>
      <c r="X1417" s="4" t="s">
        <v>2308</v>
      </c>
      <c r="Y1417" s="4" t="s">
        <v>2308</v>
      </c>
      <c r="Z1417" s="4" t="s">
        <v>2308</v>
      </c>
      <c r="AA1417" s="5" t="s">
        <v>4325</v>
      </c>
      <c r="AB1417" s="5" t="s">
        <v>4329</v>
      </c>
    </row>
    <row r="1418" spans="1:28" ht="54.5" customHeight="1">
      <c r="A1418" s="161" t="str">
        <f>'Reported burning'!A1418</f>
        <v>169a</v>
      </c>
      <c r="B1418" s="161" t="str">
        <f>'Reported burning'!B1418</f>
        <v>169a.6</v>
      </c>
      <c r="C1418" s="161" t="str">
        <f>'Reported burning'!C1418</f>
        <v>Human, accidental</v>
      </c>
      <c r="D1418" s="161" t="str">
        <f>'Reported burning'!D1418</f>
        <v>Accidental</v>
      </c>
      <c r="E1418" s="161" t="str">
        <f>'Reported burning'!E1418</f>
        <v>Tourism manager</v>
      </c>
      <c r="F1418" s="161" t="str">
        <f>'Reported burning'!F1418</f>
        <v>ND</v>
      </c>
      <c r="G1418" s="161" t="str">
        <f>'Reported burning'!G1418</f>
        <v>ND</v>
      </c>
      <c r="H1418" s="161" t="str">
        <f>'Reported burning'!H1418</f>
        <v>Presence</v>
      </c>
      <c r="I1418" s="4"/>
      <c r="J1418" s="4" t="s">
        <v>2308</v>
      </c>
      <c r="K1418" s="4" t="s">
        <v>2308</v>
      </c>
      <c r="L1418" s="4" t="s">
        <v>2308</v>
      </c>
      <c r="M1418" s="4" t="s">
        <v>2308</v>
      </c>
      <c r="N1418" s="4" t="s">
        <v>2308</v>
      </c>
      <c r="O1418" s="4" t="s">
        <v>2308</v>
      </c>
      <c r="P1418" s="4" t="s">
        <v>2308</v>
      </c>
      <c r="Q1418" s="4" t="s">
        <v>2308</v>
      </c>
      <c r="R1418" s="4" t="s">
        <v>2308</v>
      </c>
      <c r="S1418" s="4" t="s">
        <v>2308</v>
      </c>
      <c r="T1418" s="4" t="s">
        <v>2308</v>
      </c>
      <c r="U1418" s="4" t="s">
        <v>2308</v>
      </c>
      <c r="V1418" s="4" t="s">
        <v>2308</v>
      </c>
      <c r="W1418" s="4" t="s">
        <v>2308</v>
      </c>
      <c r="X1418" s="4" t="s">
        <v>2308</v>
      </c>
      <c r="Y1418" s="4" t="s">
        <v>2308</v>
      </c>
      <c r="Z1418" s="4" t="s">
        <v>2308</v>
      </c>
      <c r="AA1418" s="5" t="s">
        <v>4324</v>
      </c>
      <c r="AB1418" s="5" t="s">
        <v>4329</v>
      </c>
    </row>
    <row r="1419" spans="1:28" ht="54.5" customHeight="1">
      <c r="A1419" s="161" t="str">
        <f>'Reported burning'!A1419</f>
        <v>169a</v>
      </c>
      <c r="B1419" s="161" t="str">
        <f>'Reported burning'!B1419</f>
        <v>169a.7</v>
      </c>
      <c r="C1419" s="161" t="str">
        <f>'Reported burning'!C1419</f>
        <v>Human, deliberate</v>
      </c>
      <c r="D1419" s="161" t="str">
        <f>'Reported burning'!D1419</f>
        <v>Land clearance</v>
      </c>
      <c r="E1419" s="161" t="str">
        <f>'Reported burning'!E1419</f>
        <v>Mixed cropping-livestock small holder, Subsistence-oriented</v>
      </c>
      <c r="F1419" s="161" t="str">
        <f>'Reported burning'!F1419</f>
        <v>ND</v>
      </c>
      <c r="G1419" s="161" t="str">
        <f>'Reported burning'!G1419</f>
        <v>ND</v>
      </c>
      <c r="H1419" s="161" t="str">
        <f>'Reported burning'!H1419</f>
        <v>Presence</v>
      </c>
      <c r="I1419" s="4"/>
      <c r="J1419" s="4" t="s">
        <v>2308</v>
      </c>
      <c r="K1419" s="4" t="s">
        <v>2308</v>
      </c>
      <c r="L1419" s="4" t="s">
        <v>2308</v>
      </c>
      <c r="M1419" s="4" t="s">
        <v>2308</v>
      </c>
      <c r="N1419" s="4" t="s">
        <v>2308</v>
      </c>
      <c r="O1419" s="4" t="s">
        <v>2308</v>
      </c>
      <c r="P1419" s="4" t="s">
        <v>2308</v>
      </c>
      <c r="Q1419" s="4" t="s">
        <v>2308</v>
      </c>
      <c r="R1419" s="4" t="s">
        <v>2308</v>
      </c>
      <c r="S1419" s="4" t="s">
        <v>2308</v>
      </c>
      <c r="T1419" s="4" t="s">
        <v>2308</v>
      </c>
      <c r="U1419" s="4" t="s">
        <v>2308</v>
      </c>
      <c r="V1419" s="4" t="s">
        <v>2308</v>
      </c>
      <c r="W1419" s="4" t="s">
        <v>2308</v>
      </c>
      <c r="X1419" s="4" t="s">
        <v>2308</v>
      </c>
      <c r="Y1419" s="4" t="s">
        <v>2308</v>
      </c>
      <c r="Z1419" s="4" t="s">
        <v>2308</v>
      </c>
      <c r="AA1419" s="4" t="s">
        <v>4326</v>
      </c>
      <c r="AB1419" s="5" t="s">
        <v>4329</v>
      </c>
    </row>
    <row r="1420" spans="1:28" ht="54.5" customHeight="1">
      <c r="A1420" s="161" t="str">
        <f>'Reported burning'!A1420</f>
        <v>169a</v>
      </c>
      <c r="B1420" s="161" t="str">
        <f>'Reported burning'!B1420</f>
        <v>169a.8</v>
      </c>
      <c r="C1420" s="161" t="str">
        <f>'Reported burning'!C1420</f>
        <v>Human, deliberate</v>
      </c>
      <c r="D1420" s="161" t="str">
        <f>'Reported burning'!D1420</f>
        <v>Crop residue burning</v>
      </c>
      <c r="E1420" s="161" t="str">
        <f>'Reported burning'!E1420</f>
        <v>Mixed cropping-livestock small holder, Subsistence-oriented</v>
      </c>
      <c r="F1420" s="161" t="str">
        <f>'Reported burning'!F1420</f>
        <v>ND</v>
      </c>
      <c r="G1420" s="161" t="str">
        <f>'Reported burning'!G1420</f>
        <v>ND</v>
      </c>
      <c r="H1420" s="161" t="str">
        <f>'Reported burning'!H1420</f>
        <v>Presence</v>
      </c>
      <c r="I1420" s="4"/>
      <c r="J1420" s="4" t="s">
        <v>2308</v>
      </c>
      <c r="K1420" s="4" t="s">
        <v>2308</v>
      </c>
      <c r="L1420" s="4" t="s">
        <v>2308</v>
      </c>
      <c r="M1420" s="4" t="s">
        <v>2308</v>
      </c>
      <c r="N1420" s="4" t="s">
        <v>2308</v>
      </c>
      <c r="O1420" s="4" t="s">
        <v>2308</v>
      </c>
      <c r="P1420" s="4" t="s">
        <v>2308</v>
      </c>
      <c r="Q1420" s="4" t="s">
        <v>2308</v>
      </c>
      <c r="R1420" s="4" t="s">
        <v>2308</v>
      </c>
      <c r="S1420" s="4" t="s">
        <v>2308</v>
      </c>
      <c r="T1420" s="4" t="s">
        <v>2308</v>
      </c>
      <c r="U1420" s="4" t="s">
        <v>2308</v>
      </c>
      <c r="V1420" s="4" t="s">
        <v>2308</v>
      </c>
      <c r="W1420" s="4" t="s">
        <v>2308</v>
      </c>
      <c r="X1420" s="4" t="s">
        <v>2308</v>
      </c>
      <c r="Y1420" s="4" t="s">
        <v>2308</v>
      </c>
      <c r="Z1420" s="4" t="s">
        <v>2308</v>
      </c>
      <c r="AA1420" s="4" t="s">
        <v>4327</v>
      </c>
      <c r="AB1420" s="5" t="s">
        <v>4329</v>
      </c>
    </row>
    <row r="1421" spans="1:28" ht="54.5" customHeight="1">
      <c r="A1421" s="161" t="str">
        <f>'Reported burning'!A1421</f>
        <v>169a</v>
      </c>
      <c r="B1421" s="161" t="str">
        <f>'Reported burning'!B1421</f>
        <v>169a.9</v>
      </c>
      <c r="C1421" s="161" t="str">
        <f>'Reported burning'!C1421</f>
        <v>Human, deliberate</v>
      </c>
      <c r="D1421" s="161" t="str">
        <f>'Reported burning'!D1421</f>
        <v>Arson</v>
      </c>
      <c r="E1421" s="161" t="str">
        <f>'Reported burning'!E1421</f>
        <v>ND</v>
      </c>
      <c r="F1421" s="161" t="str">
        <f>'Reported burning'!F1421</f>
        <v>ND</v>
      </c>
      <c r="G1421" s="161" t="str">
        <f>'Reported burning'!G1421</f>
        <v>ND</v>
      </c>
      <c r="H1421" s="161" t="str">
        <f>'Reported burning'!H1421</f>
        <v>Presence</v>
      </c>
      <c r="I1421" s="4"/>
      <c r="J1421" s="4" t="s">
        <v>2308</v>
      </c>
      <c r="K1421" s="4" t="s">
        <v>2308</v>
      </c>
      <c r="L1421" s="4" t="s">
        <v>2308</v>
      </c>
      <c r="M1421" s="4" t="s">
        <v>2308</v>
      </c>
      <c r="N1421" s="4" t="s">
        <v>2308</v>
      </c>
      <c r="O1421" s="4" t="s">
        <v>2308</v>
      </c>
      <c r="P1421" s="4" t="s">
        <v>2308</v>
      </c>
      <c r="Q1421" s="4" t="s">
        <v>2308</v>
      </c>
      <c r="R1421" s="4" t="s">
        <v>2308</v>
      </c>
      <c r="S1421" s="4" t="s">
        <v>2308</v>
      </c>
      <c r="T1421" s="4" t="s">
        <v>2308</v>
      </c>
      <c r="U1421" s="4" t="s">
        <v>2308</v>
      </c>
      <c r="V1421" s="4" t="s">
        <v>2308</v>
      </c>
      <c r="W1421" s="4" t="s">
        <v>2308</v>
      </c>
      <c r="X1421" s="4" t="s">
        <v>2308</v>
      </c>
      <c r="Y1421" s="4" t="s">
        <v>2308</v>
      </c>
      <c r="Z1421" s="4" t="s">
        <v>2308</v>
      </c>
      <c r="AA1421" s="178" t="s">
        <v>4330</v>
      </c>
      <c r="AB1421" s="5" t="s">
        <v>4329</v>
      </c>
    </row>
    <row r="1422" spans="1:28" ht="54.5" customHeight="1">
      <c r="A1422" s="161" t="str">
        <f>'Reported burning'!A1422</f>
        <v>169b</v>
      </c>
      <c r="B1422" s="161" t="str">
        <f>'Reported burning'!B1422</f>
        <v>169b.1</v>
      </c>
      <c r="C1422" s="161" t="str">
        <f>'Reported burning'!C1422</f>
        <v>Human, deliberate</v>
      </c>
      <c r="D1422" s="161" t="str">
        <f>'Reported burning'!D1422</f>
        <v>Pasture renewal</v>
      </c>
      <c r="E1422" s="161" t="str">
        <f>'Reported burning'!E1422</f>
        <v>Mixed cropping-livestock small holder, Subsistence-oriented</v>
      </c>
      <c r="F1422" s="161" t="str">
        <f>'Reported burning'!F1422</f>
        <v>Shrubland (Mixed forest &amp; grassland)</v>
      </c>
      <c r="G1422" s="161" t="str">
        <f>'Reported burning'!G1422</f>
        <v>ND</v>
      </c>
      <c r="H1422" s="161" t="str">
        <f>'Reported burning'!H1422</f>
        <v>Presence</v>
      </c>
      <c r="I1422" s="4"/>
      <c r="J1422" s="4" t="s">
        <v>2308</v>
      </c>
      <c r="K1422" s="4" t="s">
        <v>2308</v>
      </c>
      <c r="L1422" s="4" t="s">
        <v>2308</v>
      </c>
      <c r="M1422" s="4" t="s">
        <v>2308</v>
      </c>
      <c r="N1422" s="4" t="s">
        <v>2308</v>
      </c>
      <c r="O1422" s="4" t="s">
        <v>2308</v>
      </c>
      <c r="P1422" s="4" t="s">
        <v>2308</v>
      </c>
      <c r="Q1422" s="4" t="s">
        <v>2308</v>
      </c>
      <c r="R1422" s="4" t="s">
        <v>2308</v>
      </c>
      <c r="S1422" s="4" t="s">
        <v>2308</v>
      </c>
      <c r="T1422" s="4" t="s">
        <v>2308</v>
      </c>
      <c r="U1422" s="4" t="s">
        <v>2308</v>
      </c>
      <c r="V1422" s="4" t="s">
        <v>2308</v>
      </c>
      <c r="W1422" s="4" t="s">
        <v>2308</v>
      </c>
      <c r="X1422" s="4" t="s">
        <v>2308</v>
      </c>
      <c r="Y1422" s="4" t="s">
        <v>2308</v>
      </c>
      <c r="Z1422" s="4" t="s">
        <v>2308</v>
      </c>
      <c r="AA1422" s="4" t="s">
        <v>4323</v>
      </c>
      <c r="AB1422" s="5" t="s">
        <v>4329</v>
      </c>
    </row>
    <row r="1423" spans="1:28" ht="54.5" customHeight="1">
      <c r="A1423" s="161" t="str">
        <f>'Reported burning'!A1423</f>
        <v>169b</v>
      </c>
      <c r="B1423" s="161" t="str">
        <f>'Reported burning'!B1423</f>
        <v>169b.2</v>
      </c>
      <c r="C1423" s="161" t="str">
        <f>'Reported burning'!C1423</f>
        <v>Human, escaped</v>
      </c>
      <c r="D1423" s="161" t="str">
        <f>'Reported burning'!D1423</f>
        <v>Pasture renewal</v>
      </c>
      <c r="E1423" s="161" t="str">
        <f>'Reported burning'!E1423</f>
        <v>Mixed cropping-livestock small holder, Subsistence-oriented</v>
      </c>
      <c r="F1423" s="161" t="str">
        <f>'Reported burning'!F1423</f>
        <v>Forest</v>
      </c>
      <c r="G1423" s="161" t="str">
        <f>'Reported burning'!G1423</f>
        <v>ND</v>
      </c>
      <c r="H1423" s="161" t="str">
        <f>'Reported burning'!H1423</f>
        <v>Presence</v>
      </c>
      <c r="I1423" s="4"/>
      <c r="J1423" s="4" t="s">
        <v>2308</v>
      </c>
      <c r="K1423" s="4" t="s">
        <v>2308</v>
      </c>
      <c r="L1423" s="4" t="s">
        <v>2308</v>
      </c>
      <c r="M1423" s="4" t="s">
        <v>2308</v>
      </c>
      <c r="N1423" s="4" t="s">
        <v>2308</v>
      </c>
      <c r="O1423" s="4" t="s">
        <v>2308</v>
      </c>
      <c r="P1423" s="4" t="s">
        <v>2308</v>
      </c>
      <c r="Q1423" s="4" t="s">
        <v>2308</v>
      </c>
      <c r="R1423" s="4" t="s">
        <v>2308</v>
      </c>
      <c r="S1423" s="4" t="s">
        <v>2308</v>
      </c>
      <c r="T1423" s="4" t="s">
        <v>2308</v>
      </c>
      <c r="U1423" s="4" t="s">
        <v>2308</v>
      </c>
      <c r="V1423" s="4" t="s">
        <v>2308</v>
      </c>
      <c r="W1423" s="4" t="s">
        <v>2308</v>
      </c>
      <c r="X1423" s="4" t="s">
        <v>2308</v>
      </c>
      <c r="Y1423" s="4" t="s">
        <v>2308</v>
      </c>
      <c r="Z1423" s="4" t="s">
        <v>2308</v>
      </c>
      <c r="AA1423" s="4" t="s">
        <v>2308</v>
      </c>
      <c r="AB1423" s="5" t="s">
        <v>4329</v>
      </c>
    </row>
    <row r="1424" spans="1:28" ht="54.5" customHeight="1">
      <c r="A1424" s="161" t="str">
        <f>'Reported burning'!A1424</f>
        <v>169b</v>
      </c>
      <c r="B1424" s="161" t="str">
        <f>'Reported burning'!B1424</f>
        <v>169b.3</v>
      </c>
      <c r="C1424" s="161" t="str">
        <f>'Reported burning'!C1424</f>
        <v>Human, deliberate</v>
      </c>
      <c r="D1424" s="161" t="str">
        <f>'Reported burning'!D1424</f>
        <v>Domestic</v>
      </c>
      <c r="E1424" s="161" t="str">
        <f>'Reported burning'!E1424</f>
        <v>All</v>
      </c>
      <c r="F1424" s="161" t="str">
        <f>'Reported burning'!F1424</f>
        <v>ND</v>
      </c>
      <c r="G1424" s="161" t="str">
        <f>'Reported burning'!G1424</f>
        <v>ND</v>
      </c>
      <c r="H1424" s="161" t="str">
        <f>'Reported burning'!H1424</f>
        <v>Presence</v>
      </c>
      <c r="I1424" s="4"/>
      <c r="J1424" s="4" t="s">
        <v>2308</v>
      </c>
      <c r="K1424" s="4" t="s">
        <v>2308</v>
      </c>
      <c r="L1424" s="4" t="s">
        <v>2308</v>
      </c>
      <c r="M1424" s="4" t="s">
        <v>2308</v>
      </c>
      <c r="N1424" s="4" t="s">
        <v>2308</v>
      </c>
      <c r="O1424" s="4" t="s">
        <v>2308</v>
      </c>
      <c r="P1424" s="4" t="s">
        <v>2308</v>
      </c>
      <c r="Q1424" s="4" t="s">
        <v>2308</v>
      </c>
      <c r="R1424" s="4" t="s">
        <v>2308</v>
      </c>
      <c r="S1424" s="4" t="s">
        <v>2308</v>
      </c>
      <c r="T1424" s="4" t="s">
        <v>2308</v>
      </c>
      <c r="U1424" s="4" t="s">
        <v>2308</v>
      </c>
      <c r="V1424" s="4" t="s">
        <v>2308</v>
      </c>
      <c r="W1424" s="4" t="s">
        <v>2308</v>
      </c>
      <c r="X1424" s="4" t="s">
        <v>2308</v>
      </c>
      <c r="Y1424" s="4" t="s">
        <v>2308</v>
      </c>
      <c r="Z1424" s="4" t="s">
        <v>2308</v>
      </c>
      <c r="AA1424" s="4" t="s">
        <v>4328</v>
      </c>
      <c r="AB1424" s="5" t="s">
        <v>4329</v>
      </c>
    </row>
    <row r="1425" spans="1:28" ht="54.5" customHeight="1">
      <c r="A1425" s="161" t="str">
        <f>'Reported burning'!A1425</f>
        <v>169b</v>
      </c>
      <c r="B1425" s="161" t="str">
        <f>'Reported burning'!B1425</f>
        <v>169b.4</v>
      </c>
      <c r="C1425" s="161" t="str">
        <f>'Reported burning'!C1425</f>
        <v>Human, escaped</v>
      </c>
      <c r="D1425" s="161" t="str">
        <f>'Reported burning'!D1425</f>
        <v>Domestic</v>
      </c>
      <c r="E1425" s="161" t="str">
        <f>'Reported burning'!E1425</f>
        <v>All</v>
      </c>
      <c r="F1425" s="161" t="str">
        <f>'Reported burning'!F1425</f>
        <v>ND</v>
      </c>
      <c r="G1425" s="161" t="str">
        <f>'Reported burning'!G1425</f>
        <v>ND</v>
      </c>
      <c r="H1425" s="161" t="str">
        <f>'Reported burning'!H1425</f>
        <v>Presence</v>
      </c>
      <c r="I1425" s="4"/>
      <c r="J1425" s="4" t="s">
        <v>2308</v>
      </c>
      <c r="K1425" s="4" t="s">
        <v>2308</v>
      </c>
      <c r="L1425" s="4" t="s">
        <v>2308</v>
      </c>
      <c r="M1425" s="4" t="s">
        <v>2308</v>
      </c>
      <c r="N1425" s="4" t="s">
        <v>2308</v>
      </c>
      <c r="O1425" s="4" t="s">
        <v>2308</v>
      </c>
      <c r="P1425" s="4" t="s">
        <v>2308</v>
      </c>
      <c r="Q1425" s="4" t="s">
        <v>2308</v>
      </c>
      <c r="R1425" s="4" t="s">
        <v>2308</v>
      </c>
      <c r="S1425" s="4" t="s">
        <v>2308</v>
      </c>
      <c r="T1425" s="4" t="s">
        <v>2308</v>
      </c>
      <c r="U1425" s="4" t="s">
        <v>2308</v>
      </c>
      <c r="V1425" s="4" t="s">
        <v>2308</v>
      </c>
      <c r="W1425" s="4" t="s">
        <v>2308</v>
      </c>
      <c r="X1425" s="4" t="s">
        <v>2308</v>
      </c>
      <c r="Y1425" s="4" t="s">
        <v>2308</v>
      </c>
      <c r="Z1425" s="4" t="s">
        <v>2308</v>
      </c>
      <c r="AA1425" s="4" t="s">
        <v>2308</v>
      </c>
      <c r="AB1425" s="5" t="s">
        <v>4329</v>
      </c>
    </row>
    <row r="1426" spans="1:28" ht="54.5" customHeight="1">
      <c r="A1426" s="161" t="str">
        <f>'Reported burning'!A1426</f>
        <v>169b</v>
      </c>
      <c r="B1426" s="161" t="str">
        <f>'Reported burning'!B1426</f>
        <v>169b.5</v>
      </c>
      <c r="C1426" s="161" t="str">
        <f>'Reported burning'!C1426</f>
        <v>Human, accidental</v>
      </c>
      <c r="D1426" s="161" t="str">
        <f>'Reported burning'!D1426</f>
        <v>Accidental</v>
      </c>
      <c r="E1426" s="161" t="str">
        <f>'Reported burning'!E1426</f>
        <v>All</v>
      </c>
      <c r="F1426" s="161" t="str">
        <f>'Reported burning'!F1426</f>
        <v>ND</v>
      </c>
      <c r="G1426" s="161" t="str">
        <f>'Reported burning'!G1426</f>
        <v>ND</v>
      </c>
      <c r="H1426" s="161" t="str">
        <f>'Reported burning'!H1426</f>
        <v>Presence</v>
      </c>
      <c r="I1426" s="4"/>
      <c r="J1426" s="4" t="s">
        <v>2308</v>
      </c>
      <c r="K1426" s="4" t="s">
        <v>2308</v>
      </c>
      <c r="L1426" s="4" t="s">
        <v>2308</v>
      </c>
      <c r="M1426" s="4" t="s">
        <v>2308</v>
      </c>
      <c r="N1426" s="4" t="s">
        <v>2308</v>
      </c>
      <c r="O1426" s="4" t="s">
        <v>2308</v>
      </c>
      <c r="P1426" s="4" t="s">
        <v>2308</v>
      </c>
      <c r="Q1426" s="4" t="s">
        <v>2308</v>
      </c>
      <c r="R1426" s="4" t="s">
        <v>2308</v>
      </c>
      <c r="S1426" s="4" t="s">
        <v>2308</v>
      </c>
      <c r="T1426" s="4" t="s">
        <v>2308</v>
      </c>
      <c r="U1426" s="4" t="s">
        <v>2308</v>
      </c>
      <c r="V1426" s="4" t="s">
        <v>2308</v>
      </c>
      <c r="W1426" s="4" t="s">
        <v>2308</v>
      </c>
      <c r="X1426" s="4" t="s">
        <v>2308</v>
      </c>
      <c r="Y1426" s="4" t="s">
        <v>2308</v>
      </c>
      <c r="Z1426" s="4" t="s">
        <v>2308</v>
      </c>
      <c r="AA1426" s="5" t="s">
        <v>4325</v>
      </c>
      <c r="AB1426" s="5" t="s">
        <v>4329</v>
      </c>
    </row>
    <row r="1427" spans="1:28" ht="54.5" customHeight="1">
      <c r="A1427" s="161" t="str">
        <f>'Reported burning'!A1427</f>
        <v>169b</v>
      </c>
      <c r="B1427" s="161" t="str">
        <f>'Reported burning'!B1427</f>
        <v>169b.6</v>
      </c>
      <c r="C1427" s="161" t="str">
        <f>'Reported burning'!C1427</f>
        <v>Human, accidental</v>
      </c>
      <c r="D1427" s="161" t="str">
        <f>'Reported burning'!D1427</f>
        <v>Accidental</v>
      </c>
      <c r="E1427" s="161" t="str">
        <f>'Reported burning'!E1427</f>
        <v>Tourism manager</v>
      </c>
      <c r="F1427" s="161" t="str">
        <f>'Reported burning'!F1427</f>
        <v>ND</v>
      </c>
      <c r="G1427" s="161" t="str">
        <f>'Reported burning'!G1427</f>
        <v>ND</v>
      </c>
      <c r="H1427" s="161" t="str">
        <f>'Reported burning'!H1427</f>
        <v>Presence</v>
      </c>
      <c r="I1427" s="4"/>
      <c r="J1427" s="4" t="s">
        <v>2308</v>
      </c>
      <c r="K1427" s="4" t="s">
        <v>2308</v>
      </c>
      <c r="L1427" s="4" t="s">
        <v>2308</v>
      </c>
      <c r="M1427" s="4" t="s">
        <v>2308</v>
      </c>
      <c r="N1427" s="4" t="s">
        <v>2308</v>
      </c>
      <c r="O1427" s="4" t="s">
        <v>2308</v>
      </c>
      <c r="P1427" s="4" t="s">
        <v>2308</v>
      </c>
      <c r="Q1427" s="4" t="s">
        <v>2308</v>
      </c>
      <c r="R1427" s="4" t="s">
        <v>2308</v>
      </c>
      <c r="S1427" s="4" t="s">
        <v>2308</v>
      </c>
      <c r="T1427" s="4" t="s">
        <v>2308</v>
      </c>
      <c r="U1427" s="4" t="s">
        <v>2308</v>
      </c>
      <c r="V1427" s="4" t="s">
        <v>2308</v>
      </c>
      <c r="W1427" s="4" t="s">
        <v>2308</v>
      </c>
      <c r="X1427" s="4" t="s">
        <v>2308</v>
      </c>
      <c r="Y1427" s="4" t="s">
        <v>2308</v>
      </c>
      <c r="Z1427" s="4" t="s">
        <v>2308</v>
      </c>
      <c r="AA1427" s="5" t="s">
        <v>4324</v>
      </c>
      <c r="AB1427" s="5" t="s">
        <v>4329</v>
      </c>
    </row>
    <row r="1428" spans="1:28" ht="54.5" customHeight="1">
      <c r="A1428" s="161" t="str">
        <f>'Reported burning'!A1428</f>
        <v>169b</v>
      </c>
      <c r="B1428" s="161" t="str">
        <f>'Reported burning'!B1428</f>
        <v>169b.7</v>
      </c>
      <c r="C1428" s="161" t="str">
        <f>'Reported burning'!C1428</f>
        <v>Human, deliberate</v>
      </c>
      <c r="D1428" s="161" t="str">
        <f>'Reported burning'!D1428</f>
        <v>Land clearance</v>
      </c>
      <c r="E1428" s="161" t="str">
        <f>'Reported burning'!E1428</f>
        <v>Mixed cropping-livestock small holder, Subsistence-oriented</v>
      </c>
      <c r="F1428" s="161" t="str">
        <f>'Reported burning'!F1428</f>
        <v>ND</v>
      </c>
      <c r="G1428" s="161" t="str">
        <f>'Reported burning'!G1428</f>
        <v>ND</v>
      </c>
      <c r="H1428" s="161" t="str">
        <f>'Reported burning'!H1428</f>
        <v>Presence</v>
      </c>
      <c r="I1428" s="4"/>
      <c r="J1428" s="4" t="s">
        <v>2308</v>
      </c>
      <c r="K1428" s="4" t="s">
        <v>2308</v>
      </c>
      <c r="L1428" s="4" t="s">
        <v>2308</v>
      </c>
      <c r="M1428" s="4" t="s">
        <v>2308</v>
      </c>
      <c r="N1428" s="4" t="s">
        <v>2308</v>
      </c>
      <c r="O1428" s="4" t="s">
        <v>2308</v>
      </c>
      <c r="P1428" s="4" t="s">
        <v>2308</v>
      </c>
      <c r="Q1428" s="4" t="s">
        <v>2308</v>
      </c>
      <c r="R1428" s="4" t="s">
        <v>2308</v>
      </c>
      <c r="S1428" s="4" t="s">
        <v>2308</v>
      </c>
      <c r="T1428" s="4" t="s">
        <v>2308</v>
      </c>
      <c r="U1428" s="4" t="s">
        <v>2308</v>
      </c>
      <c r="V1428" s="4" t="s">
        <v>2308</v>
      </c>
      <c r="W1428" s="4" t="s">
        <v>2308</v>
      </c>
      <c r="X1428" s="4" t="s">
        <v>2308</v>
      </c>
      <c r="Y1428" s="4" t="s">
        <v>2308</v>
      </c>
      <c r="Z1428" s="4" t="s">
        <v>2308</v>
      </c>
      <c r="AA1428" s="4" t="s">
        <v>4326</v>
      </c>
      <c r="AB1428" s="5" t="s">
        <v>4329</v>
      </c>
    </row>
    <row r="1429" spans="1:28" ht="54.5" customHeight="1">
      <c r="A1429" s="161" t="str">
        <f>'Reported burning'!A1429</f>
        <v>169b</v>
      </c>
      <c r="B1429" s="161" t="str">
        <f>'Reported burning'!B1429</f>
        <v>169b.8</v>
      </c>
      <c r="C1429" s="161" t="str">
        <f>'Reported burning'!C1429</f>
        <v>Human, deliberate</v>
      </c>
      <c r="D1429" s="161" t="str">
        <f>'Reported burning'!D1429</f>
        <v>Crop residue burning</v>
      </c>
      <c r="E1429" s="161" t="str">
        <f>'Reported burning'!E1429</f>
        <v>Mixed cropping-livestock small holder, Subsistence-oriented</v>
      </c>
      <c r="F1429" s="161" t="str">
        <f>'Reported burning'!F1429</f>
        <v>ND</v>
      </c>
      <c r="G1429" s="161" t="str">
        <f>'Reported burning'!G1429</f>
        <v>ND</v>
      </c>
      <c r="H1429" s="161" t="str">
        <f>'Reported burning'!H1429</f>
        <v>Presence</v>
      </c>
      <c r="I1429" s="4"/>
      <c r="J1429" s="4" t="s">
        <v>2308</v>
      </c>
      <c r="K1429" s="4" t="s">
        <v>2308</v>
      </c>
      <c r="L1429" s="4" t="s">
        <v>2308</v>
      </c>
      <c r="M1429" s="4" t="s">
        <v>2308</v>
      </c>
      <c r="N1429" s="4" t="s">
        <v>2308</v>
      </c>
      <c r="O1429" s="4" t="s">
        <v>2308</v>
      </c>
      <c r="P1429" s="4" t="s">
        <v>2308</v>
      </c>
      <c r="Q1429" s="4" t="s">
        <v>2308</v>
      </c>
      <c r="R1429" s="4" t="s">
        <v>2308</v>
      </c>
      <c r="S1429" s="4" t="s">
        <v>2308</v>
      </c>
      <c r="T1429" s="4" t="s">
        <v>2308</v>
      </c>
      <c r="U1429" s="4" t="s">
        <v>2308</v>
      </c>
      <c r="V1429" s="4" t="s">
        <v>2308</v>
      </c>
      <c r="W1429" s="4" t="s">
        <v>2308</v>
      </c>
      <c r="X1429" s="4" t="s">
        <v>2308</v>
      </c>
      <c r="Y1429" s="4" t="s">
        <v>2308</v>
      </c>
      <c r="Z1429" s="4" t="s">
        <v>2308</v>
      </c>
      <c r="AA1429" s="4" t="s">
        <v>4327</v>
      </c>
      <c r="AB1429" s="5" t="s">
        <v>4329</v>
      </c>
    </row>
    <row r="1430" spans="1:28" ht="54.5" customHeight="1">
      <c r="A1430" s="161" t="str">
        <f>'Reported burning'!A1430</f>
        <v>169b</v>
      </c>
      <c r="B1430" s="161" t="str">
        <f>'Reported burning'!B1430</f>
        <v>169b.9</v>
      </c>
      <c r="C1430" s="161" t="str">
        <f>'Reported burning'!C1430</f>
        <v>Human, deliberate</v>
      </c>
      <c r="D1430" s="161" t="str">
        <f>'Reported burning'!D1430</f>
        <v>Arson</v>
      </c>
      <c r="E1430" s="161" t="str">
        <f>'Reported burning'!E1430</f>
        <v>ND</v>
      </c>
      <c r="F1430" s="161" t="str">
        <f>'Reported burning'!F1430</f>
        <v>ND</v>
      </c>
      <c r="G1430" s="161" t="str">
        <f>'Reported burning'!G1430</f>
        <v>ND</v>
      </c>
      <c r="H1430" s="161" t="str">
        <f>'Reported burning'!H1430</f>
        <v>Presence</v>
      </c>
      <c r="I1430" s="4"/>
      <c r="J1430" s="4" t="s">
        <v>2308</v>
      </c>
      <c r="K1430" s="4" t="s">
        <v>2308</v>
      </c>
      <c r="L1430" s="4" t="s">
        <v>2308</v>
      </c>
      <c r="M1430" s="4" t="s">
        <v>2308</v>
      </c>
      <c r="N1430" s="4" t="s">
        <v>2308</v>
      </c>
      <c r="O1430" s="4" t="s">
        <v>2308</v>
      </c>
      <c r="P1430" s="4" t="s">
        <v>2308</v>
      </c>
      <c r="Q1430" s="4" t="s">
        <v>2308</v>
      </c>
      <c r="R1430" s="4" t="s">
        <v>2308</v>
      </c>
      <c r="S1430" s="4" t="s">
        <v>2308</v>
      </c>
      <c r="T1430" s="4" t="s">
        <v>2308</v>
      </c>
      <c r="U1430" s="4" t="s">
        <v>2308</v>
      </c>
      <c r="V1430" s="4" t="s">
        <v>2308</v>
      </c>
      <c r="W1430" s="4" t="s">
        <v>2308</v>
      </c>
      <c r="X1430" s="4" t="s">
        <v>2308</v>
      </c>
      <c r="Y1430" s="4" t="s">
        <v>2308</v>
      </c>
      <c r="Z1430" s="4" t="s">
        <v>2308</v>
      </c>
      <c r="AA1430" s="178" t="s">
        <v>4330</v>
      </c>
      <c r="AB1430" s="5" t="s">
        <v>4329</v>
      </c>
    </row>
    <row r="1431" spans="1:28" ht="54.5" customHeight="1">
      <c r="A1431" s="161" t="str">
        <f>'Reported burning'!A1431</f>
        <v>169c</v>
      </c>
      <c r="B1431" s="161" t="str">
        <f>'Reported burning'!B1431</f>
        <v>169c.1</v>
      </c>
      <c r="C1431" s="161" t="str">
        <f>'Reported burning'!C1431</f>
        <v>Human, deliberate</v>
      </c>
      <c r="D1431" s="161" t="str">
        <f>'Reported burning'!D1431</f>
        <v>Pasture renewal</v>
      </c>
      <c r="E1431" s="161" t="str">
        <f>'Reported burning'!E1431</f>
        <v>Mixed cropping-livestock small holder, Subsistence-oriented</v>
      </c>
      <c r="F1431" s="161" t="str">
        <f>'Reported burning'!F1431</f>
        <v>Shrubland (Mixed forest &amp; grassland)</v>
      </c>
      <c r="G1431" s="161" t="str">
        <f>'Reported burning'!G1431</f>
        <v>ND</v>
      </c>
      <c r="H1431" s="161" t="str">
        <f>'Reported burning'!H1431</f>
        <v>Presence</v>
      </c>
      <c r="I1431" s="4"/>
      <c r="J1431" s="4" t="s">
        <v>2308</v>
      </c>
      <c r="K1431" s="4" t="s">
        <v>2308</v>
      </c>
      <c r="L1431" s="4" t="s">
        <v>2308</v>
      </c>
      <c r="M1431" s="4" t="s">
        <v>2308</v>
      </c>
      <c r="N1431" s="4" t="s">
        <v>2308</v>
      </c>
      <c r="O1431" s="4" t="s">
        <v>2308</v>
      </c>
      <c r="P1431" s="4" t="s">
        <v>2308</v>
      </c>
      <c r="Q1431" s="4" t="s">
        <v>2308</v>
      </c>
      <c r="R1431" s="4" t="s">
        <v>2308</v>
      </c>
      <c r="S1431" s="4" t="s">
        <v>2308</v>
      </c>
      <c r="T1431" s="4" t="s">
        <v>2308</v>
      </c>
      <c r="U1431" s="4" t="s">
        <v>2308</v>
      </c>
      <c r="V1431" s="4" t="s">
        <v>2308</v>
      </c>
      <c r="W1431" s="4" t="s">
        <v>2308</v>
      </c>
      <c r="X1431" s="4" t="s">
        <v>2308</v>
      </c>
      <c r="Y1431" s="4" t="s">
        <v>2308</v>
      </c>
      <c r="Z1431" s="4" t="s">
        <v>2308</v>
      </c>
      <c r="AA1431" s="4" t="s">
        <v>4323</v>
      </c>
      <c r="AB1431" s="5" t="s">
        <v>4329</v>
      </c>
    </row>
    <row r="1432" spans="1:28" ht="54.5" customHeight="1">
      <c r="A1432" s="161" t="str">
        <f>'Reported burning'!A1432</f>
        <v>169c</v>
      </c>
      <c r="B1432" s="161" t="str">
        <f>'Reported burning'!B1432</f>
        <v>169c.2</v>
      </c>
      <c r="C1432" s="161" t="str">
        <f>'Reported burning'!C1432</f>
        <v>Human, escaped</v>
      </c>
      <c r="D1432" s="161" t="str">
        <f>'Reported burning'!D1432</f>
        <v>Pasture renewal</v>
      </c>
      <c r="E1432" s="161" t="str">
        <f>'Reported burning'!E1432</f>
        <v>Mixed cropping-livestock small holder, Subsistence-oriented</v>
      </c>
      <c r="F1432" s="161" t="str">
        <f>'Reported burning'!F1432</f>
        <v>Forest</v>
      </c>
      <c r="G1432" s="161" t="str">
        <f>'Reported burning'!G1432</f>
        <v>ND</v>
      </c>
      <c r="H1432" s="161" t="str">
        <f>'Reported burning'!H1432</f>
        <v>Presence</v>
      </c>
      <c r="I1432" s="4"/>
      <c r="J1432" s="4" t="s">
        <v>2308</v>
      </c>
      <c r="K1432" s="4" t="s">
        <v>2308</v>
      </c>
      <c r="L1432" s="4" t="s">
        <v>2308</v>
      </c>
      <c r="M1432" s="4" t="s">
        <v>2308</v>
      </c>
      <c r="N1432" s="4" t="s">
        <v>2308</v>
      </c>
      <c r="O1432" s="4" t="s">
        <v>2308</v>
      </c>
      <c r="P1432" s="4" t="s">
        <v>2308</v>
      </c>
      <c r="Q1432" s="4" t="s">
        <v>2308</v>
      </c>
      <c r="R1432" s="4" t="s">
        <v>2308</v>
      </c>
      <c r="S1432" s="4" t="s">
        <v>2308</v>
      </c>
      <c r="T1432" s="4" t="s">
        <v>2308</v>
      </c>
      <c r="U1432" s="4" t="s">
        <v>2308</v>
      </c>
      <c r="V1432" s="4" t="s">
        <v>2308</v>
      </c>
      <c r="W1432" s="4" t="s">
        <v>2308</v>
      </c>
      <c r="X1432" s="4" t="s">
        <v>2308</v>
      </c>
      <c r="Y1432" s="4" t="s">
        <v>2308</v>
      </c>
      <c r="Z1432" s="4" t="s">
        <v>2308</v>
      </c>
      <c r="AA1432" s="4" t="s">
        <v>2308</v>
      </c>
      <c r="AB1432" s="5" t="s">
        <v>4329</v>
      </c>
    </row>
    <row r="1433" spans="1:28" ht="54.5" customHeight="1">
      <c r="A1433" s="161" t="str">
        <f>'Reported burning'!A1433</f>
        <v>169c</v>
      </c>
      <c r="B1433" s="161" t="str">
        <f>'Reported burning'!B1433</f>
        <v>169c.3</v>
      </c>
      <c r="C1433" s="161" t="str">
        <f>'Reported burning'!C1433</f>
        <v>Human, deliberate</v>
      </c>
      <c r="D1433" s="161" t="str">
        <f>'Reported burning'!D1433</f>
        <v>Domestic</v>
      </c>
      <c r="E1433" s="161" t="str">
        <f>'Reported burning'!E1433</f>
        <v>All</v>
      </c>
      <c r="F1433" s="161" t="str">
        <f>'Reported burning'!F1433</f>
        <v>ND</v>
      </c>
      <c r="G1433" s="161" t="str">
        <f>'Reported burning'!G1433</f>
        <v>ND</v>
      </c>
      <c r="H1433" s="161" t="str">
        <f>'Reported burning'!H1433</f>
        <v>Presence</v>
      </c>
      <c r="I1433" s="4"/>
      <c r="J1433" s="4" t="s">
        <v>2308</v>
      </c>
      <c r="K1433" s="4" t="s">
        <v>2308</v>
      </c>
      <c r="L1433" s="4" t="s">
        <v>2308</v>
      </c>
      <c r="M1433" s="4" t="s">
        <v>2308</v>
      </c>
      <c r="N1433" s="4" t="s">
        <v>2308</v>
      </c>
      <c r="O1433" s="4" t="s">
        <v>2308</v>
      </c>
      <c r="P1433" s="4" t="s">
        <v>2308</v>
      </c>
      <c r="Q1433" s="4" t="s">
        <v>2308</v>
      </c>
      <c r="R1433" s="4" t="s">
        <v>2308</v>
      </c>
      <c r="S1433" s="4" t="s">
        <v>2308</v>
      </c>
      <c r="T1433" s="4" t="s">
        <v>2308</v>
      </c>
      <c r="U1433" s="4" t="s">
        <v>2308</v>
      </c>
      <c r="V1433" s="4" t="s">
        <v>2308</v>
      </c>
      <c r="W1433" s="4" t="s">
        <v>2308</v>
      </c>
      <c r="X1433" s="4" t="s">
        <v>2308</v>
      </c>
      <c r="Y1433" s="4" t="s">
        <v>2308</v>
      </c>
      <c r="Z1433" s="4" t="s">
        <v>2308</v>
      </c>
      <c r="AA1433" s="4" t="s">
        <v>4328</v>
      </c>
      <c r="AB1433" s="5" t="s">
        <v>4329</v>
      </c>
    </row>
    <row r="1434" spans="1:28" ht="54.5" customHeight="1">
      <c r="A1434" s="161" t="str">
        <f>'Reported burning'!A1434</f>
        <v>169c</v>
      </c>
      <c r="B1434" s="161" t="str">
        <f>'Reported burning'!B1434</f>
        <v>169c.4</v>
      </c>
      <c r="C1434" s="161" t="str">
        <f>'Reported burning'!C1434</f>
        <v>Human, escaped</v>
      </c>
      <c r="D1434" s="161" t="str">
        <f>'Reported burning'!D1434</f>
        <v>Domestic</v>
      </c>
      <c r="E1434" s="161" t="str">
        <f>'Reported burning'!E1434</f>
        <v>All</v>
      </c>
      <c r="F1434" s="161" t="str">
        <f>'Reported burning'!F1434</f>
        <v>ND</v>
      </c>
      <c r="G1434" s="161" t="str">
        <f>'Reported burning'!G1434</f>
        <v>ND</v>
      </c>
      <c r="H1434" s="161" t="str">
        <f>'Reported burning'!H1434</f>
        <v>Presence</v>
      </c>
      <c r="I1434" s="4"/>
      <c r="J1434" s="4" t="s">
        <v>2308</v>
      </c>
      <c r="K1434" s="4" t="s">
        <v>2308</v>
      </c>
      <c r="L1434" s="4" t="s">
        <v>2308</v>
      </c>
      <c r="M1434" s="4" t="s">
        <v>2308</v>
      </c>
      <c r="N1434" s="4" t="s">
        <v>2308</v>
      </c>
      <c r="O1434" s="4" t="s">
        <v>2308</v>
      </c>
      <c r="P1434" s="4" t="s">
        <v>2308</v>
      </c>
      <c r="Q1434" s="4" t="s">
        <v>2308</v>
      </c>
      <c r="R1434" s="4" t="s">
        <v>2308</v>
      </c>
      <c r="S1434" s="4" t="s">
        <v>2308</v>
      </c>
      <c r="T1434" s="4" t="s">
        <v>2308</v>
      </c>
      <c r="U1434" s="4" t="s">
        <v>2308</v>
      </c>
      <c r="V1434" s="4" t="s">
        <v>2308</v>
      </c>
      <c r="W1434" s="4" t="s">
        <v>2308</v>
      </c>
      <c r="X1434" s="4" t="s">
        <v>2308</v>
      </c>
      <c r="Y1434" s="4" t="s">
        <v>2308</v>
      </c>
      <c r="Z1434" s="4" t="s">
        <v>2308</v>
      </c>
      <c r="AA1434" s="4" t="s">
        <v>2308</v>
      </c>
      <c r="AB1434" s="5" t="s">
        <v>4329</v>
      </c>
    </row>
    <row r="1435" spans="1:28" ht="54.5" customHeight="1">
      <c r="A1435" s="161" t="str">
        <f>'Reported burning'!A1435</f>
        <v>169c</v>
      </c>
      <c r="B1435" s="161" t="str">
        <f>'Reported burning'!B1435</f>
        <v>169c.5</v>
      </c>
      <c r="C1435" s="161" t="str">
        <f>'Reported burning'!C1435</f>
        <v>Human, accidental</v>
      </c>
      <c r="D1435" s="161" t="str">
        <f>'Reported burning'!D1435</f>
        <v>Accidental</v>
      </c>
      <c r="E1435" s="161" t="str">
        <f>'Reported burning'!E1435</f>
        <v>All</v>
      </c>
      <c r="F1435" s="161" t="str">
        <f>'Reported burning'!F1435</f>
        <v>ND</v>
      </c>
      <c r="G1435" s="161" t="str">
        <f>'Reported burning'!G1435</f>
        <v>ND</v>
      </c>
      <c r="H1435" s="161" t="str">
        <f>'Reported burning'!H1435</f>
        <v>Presence</v>
      </c>
      <c r="I1435" s="4"/>
      <c r="J1435" s="4" t="s">
        <v>2308</v>
      </c>
      <c r="K1435" s="4" t="s">
        <v>2308</v>
      </c>
      <c r="L1435" s="4" t="s">
        <v>2308</v>
      </c>
      <c r="M1435" s="4" t="s">
        <v>2308</v>
      </c>
      <c r="N1435" s="4" t="s">
        <v>2308</v>
      </c>
      <c r="O1435" s="4" t="s">
        <v>2308</v>
      </c>
      <c r="P1435" s="4" t="s">
        <v>2308</v>
      </c>
      <c r="Q1435" s="4" t="s">
        <v>2308</v>
      </c>
      <c r="R1435" s="4" t="s">
        <v>2308</v>
      </c>
      <c r="S1435" s="4" t="s">
        <v>2308</v>
      </c>
      <c r="T1435" s="4" t="s">
        <v>2308</v>
      </c>
      <c r="U1435" s="4" t="s">
        <v>2308</v>
      </c>
      <c r="V1435" s="4" t="s">
        <v>2308</v>
      </c>
      <c r="W1435" s="4" t="s">
        <v>2308</v>
      </c>
      <c r="X1435" s="4" t="s">
        <v>2308</v>
      </c>
      <c r="Y1435" s="4" t="s">
        <v>2308</v>
      </c>
      <c r="Z1435" s="4" t="s">
        <v>2308</v>
      </c>
      <c r="AA1435" s="5" t="s">
        <v>4325</v>
      </c>
      <c r="AB1435" s="5" t="s">
        <v>4329</v>
      </c>
    </row>
    <row r="1436" spans="1:28" ht="54.5" customHeight="1">
      <c r="A1436" s="161" t="str">
        <f>'Reported burning'!A1436</f>
        <v>169c</v>
      </c>
      <c r="B1436" s="161" t="str">
        <f>'Reported burning'!B1436</f>
        <v>169c.6</v>
      </c>
      <c r="C1436" s="161" t="str">
        <f>'Reported burning'!C1436</f>
        <v>Human, accidental</v>
      </c>
      <c r="D1436" s="161" t="str">
        <f>'Reported burning'!D1436</f>
        <v>Accidental</v>
      </c>
      <c r="E1436" s="161" t="str">
        <f>'Reported burning'!E1436</f>
        <v>Tourism manager</v>
      </c>
      <c r="F1436" s="161" t="str">
        <f>'Reported burning'!F1436</f>
        <v>ND</v>
      </c>
      <c r="G1436" s="161" t="str">
        <f>'Reported burning'!G1436</f>
        <v>ND</v>
      </c>
      <c r="H1436" s="161" t="str">
        <f>'Reported burning'!H1436</f>
        <v>Presence</v>
      </c>
      <c r="I1436" s="4"/>
      <c r="J1436" s="4" t="s">
        <v>2308</v>
      </c>
      <c r="K1436" s="4" t="s">
        <v>2308</v>
      </c>
      <c r="L1436" s="4" t="s">
        <v>2308</v>
      </c>
      <c r="M1436" s="4" t="s">
        <v>2308</v>
      </c>
      <c r="N1436" s="4" t="s">
        <v>2308</v>
      </c>
      <c r="O1436" s="4" t="s">
        <v>2308</v>
      </c>
      <c r="P1436" s="4" t="s">
        <v>2308</v>
      </c>
      <c r="Q1436" s="4" t="s">
        <v>2308</v>
      </c>
      <c r="R1436" s="4" t="s">
        <v>2308</v>
      </c>
      <c r="S1436" s="4" t="s">
        <v>2308</v>
      </c>
      <c r="T1436" s="4" t="s">
        <v>2308</v>
      </c>
      <c r="U1436" s="4" t="s">
        <v>2308</v>
      </c>
      <c r="V1436" s="4" t="s">
        <v>2308</v>
      </c>
      <c r="W1436" s="4" t="s">
        <v>2308</v>
      </c>
      <c r="X1436" s="4" t="s">
        <v>2308</v>
      </c>
      <c r="Y1436" s="4" t="s">
        <v>2308</v>
      </c>
      <c r="Z1436" s="4" t="s">
        <v>2308</v>
      </c>
      <c r="AA1436" s="5" t="s">
        <v>4324</v>
      </c>
      <c r="AB1436" s="5" t="s">
        <v>4329</v>
      </c>
    </row>
    <row r="1437" spans="1:28" ht="54.5" customHeight="1">
      <c r="A1437" s="161" t="str">
        <f>'Reported burning'!A1437</f>
        <v>169c</v>
      </c>
      <c r="B1437" s="161" t="str">
        <f>'Reported burning'!B1437</f>
        <v>169c.7</v>
      </c>
      <c r="C1437" s="161" t="str">
        <f>'Reported burning'!C1437</f>
        <v>Human, deliberate</v>
      </c>
      <c r="D1437" s="161" t="str">
        <f>'Reported burning'!D1437</f>
        <v>Land clearance</v>
      </c>
      <c r="E1437" s="161" t="str">
        <f>'Reported burning'!E1437</f>
        <v>Mixed cropping-livestock small holder, Subsistence-oriented</v>
      </c>
      <c r="F1437" s="161" t="str">
        <f>'Reported burning'!F1437</f>
        <v>ND</v>
      </c>
      <c r="G1437" s="161" t="str">
        <f>'Reported burning'!G1437</f>
        <v>ND</v>
      </c>
      <c r="H1437" s="161" t="str">
        <f>'Reported burning'!H1437</f>
        <v>Presence</v>
      </c>
      <c r="I1437" s="4"/>
      <c r="J1437" s="4" t="s">
        <v>2308</v>
      </c>
      <c r="K1437" s="4" t="s">
        <v>2308</v>
      </c>
      <c r="L1437" s="4" t="s">
        <v>2308</v>
      </c>
      <c r="M1437" s="4" t="s">
        <v>2308</v>
      </c>
      <c r="N1437" s="4" t="s">
        <v>2308</v>
      </c>
      <c r="O1437" s="4" t="s">
        <v>2308</v>
      </c>
      <c r="P1437" s="4" t="s">
        <v>2308</v>
      </c>
      <c r="Q1437" s="4" t="s">
        <v>2308</v>
      </c>
      <c r="R1437" s="4" t="s">
        <v>2308</v>
      </c>
      <c r="S1437" s="4" t="s">
        <v>2308</v>
      </c>
      <c r="T1437" s="4" t="s">
        <v>2308</v>
      </c>
      <c r="U1437" s="4" t="s">
        <v>2308</v>
      </c>
      <c r="V1437" s="4" t="s">
        <v>2308</v>
      </c>
      <c r="W1437" s="4" t="s">
        <v>2308</v>
      </c>
      <c r="X1437" s="4" t="s">
        <v>2308</v>
      </c>
      <c r="Y1437" s="4" t="s">
        <v>2308</v>
      </c>
      <c r="Z1437" s="4" t="s">
        <v>2308</v>
      </c>
      <c r="AA1437" s="4" t="s">
        <v>4326</v>
      </c>
      <c r="AB1437" s="5" t="s">
        <v>4329</v>
      </c>
    </row>
    <row r="1438" spans="1:28" ht="54.5" customHeight="1">
      <c r="A1438" s="161" t="str">
        <f>'Reported burning'!A1438</f>
        <v>169c</v>
      </c>
      <c r="B1438" s="161" t="str">
        <f>'Reported burning'!B1438</f>
        <v>169c.8</v>
      </c>
      <c r="C1438" s="161" t="str">
        <f>'Reported burning'!C1438</f>
        <v>Human, deliberate</v>
      </c>
      <c r="D1438" s="161" t="str">
        <f>'Reported burning'!D1438</f>
        <v>Crop residue burning</v>
      </c>
      <c r="E1438" s="161" t="str">
        <f>'Reported burning'!E1438</f>
        <v>Mixed cropping-livestock small holder, Subsistence-oriented</v>
      </c>
      <c r="F1438" s="161" t="str">
        <f>'Reported burning'!F1438</f>
        <v>ND</v>
      </c>
      <c r="G1438" s="161" t="str">
        <f>'Reported burning'!G1438</f>
        <v>ND</v>
      </c>
      <c r="H1438" s="161" t="str">
        <f>'Reported burning'!H1438</f>
        <v>Presence</v>
      </c>
      <c r="I1438" s="4"/>
      <c r="J1438" s="4" t="s">
        <v>2308</v>
      </c>
      <c r="K1438" s="4" t="s">
        <v>2308</v>
      </c>
      <c r="L1438" s="4" t="s">
        <v>2308</v>
      </c>
      <c r="M1438" s="4" t="s">
        <v>2308</v>
      </c>
      <c r="N1438" s="4" t="s">
        <v>2308</v>
      </c>
      <c r="O1438" s="4" t="s">
        <v>2308</v>
      </c>
      <c r="P1438" s="4" t="s">
        <v>2308</v>
      </c>
      <c r="Q1438" s="4" t="s">
        <v>2308</v>
      </c>
      <c r="R1438" s="4" t="s">
        <v>2308</v>
      </c>
      <c r="S1438" s="4" t="s">
        <v>2308</v>
      </c>
      <c r="T1438" s="4" t="s">
        <v>2308</v>
      </c>
      <c r="U1438" s="4" t="s">
        <v>2308</v>
      </c>
      <c r="V1438" s="4" t="s">
        <v>2308</v>
      </c>
      <c r="W1438" s="4" t="s">
        <v>2308</v>
      </c>
      <c r="X1438" s="4" t="s">
        <v>2308</v>
      </c>
      <c r="Y1438" s="4" t="s">
        <v>2308</v>
      </c>
      <c r="Z1438" s="4" t="s">
        <v>2308</v>
      </c>
      <c r="AA1438" s="4" t="s">
        <v>4327</v>
      </c>
      <c r="AB1438" s="5" t="s">
        <v>4329</v>
      </c>
    </row>
    <row r="1439" spans="1:28" ht="54.5" customHeight="1">
      <c r="A1439" s="161" t="str">
        <f>'Reported burning'!A1439</f>
        <v>169c</v>
      </c>
      <c r="B1439" s="161" t="str">
        <f>'Reported burning'!B1439</f>
        <v>169c.9</v>
      </c>
      <c r="C1439" s="161" t="str">
        <f>'Reported burning'!C1439</f>
        <v>Human, deliberate</v>
      </c>
      <c r="D1439" s="161" t="str">
        <f>'Reported burning'!D1439</f>
        <v>Arson</v>
      </c>
      <c r="E1439" s="161" t="str">
        <f>'Reported burning'!E1439</f>
        <v>ND</v>
      </c>
      <c r="F1439" s="161" t="str">
        <f>'Reported burning'!F1439</f>
        <v>ND</v>
      </c>
      <c r="G1439" s="161" t="str">
        <f>'Reported burning'!G1439</f>
        <v>ND</v>
      </c>
      <c r="H1439" s="161" t="str">
        <f>'Reported burning'!H1439</f>
        <v>Presence</v>
      </c>
      <c r="I1439" s="4"/>
      <c r="J1439" s="4" t="s">
        <v>2308</v>
      </c>
      <c r="K1439" s="4" t="s">
        <v>2308</v>
      </c>
      <c r="L1439" s="4" t="s">
        <v>2308</v>
      </c>
      <c r="M1439" s="4" t="s">
        <v>2308</v>
      </c>
      <c r="N1439" s="4" t="s">
        <v>2308</v>
      </c>
      <c r="O1439" s="4" t="s">
        <v>2308</v>
      </c>
      <c r="P1439" s="4" t="s">
        <v>2308</v>
      </c>
      <c r="Q1439" s="4" t="s">
        <v>2308</v>
      </c>
      <c r="R1439" s="4" t="s">
        <v>2308</v>
      </c>
      <c r="S1439" s="4" t="s">
        <v>2308</v>
      </c>
      <c r="T1439" s="4" t="s">
        <v>2308</v>
      </c>
      <c r="U1439" s="4" t="s">
        <v>2308</v>
      </c>
      <c r="V1439" s="4" t="s">
        <v>2308</v>
      </c>
      <c r="W1439" s="4" t="s">
        <v>2308</v>
      </c>
      <c r="X1439" s="4" t="s">
        <v>2308</v>
      </c>
      <c r="Y1439" s="4" t="s">
        <v>2308</v>
      </c>
      <c r="Z1439" s="4" t="s">
        <v>2308</v>
      </c>
      <c r="AA1439" s="178" t="s">
        <v>4330</v>
      </c>
      <c r="AB1439" s="5" t="s">
        <v>4329</v>
      </c>
    </row>
    <row r="1440" spans="1:28" ht="54.5" customHeight="1">
      <c r="A1440" s="161" t="str">
        <f>'Reported burning'!A1440</f>
        <v>169a</v>
      </c>
      <c r="B1440" s="161" t="str">
        <f>'Reported burning'!B1440</f>
        <v>169a.10</v>
      </c>
      <c r="C1440" s="161" t="str">
        <f>'Reported burning'!C1440</f>
        <v>Human, deliberate</v>
      </c>
      <c r="D1440" s="161" t="str">
        <f>'Reported burning'!D1440</f>
        <v>ND</v>
      </c>
      <c r="E1440" s="161" t="str">
        <f>'Reported burning'!E1440</f>
        <v>ND</v>
      </c>
      <c r="F1440" s="161" t="str">
        <f>'Reported burning'!F1440</f>
        <v>ND</v>
      </c>
      <c r="G1440" s="161" t="str">
        <f>'Reported burning'!G1440</f>
        <v>Forest</v>
      </c>
      <c r="H1440" s="161" t="str">
        <f>'Reported burning'!H1440</f>
        <v>Presence</v>
      </c>
      <c r="I1440" s="4"/>
      <c r="J1440" s="4" t="s">
        <v>2308</v>
      </c>
      <c r="K1440" s="4" t="s">
        <v>2308</v>
      </c>
      <c r="L1440" s="4" t="s">
        <v>2308</v>
      </c>
      <c r="M1440" s="4" t="s">
        <v>2308</v>
      </c>
      <c r="N1440" s="4" t="s">
        <v>2308</v>
      </c>
      <c r="O1440" s="4" t="s">
        <v>2308</v>
      </c>
      <c r="P1440" s="4" t="s">
        <v>2308</v>
      </c>
      <c r="Q1440" s="4" t="s">
        <v>2308</v>
      </c>
      <c r="R1440" s="4" t="s">
        <v>2308</v>
      </c>
      <c r="S1440" s="4" t="s">
        <v>2308</v>
      </c>
      <c r="T1440" s="4" t="s">
        <v>2308</v>
      </c>
      <c r="U1440" s="4" t="s">
        <v>2308</v>
      </c>
      <c r="V1440" s="4" t="s">
        <v>2308</v>
      </c>
      <c r="W1440" s="4" t="s">
        <v>2308</v>
      </c>
      <c r="X1440" s="4" t="s">
        <v>2308</v>
      </c>
      <c r="Y1440" s="4" t="s">
        <v>2308</v>
      </c>
      <c r="Z1440" s="4" t="s">
        <v>2308</v>
      </c>
      <c r="AA1440" s="5" t="s">
        <v>4352</v>
      </c>
      <c r="AB1440" s="5" t="s">
        <v>4353</v>
      </c>
    </row>
    <row r="1441" spans="1:28" ht="54.5" customHeight="1">
      <c r="A1441" s="161" t="str">
        <f>'Reported burning'!A1441</f>
        <v>169a</v>
      </c>
      <c r="B1441" s="161" t="str">
        <f>'Reported burning'!B1441</f>
        <v>169a.11</v>
      </c>
      <c r="C1441" s="161" t="str">
        <f>'Reported burning'!C1441</f>
        <v>Lightning</v>
      </c>
      <c r="D1441" s="161" t="str">
        <f>'Reported burning'!D1441</f>
        <v>ND</v>
      </c>
      <c r="E1441" s="161" t="str">
        <f>'Reported burning'!E1441</f>
        <v>ND</v>
      </c>
      <c r="F1441" s="161" t="str">
        <f>'Reported burning'!F1441</f>
        <v>ND</v>
      </c>
      <c r="G1441" s="161" t="str">
        <f>'Reported burning'!G1441</f>
        <v>Forest</v>
      </c>
      <c r="H1441" s="161" t="str">
        <f>'Reported burning'!H1441</f>
        <v>Presence</v>
      </c>
      <c r="I1441" s="4"/>
      <c r="J1441" s="4" t="s">
        <v>2308</v>
      </c>
      <c r="K1441" s="4" t="s">
        <v>2308</v>
      </c>
      <c r="L1441" s="4" t="s">
        <v>2308</v>
      </c>
      <c r="M1441" s="4" t="s">
        <v>2308</v>
      </c>
      <c r="N1441" s="4" t="s">
        <v>2308</v>
      </c>
      <c r="O1441" s="4" t="s">
        <v>2308</v>
      </c>
      <c r="P1441" s="4" t="s">
        <v>2308</v>
      </c>
      <c r="Q1441" s="4" t="s">
        <v>2308</v>
      </c>
      <c r="R1441" s="4" t="s">
        <v>2308</v>
      </c>
      <c r="S1441" s="4" t="s">
        <v>2308</v>
      </c>
      <c r="T1441" s="4" t="s">
        <v>2308</v>
      </c>
      <c r="U1441" s="4" t="s">
        <v>2308</v>
      </c>
      <c r="V1441" s="4" t="s">
        <v>2308</v>
      </c>
      <c r="W1441" s="4" t="s">
        <v>2308</v>
      </c>
      <c r="X1441" s="4" t="s">
        <v>2308</v>
      </c>
      <c r="Y1441" s="4" t="s">
        <v>2308</v>
      </c>
      <c r="Z1441" s="4" t="s">
        <v>2308</v>
      </c>
      <c r="AA1441" s="5" t="s">
        <v>4352</v>
      </c>
      <c r="AB1441" s="5" t="s">
        <v>4353</v>
      </c>
    </row>
    <row r="1442" spans="1:28" ht="54.5" customHeight="1">
      <c r="A1442" s="161" t="str">
        <f>'Reported burning'!A1442</f>
        <v>169a</v>
      </c>
      <c r="B1442" s="161" t="str">
        <f>'Reported burning'!B1442</f>
        <v>169a.12</v>
      </c>
      <c r="C1442" s="161" t="str">
        <f>'Reported burning'!C1442</f>
        <v>Human, escaped</v>
      </c>
      <c r="D1442" s="161" t="str">
        <f>'Reported burning'!D1442</f>
        <v>ND</v>
      </c>
      <c r="E1442" s="161" t="str">
        <f>'Reported burning'!E1442</f>
        <v>ND</v>
      </c>
      <c r="F1442" s="161" t="str">
        <f>'Reported burning'!F1442</f>
        <v>ND</v>
      </c>
      <c r="G1442" s="161" t="str">
        <f>'Reported burning'!G1442</f>
        <v>Forest</v>
      </c>
      <c r="H1442" s="161" t="str">
        <f>'Reported burning'!H1442</f>
        <v>Presence</v>
      </c>
      <c r="I1442" s="4"/>
      <c r="J1442" s="4" t="s">
        <v>2308</v>
      </c>
      <c r="K1442" s="4" t="s">
        <v>2308</v>
      </c>
      <c r="L1442" s="4" t="s">
        <v>2308</v>
      </c>
      <c r="M1442" s="4" t="s">
        <v>2308</v>
      </c>
      <c r="N1442" s="4" t="s">
        <v>2308</v>
      </c>
      <c r="O1442" s="4" t="s">
        <v>2308</v>
      </c>
      <c r="P1442" s="4" t="s">
        <v>2308</v>
      </c>
      <c r="Q1442" s="4" t="s">
        <v>2308</v>
      </c>
      <c r="R1442" s="4" t="s">
        <v>2308</v>
      </c>
      <c r="S1442" s="4" t="s">
        <v>2308</v>
      </c>
      <c r="T1442" s="4" t="s">
        <v>2308</v>
      </c>
      <c r="U1442" s="4" t="s">
        <v>2308</v>
      </c>
      <c r="V1442" s="4" t="s">
        <v>2308</v>
      </c>
      <c r="W1442" s="4" t="s">
        <v>2308</v>
      </c>
      <c r="X1442" s="4" t="s">
        <v>2308</v>
      </c>
      <c r="Y1442" s="4" t="s">
        <v>2308</v>
      </c>
      <c r="Z1442" s="4" t="s">
        <v>2308</v>
      </c>
      <c r="AA1442" s="5" t="s">
        <v>4352</v>
      </c>
      <c r="AB1442" s="5" t="s">
        <v>4353</v>
      </c>
    </row>
    <row r="1443" spans="1:28" ht="54.5" customHeight="1">
      <c r="A1443" s="161" t="str">
        <f>'Reported burning'!A1443</f>
        <v>169a</v>
      </c>
      <c r="B1443" s="161" t="str">
        <f>'Reported burning'!B1443</f>
        <v>169a.13</v>
      </c>
      <c r="C1443" s="161" t="str">
        <f>'Reported burning'!C1443</f>
        <v>Human, accidental</v>
      </c>
      <c r="D1443" s="161" t="str">
        <f>'Reported burning'!D1443</f>
        <v>Accidental</v>
      </c>
      <c r="E1443" s="161" t="str">
        <f>'Reported burning'!E1443</f>
        <v>ND</v>
      </c>
      <c r="F1443" s="161" t="str">
        <f>'Reported burning'!F1443</f>
        <v>ND</v>
      </c>
      <c r="G1443" s="161" t="str">
        <f>'Reported burning'!G1443</f>
        <v>Forest</v>
      </c>
      <c r="H1443" s="161" t="str">
        <f>'Reported burning'!H1443</f>
        <v>Presence</v>
      </c>
      <c r="I1443" s="4"/>
      <c r="J1443" s="4" t="s">
        <v>2308</v>
      </c>
      <c r="K1443" s="4" t="s">
        <v>2308</v>
      </c>
      <c r="L1443" s="4" t="s">
        <v>2308</v>
      </c>
      <c r="M1443" s="4" t="s">
        <v>2308</v>
      </c>
      <c r="N1443" s="4" t="s">
        <v>2308</v>
      </c>
      <c r="O1443" s="4" t="s">
        <v>2308</v>
      </c>
      <c r="P1443" s="4" t="s">
        <v>2308</v>
      </c>
      <c r="Q1443" s="4" t="s">
        <v>2308</v>
      </c>
      <c r="R1443" s="4" t="s">
        <v>2308</v>
      </c>
      <c r="S1443" s="4" t="s">
        <v>2308</v>
      </c>
      <c r="T1443" s="4" t="s">
        <v>2308</v>
      </c>
      <c r="U1443" s="4" t="s">
        <v>2308</v>
      </c>
      <c r="V1443" s="4" t="s">
        <v>2308</v>
      </c>
      <c r="W1443" s="4" t="s">
        <v>2308</v>
      </c>
      <c r="X1443" s="4" t="s">
        <v>2308</v>
      </c>
      <c r="Y1443" s="4" t="s">
        <v>2308</v>
      </c>
      <c r="Z1443" s="4" t="s">
        <v>2308</v>
      </c>
      <c r="AA1443" s="5" t="s">
        <v>4352</v>
      </c>
      <c r="AB1443" s="5" t="s">
        <v>4353</v>
      </c>
    </row>
    <row r="1444" spans="1:28" ht="54.5" customHeight="1">
      <c r="A1444" s="161" t="str">
        <f>'Reported burning'!A1444</f>
        <v>169b</v>
      </c>
      <c r="B1444" s="161" t="str">
        <f>'Reported burning'!B1444</f>
        <v>169b.10</v>
      </c>
      <c r="C1444" s="161" t="str">
        <f>'Reported burning'!C1444</f>
        <v>Human, deliberate</v>
      </c>
      <c r="D1444" s="161" t="str">
        <f>'Reported burning'!D1444</f>
        <v>ND</v>
      </c>
      <c r="E1444" s="161" t="str">
        <f>'Reported burning'!E1444</f>
        <v>ND</v>
      </c>
      <c r="F1444" s="161" t="str">
        <f>'Reported burning'!F1444</f>
        <v>ND</v>
      </c>
      <c r="G1444" s="161" t="str">
        <f>'Reported burning'!G1444</f>
        <v>Forest</v>
      </c>
      <c r="H1444" s="161" t="str">
        <f>'Reported burning'!H1444</f>
        <v>Presence</v>
      </c>
      <c r="I1444" s="4"/>
      <c r="J1444" s="4" t="s">
        <v>2308</v>
      </c>
      <c r="K1444" s="4" t="s">
        <v>2308</v>
      </c>
      <c r="L1444" s="4" t="s">
        <v>2308</v>
      </c>
      <c r="M1444" s="4" t="s">
        <v>2308</v>
      </c>
      <c r="N1444" s="4" t="s">
        <v>2308</v>
      </c>
      <c r="O1444" s="4" t="s">
        <v>2308</v>
      </c>
      <c r="P1444" s="4" t="s">
        <v>2308</v>
      </c>
      <c r="Q1444" s="4" t="s">
        <v>2308</v>
      </c>
      <c r="R1444" s="4" t="s">
        <v>2308</v>
      </c>
      <c r="S1444" s="4" t="s">
        <v>2308</v>
      </c>
      <c r="T1444" s="4" t="s">
        <v>2308</v>
      </c>
      <c r="U1444" s="4" t="s">
        <v>2308</v>
      </c>
      <c r="V1444" s="4" t="s">
        <v>2308</v>
      </c>
      <c r="W1444" s="4" t="s">
        <v>2308</v>
      </c>
      <c r="X1444" s="4" t="s">
        <v>2308</v>
      </c>
      <c r="Y1444" s="4" t="s">
        <v>2308</v>
      </c>
      <c r="Z1444" s="4" t="s">
        <v>2308</v>
      </c>
      <c r="AA1444" s="5" t="s">
        <v>4352</v>
      </c>
      <c r="AB1444" s="5" t="s">
        <v>4353</v>
      </c>
    </row>
    <row r="1445" spans="1:28" ht="54.5" customHeight="1">
      <c r="A1445" s="161" t="str">
        <f>'Reported burning'!A1445</f>
        <v>169b</v>
      </c>
      <c r="B1445" s="161" t="str">
        <f>'Reported burning'!B1445</f>
        <v>169b.11</v>
      </c>
      <c r="C1445" s="161" t="str">
        <f>'Reported burning'!C1445</f>
        <v>Lightning</v>
      </c>
      <c r="D1445" s="161" t="str">
        <f>'Reported burning'!D1445</f>
        <v>ND</v>
      </c>
      <c r="E1445" s="161" t="str">
        <f>'Reported burning'!E1445</f>
        <v>ND</v>
      </c>
      <c r="F1445" s="161" t="str">
        <f>'Reported burning'!F1445</f>
        <v>ND</v>
      </c>
      <c r="G1445" s="161" t="str">
        <f>'Reported burning'!G1445</f>
        <v>Forest</v>
      </c>
      <c r="H1445" s="161" t="str">
        <f>'Reported burning'!H1445</f>
        <v>Presence</v>
      </c>
      <c r="I1445" s="4"/>
      <c r="J1445" s="4" t="s">
        <v>2308</v>
      </c>
      <c r="K1445" s="4" t="s">
        <v>2308</v>
      </c>
      <c r="L1445" s="4" t="s">
        <v>2308</v>
      </c>
      <c r="M1445" s="4" t="s">
        <v>2308</v>
      </c>
      <c r="N1445" s="4" t="s">
        <v>2308</v>
      </c>
      <c r="O1445" s="4" t="s">
        <v>2308</v>
      </c>
      <c r="P1445" s="4" t="s">
        <v>2308</v>
      </c>
      <c r="Q1445" s="4" t="s">
        <v>2308</v>
      </c>
      <c r="R1445" s="4" t="s">
        <v>2308</v>
      </c>
      <c r="S1445" s="4" t="s">
        <v>2308</v>
      </c>
      <c r="T1445" s="4" t="s">
        <v>2308</v>
      </c>
      <c r="U1445" s="4" t="s">
        <v>2308</v>
      </c>
      <c r="V1445" s="4" t="s">
        <v>2308</v>
      </c>
      <c r="W1445" s="4" t="s">
        <v>2308</v>
      </c>
      <c r="X1445" s="4" t="s">
        <v>2308</v>
      </c>
      <c r="Y1445" s="4" t="s">
        <v>2308</v>
      </c>
      <c r="Z1445" s="4" t="s">
        <v>2308</v>
      </c>
      <c r="AA1445" s="5" t="s">
        <v>4352</v>
      </c>
      <c r="AB1445" s="5" t="s">
        <v>4353</v>
      </c>
    </row>
    <row r="1446" spans="1:28" ht="54.5" customHeight="1">
      <c r="A1446" s="161" t="str">
        <f>'Reported burning'!A1446</f>
        <v>169b</v>
      </c>
      <c r="B1446" s="161" t="str">
        <f>'Reported burning'!B1446</f>
        <v>169b.12</v>
      </c>
      <c r="C1446" s="161" t="str">
        <f>'Reported burning'!C1446</f>
        <v>Human, escaped</v>
      </c>
      <c r="D1446" s="161" t="str">
        <f>'Reported burning'!D1446</f>
        <v>ND</v>
      </c>
      <c r="E1446" s="161" t="str">
        <f>'Reported burning'!E1446</f>
        <v>ND</v>
      </c>
      <c r="F1446" s="161" t="str">
        <f>'Reported burning'!F1446</f>
        <v>ND</v>
      </c>
      <c r="G1446" s="161" t="str">
        <f>'Reported burning'!G1446</f>
        <v>Forest</v>
      </c>
      <c r="H1446" s="161" t="str">
        <f>'Reported burning'!H1446</f>
        <v>Presence</v>
      </c>
      <c r="I1446" s="4"/>
      <c r="J1446" s="4" t="s">
        <v>2308</v>
      </c>
      <c r="K1446" s="4" t="s">
        <v>2308</v>
      </c>
      <c r="L1446" s="4" t="s">
        <v>2308</v>
      </c>
      <c r="M1446" s="4" t="s">
        <v>2308</v>
      </c>
      <c r="N1446" s="4" t="s">
        <v>2308</v>
      </c>
      <c r="O1446" s="4" t="s">
        <v>2308</v>
      </c>
      <c r="P1446" s="4" t="s">
        <v>2308</v>
      </c>
      <c r="Q1446" s="4" t="s">
        <v>2308</v>
      </c>
      <c r="R1446" s="4" t="s">
        <v>2308</v>
      </c>
      <c r="S1446" s="4" t="s">
        <v>2308</v>
      </c>
      <c r="T1446" s="4" t="s">
        <v>2308</v>
      </c>
      <c r="U1446" s="4" t="s">
        <v>2308</v>
      </c>
      <c r="V1446" s="4" t="s">
        <v>2308</v>
      </c>
      <c r="W1446" s="4" t="s">
        <v>2308</v>
      </c>
      <c r="X1446" s="4" t="s">
        <v>2308</v>
      </c>
      <c r="Y1446" s="4" t="s">
        <v>2308</v>
      </c>
      <c r="Z1446" s="4" t="s">
        <v>2308</v>
      </c>
      <c r="AA1446" s="5" t="s">
        <v>4352</v>
      </c>
      <c r="AB1446" s="5" t="s">
        <v>4353</v>
      </c>
    </row>
    <row r="1447" spans="1:28" ht="54.5" customHeight="1">
      <c r="A1447" s="161" t="str">
        <f>'Reported burning'!A1447</f>
        <v>169b</v>
      </c>
      <c r="B1447" s="161" t="str">
        <f>'Reported burning'!B1447</f>
        <v>169b.13</v>
      </c>
      <c r="C1447" s="161" t="str">
        <f>'Reported burning'!C1447</f>
        <v>Human, accidental</v>
      </c>
      <c r="D1447" s="161" t="str">
        <f>'Reported burning'!D1447</f>
        <v>Accidental</v>
      </c>
      <c r="E1447" s="161" t="str">
        <f>'Reported burning'!E1447</f>
        <v>ND</v>
      </c>
      <c r="F1447" s="161" t="str">
        <f>'Reported burning'!F1447</f>
        <v>ND</v>
      </c>
      <c r="G1447" s="161" t="str">
        <f>'Reported burning'!G1447</f>
        <v>Forest</v>
      </c>
      <c r="H1447" s="161" t="str">
        <f>'Reported burning'!H1447</f>
        <v>Presence</v>
      </c>
      <c r="I1447" s="4"/>
      <c r="J1447" s="4" t="s">
        <v>2308</v>
      </c>
      <c r="K1447" s="4" t="s">
        <v>2308</v>
      </c>
      <c r="L1447" s="4" t="s">
        <v>2308</v>
      </c>
      <c r="M1447" s="4" t="s">
        <v>2308</v>
      </c>
      <c r="N1447" s="4" t="s">
        <v>2308</v>
      </c>
      <c r="O1447" s="4" t="s">
        <v>2308</v>
      </c>
      <c r="P1447" s="4" t="s">
        <v>2308</v>
      </c>
      <c r="Q1447" s="4" t="s">
        <v>2308</v>
      </c>
      <c r="R1447" s="4" t="s">
        <v>2308</v>
      </c>
      <c r="S1447" s="4" t="s">
        <v>2308</v>
      </c>
      <c r="T1447" s="4" t="s">
        <v>2308</v>
      </c>
      <c r="U1447" s="4" t="s">
        <v>2308</v>
      </c>
      <c r="V1447" s="4" t="s">
        <v>2308</v>
      </c>
      <c r="W1447" s="4" t="s">
        <v>2308</v>
      </c>
      <c r="X1447" s="4" t="s">
        <v>2308</v>
      </c>
      <c r="Y1447" s="4" t="s">
        <v>2308</v>
      </c>
      <c r="Z1447" s="4" t="s">
        <v>2308</v>
      </c>
      <c r="AA1447" s="5" t="s">
        <v>4352</v>
      </c>
      <c r="AB1447" s="5" t="s">
        <v>4353</v>
      </c>
    </row>
    <row r="1448" spans="1:28" ht="54.5" customHeight="1">
      <c r="A1448" s="161" t="str">
        <f>'Reported burning'!A1448</f>
        <v>169c</v>
      </c>
      <c r="B1448" s="161" t="str">
        <f>'Reported burning'!B1448</f>
        <v>169c.10</v>
      </c>
      <c r="C1448" s="161" t="str">
        <f>'Reported burning'!C1448</f>
        <v>Human, deliberate</v>
      </c>
      <c r="D1448" s="161" t="str">
        <f>'Reported burning'!D1448</f>
        <v>ND</v>
      </c>
      <c r="E1448" s="161" t="str">
        <f>'Reported burning'!E1448</f>
        <v>ND</v>
      </c>
      <c r="F1448" s="161" t="str">
        <f>'Reported burning'!F1448</f>
        <v>ND</v>
      </c>
      <c r="G1448" s="161" t="str">
        <f>'Reported burning'!G1448</f>
        <v>Forest</v>
      </c>
      <c r="H1448" s="161" t="str">
        <f>'Reported burning'!H1448</f>
        <v>Presence</v>
      </c>
      <c r="I1448" s="4"/>
      <c r="J1448" s="4" t="s">
        <v>2308</v>
      </c>
      <c r="K1448" s="4" t="s">
        <v>2308</v>
      </c>
      <c r="L1448" s="4" t="s">
        <v>2308</v>
      </c>
      <c r="M1448" s="4" t="s">
        <v>2308</v>
      </c>
      <c r="N1448" s="4" t="s">
        <v>2308</v>
      </c>
      <c r="O1448" s="4" t="s">
        <v>2308</v>
      </c>
      <c r="P1448" s="4" t="s">
        <v>2308</v>
      </c>
      <c r="Q1448" s="4" t="s">
        <v>2308</v>
      </c>
      <c r="R1448" s="4" t="s">
        <v>2308</v>
      </c>
      <c r="S1448" s="4" t="s">
        <v>2308</v>
      </c>
      <c r="T1448" s="4" t="s">
        <v>2308</v>
      </c>
      <c r="U1448" s="4" t="s">
        <v>2308</v>
      </c>
      <c r="V1448" s="4" t="s">
        <v>2308</v>
      </c>
      <c r="W1448" s="4" t="s">
        <v>2308</v>
      </c>
      <c r="X1448" s="4" t="s">
        <v>2308</v>
      </c>
      <c r="Y1448" s="4" t="s">
        <v>2308</v>
      </c>
      <c r="Z1448" s="4" t="s">
        <v>2308</v>
      </c>
      <c r="AA1448" s="5" t="s">
        <v>4352</v>
      </c>
      <c r="AB1448" s="5" t="s">
        <v>4353</v>
      </c>
    </row>
    <row r="1449" spans="1:28" ht="54.5" customHeight="1">
      <c r="A1449" s="161" t="str">
        <f>'Reported burning'!A1449</f>
        <v>169c</v>
      </c>
      <c r="B1449" s="161" t="str">
        <f>'Reported burning'!B1449</f>
        <v>169c.11</v>
      </c>
      <c r="C1449" s="161" t="str">
        <f>'Reported burning'!C1449</f>
        <v>Lightning</v>
      </c>
      <c r="D1449" s="161" t="str">
        <f>'Reported burning'!D1449</f>
        <v>ND</v>
      </c>
      <c r="E1449" s="161" t="str">
        <f>'Reported burning'!E1449</f>
        <v>ND</v>
      </c>
      <c r="F1449" s="161" t="str">
        <f>'Reported burning'!F1449</f>
        <v>ND</v>
      </c>
      <c r="G1449" s="161" t="str">
        <f>'Reported burning'!G1449</f>
        <v>Forest</v>
      </c>
      <c r="H1449" s="161" t="str">
        <f>'Reported burning'!H1449</f>
        <v>Presence</v>
      </c>
      <c r="I1449" s="4"/>
      <c r="J1449" s="4" t="s">
        <v>2308</v>
      </c>
      <c r="K1449" s="4" t="s">
        <v>2308</v>
      </c>
      <c r="L1449" s="4" t="s">
        <v>2308</v>
      </c>
      <c r="M1449" s="4" t="s">
        <v>2308</v>
      </c>
      <c r="N1449" s="4" t="s">
        <v>2308</v>
      </c>
      <c r="O1449" s="4" t="s">
        <v>2308</v>
      </c>
      <c r="P1449" s="4" t="s">
        <v>2308</v>
      </c>
      <c r="Q1449" s="4" t="s">
        <v>2308</v>
      </c>
      <c r="R1449" s="4" t="s">
        <v>2308</v>
      </c>
      <c r="S1449" s="4" t="s">
        <v>2308</v>
      </c>
      <c r="T1449" s="4" t="s">
        <v>2308</v>
      </c>
      <c r="U1449" s="4" t="s">
        <v>2308</v>
      </c>
      <c r="V1449" s="4" t="s">
        <v>2308</v>
      </c>
      <c r="W1449" s="4" t="s">
        <v>2308</v>
      </c>
      <c r="X1449" s="4" t="s">
        <v>2308</v>
      </c>
      <c r="Y1449" s="4" t="s">
        <v>2308</v>
      </c>
      <c r="Z1449" s="4" t="s">
        <v>2308</v>
      </c>
      <c r="AA1449" s="5" t="s">
        <v>4352</v>
      </c>
      <c r="AB1449" s="5" t="s">
        <v>4353</v>
      </c>
    </row>
    <row r="1450" spans="1:28" ht="54.5" customHeight="1">
      <c r="A1450" s="161" t="str">
        <f>'Reported burning'!A1450</f>
        <v>169c</v>
      </c>
      <c r="B1450" s="161" t="str">
        <f>'Reported burning'!B1450</f>
        <v>169c.12</v>
      </c>
      <c r="C1450" s="161" t="str">
        <f>'Reported burning'!C1450</f>
        <v>Human, escaped</v>
      </c>
      <c r="D1450" s="161" t="str">
        <f>'Reported burning'!D1450</f>
        <v>ND</v>
      </c>
      <c r="E1450" s="161" t="str">
        <f>'Reported burning'!E1450</f>
        <v>ND</v>
      </c>
      <c r="F1450" s="161" t="str">
        <f>'Reported burning'!F1450</f>
        <v>ND</v>
      </c>
      <c r="G1450" s="161" t="str">
        <f>'Reported burning'!G1450</f>
        <v>Forest</v>
      </c>
      <c r="H1450" s="161" t="str">
        <f>'Reported burning'!H1450</f>
        <v>Presence</v>
      </c>
      <c r="I1450" s="4"/>
      <c r="J1450" s="4" t="s">
        <v>2308</v>
      </c>
      <c r="K1450" s="4" t="s">
        <v>2308</v>
      </c>
      <c r="L1450" s="4" t="s">
        <v>2308</v>
      </c>
      <c r="M1450" s="4" t="s">
        <v>2308</v>
      </c>
      <c r="N1450" s="4" t="s">
        <v>2308</v>
      </c>
      <c r="O1450" s="4" t="s">
        <v>2308</v>
      </c>
      <c r="P1450" s="4" t="s">
        <v>2308</v>
      </c>
      <c r="Q1450" s="4" t="s">
        <v>2308</v>
      </c>
      <c r="R1450" s="4" t="s">
        <v>2308</v>
      </c>
      <c r="S1450" s="4" t="s">
        <v>2308</v>
      </c>
      <c r="T1450" s="4" t="s">
        <v>2308</v>
      </c>
      <c r="U1450" s="4" t="s">
        <v>2308</v>
      </c>
      <c r="V1450" s="4" t="s">
        <v>2308</v>
      </c>
      <c r="W1450" s="4" t="s">
        <v>2308</v>
      </c>
      <c r="X1450" s="4" t="s">
        <v>2308</v>
      </c>
      <c r="Y1450" s="4" t="s">
        <v>2308</v>
      </c>
      <c r="Z1450" s="4" t="s">
        <v>2308</v>
      </c>
      <c r="AA1450" s="5" t="s">
        <v>4352</v>
      </c>
      <c r="AB1450" s="5" t="s">
        <v>4353</v>
      </c>
    </row>
    <row r="1451" spans="1:28" ht="54.5" customHeight="1">
      <c r="A1451" s="161" t="str">
        <f>'Reported burning'!A1451</f>
        <v>169c</v>
      </c>
      <c r="B1451" s="161" t="str">
        <f>'Reported burning'!B1451</f>
        <v>169c.13</v>
      </c>
      <c r="C1451" s="161" t="str">
        <f>'Reported burning'!C1451</f>
        <v>Human, accidental</v>
      </c>
      <c r="D1451" s="161" t="str">
        <f>'Reported burning'!D1451</f>
        <v>Accidental</v>
      </c>
      <c r="E1451" s="161" t="str">
        <f>'Reported burning'!E1451</f>
        <v>ND</v>
      </c>
      <c r="F1451" s="161" t="str">
        <f>'Reported burning'!F1451</f>
        <v>ND</v>
      </c>
      <c r="G1451" s="161" t="str">
        <f>'Reported burning'!G1451</f>
        <v>Forest</v>
      </c>
      <c r="H1451" s="161" t="str">
        <f>'Reported burning'!H1451</f>
        <v>Presence</v>
      </c>
      <c r="I1451" s="4"/>
      <c r="J1451" s="4" t="s">
        <v>2308</v>
      </c>
      <c r="K1451" s="4" t="s">
        <v>2308</v>
      </c>
      <c r="L1451" s="4" t="s">
        <v>2308</v>
      </c>
      <c r="M1451" s="4" t="s">
        <v>2308</v>
      </c>
      <c r="N1451" s="4" t="s">
        <v>2308</v>
      </c>
      <c r="O1451" s="4" t="s">
        <v>2308</v>
      </c>
      <c r="P1451" s="4" t="s">
        <v>2308</v>
      </c>
      <c r="Q1451" s="4" t="s">
        <v>2308</v>
      </c>
      <c r="R1451" s="4" t="s">
        <v>2308</v>
      </c>
      <c r="S1451" s="4" t="s">
        <v>2308</v>
      </c>
      <c r="T1451" s="4" t="s">
        <v>2308</v>
      </c>
      <c r="U1451" s="4" t="s">
        <v>2308</v>
      </c>
      <c r="V1451" s="4" t="s">
        <v>2308</v>
      </c>
      <c r="W1451" s="4" t="s">
        <v>2308</v>
      </c>
      <c r="X1451" s="4" t="s">
        <v>2308</v>
      </c>
      <c r="Y1451" s="4" t="s">
        <v>2308</v>
      </c>
      <c r="Z1451" s="4" t="s">
        <v>2308</v>
      </c>
      <c r="AA1451" s="5" t="s">
        <v>4352</v>
      </c>
      <c r="AB1451" s="5" t="s">
        <v>4353</v>
      </c>
    </row>
    <row r="1452" spans="1:28" ht="44.5" customHeight="1">
      <c r="A1452" s="165" t="str">
        <f>'Reported burning'!A1452</f>
        <v>171a</v>
      </c>
      <c r="B1452" s="165" t="str">
        <f>'Reported burning'!B1452</f>
        <v>171a.1</v>
      </c>
      <c r="C1452" s="165" t="str">
        <f>'Reported burning'!C1452</f>
        <v>Human, deliberate</v>
      </c>
      <c r="D1452" s="165" t="str">
        <f>'Reported burning'!D1452</f>
        <v>Crop field preparation</v>
      </c>
      <c r="E1452" s="165" t="str">
        <f>'Reported burning'!E1452</f>
        <v>Cropping, Swidden</v>
      </c>
      <c r="F1452" s="165" t="str">
        <f>'Reported burning'!F1452</f>
        <v>ND</v>
      </c>
      <c r="G1452" s="165" t="str">
        <f>'Reported burning'!G1452</f>
        <v>ND</v>
      </c>
      <c r="H1452" s="165" t="str">
        <f>'Reported burning'!H1452</f>
        <v>Presence</v>
      </c>
      <c r="I1452" s="6"/>
      <c r="J1452" s="23" t="s">
        <v>2308</v>
      </c>
      <c r="K1452" s="23" t="s">
        <v>2308</v>
      </c>
      <c r="L1452" s="23" t="s">
        <v>2308</v>
      </c>
      <c r="M1452" s="23" t="s">
        <v>2308</v>
      </c>
      <c r="N1452" s="23" t="s">
        <v>2308</v>
      </c>
      <c r="O1452" s="23" t="s">
        <v>2308</v>
      </c>
      <c r="P1452" s="23" t="s">
        <v>2308</v>
      </c>
      <c r="Q1452" s="23" t="s">
        <v>2308</v>
      </c>
      <c r="R1452" s="23" t="s">
        <v>2308</v>
      </c>
      <c r="S1452" s="23" t="s">
        <v>2308</v>
      </c>
      <c r="T1452" s="23" t="s">
        <v>2308</v>
      </c>
      <c r="U1452" s="23" t="s">
        <v>2308</v>
      </c>
      <c r="V1452" s="23" t="s">
        <v>2308</v>
      </c>
      <c r="W1452" s="23" t="s">
        <v>2308</v>
      </c>
      <c r="X1452" s="23" t="s">
        <v>2308</v>
      </c>
      <c r="Y1452" s="23" t="s">
        <v>2308</v>
      </c>
      <c r="Z1452" s="23" t="s">
        <v>2308</v>
      </c>
      <c r="AA1452" s="4"/>
      <c r="AB1452" s="4"/>
    </row>
    <row r="1453" spans="1:28" ht="44.5" customHeight="1">
      <c r="A1453" s="161" t="str">
        <f>'Reported burning'!A1453</f>
        <v>171a</v>
      </c>
      <c r="B1453" s="161" t="str">
        <f>'Reported burning'!B1453</f>
        <v>171a.2</v>
      </c>
      <c r="C1453" s="161" t="str">
        <f>'Reported burning'!C1453</f>
        <v>Human, deliberate</v>
      </c>
      <c r="D1453" s="161" t="str">
        <f>'Reported burning'!D1453</f>
        <v>Pasture renewal</v>
      </c>
      <c r="E1453" s="161" t="str">
        <f>'Reported burning'!E1453</f>
        <v>Pastoralism, Migratory</v>
      </c>
      <c r="F1453" s="161" t="str">
        <f>'Reported burning'!F1453</f>
        <v>ND</v>
      </c>
      <c r="G1453" s="161" t="str">
        <f>'Reported burning'!G1453</f>
        <v>ND</v>
      </c>
      <c r="H1453" s="161" t="str">
        <f>'Reported burning'!H1453</f>
        <v>Presence</v>
      </c>
      <c r="I1453" s="4"/>
      <c r="J1453" s="23" t="s">
        <v>2308</v>
      </c>
      <c r="K1453" s="23" t="s">
        <v>2308</v>
      </c>
      <c r="L1453" s="23" t="s">
        <v>2308</v>
      </c>
      <c r="M1453" s="23" t="s">
        <v>2308</v>
      </c>
      <c r="N1453" s="23" t="s">
        <v>2308</v>
      </c>
      <c r="O1453" s="23" t="s">
        <v>2308</v>
      </c>
      <c r="P1453" s="23" t="s">
        <v>2308</v>
      </c>
      <c r="Q1453" s="23" t="s">
        <v>2308</v>
      </c>
      <c r="R1453" s="23" t="s">
        <v>2308</v>
      </c>
      <c r="S1453" s="23" t="s">
        <v>2308</v>
      </c>
      <c r="T1453" s="23" t="s">
        <v>2308</v>
      </c>
      <c r="U1453" s="23" t="s">
        <v>2308</v>
      </c>
      <c r="V1453" s="23" t="s">
        <v>2308</v>
      </c>
      <c r="W1453" s="23" t="s">
        <v>2308</v>
      </c>
      <c r="X1453" s="23" t="s">
        <v>2308</v>
      </c>
      <c r="Y1453" s="23" t="s">
        <v>2308</v>
      </c>
      <c r="Z1453" s="23" t="s">
        <v>2308</v>
      </c>
      <c r="AA1453" s="4"/>
      <c r="AB1453" s="4"/>
    </row>
    <row r="1454" spans="1:28" ht="44.5" customHeight="1">
      <c r="A1454" s="161" t="str">
        <f>'Reported burning'!A1454</f>
        <v>171a</v>
      </c>
      <c r="B1454" s="161" t="str">
        <f>'Reported burning'!B1454</f>
        <v>171a.3</v>
      </c>
      <c r="C1454" s="161" t="str">
        <f>'Reported burning'!C1454</f>
        <v>Human, deliberate</v>
      </c>
      <c r="D1454" s="161" t="str">
        <f>'Reported burning'!D1454</f>
        <v>Pasture renewal</v>
      </c>
      <c r="E1454" s="161" t="str">
        <f>'Reported burning'!E1454</f>
        <v>Cattle, Extensive</v>
      </c>
      <c r="F1454" s="161" t="str">
        <f>'Reported burning'!F1454</f>
        <v>ND</v>
      </c>
      <c r="G1454" s="161" t="str">
        <f>'Reported burning'!G1454</f>
        <v>ND</v>
      </c>
      <c r="H1454" s="161" t="str">
        <f>'Reported burning'!H1454</f>
        <v>Presence</v>
      </c>
      <c r="I1454" s="4"/>
      <c r="J1454" s="23" t="s">
        <v>2308</v>
      </c>
      <c r="K1454" s="23" t="s">
        <v>2308</v>
      </c>
      <c r="L1454" s="23" t="s">
        <v>2308</v>
      </c>
      <c r="M1454" s="23" t="s">
        <v>2308</v>
      </c>
      <c r="N1454" s="23" t="s">
        <v>2308</v>
      </c>
      <c r="O1454" s="23" t="s">
        <v>2308</v>
      </c>
      <c r="P1454" s="23" t="s">
        <v>2308</v>
      </c>
      <c r="Q1454" s="23" t="s">
        <v>2308</v>
      </c>
      <c r="R1454" s="23" t="s">
        <v>2308</v>
      </c>
      <c r="S1454" s="23" t="s">
        <v>2308</v>
      </c>
      <c r="T1454" s="23" t="s">
        <v>2308</v>
      </c>
      <c r="U1454" s="23" t="s">
        <v>2308</v>
      </c>
      <c r="V1454" s="23" t="s">
        <v>2308</v>
      </c>
      <c r="W1454" s="23" t="s">
        <v>2308</v>
      </c>
      <c r="X1454" s="23" t="s">
        <v>2308</v>
      </c>
      <c r="Y1454" s="23" t="s">
        <v>2308</v>
      </c>
      <c r="Z1454" s="23" t="s">
        <v>2308</v>
      </c>
      <c r="AA1454" s="4"/>
      <c r="AB1454" s="4"/>
    </row>
    <row r="1455" spans="1:28" ht="44.5" customHeight="1">
      <c r="A1455" s="161" t="str">
        <f>'Reported burning'!A1455</f>
        <v>171b</v>
      </c>
      <c r="B1455" s="161" t="str">
        <f>'Reported burning'!B1455</f>
        <v>171b.1</v>
      </c>
      <c r="C1455" s="161" t="str">
        <f>'Reported burning'!C1455</f>
        <v>Human, deliberate</v>
      </c>
      <c r="D1455" s="161" t="str">
        <f>'Reported burning'!D1455</f>
        <v>Pyrome management</v>
      </c>
      <c r="E1455" s="161" t="str">
        <f>'Reported burning'!E1455</f>
        <v>Biodiversity conservation</v>
      </c>
      <c r="F1455" s="161" t="str">
        <f>'Reported burning'!F1455</f>
        <v>Forest</v>
      </c>
      <c r="G1455" s="161" t="str">
        <f>'Reported burning'!G1455</f>
        <v>ND</v>
      </c>
      <c r="H1455" s="161" t="str">
        <f>'Reported burning'!H1455</f>
        <v>Absence</v>
      </c>
      <c r="I1455" s="4"/>
      <c r="J1455" s="22">
        <v>0</v>
      </c>
      <c r="K1455" s="22">
        <v>0</v>
      </c>
      <c r="L1455" s="22">
        <v>0</v>
      </c>
      <c r="M1455" s="22">
        <v>0</v>
      </c>
      <c r="N1455" s="22">
        <v>0</v>
      </c>
      <c r="O1455" s="22">
        <v>0</v>
      </c>
      <c r="P1455" s="22">
        <v>0</v>
      </c>
      <c r="Q1455" s="22">
        <v>0</v>
      </c>
      <c r="R1455" s="22">
        <v>0</v>
      </c>
      <c r="S1455" s="22">
        <v>0</v>
      </c>
      <c r="T1455" s="22">
        <v>0</v>
      </c>
      <c r="U1455" s="22">
        <v>0</v>
      </c>
      <c r="V1455" s="22">
        <v>0</v>
      </c>
      <c r="W1455" s="23" t="s">
        <v>2308</v>
      </c>
      <c r="X1455" s="23" t="s">
        <v>2308</v>
      </c>
      <c r="Y1455" s="23" t="s">
        <v>2308</v>
      </c>
      <c r="Z1455" s="23" t="s">
        <v>2308</v>
      </c>
      <c r="AA1455" s="4" t="s">
        <v>4426</v>
      </c>
      <c r="AB1455" s="4"/>
    </row>
    <row r="1456" spans="1:28" ht="44.5" customHeight="1">
      <c r="A1456" s="161" t="str">
        <f>'Reported burning'!A1456</f>
        <v>171b</v>
      </c>
      <c r="B1456" s="161" t="str">
        <f>'Reported burning'!B1456</f>
        <v>171b.2</v>
      </c>
      <c r="C1456" s="161" t="str">
        <f>'Reported burning'!C1456</f>
        <v>Human, deliberate</v>
      </c>
      <c r="D1456" s="161" t="str">
        <f>'Reported burning'!D1456</f>
        <v>Pasture renewal</v>
      </c>
      <c r="E1456" s="161" t="str">
        <f>'Reported burning'!E1456</f>
        <v>Cattle, Extensive</v>
      </c>
      <c r="F1456" s="161" t="str">
        <f>'Reported burning'!F1456</f>
        <v>Forest</v>
      </c>
      <c r="G1456" s="161" t="str">
        <f>'Reported burning'!G1456</f>
        <v>ND</v>
      </c>
      <c r="H1456" s="161" t="str">
        <f>'Reported burning'!H1456</f>
        <v>Presence</v>
      </c>
      <c r="I1456" s="4"/>
      <c r="J1456" s="23" t="s">
        <v>2308</v>
      </c>
      <c r="K1456" s="23" t="s">
        <v>2308</v>
      </c>
      <c r="L1456" s="23" t="s">
        <v>2308</v>
      </c>
      <c r="M1456" s="23" t="s">
        <v>2308</v>
      </c>
      <c r="N1456" s="23" t="s">
        <v>2308</v>
      </c>
      <c r="O1456" s="23" t="s">
        <v>2308</v>
      </c>
      <c r="P1456" s="23" t="s">
        <v>2308</v>
      </c>
      <c r="Q1456" s="23" t="s">
        <v>2308</v>
      </c>
      <c r="R1456" s="23" t="s">
        <v>2308</v>
      </c>
      <c r="S1456" s="23" t="s">
        <v>2308</v>
      </c>
      <c r="T1456" s="23" t="s">
        <v>2308</v>
      </c>
      <c r="U1456" s="23" t="s">
        <v>2308</v>
      </c>
      <c r="V1456" s="23" t="s">
        <v>2308</v>
      </c>
      <c r="W1456" s="23" t="s">
        <v>2308</v>
      </c>
      <c r="X1456" s="23" t="s">
        <v>2308</v>
      </c>
      <c r="Y1456" s="23" t="s">
        <v>2308</v>
      </c>
      <c r="Z1456" s="23" t="s">
        <v>2308</v>
      </c>
      <c r="AA1456" s="4" t="s">
        <v>4421</v>
      </c>
      <c r="AB1456" s="4"/>
    </row>
    <row r="1457" spans="1:28" ht="44.5" customHeight="1">
      <c r="A1457" s="161" t="str">
        <f>'Reported burning'!A1457</f>
        <v>171b</v>
      </c>
      <c r="B1457" s="161" t="str">
        <f>'Reported burning'!B1457</f>
        <v>171b.3</v>
      </c>
      <c r="C1457" s="161" t="str">
        <f>'Reported burning'!C1457</f>
        <v>Human, deliberate</v>
      </c>
      <c r="D1457" s="161" t="str">
        <f>'Reported burning'!D1457</f>
        <v>Pasture renewal</v>
      </c>
      <c r="E1457" s="161" t="str">
        <f>'Reported burning'!E1457</f>
        <v>Cattle, Extensive</v>
      </c>
      <c r="F1457" s="161" t="str">
        <f>'Reported burning'!F1457</f>
        <v>Grassland</v>
      </c>
      <c r="G1457" s="161" t="str">
        <f>'Reported burning'!G1457</f>
        <v>ND</v>
      </c>
      <c r="H1457" s="161" t="str">
        <f>'Reported burning'!H1457</f>
        <v>Presence</v>
      </c>
      <c r="I1457" s="4"/>
      <c r="J1457" s="23" t="s">
        <v>2308</v>
      </c>
      <c r="K1457" s="23" t="s">
        <v>2308</v>
      </c>
      <c r="L1457" s="23" t="s">
        <v>2308</v>
      </c>
      <c r="M1457" s="23" t="s">
        <v>2308</v>
      </c>
      <c r="N1457" s="23" t="s">
        <v>2308</v>
      </c>
      <c r="O1457" s="23" t="s">
        <v>2308</v>
      </c>
      <c r="P1457" s="23" t="s">
        <v>2308</v>
      </c>
      <c r="Q1457" s="23" t="s">
        <v>2308</v>
      </c>
      <c r="R1457" s="23" t="s">
        <v>2308</v>
      </c>
      <c r="S1457" s="23" t="s">
        <v>2308</v>
      </c>
      <c r="T1457" s="23" t="s">
        <v>2308</v>
      </c>
      <c r="U1457" s="23" t="s">
        <v>2308</v>
      </c>
      <c r="V1457" s="23" t="s">
        <v>2308</v>
      </c>
      <c r="W1457" s="23" t="s">
        <v>2308</v>
      </c>
      <c r="X1457" s="23" t="s">
        <v>2308</v>
      </c>
      <c r="Y1457" s="23" t="s">
        <v>2308</v>
      </c>
      <c r="Z1457" s="23" t="s">
        <v>2308</v>
      </c>
      <c r="AA1457" s="4"/>
      <c r="AB1457" s="4"/>
    </row>
    <row r="1458" spans="1:28" ht="44.5" customHeight="1">
      <c r="A1458" s="161" t="str">
        <f>'Reported burning'!A1458</f>
        <v>171b</v>
      </c>
      <c r="B1458" s="161" t="str">
        <f>'Reported burning'!B1458</f>
        <v>171b.4</v>
      </c>
      <c r="C1458" s="161" t="str">
        <f>'Reported burning'!C1458</f>
        <v>Human, deliberate</v>
      </c>
      <c r="D1458" s="161" t="str">
        <f>'Reported burning'!D1458</f>
        <v>Arson</v>
      </c>
      <c r="E1458" s="161" t="str">
        <f>'Reported burning'!E1458</f>
        <v>Cattle, Extensive</v>
      </c>
      <c r="F1458" s="161" t="str">
        <f>'Reported burning'!F1458</f>
        <v>ND</v>
      </c>
      <c r="G1458" s="161" t="str">
        <f>'Reported burning'!G1458</f>
        <v>ND</v>
      </c>
      <c r="H1458" s="161" t="str">
        <f>'Reported burning'!H1458</f>
        <v>Presence</v>
      </c>
      <c r="I1458" s="4"/>
      <c r="J1458" s="23" t="s">
        <v>2308</v>
      </c>
      <c r="K1458" s="23" t="s">
        <v>2308</v>
      </c>
      <c r="L1458" s="23" t="s">
        <v>2308</v>
      </c>
      <c r="M1458" s="23" t="s">
        <v>2308</v>
      </c>
      <c r="N1458" s="23" t="s">
        <v>2308</v>
      </c>
      <c r="O1458" s="23" t="s">
        <v>2308</v>
      </c>
      <c r="P1458" s="23" t="s">
        <v>2308</v>
      </c>
      <c r="Q1458" s="23" t="s">
        <v>2308</v>
      </c>
      <c r="R1458" s="23" t="s">
        <v>2308</v>
      </c>
      <c r="S1458" s="23" t="s">
        <v>2308</v>
      </c>
      <c r="T1458" s="23" t="s">
        <v>2308</v>
      </c>
      <c r="U1458" s="23" t="s">
        <v>2308</v>
      </c>
      <c r="V1458" s="23" t="s">
        <v>2308</v>
      </c>
      <c r="W1458" s="23" t="s">
        <v>2308</v>
      </c>
      <c r="X1458" s="23" t="s">
        <v>2308</v>
      </c>
      <c r="Y1458" s="23" t="s">
        <v>2308</v>
      </c>
      <c r="Z1458" s="23" t="s">
        <v>2308</v>
      </c>
      <c r="AA1458" s="4"/>
      <c r="AB1458" s="4"/>
    </row>
    <row r="1459" spans="1:28" ht="44.5" customHeight="1">
      <c r="A1459" s="161" t="str">
        <f>'Reported burning'!A1459</f>
        <v>171b</v>
      </c>
      <c r="B1459" s="161" t="str">
        <f>'Reported burning'!B1459</f>
        <v>171b.5</v>
      </c>
      <c r="C1459" s="161" t="str">
        <f>'Reported burning'!C1459</f>
        <v>Lightning</v>
      </c>
      <c r="D1459" s="161" t="str">
        <f>'Reported burning'!D1459</f>
        <v>ND</v>
      </c>
      <c r="E1459" s="161" t="str">
        <f>'Reported burning'!E1459</f>
        <v>ND</v>
      </c>
      <c r="F1459" s="161" t="str">
        <f>'Reported burning'!F1459</f>
        <v>ND</v>
      </c>
      <c r="G1459" s="161" t="str">
        <f>'Reported burning'!G1459</f>
        <v>ND</v>
      </c>
      <c r="H1459" s="161" t="str">
        <f>'Reported burning'!H1459</f>
        <v>Presence</v>
      </c>
      <c r="I1459" s="4"/>
      <c r="J1459" s="23" t="s">
        <v>2308</v>
      </c>
      <c r="K1459" s="23" t="s">
        <v>2308</v>
      </c>
      <c r="L1459" s="23" t="s">
        <v>2308</v>
      </c>
      <c r="M1459" s="23" t="s">
        <v>2308</v>
      </c>
      <c r="N1459" s="23" t="s">
        <v>2308</v>
      </c>
      <c r="O1459" s="23" t="s">
        <v>2308</v>
      </c>
      <c r="P1459" s="23" t="s">
        <v>2308</v>
      </c>
      <c r="Q1459" s="23" t="s">
        <v>2308</v>
      </c>
      <c r="R1459" s="23" t="s">
        <v>2308</v>
      </c>
      <c r="S1459" s="23" t="s">
        <v>2308</v>
      </c>
      <c r="T1459" s="23" t="s">
        <v>2308</v>
      </c>
      <c r="U1459" s="23" t="s">
        <v>2308</v>
      </c>
      <c r="V1459" s="23" t="s">
        <v>2308</v>
      </c>
      <c r="W1459" s="23" t="s">
        <v>2308</v>
      </c>
      <c r="X1459" s="23" t="s">
        <v>2308</v>
      </c>
      <c r="Y1459" s="23" t="s">
        <v>2308</v>
      </c>
      <c r="Z1459" s="23" t="s">
        <v>2308</v>
      </c>
      <c r="AA1459" s="4"/>
      <c r="AB1459" s="4"/>
    </row>
    <row r="1460" spans="1:28" ht="66.5" customHeight="1">
      <c r="A1460" s="161" t="str">
        <f>'Reported burning'!A1460</f>
        <v>171b</v>
      </c>
      <c r="B1460" s="161" t="str">
        <f>'Reported burning'!B1460</f>
        <v>171b.6</v>
      </c>
      <c r="C1460" s="161" t="str">
        <f>'Reported burning'!C1460</f>
        <v>Unknown</v>
      </c>
      <c r="D1460" s="161" t="str">
        <f>'Reported burning'!D1460</f>
        <v>ND</v>
      </c>
      <c r="E1460" s="161" t="str">
        <f>'Reported burning'!E1460</f>
        <v>ND</v>
      </c>
      <c r="F1460" s="161" t="str">
        <f>'Reported burning'!F1460</f>
        <v>ND</v>
      </c>
      <c r="G1460" s="161" t="str">
        <f>'Reported burning'!G1460</f>
        <v>Forest</v>
      </c>
      <c r="H1460" s="161" t="str">
        <f>'Reported burning'!H1460</f>
        <v>Presence</v>
      </c>
      <c r="I1460" s="4"/>
      <c r="J1460" s="23" t="s">
        <v>2308</v>
      </c>
      <c r="K1460" s="23" t="s">
        <v>2308</v>
      </c>
      <c r="L1460" s="23" t="s">
        <v>2308</v>
      </c>
      <c r="M1460" s="23" t="s">
        <v>2308</v>
      </c>
      <c r="N1460" s="23" t="s">
        <v>2308</v>
      </c>
      <c r="O1460" s="23" t="s">
        <v>2308</v>
      </c>
      <c r="P1460" s="23" t="s">
        <v>2308</v>
      </c>
      <c r="Q1460" s="23" t="s">
        <v>2308</v>
      </c>
      <c r="R1460" s="23" t="s">
        <v>2308</v>
      </c>
      <c r="S1460" s="23" t="s">
        <v>2308</v>
      </c>
      <c r="T1460" s="23" t="s">
        <v>2308</v>
      </c>
      <c r="U1460" s="23" t="s">
        <v>2308</v>
      </c>
      <c r="V1460" s="23" t="s">
        <v>2308</v>
      </c>
      <c r="W1460" s="23" t="s">
        <v>2308</v>
      </c>
      <c r="X1460" s="23" t="s">
        <v>2308</v>
      </c>
      <c r="Y1460" s="23" t="s">
        <v>2308</v>
      </c>
      <c r="Z1460" s="23" t="s">
        <v>2308</v>
      </c>
      <c r="AA1460" s="4"/>
      <c r="AB1460" s="4"/>
    </row>
    <row r="1461" spans="1:28" ht="58">
      <c r="A1461" s="161" t="str">
        <f>'Reported burning'!A1461</f>
        <v>171b</v>
      </c>
      <c r="B1461" s="161" t="str">
        <f>'Reported burning'!B1461</f>
        <v>171b.7</v>
      </c>
      <c r="C1461" s="161" t="str">
        <f>'Reported burning'!C1461</f>
        <v>Human, escaped</v>
      </c>
      <c r="D1461" s="161" t="str">
        <f>'Reported burning'!D1461</f>
        <v>Pasture renewal</v>
      </c>
      <c r="E1461" s="161" t="str">
        <f>'Reported burning'!E1461</f>
        <v>Cropping, Intensive</v>
      </c>
      <c r="F1461" s="161" t="str">
        <f>'Reported burning'!F1461</f>
        <v>ND</v>
      </c>
      <c r="G1461" s="161" t="str">
        <f>'Reported burning'!G1461</f>
        <v>Forest</v>
      </c>
      <c r="H1461" s="161" t="str">
        <f>'Reported burning'!H1461</f>
        <v>Presence</v>
      </c>
      <c r="I1461" s="4"/>
      <c r="J1461" s="23" t="s">
        <v>2308</v>
      </c>
      <c r="K1461" s="23" t="s">
        <v>2308</v>
      </c>
      <c r="L1461" s="23" t="s">
        <v>2308</v>
      </c>
      <c r="M1461" s="23" t="s">
        <v>2308</v>
      </c>
      <c r="N1461" s="23" t="s">
        <v>2308</v>
      </c>
      <c r="O1461" s="23" t="s">
        <v>2308</v>
      </c>
      <c r="P1461" s="23" t="s">
        <v>2308</v>
      </c>
      <c r="Q1461" s="23" t="s">
        <v>2308</v>
      </c>
      <c r="R1461" s="23" t="s">
        <v>2308</v>
      </c>
      <c r="S1461" s="23" t="s">
        <v>2308</v>
      </c>
      <c r="T1461" s="23" t="s">
        <v>2308</v>
      </c>
      <c r="U1461" s="23" t="s">
        <v>2308</v>
      </c>
      <c r="V1461" s="23" t="s">
        <v>2308</v>
      </c>
      <c r="W1461" s="23" t="s">
        <v>2308</v>
      </c>
      <c r="X1461" s="23" t="s">
        <v>2308</v>
      </c>
      <c r="Y1461" s="23" t="s">
        <v>2308</v>
      </c>
      <c r="Z1461" s="23" t="s">
        <v>2308</v>
      </c>
      <c r="AA1461" s="5" t="s">
        <v>4425</v>
      </c>
      <c r="AB1461" s="4"/>
    </row>
    <row r="1462" spans="1:28" ht="47.5" customHeight="1">
      <c r="A1462" s="161" t="str">
        <f>'Reported burning'!A1462</f>
        <v>172a</v>
      </c>
      <c r="B1462" s="161" t="str">
        <f>'Reported burning'!B1462</f>
        <v>172a.1</v>
      </c>
      <c r="C1462" s="161" t="str">
        <f>'Reported burning'!C1462</f>
        <v>Human, deliberate</v>
      </c>
      <c r="D1462" s="161" t="str">
        <f>'Reported burning'!D1462</f>
        <v>Crop field preparation</v>
      </c>
      <c r="E1462" s="161" t="str">
        <f>'Reported burning'!E1462</f>
        <v>Cropping, Swidden</v>
      </c>
      <c r="F1462" s="161" t="str">
        <f>'Reported burning'!F1462</f>
        <v>ND</v>
      </c>
      <c r="G1462" s="161" t="str">
        <f>'Reported burning'!G1462</f>
        <v>Forest</v>
      </c>
      <c r="H1462" s="161" t="str">
        <f>'Reported burning'!H1462</f>
        <v>Presence</v>
      </c>
      <c r="I1462" s="4"/>
      <c r="J1462" s="23" t="s">
        <v>2308</v>
      </c>
      <c r="K1462" s="23" t="s">
        <v>2308</v>
      </c>
      <c r="L1462" s="23" t="s">
        <v>2308</v>
      </c>
      <c r="M1462" s="23" t="s">
        <v>2308</v>
      </c>
      <c r="N1462" s="23" t="s">
        <v>2308</v>
      </c>
      <c r="O1462" s="23" t="s">
        <v>2308</v>
      </c>
      <c r="P1462" s="23" t="s">
        <v>2308</v>
      </c>
      <c r="Q1462" s="23" t="s">
        <v>2308</v>
      </c>
      <c r="R1462" s="23" t="s">
        <v>2308</v>
      </c>
      <c r="S1462" s="23" t="s">
        <v>2308</v>
      </c>
      <c r="T1462" s="23" t="s">
        <v>2308</v>
      </c>
      <c r="U1462" s="23" t="s">
        <v>2308</v>
      </c>
      <c r="V1462" s="23" t="s">
        <v>2308</v>
      </c>
      <c r="W1462" s="4" t="s">
        <v>2308</v>
      </c>
      <c r="X1462" s="4" t="s">
        <v>406</v>
      </c>
      <c r="Y1462" s="4" t="s">
        <v>38</v>
      </c>
      <c r="Z1462" s="4" t="s">
        <v>2688</v>
      </c>
      <c r="AA1462" s="4"/>
      <c r="AB1462" s="4"/>
    </row>
    <row r="1463" spans="1:28" ht="47.5" customHeight="1">
      <c r="A1463" s="161" t="str">
        <f>'Reported burning'!A1463</f>
        <v>172a</v>
      </c>
      <c r="B1463" s="161" t="str">
        <f>'Reported burning'!B1463</f>
        <v>172a.2</v>
      </c>
      <c r="C1463" s="161" t="str">
        <f>'Reported burning'!C1463</f>
        <v>Human, deliberate</v>
      </c>
      <c r="D1463" s="161" t="str">
        <f>'Reported burning'!D1463</f>
        <v>Crop field preparation</v>
      </c>
      <c r="E1463" s="161" t="str">
        <f>'Reported burning'!E1463</f>
        <v>Cropping, Swidden</v>
      </c>
      <c r="F1463" s="161" t="str">
        <f>'Reported burning'!F1463</f>
        <v>ND</v>
      </c>
      <c r="G1463" s="161" t="str">
        <f>'Reported burning'!G1463</f>
        <v>Secondary Vegetation</v>
      </c>
      <c r="H1463" s="161" t="str">
        <f>'Reported burning'!H1463</f>
        <v>Presence</v>
      </c>
      <c r="I1463" s="4"/>
      <c r="J1463" s="23" t="s">
        <v>2308</v>
      </c>
      <c r="K1463" s="23" t="s">
        <v>2308</v>
      </c>
      <c r="L1463" s="23" t="s">
        <v>2308</v>
      </c>
      <c r="M1463" s="23" t="s">
        <v>2308</v>
      </c>
      <c r="N1463" s="23" t="s">
        <v>2308</v>
      </c>
      <c r="O1463" s="23" t="s">
        <v>2308</v>
      </c>
      <c r="P1463" s="23" t="s">
        <v>2308</v>
      </c>
      <c r="Q1463" s="23" t="s">
        <v>2308</v>
      </c>
      <c r="R1463" s="23" t="s">
        <v>2308</v>
      </c>
      <c r="S1463" s="23" t="s">
        <v>2308</v>
      </c>
      <c r="T1463" s="23" t="s">
        <v>2308</v>
      </c>
      <c r="U1463" s="23" t="s">
        <v>2308</v>
      </c>
      <c r="V1463" s="23" t="s">
        <v>2308</v>
      </c>
      <c r="W1463" s="4" t="s">
        <v>2435</v>
      </c>
      <c r="X1463" s="4" t="s">
        <v>406</v>
      </c>
      <c r="Y1463" s="4" t="s">
        <v>38</v>
      </c>
      <c r="Z1463" s="4" t="s">
        <v>2688</v>
      </c>
      <c r="AA1463" s="4"/>
      <c r="AB1463" s="4"/>
    </row>
    <row r="1464" spans="1:28" ht="47.5" customHeight="1">
      <c r="A1464" s="161" t="str">
        <f>'Reported burning'!A1464</f>
        <v>172b</v>
      </c>
      <c r="B1464" s="161" t="str">
        <f>'Reported burning'!B1464</f>
        <v>172b.1</v>
      </c>
      <c r="C1464" s="161" t="str">
        <f>'Reported burning'!C1464</f>
        <v>Human, deliberate</v>
      </c>
      <c r="D1464" s="161" t="str">
        <f>'Reported burning'!D1464</f>
        <v>Land clearance</v>
      </c>
      <c r="E1464" s="161" t="str">
        <f>'Reported burning'!E1464</f>
        <v>Cropping, Monoculture, Subsistence-oriented</v>
      </c>
      <c r="F1464" s="161" t="str">
        <f>'Reported burning'!F1464</f>
        <v>ND</v>
      </c>
      <c r="G1464" s="161" t="str">
        <f>'Reported burning'!G1464</f>
        <v>Forest</v>
      </c>
      <c r="H1464" s="161" t="str">
        <f>'Reported burning'!H1464</f>
        <v>Presence</v>
      </c>
      <c r="I1464" s="4"/>
      <c r="J1464" s="23" t="s">
        <v>2308</v>
      </c>
      <c r="K1464" s="23" t="s">
        <v>2308</v>
      </c>
      <c r="L1464" s="23" t="s">
        <v>2308</v>
      </c>
      <c r="M1464" s="23" t="s">
        <v>2308</v>
      </c>
      <c r="N1464" s="23" t="s">
        <v>2308</v>
      </c>
      <c r="O1464" s="23" t="s">
        <v>2308</v>
      </c>
      <c r="P1464" s="23" t="s">
        <v>2308</v>
      </c>
      <c r="Q1464" s="23" t="s">
        <v>2308</v>
      </c>
      <c r="R1464" s="23" t="s">
        <v>2308</v>
      </c>
      <c r="S1464" s="23" t="s">
        <v>2308</v>
      </c>
      <c r="T1464" s="23" t="s">
        <v>2308</v>
      </c>
      <c r="U1464" s="23" t="s">
        <v>2308</v>
      </c>
      <c r="V1464" s="23" t="s">
        <v>2308</v>
      </c>
      <c r="W1464" s="23" t="s">
        <v>2308</v>
      </c>
      <c r="X1464" s="23" t="s">
        <v>2308</v>
      </c>
      <c r="Y1464" s="23" t="s">
        <v>2308</v>
      </c>
      <c r="Z1464" s="23" t="s">
        <v>2308</v>
      </c>
      <c r="AA1464" s="5" t="s">
        <v>4466</v>
      </c>
      <c r="AB1464" s="5" t="s">
        <v>4458</v>
      </c>
    </row>
    <row r="1465" spans="1:28" ht="47.5" customHeight="1">
      <c r="A1465" s="161" t="str">
        <f>'Reported burning'!A1465</f>
        <v>172b</v>
      </c>
      <c r="B1465" s="161" t="str">
        <f>'Reported burning'!B1465</f>
        <v>172b.2</v>
      </c>
      <c r="C1465" s="161" t="str">
        <f>'Reported burning'!C1465</f>
        <v>Human, deliberate</v>
      </c>
      <c r="D1465" s="161" t="str">
        <f>'Reported burning'!D1465</f>
        <v>Land clearance</v>
      </c>
      <c r="E1465" s="161" t="str">
        <f>'Reported burning'!E1465</f>
        <v>Cropping, Monoculture, Subsistence-oriented</v>
      </c>
      <c r="F1465" s="161" t="str">
        <f>'Reported burning'!F1465</f>
        <v>ND</v>
      </c>
      <c r="G1465" s="161" t="str">
        <f>'Reported burning'!G1465</f>
        <v>Shrubland (Mixed forest &amp; grassland)</v>
      </c>
      <c r="H1465" s="161" t="str">
        <f>'Reported burning'!H1465</f>
        <v>Presence</v>
      </c>
      <c r="I1465" s="4"/>
      <c r="J1465" s="23" t="s">
        <v>2308</v>
      </c>
      <c r="K1465" s="23" t="s">
        <v>2308</v>
      </c>
      <c r="L1465" s="23" t="s">
        <v>2308</v>
      </c>
      <c r="M1465" s="23" t="s">
        <v>2308</v>
      </c>
      <c r="N1465" s="23" t="s">
        <v>2308</v>
      </c>
      <c r="O1465" s="23" t="s">
        <v>2308</v>
      </c>
      <c r="P1465" s="23" t="s">
        <v>2308</v>
      </c>
      <c r="Q1465" s="23" t="s">
        <v>2308</v>
      </c>
      <c r="R1465" s="23" t="s">
        <v>2308</v>
      </c>
      <c r="S1465" s="23" t="s">
        <v>2308</v>
      </c>
      <c r="T1465" s="23" t="s">
        <v>2308</v>
      </c>
      <c r="U1465" s="23" t="s">
        <v>2308</v>
      </c>
      <c r="V1465" s="23" t="s">
        <v>2308</v>
      </c>
      <c r="W1465" s="23" t="s">
        <v>2308</v>
      </c>
      <c r="X1465" s="23" t="s">
        <v>2308</v>
      </c>
      <c r="Y1465" s="23" t="s">
        <v>2308</v>
      </c>
      <c r="Z1465" s="23" t="s">
        <v>2308</v>
      </c>
      <c r="AA1465" s="5" t="s">
        <v>4466</v>
      </c>
      <c r="AB1465" s="5" t="s">
        <v>4458</v>
      </c>
    </row>
    <row r="1466" spans="1:28" ht="47.5" customHeight="1">
      <c r="A1466" s="161" t="str">
        <f>'Reported burning'!A1466</f>
        <v>172c</v>
      </c>
      <c r="B1466" s="161" t="str">
        <f>'Reported burning'!B1466</f>
        <v>172c.1</v>
      </c>
      <c r="C1466" s="161" t="str">
        <f>'Reported burning'!C1466</f>
        <v>Human, deliberate</v>
      </c>
      <c r="D1466" s="161" t="str">
        <f>'Reported burning'!D1466</f>
        <v>Land clearance</v>
      </c>
      <c r="E1466" s="161" t="str">
        <f>'Reported burning'!E1466</f>
        <v>Cropping, Monoculture, Subsistence-oriented</v>
      </c>
      <c r="F1466" s="161" t="str">
        <f>'Reported burning'!F1466</f>
        <v>ND</v>
      </c>
      <c r="G1466" s="161" t="str">
        <f>'Reported burning'!G1466</f>
        <v>Forest</v>
      </c>
      <c r="H1466" s="161" t="str">
        <f>'Reported burning'!H1466</f>
        <v>Presence</v>
      </c>
      <c r="I1466" s="4"/>
      <c r="J1466" s="23" t="s">
        <v>2308</v>
      </c>
      <c r="K1466" s="23" t="s">
        <v>2308</v>
      </c>
      <c r="L1466" s="23" t="s">
        <v>2308</v>
      </c>
      <c r="M1466" s="23" t="s">
        <v>2308</v>
      </c>
      <c r="N1466" s="23" t="s">
        <v>2308</v>
      </c>
      <c r="O1466" s="23" t="s">
        <v>2308</v>
      </c>
      <c r="P1466" s="23" t="s">
        <v>2308</v>
      </c>
      <c r="Q1466" s="23" t="s">
        <v>2308</v>
      </c>
      <c r="R1466" s="23" t="s">
        <v>2308</v>
      </c>
      <c r="S1466" s="23" t="s">
        <v>2308</v>
      </c>
      <c r="T1466" s="23" t="s">
        <v>2308</v>
      </c>
      <c r="U1466" s="23" t="s">
        <v>2308</v>
      </c>
      <c r="V1466" s="23" t="s">
        <v>2308</v>
      </c>
      <c r="W1466" s="23" t="s">
        <v>2308</v>
      </c>
      <c r="X1466" s="23" t="s">
        <v>2308</v>
      </c>
      <c r="Y1466" s="23" t="s">
        <v>2308</v>
      </c>
      <c r="Z1466" s="23" t="s">
        <v>2308</v>
      </c>
      <c r="AA1466" s="5" t="s">
        <v>4466</v>
      </c>
      <c r="AB1466" s="5" t="s">
        <v>4458</v>
      </c>
    </row>
    <row r="1467" spans="1:28" ht="47.5" customHeight="1">
      <c r="A1467" s="161" t="str">
        <f>'Reported burning'!A1467</f>
        <v>172c</v>
      </c>
      <c r="B1467" s="161" t="str">
        <f>'Reported burning'!B1467</f>
        <v>172c.2</v>
      </c>
      <c r="C1467" s="161" t="str">
        <f>'Reported burning'!C1467</f>
        <v>Human, deliberate</v>
      </c>
      <c r="D1467" s="161" t="str">
        <f>'Reported burning'!D1467</f>
        <v>Land clearance</v>
      </c>
      <c r="E1467" s="161" t="str">
        <f>'Reported burning'!E1467</f>
        <v>Cropping, Monoculture, Subsistence-oriented</v>
      </c>
      <c r="F1467" s="161" t="str">
        <f>'Reported burning'!F1467</f>
        <v>ND</v>
      </c>
      <c r="G1467" s="161" t="str">
        <f>'Reported burning'!G1467</f>
        <v>Shrubland (Mixed forest &amp; grassland)</v>
      </c>
      <c r="H1467" s="161" t="str">
        <f>'Reported burning'!H1467</f>
        <v>Presence</v>
      </c>
      <c r="I1467" s="4"/>
      <c r="J1467" s="23" t="s">
        <v>2308</v>
      </c>
      <c r="K1467" s="23" t="s">
        <v>2308</v>
      </c>
      <c r="L1467" s="23" t="s">
        <v>2308</v>
      </c>
      <c r="M1467" s="23" t="s">
        <v>2308</v>
      </c>
      <c r="N1467" s="23" t="s">
        <v>2308</v>
      </c>
      <c r="O1467" s="23" t="s">
        <v>2308</v>
      </c>
      <c r="P1467" s="23" t="s">
        <v>2308</v>
      </c>
      <c r="Q1467" s="23" t="s">
        <v>2308</v>
      </c>
      <c r="R1467" s="23" t="s">
        <v>2308</v>
      </c>
      <c r="S1467" s="23" t="s">
        <v>2308</v>
      </c>
      <c r="T1467" s="23" t="s">
        <v>2308</v>
      </c>
      <c r="U1467" s="23" t="s">
        <v>2308</v>
      </c>
      <c r="V1467" s="23" t="s">
        <v>2308</v>
      </c>
      <c r="W1467" s="23" t="s">
        <v>2308</v>
      </c>
      <c r="X1467" s="23" t="s">
        <v>2308</v>
      </c>
      <c r="Y1467" s="23" t="s">
        <v>2308</v>
      </c>
      <c r="Z1467" s="23" t="s">
        <v>2308</v>
      </c>
      <c r="AA1467" s="5" t="s">
        <v>4466</v>
      </c>
      <c r="AB1467" s="5" t="s">
        <v>4458</v>
      </c>
    </row>
    <row r="1468" spans="1:28" ht="47.5" customHeight="1">
      <c r="A1468" s="161" t="str">
        <f>'Reported burning'!A1468</f>
        <v>172d</v>
      </c>
      <c r="B1468" s="161" t="str">
        <f>'Reported burning'!B1468</f>
        <v>172d.1</v>
      </c>
      <c r="C1468" s="161" t="str">
        <f>'Reported burning'!C1468</f>
        <v>Human, deliberate</v>
      </c>
      <c r="D1468" s="161" t="str">
        <f>'Reported burning'!D1468</f>
        <v>Pasture renewal</v>
      </c>
      <c r="E1468" s="161" t="str">
        <f>'Reported burning'!E1468</f>
        <v>Cattle, Extensive</v>
      </c>
      <c r="F1468" s="161" t="str">
        <f>'Reported burning'!F1468</f>
        <v>Shrubland (Mixed forest &amp; grassland)</v>
      </c>
      <c r="G1468" s="161" t="str">
        <f>'Reported burning'!G1468</f>
        <v>ND</v>
      </c>
      <c r="H1468" s="161" t="str">
        <f>'Reported burning'!H1468</f>
        <v>Presence</v>
      </c>
      <c r="I1468" s="4"/>
      <c r="J1468" s="4" t="s">
        <v>2308</v>
      </c>
      <c r="K1468" s="4" t="s">
        <v>2308</v>
      </c>
      <c r="L1468" s="4" t="s">
        <v>2308</v>
      </c>
      <c r="M1468" s="4" t="s">
        <v>2308</v>
      </c>
      <c r="N1468" s="4" t="s">
        <v>2308</v>
      </c>
      <c r="O1468" s="4" t="s">
        <v>2308</v>
      </c>
      <c r="P1468" s="4" t="s">
        <v>2308</v>
      </c>
      <c r="Q1468" s="4" t="s">
        <v>2308</v>
      </c>
      <c r="R1468" s="4" t="s">
        <v>2308</v>
      </c>
      <c r="S1468" s="4" t="s">
        <v>2308</v>
      </c>
      <c r="T1468" s="4" t="s">
        <v>2308</v>
      </c>
      <c r="U1468" s="4" t="s">
        <v>2308</v>
      </c>
      <c r="V1468" s="4" t="s">
        <v>2308</v>
      </c>
      <c r="W1468" s="4" t="s">
        <v>2308</v>
      </c>
      <c r="X1468" s="4" t="s">
        <v>35</v>
      </c>
      <c r="Y1468" s="4" t="s">
        <v>195</v>
      </c>
      <c r="Z1468" s="4" t="s">
        <v>64</v>
      </c>
      <c r="AA1468" s="5" t="s">
        <v>4455</v>
      </c>
      <c r="AB1468" s="5" t="s">
        <v>4458</v>
      </c>
    </row>
    <row r="1469" spans="1:28" ht="47.5" customHeight="1">
      <c r="A1469" s="161" t="str">
        <f>'Reported burning'!A1469</f>
        <v>172d</v>
      </c>
      <c r="B1469" s="161" t="str">
        <f>'Reported burning'!B1469</f>
        <v>172d.2</v>
      </c>
      <c r="C1469" s="161" t="str">
        <f>'Reported burning'!C1469</f>
        <v>Human, deliberate</v>
      </c>
      <c r="D1469" s="161" t="str">
        <f>'Reported burning'!D1469</f>
        <v>Crop field preparation</v>
      </c>
      <c r="E1469" s="161" t="str">
        <f>'Reported burning'!E1469</f>
        <v>Cropping, Swidden</v>
      </c>
      <c r="F1469" s="161" t="str">
        <f>'Reported burning'!F1469</f>
        <v>Secondary Vegetation</v>
      </c>
      <c r="G1469" s="161" t="str">
        <f>'Reported burning'!G1469</f>
        <v>ND</v>
      </c>
      <c r="H1469" s="161" t="str">
        <f>'Reported burning'!H1469</f>
        <v>Presence</v>
      </c>
      <c r="I1469" s="4"/>
      <c r="J1469" s="4" t="s">
        <v>2308</v>
      </c>
      <c r="K1469" s="4" t="s">
        <v>2308</v>
      </c>
      <c r="L1469" s="4" t="s">
        <v>2308</v>
      </c>
      <c r="M1469" s="4" t="s">
        <v>2308</v>
      </c>
      <c r="N1469" s="4" t="s">
        <v>2308</v>
      </c>
      <c r="O1469" s="4" t="s">
        <v>2308</v>
      </c>
      <c r="P1469" s="4" t="s">
        <v>2308</v>
      </c>
      <c r="Q1469" s="4" t="s">
        <v>2308</v>
      </c>
      <c r="R1469" s="4" t="s">
        <v>2308</v>
      </c>
      <c r="S1469" s="4" t="s">
        <v>2308</v>
      </c>
      <c r="T1469" s="4" t="s">
        <v>2308</v>
      </c>
      <c r="U1469" s="4" t="s">
        <v>2308</v>
      </c>
      <c r="V1469" s="4" t="s">
        <v>2308</v>
      </c>
      <c r="W1469" s="4" t="s">
        <v>2434</v>
      </c>
      <c r="X1469" s="4" t="s">
        <v>195</v>
      </c>
      <c r="Y1469" s="4" t="s">
        <v>86</v>
      </c>
      <c r="Z1469" s="4" t="s">
        <v>76</v>
      </c>
      <c r="AA1469" s="4"/>
      <c r="AB1469" s="5" t="s">
        <v>4459</v>
      </c>
    </row>
    <row r="1470" spans="1:28" ht="47.5" customHeight="1">
      <c r="A1470" s="161" t="str">
        <f>'Reported burning'!A1470</f>
        <v>172d</v>
      </c>
      <c r="B1470" s="161" t="str">
        <f>'Reported burning'!B1470</f>
        <v>172d.3</v>
      </c>
      <c r="C1470" s="161" t="str">
        <f>'Reported burning'!C1470</f>
        <v>Human, deliberate</v>
      </c>
      <c r="D1470" s="161" t="str">
        <f>'Reported burning'!D1470</f>
        <v>Land clearance</v>
      </c>
      <c r="E1470" s="161" t="str">
        <f>'Reported burning'!E1470</f>
        <v>Cropping, Monoculture, Market-oriented</v>
      </c>
      <c r="F1470" s="161" t="str">
        <f>'Reported burning'!F1470</f>
        <v>Forest</v>
      </c>
      <c r="G1470" s="161" t="str">
        <f>'Reported burning'!G1470</f>
        <v>ND</v>
      </c>
      <c r="H1470" s="161" t="str">
        <f>'Reported burning'!H1470</f>
        <v>Presence</v>
      </c>
      <c r="I1470" s="4"/>
      <c r="J1470" s="4" t="s">
        <v>2308</v>
      </c>
      <c r="K1470" s="4" t="s">
        <v>2308</v>
      </c>
      <c r="L1470" s="4" t="s">
        <v>2308</v>
      </c>
      <c r="M1470" s="4" t="s">
        <v>2308</v>
      </c>
      <c r="N1470" s="4" t="s">
        <v>2308</v>
      </c>
      <c r="O1470" s="4" t="s">
        <v>2308</v>
      </c>
      <c r="P1470" s="4" t="s">
        <v>2308</v>
      </c>
      <c r="Q1470" s="4" t="s">
        <v>2308</v>
      </c>
      <c r="R1470" s="4" t="s">
        <v>2308</v>
      </c>
      <c r="S1470" s="4" t="s">
        <v>2308</v>
      </c>
      <c r="T1470" s="4" t="s">
        <v>2308</v>
      </c>
      <c r="U1470" s="4" t="s">
        <v>2308</v>
      </c>
      <c r="V1470" s="4" t="s">
        <v>2308</v>
      </c>
      <c r="W1470" s="4" t="s">
        <v>2308</v>
      </c>
      <c r="X1470" s="4" t="s">
        <v>195</v>
      </c>
      <c r="Y1470" s="4" t="s">
        <v>86</v>
      </c>
      <c r="Z1470" s="4" t="s">
        <v>76</v>
      </c>
      <c r="AA1470" s="5" t="s">
        <v>4455</v>
      </c>
      <c r="AB1470" s="5" t="s">
        <v>4458</v>
      </c>
    </row>
    <row r="1471" spans="1:28" ht="47.5" customHeight="1">
      <c r="A1471" s="161" t="str">
        <f>'Reported burning'!A1471</f>
        <v>172e</v>
      </c>
      <c r="B1471" s="161" t="str">
        <f>'Reported burning'!B1471</f>
        <v>172e.1</v>
      </c>
      <c r="C1471" s="161" t="str">
        <f>'Reported burning'!C1471</f>
        <v>Human, deliberate</v>
      </c>
      <c r="D1471" s="161" t="str">
        <f>'Reported burning'!D1471</f>
        <v>Pasture renewal</v>
      </c>
      <c r="E1471" s="161" t="str">
        <f>'Reported burning'!E1471</f>
        <v>Cattle, Extensive</v>
      </c>
      <c r="F1471" s="161" t="str">
        <f>'Reported burning'!F1471</f>
        <v>Shrubland (Mixed forest &amp; grassland)</v>
      </c>
      <c r="G1471" s="161" t="str">
        <f>'Reported burning'!G1471</f>
        <v>ND</v>
      </c>
      <c r="H1471" s="161" t="str">
        <f>'Reported burning'!H1471</f>
        <v>Presence</v>
      </c>
      <c r="I1471" s="4"/>
      <c r="J1471" s="4" t="s">
        <v>2308</v>
      </c>
      <c r="K1471" s="4" t="s">
        <v>2308</v>
      </c>
      <c r="L1471" s="4" t="s">
        <v>2308</v>
      </c>
      <c r="M1471" s="4" t="s">
        <v>2308</v>
      </c>
      <c r="N1471" s="4" t="s">
        <v>2308</v>
      </c>
      <c r="O1471" s="4" t="s">
        <v>2308</v>
      </c>
      <c r="P1471" s="4" t="s">
        <v>2308</v>
      </c>
      <c r="Q1471" s="4" t="s">
        <v>2308</v>
      </c>
      <c r="R1471" s="4" t="s">
        <v>2308</v>
      </c>
      <c r="S1471" s="4" t="s">
        <v>2308</v>
      </c>
      <c r="T1471" s="4" t="s">
        <v>2308</v>
      </c>
      <c r="U1471" s="4" t="s">
        <v>2308</v>
      </c>
      <c r="V1471" s="4" t="s">
        <v>2308</v>
      </c>
      <c r="W1471" s="4" t="s">
        <v>2308</v>
      </c>
      <c r="X1471" s="4" t="s">
        <v>35</v>
      </c>
      <c r="Y1471" s="4" t="s">
        <v>194</v>
      </c>
      <c r="Z1471" s="4" t="s">
        <v>64</v>
      </c>
      <c r="AA1471" s="5" t="s">
        <v>4455</v>
      </c>
      <c r="AB1471" s="5" t="s">
        <v>4458</v>
      </c>
    </row>
    <row r="1472" spans="1:28" ht="47.5" customHeight="1">
      <c r="A1472" s="165" t="str">
        <f>'Reported burning'!A1472</f>
        <v>172e</v>
      </c>
      <c r="B1472" s="165" t="str">
        <f>'Reported burning'!B1472</f>
        <v>172e.2</v>
      </c>
      <c r="C1472" s="165" t="str">
        <f>'Reported burning'!C1472</f>
        <v>Human, deliberate</v>
      </c>
      <c r="D1472" s="165" t="str">
        <f>'Reported burning'!D1472</f>
        <v>Crop field preparation</v>
      </c>
      <c r="E1472" s="165" t="str">
        <f>'Reported burning'!E1472</f>
        <v>Cropping, Swidden</v>
      </c>
      <c r="F1472" s="165" t="str">
        <f>'Reported burning'!F1472</f>
        <v>Secondary Vegetation</v>
      </c>
      <c r="G1472" s="165" t="str">
        <f>'Reported burning'!G1472</f>
        <v>ND</v>
      </c>
      <c r="H1472" s="165" t="str">
        <f>'Reported burning'!H1472</f>
        <v>Presence</v>
      </c>
      <c r="I1472" s="6"/>
      <c r="J1472" s="4" t="s">
        <v>2308</v>
      </c>
      <c r="K1472" s="4" t="s">
        <v>2308</v>
      </c>
      <c r="L1472" s="4" t="s">
        <v>2308</v>
      </c>
      <c r="M1472" s="4" t="s">
        <v>2308</v>
      </c>
      <c r="N1472" s="4" t="s">
        <v>2308</v>
      </c>
      <c r="O1472" s="4" t="s">
        <v>2308</v>
      </c>
      <c r="P1472" s="4" t="s">
        <v>2308</v>
      </c>
      <c r="Q1472" s="4" t="s">
        <v>2308</v>
      </c>
      <c r="R1472" s="4" t="s">
        <v>2308</v>
      </c>
      <c r="S1472" s="4" t="s">
        <v>2308</v>
      </c>
      <c r="T1472" s="4" t="s">
        <v>2308</v>
      </c>
      <c r="U1472" s="4" t="s">
        <v>2308</v>
      </c>
      <c r="V1472" s="4" t="s">
        <v>2308</v>
      </c>
      <c r="W1472" s="4" t="s">
        <v>2434</v>
      </c>
      <c r="X1472" s="4" t="s">
        <v>195</v>
      </c>
      <c r="Y1472" s="4" t="s">
        <v>38</v>
      </c>
      <c r="Z1472" s="4" t="s">
        <v>64</v>
      </c>
      <c r="AA1472" s="4"/>
      <c r="AB1472" s="5" t="s">
        <v>4459</v>
      </c>
    </row>
    <row r="1473" spans="1:28" ht="47.5" customHeight="1">
      <c r="A1473" s="161" t="str">
        <f>'Reported burning'!A1473</f>
        <v>172f</v>
      </c>
      <c r="B1473" s="161" t="str">
        <f>'Reported burning'!B1473</f>
        <v>172f.1</v>
      </c>
      <c r="C1473" s="161" t="str">
        <f>'Reported burning'!C1473</f>
        <v>Human, deliberate</v>
      </c>
      <c r="D1473" s="161" t="str">
        <f>'Reported burning'!D1473</f>
        <v>Pasture renewal</v>
      </c>
      <c r="E1473" s="161" t="str">
        <f>'Reported burning'!E1473</f>
        <v>Pastoralism, Migratory</v>
      </c>
      <c r="F1473" s="161" t="str">
        <f>'Reported burning'!F1473</f>
        <v>Shrubland (Mixed forest &amp; grassland)</v>
      </c>
      <c r="G1473" s="161" t="str">
        <f>'Reported burning'!G1473</f>
        <v>ND</v>
      </c>
      <c r="H1473" s="161" t="str">
        <f>'Reported burning'!H1473</f>
        <v>Presence</v>
      </c>
      <c r="I1473" s="4"/>
      <c r="J1473" s="4" t="s">
        <v>2308</v>
      </c>
      <c r="K1473" s="4" t="s">
        <v>2308</v>
      </c>
      <c r="L1473" s="4" t="s">
        <v>2308</v>
      </c>
      <c r="M1473" s="4" t="s">
        <v>2308</v>
      </c>
      <c r="N1473" s="4" t="s">
        <v>2308</v>
      </c>
      <c r="O1473" s="4" t="s">
        <v>2308</v>
      </c>
      <c r="P1473" s="4" t="s">
        <v>2308</v>
      </c>
      <c r="Q1473" s="4" t="s">
        <v>2308</v>
      </c>
      <c r="R1473" s="4" t="s">
        <v>2308</v>
      </c>
      <c r="S1473" s="4" t="s">
        <v>2308</v>
      </c>
      <c r="T1473" s="4" t="s">
        <v>2308</v>
      </c>
      <c r="U1473" s="4" t="s">
        <v>2308</v>
      </c>
      <c r="V1473" s="4" t="s">
        <v>2308</v>
      </c>
      <c r="W1473" s="4" t="s">
        <v>2308</v>
      </c>
      <c r="X1473" s="4" t="s">
        <v>35</v>
      </c>
      <c r="Y1473" s="4" t="s">
        <v>194</v>
      </c>
      <c r="Z1473" s="4" t="s">
        <v>64</v>
      </c>
      <c r="AA1473" s="5" t="s">
        <v>4455</v>
      </c>
      <c r="AB1473" s="5" t="s">
        <v>4458</v>
      </c>
    </row>
    <row r="1474" spans="1:28" ht="47.5" customHeight="1">
      <c r="A1474" s="161" t="str">
        <f>'Reported burning'!A1474</f>
        <v>172f</v>
      </c>
      <c r="B1474" s="161" t="str">
        <f>'Reported burning'!B1474</f>
        <v>172f.2</v>
      </c>
      <c r="C1474" s="161" t="str">
        <f>'Reported burning'!C1474</f>
        <v>Human, deliberate</v>
      </c>
      <c r="D1474" s="161" t="str">
        <f>'Reported burning'!D1474</f>
        <v>Crop field preparation</v>
      </c>
      <c r="E1474" s="161" t="str">
        <f>'Reported burning'!E1474</f>
        <v>Cropping, Swidden</v>
      </c>
      <c r="F1474" s="161" t="str">
        <f>'Reported burning'!F1474</f>
        <v>Secondary Vegetation</v>
      </c>
      <c r="G1474" s="161" t="str">
        <f>'Reported burning'!G1474</f>
        <v>ND</v>
      </c>
      <c r="H1474" s="161" t="str">
        <f>'Reported burning'!H1474</f>
        <v>Presence</v>
      </c>
      <c r="I1474" s="4"/>
      <c r="J1474" s="4" t="s">
        <v>2308</v>
      </c>
      <c r="K1474" s="4" t="s">
        <v>2308</v>
      </c>
      <c r="L1474" s="4" t="s">
        <v>2308</v>
      </c>
      <c r="M1474" s="4" t="s">
        <v>2308</v>
      </c>
      <c r="N1474" s="4" t="s">
        <v>2308</v>
      </c>
      <c r="O1474" s="4" t="s">
        <v>2308</v>
      </c>
      <c r="P1474" s="4" t="s">
        <v>2308</v>
      </c>
      <c r="Q1474" s="4" t="s">
        <v>2308</v>
      </c>
      <c r="R1474" s="4" t="s">
        <v>2308</v>
      </c>
      <c r="S1474" s="4" t="s">
        <v>2308</v>
      </c>
      <c r="T1474" s="4" t="s">
        <v>2308</v>
      </c>
      <c r="U1474" s="4" t="s">
        <v>2308</v>
      </c>
      <c r="V1474" s="4" t="s">
        <v>2308</v>
      </c>
      <c r="W1474" s="4" t="s">
        <v>2435</v>
      </c>
      <c r="X1474" s="4" t="s">
        <v>195</v>
      </c>
      <c r="Y1474" s="4" t="s">
        <v>38</v>
      </c>
      <c r="Z1474" s="4" t="s">
        <v>64</v>
      </c>
      <c r="AA1474" s="5" t="s">
        <v>4462</v>
      </c>
      <c r="AB1474" s="5" t="s">
        <v>4461</v>
      </c>
    </row>
    <row r="1475" spans="1:28" ht="57" customHeight="1">
      <c r="A1475" s="161" t="str">
        <f>'Reported burning'!A1475</f>
        <v>173a</v>
      </c>
      <c r="B1475" s="161" t="str">
        <f>'Reported burning'!B1475</f>
        <v>173a.1</v>
      </c>
      <c r="C1475" s="161" t="str">
        <f>'Reported burning'!C1475</f>
        <v>Human, deliberate</v>
      </c>
      <c r="D1475" s="161" t="str">
        <f>'Reported burning'!D1475</f>
        <v>All</v>
      </c>
      <c r="E1475" s="161" t="str">
        <f>'Reported burning'!E1475</f>
        <v>Pastoralism, Migratory</v>
      </c>
      <c r="F1475" s="161" t="str">
        <f>'Reported burning'!F1475</f>
        <v>Shrubland (Mixed forest &amp; grassland)</v>
      </c>
      <c r="G1475" s="161" t="str">
        <f>'Reported burning'!G1475</f>
        <v>ND</v>
      </c>
      <c r="H1475" s="161" t="str">
        <f>'Reported burning'!H1475</f>
        <v>Absence</v>
      </c>
      <c r="I1475" s="4"/>
      <c r="J1475" s="22">
        <v>0</v>
      </c>
      <c r="K1475" s="22">
        <v>0</v>
      </c>
      <c r="L1475" s="22">
        <v>0</v>
      </c>
      <c r="M1475" s="22">
        <v>0</v>
      </c>
      <c r="N1475" s="22">
        <v>0</v>
      </c>
      <c r="O1475" s="22">
        <v>0</v>
      </c>
      <c r="P1475" s="22">
        <v>0</v>
      </c>
      <c r="Q1475" s="22">
        <v>0</v>
      </c>
      <c r="R1475" s="22">
        <v>0</v>
      </c>
      <c r="S1475" s="22">
        <v>0</v>
      </c>
      <c r="T1475" s="22">
        <v>0</v>
      </c>
      <c r="U1475" s="22">
        <v>0</v>
      </c>
      <c r="V1475" s="22">
        <v>0</v>
      </c>
      <c r="W1475" s="4" t="s">
        <v>2308</v>
      </c>
      <c r="X1475" s="4" t="s">
        <v>2308</v>
      </c>
      <c r="Y1475" s="4" t="s">
        <v>2308</v>
      </c>
      <c r="Z1475" s="4" t="s">
        <v>2308</v>
      </c>
      <c r="AA1475" s="5" t="s">
        <v>4481</v>
      </c>
      <c r="AB1475" s="4"/>
    </row>
    <row r="1476" spans="1:28" ht="59.5" customHeight="1">
      <c r="A1476" s="161" t="str">
        <f>'Reported burning'!A1476</f>
        <v>173b</v>
      </c>
      <c r="B1476" s="161" t="str">
        <f>'Reported burning'!B1476</f>
        <v>173b.1</v>
      </c>
      <c r="C1476" s="161" t="str">
        <f>'Reported burning'!C1476</f>
        <v>Human, deliberate</v>
      </c>
      <c r="D1476" s="161" t="str">
        <f>'Reported burning'!D1476</f>
        <v>All</v>
      </c>
      <c r="E1476" s="161" t="str">
        <f>'Reported burning'!E1476</f>
        <v>All</v>
      </c>
      <c r="F1476" s="161" t="str">
        <f>'Reported burning'!F1476</f>
        <v>Forest</v>
      </c>
      <c r="G1476" s="161" t="str">
        <f>'Reported burning'!G1476</f>
        <v>ND</v>
      </c>
      <c r="H1476" s="161" t="str">
        <f>'Reported burning'!H1476</f>
        <v>Absence</v>
      </c>
      <c r="I1476" s="4"/>
      <c r="J1476" s="22">
        <v>0</v>
      </c>
      <c r="K1476" s="22">
        <v>0</v>
      </c>
      <c r="L1476" s="22">
        <v>0</v>
      </c>
      <c r="M1476" s="22">
        <v>0</v>
      </c>
      <c r="N1476" s="22">
        <v>0</v>
      </c>
      <c r="O1476" s="22">
        <v>0</v>
      </c>
      <c r="P1476" s="22">
        <v>0</v>
      </c>
      <c r="Q1476" s="22">
        <v>0</v>
      </c>
      <c r="R1476" s="22">
        <v>0</v>
      </c>
      <c r="S1476" s="22">
        <v>0</v>
      </c>
      <c r="T1476" s="22">
        <v>0</v>
      </c>
      <c r="U1476" s="22">
        <v>0</v>
      </c>
      <c r="V1476" s="22">
        <v>0</v>
      </c>
      <c r="W1476" s="4" t="s">
        <v>2308</v>
      </c>
      <c r="X1476" s="4" t="s">
        <v>2308</v>
      </c>
      <c r="Y1476" s="4" t="s">
        <v>2308</v>
      </c>
      <c r="Z1476" s="4" t="s">
        <v>2308</v>
      </c>
      <c r="AA1476" s="5" t="s">
        <v>4482</v>
      </c>
      <c r="AB1476" s="4"/>
    </row>
    <row r="1477" spans="1:28" ht="59.5" customHeight="1">
      <c r="A1477" s="161" t="str">
        <f>'Reported burning'!A1477</f>
        <v>173b</v>
      </c>
      <c r="B1477" s="161" t="str">
        <f>'Reported burning'!B1477</f>
        <v>173b.2</v>
      </c>
      <c r="C1477" s="161" t="str">
        <f>'Reported burning'!C1477</f>
        <v>Human, deliberate</v>
      </c>
      <c r="D1477" s="161" t="str">
        <f>'Reported burning'!D1477</f>
        <v>Pyrome management</v>
      </c>
      <c r="E1477" s="161" t="str">
        <f>'Reported burning'!E1477</f>
        <v>Biodiversity conservation</v>
      </c>
      <c r="F1477" s="161" t="str">
        <f>'Reported burning'!F1477</f>
        <v>Forest</v>
      </c>
      <c r="G1477" s="161" t="str">
        <f>'Reported burning'!G1477</f>
        <v>ND</v>
      </c>
      <c r="H1477" s="161" t="str">
        <f>'Reported burning'!H1477</f>
        <v>Absence</v>
      </c>
      <c r="I1477" s="4"/>
      <c r="J1477" s="22">
        <v>0</v>
      </c>
      <c r="K1477" s="22">
        <v>0</v>
      </c>
      <c r="L1477" s="22">
        <v>0</v>
      </c>
      <c r="M1477" s="22">
        <v>0</v>
      </c>
      <c r="N1477" s="22">
        <v>0</v>
      </c>
      <c r="O1477" s="22">
        <v>0</v>
      </c>
      <c r="P1477" s="22">
        <v>0</v>
      </c>
      <c r="Q1477" s="22">
        <v>0</v>
      </c>
      <c r="R1477" s="22">
        <v>0</v>
      </c>
      <c r="S1477" s="22">
        <v>0</v>
      </c>
      <c r="T1477" s="22">
        <v>0</v>
      </c>
      <c r="U1477" s="22">
        <v>0</v>
      </c>
      <c r="V1477" s="22">
        <v>0</v>
      </c>
      <c r="W1477" s="4" t="s">
        <v>2308</v>
      </c>
      <c r="X1477" s="4" t="s">
        <v>2308</v>
      </c>
      <c r="Y1477" s="4" t="s">
        <v>2308</v>
      </c>
      <c r="Z1477" s="4" t="s">
        <v>2308</v>
      </c>
      <c r="AA1477" s="20" t="s">
        <v>4485</v>
      </c>
      <c r="AB1477" s="4"/>
    </row>
    <row r="1478" spans="1:28" ht="42" customHeight="1">
      <c r="A1478" s="161" t="str">
        <f>'Reported burning'!A1478</f>
        <v>174a</v>
      </c>
      <c r="B1478" s="161" t="str">
        <f>'Reported burning'!B1478</f>
        <v>174a.1</v>
      </c>
      <c r="C1478" s="161" t="str">
        <f>'Reported burning'!C1478</f>
        <v>Human, deliberate</v>
      </c>
      <c r="D1478" s="161" t="str">
        <f>'Reported burning'!D1478</f>
        <v>Pasture renewal</v>
      </c>
      <c r="E1478" s="161" t="str">
        <f>'Reported burning'!E1478</f>
        <v>Cattle, Extensive</v>
      </c>
      <c r="F1478" s="161" t="str">
        <f>'Reported burning'!F1478</f>
        <v>Forest</v>
      </c>
      <c r="G1478" s="161" t="str">
        <f>'Reported burning'!G1478</f>
        <v>ND</v>
      </c>
      <c r="H1478" s="161" t="str">
        <f>'Reported burning'!H1478</f>
        <v>Absence</v>
      </c>
      <c r="I1478" s="4"/>
      <c r="J1478" s="22">
        <v>0</v>
      </c>
      <c r="K1478" s="22">
        <v>0</v>
      </c>
      <c r="L1478" s="22">
        <v>0</v>
      </c>
      <c r="M1478" s="22">
        <v>0</v>
      </c>
      <c r="N1478" s="22">
        <v>0</v>
      </c>
      <c r="O1478" s="22">
        <v>0</v>
      </c>
      <c r="P1478" s="22">
        <v>0</v>
      </c>
      <c r="Q1478" s="22">
        <v>0</v>
      </c>
      <c r="R1478" s="22">
        <v>0</v>
      </c>
      <c r="S1478" s="22">
        <v>0</v>
      </c>
      <c r="T1478" s="22">
        <v>0</v>
      </c>
      <c r="U1478" s="22">
        <v>0</v>
      </c>
      <c r="V1478" s="22">
        <v>0</v>
      </c>
      <c r="W1478" s="4" t="s">
        <v>2308</v>
      </c>
      <c r="X1478" s="4" t="s">
        <v>2308</v>
      </c>
      <c r="Y1478" s="4" t="s">
        <v>2308</v>
      </c>
      <c r="Z1478" s="4" t="s">
        <v>2308</v>
      </c>
      <c r="AA1478" s="5" t="s">
        <v>4496</v>
      </c>
      <c r="AB1478" s="4"/>
    </row>
    <row r="1479" spans="1:28" ht="42" customHeight="1">
      <c r="A1479" s="161" t="str">
        <f>'Reported burning'!A1479</f>
        <v>174b</v>
      </c>
      <c r="B1479" s="161" t="str">
        <f>'Reported burning'!B1479</f>
        <v>174b.1</v>
      </c>
      <c r="C1479" s="161" t="str">
        <f>'Reported burning'!C1479</f>
        <v>Human, deliberate</v>
      </c>
      <c r="D1479" s="161" t="str">
        <f>'Reported burning'!D1479</f>
        <v>Pasture renewal</v>
      </c>
      <c r="E1479" s="161" t="str">
        <f>'Reported burning'!E1479</f>
        <v>Pastoralism, Migratory</v>
      </c>
      <c r="F1479" s="161" t="str">
        <f>'Reported burning'!F1479</f>
        <v>Forest</v>
      </c>
      <c r="G1479" s="161" t="str">
        <f>'Reported burning'!G1479</f>
        <v>ND</v>
      </c>
      <c r="H1479" s="161" t="str">
        <f>'Reported burning'!H1479</f>
        <v>Absence</v>
      </c>
      <c r="I1479" s="4"/>
      <c r="J1479" s="22">
        <v>0</v>
      </c>
      <c r="K1479" s="22">
        <v>0</v>
      </c>
      <c r="L1479" s="22">
        <v>0</v>
      </c>
      <c r="M1479" s="22">
        <v>0</v>
      </c>
      <c r="N1479" s="22">
        <v>0</v>
      </c>
      <c r="O1479" s="22">
        <v>0</v>
      </c>
      <c r="P1479" s="22">
        <v>0</v>
      </c>
      <c r="Q1479" s="22">
        <v>0</v>
      </c>
      <c r="R1479" s="22">
        <v>0</v>
      </c>
      <c r="S1479" s="22">
        <v>0</v>
      </c>
      <c r="T1479" s="22">
        <v>0</v>
      </c>
      <c r="U1479" s="22">
        <v>0</v>
      </c>
      <c r="V1479" s="22">
        <v>0</v>
      </c>
      <c r="W1479" s="4" t="s">
        <v>2308</v>
      </c>
      <c r="X1479" s="4" t="s">
        <v>2308</v>
      </c>
      <c r="Y1479" s="4" t="s">
        <v>2308</v>
      </c>
      <c r="Z1479" s="4" t="s">
        <v>2308</v>
      </c>
      <c r="AA1479" s="5" t="s">
        <v>4496</v>
      </c>
      <c r="AB1479" s="4"/>
    </row>
    <row r="1480" spans="1:28" ht="42" customHeight="1">
      <c r="A1480" s="161" t="str">
        <f>'Reported burning'!A1480</f>
        <v>174a</v>
      </c>
      <c r="B1480" s="161" t="str">
        <f>'Reported burning'!B1480</f>
        <v>174a.2</v>
      </c>
      <c r="C1480" s="161" t="str">
        <f>'Reported burning'!C1480</f>
        <v>Human, deliberate</v>
      </c>
      <c r="D1480" s="161" t="str">
        <f>'Reported burning'!D1480</f>
        <v>Pasture renewal</v>
      </c>
      <c r="E1480" s="161" t="str">
        <f>'Reported burning'!E1480</f>
        <v>Cattle, Extensive</v>
      </c>
      <c r="F1480" s="161" t="str">
        <f>'Reported burning'!F1480</f>
        <v>Shrubland (Mixed forest &amp; grassland)</v>
      </c>
      <c r="G1480" s="161" t="str">
        <f>'Reported burning'!G1480</f>
        <v>ND</v>
      </c>
      <c r="H1480" s="161" t="str">
        <f>'Reported burning'!H1480</f>
        <v>Absence</v>
      </c>
      <c r="I1480" s="4"/>
      <c r="J1480" s="22">
        <v>0</v>
      </c>
      <c r="K1480" s="22">
        <v>0</v>
      </c>
      <c r="L1480" s="22">
        <v>0</v>
      </c>
      <c r="M1480" s="22">
        <v>0</v>
      </c>
      <c r="N1480" s="22">
        <v>0</v>
      </c>
      <c r="O1480" s="22">
        <v>0</v>
      </c>
      <c r="P1480" s="22">
        <v>0</v>
      </c>
      <c r="Q1480" s="22">
        <v>0</v>
      </c>
      <c r="R1480" s="22">
        <v>0</v>
      </c>
      <c r="S1480" s="22">
        <v>0</v>
      </c>
      <c r="T1480" s="22">
        <v>0</v>
      </c>
      <c r="U1480" s="22">
        <v>0</v>
      </c>
      <c r="V1480" s="22">
        <v>0</v>
      </c>
      <c r="W1480" s="4" t="s">
        <v>2308</v>
      </c>
      <c r="X1480" s="4" t="s">
        <v>2308</v>
      </c>
      <c r="Y1480" s="4" t="s">
        <v>2308</v>
      </c>
      <c r="Z1480" s="4" t="s">
        <v>2308</v>
      </c>
      <c r="AA1480" s="5" t="s">
        <v>4496</v>
      </c>
      <c r="AB1480" s="4"/>
    </row>
    <row r="1481" spans="1:28" ht="42" customHeight="1">
      <c r="A1481" s="161" t="str">
        <f>'Reported burning'!A1481</f>
        <v>174b</v>
      </c>
      <c r="B1481" s="161" t="str">
        <f>'Reported burning'!B1481</f>
        <v>174b.2</v>
      </c>
      <c r="C1481" s="161" t="str">
        <f>'Reported burning'!C1481</f>
        <v>Human, deliberate</v>
      </c>
      <c r="D1481" s="161" t="str">
        <f>'Reported burning'!D1481</f>
        <v>Pasture renewal</v>
      </c>
      <c r="E1481" s="161" t="str">
        <f>'Reported burning'!E1481</f>
        <v>Pastoralism, Migratory</v>
      </c>
      <c r="F1481" s="161" t="str">
        <f>'Reported burning'!F1481</f>
        <v>Shrubland (Mixed forest &amp; grassland)</v>
      </c>
      <c r="G1481" s="161" t="str">
        <f>'Reported burning'!G1481</f>
        <v>ND</v>
      </c>
      <c r="H1481" s="161" t="str">
        <f>'Reported burning'!H1481</f>
        <v>Absence</v>
      </c>
      <c r="I1481" s="4"/>
      <c r="J1481" s="22">
        <v>0</v>
      </c>
      <c r="K1481" s="22">
        <v>0</v>
      </c>
      <c r="L1481" s="22">
        <v>0</v>
      </c>
      <c r="M1481" s="22">
        <v>0</v>
      </c>
      <c r="N1481" s="22">
        <v>0</v>
      </c>
      <c r="O1481" s="22">
        <v>0</v>
      </c>
      <c r="P1481" s="22">
        <v>0</v>
      </c>
      <c r="Q1481" s="22">
        <v>0</v>
      </c>
      <c r="R1481" s="22">
        <v>0</v>
      </c>
      <c r="S1481" s="22">
        <v>0</v>
      </c>
      <c r="T1481" s="22">
        <v>0</v>
      </c>
      <c r="U1481" s="22">
        <v>0</v>
      </c>
      <c r="V1481" s="22">
        <v>0</v>
      </c>
      <c r="W1481" s="4" t="s">
        <v>2308</v>
      </c>
      <c r="X1481" s="4" t="s">
        <v>2308</v>
      </c>
      <c r="Y1481" s="4" t="s">
        <v>2308</v>
      </c>
      <c r="Z1481" s="4" t="s">
        <v>2308</v>
      </c>
      <c r="AA1481" s="5" t="s">
        <v>4496</v>
      </c>
      <c r="AB1481" s="4"/>
    </row>
    <row r="1482" spans="1:28" ht="56.5" customHeight="1">
      <c r="A1482" s="161" t="str">
        <f>'Reported burning'!A1482</f>
        <v>174a</v>
      </c>
      <c r="B1482" s="161" t="str">
        <f>'Reported burning'!B1482</f>
        <v>174a.3</v>
      </c>
      <c r="C1482" s="161" t="str">
        <f>'Reported burning'!C1482</f>
        <v>All</v>
      </c>
      <c r="D1482" s="161" t="str">
        <f>'Reported burning'!D1482</f>
        <v>All</v>
      </c>
      <c r="E1482" s="161" t="str">
        <f>'Reported burning'!E1482</f>
        <v>All</v>
      </c>
      <c r="F1482" s="161" t="str">
        <f>'Reported burning'!F1482</f>
        <v>ND</v>
      </c>
      <c r="G1482" s="161" t="str">
        <f>'Reported burning'!G1482</f>
        <v>Shrubland (Mixed forest &amp; grassland)</v>
      </c>
      <c r="H1482" s="161" t="str">
        <f>'Reported burning'!H1482</f>
        <v>Absence</v>
      </c>
      <c r="I1482" s="4"/>
      <c r="J1482" s="22">
        <v>0</v>
      </c>
      <c r="K1482" s="22">
        <v>0</v>
      </c>
      <c r="L1482" s="22">
        <v>0</v>
      </c>
      <c r="M1482" s="22">
        <v>0</v>
      </c>
      <c r="N1482" s="22">
        <v>0</v>
      </c>
      <c r="O1482" s="22">
        <v>0</v>
      </c>
      <c r="P1482" s="22">
        <v>0</v>
      </c>
      <c r="Q1482" s="22">
        <v>0</v>
      </c>
      <c r="R1482" s="22">
        <v>0</v>
      </c>
      <c r="S1482" s="22">
        <v>0</v>
      </c>
      <c r="T1482" s="22">
        <v>0</v>
      </c>
      <c r="U1482" s="22">
        <v>0</v>
      </c>
      <c r="V1482" s="22">
        <v>0</v>
      </c>
      <c r="W1482" s="4" t="s">
        <v>2308</v>
      </c>
      <c r="X1482" s="4" t="s">
        <v>2308</v>
      </c>
      <c r="Y1482" s="4" t="s">
        <v>2308</v>
      </c>
      <c r="Z1482" s="4" t="s">
        <v>2308</v>
      </c>
      <c r="AA1482" s="5" t="s">
        <v>4497</v>
      </c>
      <c r="AB1482" s="4"/>
    </row>
    <row r="1483" spans="1:28" ht="59.5" customHeight="1">
      <c r="A1483" s="161" t="str">
        <f>'Reported burning'!A1483</f>
        <v>174b</v>
      </c>
      <c r="B1483" s="161" t="str">
        <f>'Reported burning'!B1483</f>
        <v>174b.3</v>
      </c>
      <c r="C1483" s="161" t="str">
        <f>'Reported burning'!C1483</f>
        <v>All</v>
      </c>
      <c r="D1483" s="161" t="str">
        <f>'Reported burning'!D1483</f>
        <v>All</v>
      </c>
      <c r="E1483" s="161" t="str">
        <f>'Reported burning'!E1483</f>
        <v>All</v>
      </c>
      <c r="F1483" s="161" t="str">
        <f>'Reported burning'!F1483</f>
        <v>ND</v>
      </c>
      <c r="G1483" s="161" t="str">
        <f>'Reported burning'!G1483</f>
        <v>Shrubland (Mixed forest &amp; grassland)</v>
      </c>
      <c r="H1483" s="161" t="str">
        <f>'Reported burning'!H1483</f>
        <v>Absence</v>
      </c>
      <c r="I1483" s="4"/>
      <c r="J1483" s="22">
        <v>0</v>
      </c>
      <c r="K1483" s="22">
        <v>0</v>
      </c>
      <c r="L1483" s="22">
        <v>0</v>
      </c>
      <c r="M1483" s="22">
        <v>0</v>
      </c>
      <c r="N1483" s="22">
        <v>0</v>
      </c>
      <c r="O1483" s="22">
        <v>0</v>
      </c>
      <c r="P1483" s="22">
        <v>0</v>
      </c>
      <c r="Q1483" s="22">
        <v>0</v>
      </c>
      <c r="R1483" s="22">
        <v>0</v>
      </c>
      <c r="S1483" s="22">
        <v>0</v>
      </c>
      <c r="T1483" s="22">
        <v>0</v>
      </c>
      <c r="U1483" s="22">
        <v>0</v>
      </c>
      <c r="V1483" s="22">
        <v>0</v>
      </c>
      <c r="W1483" s="4" t="s">
        <v>2308</v>
      </c>
      <c r="X1483" s="4" t="s">
        <v>2308</v>
      </c>
      <c r="Y1483" s="4" t="s">
        <v>2308</v>
      </c>
      <c r="Z1483" s="4" t="s">
        <v>2308</v>
      </c>
      <c r="AA1483" s="5" t="s">
        <v>4497</v>
      </c>
      <c r="AB1483" s="4"/>
    </row>
    <row r="1484" spans="1:28" ht="42" customHeight="1">
      <c r="A1484" s="161" t="str">
        <f>'Reported burning'!A1484</f>
        <v>175a</v>
      </c>
      <c r="B1484" s="161" t="str">
        <f>'Reported burning'!B1484</f>
        <v>175a.1</v>
      </c>
      <c r="C1484" s="161" t="str">
        <f>'Reported burning'!C1484</f>
        <v>Human, deliberate</v>
      </c>
      <c r="D1484" s="161" t="str">
        <f>'Reported burning'!D1484</f>
        <v>Crop field preparation</v>
      </c>
      <c r="E1484" s="161" t="str">
        <f>'Reported burning'!E1484</f>
        <v>Cropping, Swidden</v>
      </c>
      <c r="F1484" s="161" t="str">
        <f>'Reported burning'!F1484</f>
        <v>Secondary Vegetation</v>
      </c>
      <c r="G1484" s="161" t="str">
        <f>'Reported burning'!G1484</f>
        <v>ND</v>
      </c>
      <c r="H1484" s="161" t="str">
        <f>'Reported burning'!H1484</f>
        <v>Presence</v>
      </c>
      <c r="I1484" s="4"/>
      <c r="J1484" s="4" t="s">
        <v>2308</v>
      </c>
      <c r="K1484" s="4" t="s">
        <v>2308</v>
      </c>
      <c r="L1484" s="4" t="s">
        <v>2308</v>
      </c>
      <c r="M1484" s="4" t="s">
        <v>2308</v>
      </c>
      <c r="N1484" s="4" t="s">
        <v>2308</v>
      </c>
      <c r="O1484" s="4" t="s">
        <v>2308</v>
      </c>
      <c r="P1484" s="4" t="s">
        <v>2308</v>
      </c>
      <c r="Q1484" s="4" t="s">
        <v>2308</v>
      </c>
      <c r="R1484" s="4" t="s">
        <v>2308</v>
      </c>
      <c r="S1484" s="4" t="s">
        <v>2308</v>
      </c>
      <c r="T1484" s="4" t="s">
        <v>2308</v>
      </c>
      <c r="U1484" s="4" t="s">
        <v>2308</v>
      </c>
      <c r="V1484" s="4" t="s">
        <v>2308</v>
      </c>
      <c r="W1484" t="s">
        <v>2879</v>
      </c>
      <c r="X1484" s="4" t="s">
        <v>2308</v>
      </c>
      <c r="Y1484" s="4" t="s">
        <v>2308</v>
      </c>
      <c r="Z1484" s="4" t="s">
        <v>2308</v>
      </c>
      <c r="AA1484" s="4"/>
      <c r="AB1484" s="5" t="s">
        <v>4510</v>
      </c>
    </row>
    <row r="1485" spans="1:28" ht="42" customHeight="1">
      <c r="A1485" s="161" t="str">
        <f>'Reported burning'!A1485</f>
        <v>175a</v>
      </c>
      <c r="B1485" s="161" t="str">
        <f>'Reported burning'!B1485</f>
        <v>175a.2</v>
      </c>
      <c r="C1485" s="161" t="str">
        <f>'Reported burning'!C1485</f>
        <v>Human, deliberate</v>
      </c>
      <c r="D1485" s="161" t="str">
        <f>'Reported burning'!D1485</f>
        <v>Vegetation management</v>
      </c>
      <c r="E1485" s="161" t="str">
        <f>'Reported burning'!E1485</f>
        <v>Cropping, Swidden</v>
      </c>
      <c r="F1485" s="161" t="str">
        <f>'Reported burning'!F1485</f>
        <v>Cropland</v>
      </c>
      <c r="G1485" s="161" t="str">
        <f>'Reported burning'!G1485</f>
        <v>ND</v>
      </c>
      <c r="H1485" s="161" t="str">
        <f>'Reported burning'!H1485</f>
        <v>Presence</v>
      </c>
      <c r="I1485" s="4"/>
      <c r="J1485" s="4" t="s">
        <v>2308</v>
      </c>
      <c r="K1485" s="4" t="s">
        <v>2308</v>
      </c>
      <c r="L1485" s="4" t="s">
        <v>2308</v>
      </c>
      <c r="M1485" s="4" t="s">
        <v>2308</v>
      </c>
      <c r="N1485" s="4" t="s">
        <v>2308</v>
      </c>
      <c r="O1485" s="4" t="s">
        <v>2308</v>
      </c>
      <c r="P1485" s="4" t="s">
        <v>2308</v>
      </c>
      <c r="Q1485" s="4" t="s">
        <v>2308</v>
      </c>
      <c r="R1485" s="4" t="s">
        <v>2308</v>
      </c>
      <c r="S1485" s="4" t="s">
        <v>2308</v>
      </c>
      <c r="T1485" s="4" t="s">
        <v>2308</v>
      </c>
      <c r="U1485" s="4" t="s">
        <v>2308</v>
      </c>
      <c r="V1485" s="4" t="s">
        <v>2308</v>
      </c>
      <c r="W1485" s="4" t="s">
        <v>2308</v>
      </c>
      <c r="X1485" s="4" t="s">
        <v>2308</v>
      </c>
      <c r="Y1485" s="4" t="s">
        <v>2308</v>
      </c>
      <c r="Z1485" s="4" t="s">
        <v>2308</v>
      </c>
      <c r="AA1485" s="4"/>
      <c r="AB1485" s="4"/>
    </row>
    <row r="1486" spans="1:28" ht="41" customHeight="1">
      <c r="A1486" s="165" t="str">
        <f>'Reported burning'!A1486</f>
        <v>175b</v>
      </c>
      <c r="B1486" s="165" t="str">
        <f>'Reported burning'!B1486</f>
        <v>175b.1</v>
      </c>
      <c r="C1486" s="165" t="str">
        <f>'Reported burning'!C1486</f>
        <v>Human, deliberate</v>
      </c>
      <c r="D1486" s="165" t="str">
        <f>'Reported burning'!D1486</f>
        <v>Crop field preparation</v>
      </c>
      <c r="E1486" s="165" t="str">
        <f>'Reported burning'!E1486</f>
        <v>Cropping, Swidden</v>
      </c>
      <c r="F1486" s="165" t="str">
        <f>'Reported burning'!F1486</f>
        <v>Secondary Vegetation</v>
      </c>
      <c r="G1486" s="165" t="str">
        <f>'Reported burning'!G1486</f>
        <v>ND</v>
      </c>
      <c r="H1486" s="165" t="str">
        <f>'Reported burning'!H1486</f>
        <v>Presence</v>
      </c>
      <c r="I1486" s="6"/>
      <c r="J1486" s="4" t="s">
        <v>2308</v>
      </c>
      <c r="K1486" s="4" t="s">
        <v>2308</v>
      </c>
      <c r="L1486" s="4" t="s">
        <v>2308</v>
      </c>
      <c r="M1486" s="4" t="s">
        <v>2308</v>
      </c>
      <c r="N1486" s="4" t="s">
        <v>2308</v>
      </c>
      <c r="O1486" s="4" t="s">
        <v>2308</v>
      </c>
      <c r="P1486" s="4" t="s">
        <v>2308</v>
      </c>
      <c r="Q1486" s="4" t="s">
        <v>2308</v>
      </c>
      <c r="R1486" s="4" t="s">
        <v>2308</v>
      </c>
      <c r="S1486" s="4" t="s">
        <v>2308</v>
      </c>
      <c r="T1486" s="4" t="s">
        <v>2308</v>
      </c>
      <c r="U1486" s="4" t="s">
        <v>2308</v>
      </c>
      <c r="V1486" s="4" t="s">
        <v>2308</v>
      </c>
      <c r="W1486" s="4" t="s">
        <v>2435</v>
      </c>
      <c r="X1486" s="4" t="s">
        <v>2308</v>
      </c>
      <c r="Y1486" s="4" t="s">
        <v>2308</v>
      </c>
      <c r="Z1486" s="4" t="s">
        <v>2308</v>
      </c>
      <c r="AA1486" s="5"/>
      <c r="AB1486" s="5" t="s">
        <v>4513</v>
      </c>
    </row>
    <row r="1487" spans="1:28" ht="41" customHeight="1">
      <c r="A1487" s="161" t="str">
        <f>'Reported burning'!A1487</f>
        <v>175b</v>
      </c>
      <c r="B1487" s="161" t="str">
        <f>'Reported burning'!B1487</f>
        <v>175b.2</v>
      </c>
      <c r="C1487" s="161" t="str">
        <f>'Reported burning'!C1487</f>
        <v>Human, deliberate</v>
      </c>
      <c r="D1487" s="161" t="str">
        <f>'Reported burning'!D1487</f>
        <v>Crop residue burning</v>
      </c>
      <c r="E1487" s="161" t="str">
        <f>'Reported burning'!E1487</f>
        <v>Cropping, Swidden</v>
      </c>
      <c r="F1487" s="161" t="str">
        <f>'Reported burning'!F1487</f>
        <v>Cropland</v>
      </c>
      <c r="G1487" s="161" t="str">
        <f>'Reported burning'!G1487</f>
        <v>ND</v>
      </c>
      <c r="H1487" s="161" t="str">
        <f>'Reported burning'!H1487</f>
        <v>Presence</v>
      </c>
      <c r="I1487" s="4"/>
      <c r="J1487" s="4" t="s">
        <v>2308</v>
      </c>
      <c r="K1487" s="4" t="s">
        <v>2308</v>
      </c>
      <c r="L1487" s="4" t="s">
        <v>2308</v>
      </c>
      <c r="M1487" s="4" t="s">
        <v>2308</v>
      </c>
      <c r="N1487" s="4" t="s">
        <v>2308</v>
      </c>
      <c r="O1487" s="4" t="s">
        <v>2308</v>
      </c>
      <c r="P1487" s="4" t="s">
        <v>2308</v>
      </c>
      <c r="Q1487" s="4" t="s">
        <v>2308</v>
      </c>
      <c r="R1487" s="4" t="s">
        <v>2308</v>
      </c>
      <c r="S1487" s="4" t="s">
        <v>2308</v>
      </c>
      <c r="T1487" s="4" t="s">
        <v>2308</v>
      </c>
      <c r="U1487" s="4" t="s">
        <v>2308</v>
      </c>
      <c r="V1487" s="4" t="s">
        <v>2308</v>
      </c>
      <c r="W1487" s="4" t="s">
        <v>2308</v>
      </c>
      <c r="X1487" s="4" t="s">
        <v>2308</v>
      </c>
      <c r="Y1487" s="4" t="s">
        <v>2308</v>
      </c>
      <c r="Z1487" s="4" t="s">
        <v>2308</v>
      </c>
      <c r="AA1487" s="5"/>
      <c r="AB1487" s="4"/>
    </row>
    <row r="1488" spans="1:28" ht="44.5" customHeight="1">
      <c r="A1488" s="161" t="str">
        <f>'Reported burning'!A1488</f>
        <v>175b</v>
      </c>
      <c r="B1488" s="161" t="str">
        <f>'Reported burning'!B1488</f>
        <v>175b.3</v>
      </c>
      <c r="C1488" s="161" t="str">
        <f>'Reported burning'!C1488</f>
        <v>Human, deliberate</v>
      </c>
      <c r="D1488" s="161" t="str">
        <f>'Reported burning'!D1488</f>
        <v>Vegetation management</v>
      </c>
      <c r="E1488" s="161" t="str">
        <f>'Reported burning'!E1488</f>
        <v>Cropping, Swidden</v>
      </c>
      <c r="F1488" s="161" t="str">
        <f>'Reported burning'!F1488</f>
        <v>Cropland</v>
      </c>
      <c r="G1488" s="161" t="str">
        <f>'Reported burning'!G1488</f>
        <v>ND</v>
      </c>
      <c r="H1488" s="161" t="str">
        <f>'Reported burning'!H1488</f>
        <v>Absence</v>
      </c>
      <c r="I1488" s="4"/>
      <c r="J1488" s="22">
        <v>0</v>
      </c>
      <c r="K1488" s="22">
        <v>0</v>
      </c>
      <c r="L1488" s="22">
        <v>0</v>
      </c>
      <c r="M1488" s="22">
        <v>0</v>
      </c>
      <c r="N1488" s="22">
        <v>0</v>
      </c>
      <c r="O1488" s="22">
        <v>0</v>
      </c>
      <c r="P1488" s="22">
        <v>0</v>
      </c>
      <c r="Q1488" s="22">
        <v>0</v>
      </c>
      <c r="R1488" s="22">
        <v>0</v>
      </c>
      <c r="S1488" s="22">
        <v>0</v>
      </c>
      <c r="T1488" s="22">
        <v>0</v>
      </c>
      <c r="U1488" s="22">
        <v>0</v>
      </c>
      <c r="V1488" s="22">
        <v>0</v>
      </c>
      <c r="W1488" s="4" t="s">
        <v>2308</v>
      </c>
      <c r="X1488" s="4" t="s">
        <v>2308</v>
      </c>
      <c r="Y1488" s="4" t="s">
        <v>2308</v>
      </c>
      <c r="Z1488" s="4" t="s">
        <v>2308</v>
      </c>
      <c r="AA1488" s="4"/>
      <c r="AB1488" s="4"/>
    </row>
    <row r="1489" spans="1:28" ht="44.5" customHeight="1">
      <c r="A1489" s="161" t="str">
        <f>'Reported burning'!A1489</f>
        <v>175c</v>
      </c>
      <c r="B1489" s="161" t="str">
        <f>'Reported burning'!B1489</f>
        <v>175c.1</v>
      </c>
      <c r="C1489" s="161" t="str">
        <f>'Reported burning'!C1489</f>
        <v>Human, deliberate</v>
      </c>
      <c r="D1489" s="161" t="str">
        <f>'Reported burning'!D1489</f>
        <v>Crop field preparation</v>
      </c>
      <c r="E1489" s="161" t="str">
        <f>'Reported burning'!E1489</f>
        <v>Cropping, Swidden</v>
      </c>
      <c r="F1489" s="161" t="str">
        <f>'Reported burning'!F1489</f>
        <v>Secondary Vegetation</v>
      </c>
      <c r="G1489" s="161" t="str">
        <f>'Reported burning'!G1489</f>
        <v>ND</v>
      </c>
      <c r="H1489" s="161" t="str">
        <f>'Reported burning'!H1489</f>
        <v>Presence</v>
      </c>
      <c r="I1489" s="4"/>
      <c r="J1489" s="4" t="s">
        <v>2308</v>
      </c>
      <c r="K1489" s="4" t="s">
        <v>2308</v>
      </c>
      <c r="L1489" s="4" t="s">
        <v>2308</v>
      </c>
      <c r="M1489" s="4" t="s">
        <v>2308</v>
      </c>
      <c r="N1489" s="4" t="s">
        <v>2308</v>
      </c>
      <c r="O1489" s="4" t="s">
        <v>2407</v>
      </c>
      <c r="P1489" s="4" t="s">
        <v>2308</v>
      </c>
      <c r="Q1489" s="4" t="s">
        <v>2394</v>
      </c>
      <c r="R1489" s="4" t="s">
        <v>2308</v>
      </c>
      <c r="S1489" s="4" t="s">
        <v>2308</v>
      </c>
      <c r="T1489" s="4" t="s">
        <v>2308</v>
      </c>
      <c r="U1489" s="4" t="s">
        <v>2308</v>
      </c>
      <c r="V1489" s="4" t="s">
        <v>2308</v>
      </c>
      <c r="W1489" s="4" t="s">
        <v>2308</v>
      </c>
      <c r="X1489" s="4" t="s">
        <v>2308</v>
      </c>
      <c r="Y1489" s="4" t="s">
        <v>2308</v>
      </c>
      <c r="Z1489" s="4" t="s">
        <v>2308</v>
      </c>
      <c r="AA1489" s="4"/>
      <c r="AB1489" s="4" t="s">
        <v>4520</v>
      </c>
    </row>
    <row r="1490" spans="1:28" ht="41" customHeight="1">
      <c r="A1490" s="161" t="str">
        <f>'Reported burning'!A1490</f>
        <v>176a</v>
      </c>
      <c r="B1490" s="161" t="str">
        <f>'Reported burning'!B1490</f>
        <v>176a.1</v>
      </c>
      <c r="C1490" s="161" t="str">
        <f>'Reported burning'!C1490</f>
        <v>Human, deliberate</v>
      </c>
      <c r="D1490" s="161" t="str">
        <f>'Reported burning'!D1490</f>
        <v>Rangeland management</v>
      </c>
      <c r="E1490" s="161" t="str">
        <f>'Reported burning'!E1490</f>
        <v>Pastoralism, Migratory</v>
      </c>
      <c r="F1490" s="161" t="str">
        <f>'Reported burning'!F1490</f>
        <v>Shrubland (Mixed forest &amp; grassland)</v>
      </c>
      <c r="G1490" s="161" t="str">
        <f>'Reported burning'!G1490</f>
        <v>ND</v>
      </c>
      <c r="H1490" s="161" t="str">
        <f>'Reported burning'!H1490</f>
        <v>Presence</v>
      </c>
      <c r="I1490" s="4"/>
      <c r="J1490" s="4" t="s">
        <v>2308</v>
      </c>
      <c r="K1490" s="4" t="s">
        <v>2308</v>
      </c>
      <c r="L1490" s="4" t="s">
        <v>2308</v>
      </c>
      <c r="M1490" s="4" t="s">
        <v>2308</v>
      </c>
      <c r="N1490" s="4" t="s">
        <v>2308</v>
      </c>
      <c r="O1490" s="4" t="s">
        <v>2308</v>
      </c>
      <c r="P1490" s="4" t="s">
        <v>2308</v>
      </c>
      <c r="Q1490" s="4" t="s">
        <v>2308</v>
      </c>
      <c r="R1490" s="4" t="s">
        <v>2308</v>
      </c>
      <c r="S1490" s="4" t="s">
        <v>2308</v>
      </c>
      <c r="T1490" s="4" t="s">
        <v>2308</v>
      </c>
      <c r="U1490" s="4" t="s">
        <v>2308</v>
      </c>
      <c r="V1490" s="4" t="s">
        <v>2308</v>
      </c>
      <c r="W1490" s="4" t="s">
        <v>2308</v>
      </c>
      <c r="X1490" s="4" t="s">
        <v>2308</v>
      </c>
      <c r="Y1490" s="4" t="s">
        <v>2308</v>
      </c>
      <c r="Z1490" s="4" t="s">
        <v>2308</v>
      </c>
      <c r="AA1490" s="4"/>
      <c r="AB1490" s="4"/>
    </row>
    <row r="1491" spans="1:28" ht="47.5" customHeight="1">
      <c r="A1491" s="161" t="str">
        <f>'Reported burning'!A1491</f>
        <v>176a</v>
      </c>
      <c r="B1491" s="161" t="str">
        <f>'Reported burning'!B1491</f>
        <v>176a.2</v>
      </c>
      <c r="C1491" s="161" t="str">
        <f>'Reported burning'!C1491</f>
        <v>Human, deliberate</v>
      </c>
      <c r="D1491" s="161" t="str">
        <f>'Reported burning'!D1491</f>
        <v>Land clearance</v>
      </c>
      <c r="E1491" s="161" t="str">
        <f>'Reported burning'!E1491</f>
        <v>Pastoralism, Migratory</v>
      </c>
      <c r="F1491" s="161" t="str">
        <f>'Reported burning'!F1491</f>
        <v>Shrubland (Mixed forest &amp; grassland)</v>
      </c>
      <c r="G1491" s="161" t="str">
        <f>'Reported burning'!G1491</f>
        <v>ND</v>
      </c>
      <c r="H1491" s="161" t="str">
        <f>'Reported burning'!H1491</f>
        <v>Presence</v>
      </c>
      <c r="I1491" s="4"/>
      <c r="J1491" s="4" t="s">
        <v>2308</v>
      </c>
      <c r="K1491" s="4" t="s">
        <v>2308</v>
      </c>
      <c r="L1491" s="4" t="s">
        <v>2308</v>
      </c>
      <c r="M1491" s="4" t="s">
        <v>2308</v>
      </c>
      <c r="N1491" s="4" t="s">
        <v>2308</v>
      </c>
      <c r="O1491" s="4" t="s">
        <v>2308</v>
      </c>
      <c r="P1491" s="4" t="s">
        <v>2308</v>
      </c>
      <c r="Q1491" s="4" t="s">
        <v>2308</v>
      </c>
      <c r="R1491" s="4" t="s">
        <v>2308</v>
      </c>
      <c r="S1491" s="4" t="s">
        <v>2308</v>
      </c>
      <c r="T1491" s="4" t="s">
        <v>2308</v>
      </c>
      <c r="U1491" s="4" t="s">
        <v>2308</v>
      </c>
      <c r="V1491" s="4" t="s">
        <v>2308</v>
      </c>
      <c r="W1491" s="4" t="s">
        <v>2308</v>
      </c>
      <c r="X1491" s="4" t="s">
        <v>2308</v>
      </c>
      <c r="Y1491" s="4" t="s">
        <v>2308</v>
      </c>
      <c r="Z1491" s="4" t="s">
        <v>2308</v>
      </c>
      <c r="AA1491" s="182" t="s">
        <v>4531</v>
      </c>
      <c r="AB1491" s="4"/>
    </row>
    <row r="1492" spans="1:28" ht="47.5" customHeight="1">
      <c r="A1492" s="161" t="str">
        <f>'Reported burning'!A1492</f>
        <v>176a</v>
      </c>
      <c r="B1492" s="161" t="str">
        <f>'Reported burning'!B1492</f>
        <v>176a.3</v>
      </c>
      <c r="C1492" s="161" t="str">
        <f>'Reported burning'!C1492</f>
        <v>Human, deliberate</v>
      </c>
      <c r="D1492" s="161" t="str">
        <f>'Reported burning'!D1492</f>
        <v>Accessibility</v>
      </c>
      <c r="E1492" s="161" t="str">
        <f>'Reported burning'!E1492</f>
        <v>Pastoralism, Migratory</v>
      </c>
      <c r="F1492" s="161" t="str">
        <f>'Reported burning'!F1492</f>
        <v>Shrubland (Mixed forest &amp; grassland)</v>
      </c>
      <c r="G1492" s="161" t="str">
        <f>'Reported burning'!G1492</f>
        <v>ND</v>
      </c>
      <c r="H1492" s="161" t="str">
        <f>'Reported burning'!H1492</f>
        <v>Presence</v>
      </c>
      <c r="I1492" s="4"/>
      <c r="J1492" s="4" t="s">
        <v>2308</v>
      </c>
      <c r="K1492" s="4" t="s">
        <v>2308</v>
      </c>
      <c r="L1492" s="4" t="s">
        <v>2308</v>
      </c>
      <c r="M1492" s="4" t="s">
        <v>2308</v>
      </c>
      <c r="N1492" s="4" t="s">
        <v>2308</v>
      </c>
      <c r="O1492" s="4" t="s">
        <v>2308</v>
      </c>
      <c r="P1492" s="4" t="s">
        <v>2308</v>
      </c>
      <c r="Q1492" s="4" t="s">
        <v>2308</v>
      </c>
      <c r="R1492" s="4" t="s">
        <v>2308</v>
      </c>
      <c r="S1492" s="4" t="s">
        <v>2308</v>
      </c>
      <c r="T1492" s="4" t="s">
        <v>2308</v>
      </c>
      <c r="U1492" s="4" t="s">
        <v>2308</v>
      </c>
      <c r="V1492" s="4" t="s">
        <v>2308</v>
      </c>
      <c r="W1492" s="4" t="s">
        <v>2308</v>
      </c>
      <c r="X1492" s="4" t="s">
        <v>2308</v>
      </c>
      <c r="Y1492" s="4" t="s">
        <v>2308</v>
      </c>
      <c r="Z1492" s="4" t="s">
        <v>2308</v>
      </c>
      <c r="AA1492" s="120" t="s">
        <v>4531</v>
      </c>
      <c r="AB1492" s="4"/>
    </row>
    <row r="1493" spans="1:28" ht="47.5" customHeight="1">
      <c r="A1493" s="161" t="str">
        <f>'Reported burning'!A1493</f>
        <v>176a</v>
      </c>
      <c r="B1493" s="161" t="str">
        <f>'Reported burning'!B1493</f>
        <v>176a.4</v>
      </c>
      <c r="C1493" s="161" t="str">
        <f>'Reported burning'!C1493</f>
        <v>Human, deliberate</v>
      </c>
      <c r="D1493" s="161" t="str">
        <f>'Reported burning'!D1493</f>
        <v>Land clearance</v>
      </c>
      <c r="E1493" s="161" t="str">
        <f>'Reported burning'!E1493</f>
        <v>Pastoralism, Migratory</v>
      </c>
      <c r="F1493" s="161" t="str">
        <f>'Reported burning'!F1493</f>
        <v>Forest</v>
      </c>
      <c r="G1493" s="161" t="str">
        <f>'Reported burning'!G1493</f>
        <v>ND</v>
      </c>
      <c r="H1493" s="161" t="str">
        <f>'Reported burning'!H1493</f>
        <v>Presence</v>
      </c>
      <c r="I1493" s="4"/>
      <c r="J1493" s="4" t="s">
        <v>2308</v>
      </c>
      <c r="K1493" s="4" t="s">
        <v>2308</v>
      </c>
      <c r="L1493" s="4" t="s">
        <v>2308</v>
      </c>
      <c r="M1493" s="4" t="s">
        <v>2308</v>
      </c>
      <c r="N1493" s="4" t="s">
        <v>2308</v>
      </c>
      <c r="O1493" s="4" t="s">
        <v>2308</v>
      </c>
      <c r="P1493" s="4" t="s">
        <v>2308</v>
      </c>
      <c r="Q1493" s="4" t="s">
        <v>2308</v>
      </c>
      <c r="R1493" s="4" t="s">
        <v>2308</v>
      </c>
      <c r="S1493" s="4" t="s">
        <v>2308</v>
      </c>
      <c r="T1493" s="4" t="s">
        <v>2308</v>
      </c>
      <c r="U1493" s="4" t="s">
        <v>2308</v>
      </c>
      <c r="V1493" s="4" t="s">
        <v>2308</v>
      </c>
      <c r="W1493" s="4" t="s">
        <v>2308</v>
      </c>
      <c r="X1493" s="4" t="s">
        <v>2308</v>
      </c>
      <c r="Y1493" s="4" t="s">
        <v>2308</v>
      </c>
      <c r="Z1493" s="4" t="s">
        <v>2308</v>
      </c>
      <c r="AA1493" s="120" t="s">
        <v>4531</v>
      </c>
      <c r="AB1493" s="4"/>
    </row>
    <row r="1494" spans="1:28" ht="47.5" customHeight="1">
      <c r="A1494" s="161" t="str">
        <f>'Reported burning'!A1494</f>
        <v>176a</v>
      </c>
      <c r="B1494" s="161" t="str">
        <f>'Reported burning'!B1494</f>
        <v>176a.5</v>
      </c>
      <c r="C1494" s="161" t="str">
        <f>'Reported burning'!C1494</f>
        <v>Human, deliberate</v>
      </c>
      <c r="D1494" s="161" t="str">
        <f>'Reported burning'!D1494</f>
        <v>Accessibility</v>
      </c>
      <c r="E1494" s="161" t="str">
        <f>'Reported burning'!E1494</f>
        <v>Pastoralism, Migratory</v>
      </c>
      <c r="F1494" s="161" t="str">
        <f>'Reported burning'!F1494</f>
        <v>Forest</v>
      </c>
      <c r="G1494" s="161" t="str">
        <f>'Reported burning'!G1494</f>
        <v>ND</v>
      </c>
      <c r="H1494" s="161" t="str">
        <f>'Reported burning'!H1494</f>
        <v>Presence</v>
      </c>
      <c r="I1494" s="4"/>
      <c r="J1494" s="4" t="s">
        <v>2308</v>
      </c>
      <c r="K1494" s="4" t="s">
        <v>2308</v>
      </c>
      <c r="L1494" s="4" t="s">
        <v>2308</v>
      </c>
      <c r="M1494" s="4" t="s">
        <v>2308</v>
      </c>
      <c r="N1494" s="4" t="s">
        <v>2308</v>
      </c>
      <c r="O1494" s="4" t="s">
        <v>2308</v>
      </c>
      <c r="P1494" s="4" t="s">
        <v>2308</v>
      </c>
      <c r="Q1494" s="4" t="s">
        <v>2308</v>
      </c>
      <c r="R1494" s="4" t="s">
        <v>2308</v>
      </c>
      <c r="S1494" s="4" t="s">
        <v>2308</v>
      </c>
      <c r="T1494" s="4" t="s">
        <v>2308</v>
      </c>
      <c r="U1494" s="4" t="s">
        <v>2308</v>
      </c>
      <c r="V1494" s="4" t="s">
        <v>2308</v>
      </c>
      <c r="W1494" s="4" t="s">
        <v>2308</v>
      </c>
      <c r="X1494" s="4" t="s">
        <v>2308</v>
      </c>
      <c r="Y1494" s="4" t="s">
        <v>2308</v>
      </c>
      <c r="Z1494" s="4" t="s">
        <v>2308</v>
      </c>
      <c r="AA1494" s="120" t="s">
        <v>4531</v>
      </c>
      <c r="AB1494" s="4"/>
    </row>
    <row r="1495" spans="1:28" ht="46.5" customHeight="1">
      <c r="A1495" s="161" t="str">
        <f>'Reported burning'!A1495</f>
        <v>176a</v>
      </c>
      <c r="B1495" s="161" t="str">
        <f>'Reported burning'!B1495</f>
        <v>176a.6</v>
      </c>
      <c r="C1495" s="161" t="str">
        <f>'Reported burning'!C1495</f>
        <v>Human, escaped</v>
      </c>
      <c r="D1495" s="161" t="str">
        <f>'Reported burning'!D1495</f>
        <v>All</v>
      </c>
      <c r="E1495" s="161" t="str">
        <f>'Reported burning'!E1495</f>
        <v>Pastoralism, Migratory</v>
      </c>
      <c r="F1495" s="161" t="str">
        <f>'Reported burning'!F1495</f>
        <v>ND</v>
      </c>
      <c r="G1495" s="161" t="str">
        <f>'Reported burning'!G1495</f>
        <v>Forest</v>
      </c>
      <c r="H1495" s="161" t="str">
        <f>'Reported burning'!H1495</f>
        <v>Presence</v>
      </c>
      <c r="I1495" s="4"/>
      <c r="J1495" s="4" t="s">
        <v>2398</v>
      </c>
      <c r="K1495" s="4" t="s">
        <v>2308</v>
      </c>
      <c r="L1495" s="4" t="s">
        <v>2308</v>
      </c>
      <c r="M1495" s="4" t="s">
        <v>2308</v>
      </c>
      <c r="N1495" s="4" t="s">
        <v>2308</v>
      </c>
      <c r="O1495" s="4" t="s">
        <v>2308</v>
      </c>
      <c r="P1495" s="4" t="s">
        <v>2308</v>
      </c>
      <c r="Q1495" s="4" t="s">
        <v>2308</v>
      </c>
      <c r="R1495" s="4" t="s">
        <v>2308</v>
      </c>
      <c r="S1495" s="4" t="s">
        <v>2308</v>
      </c>
      <c r="T1495" s="4" t="s">
        <v>2308</v>
      </c>
      <c r="U1495" s="4" t="s">
        <v>2308</v>
      </c>
      <c r="V1495" s="4" t="s">
        <v>2308</v>
      </c>
      <c r="W1495" s="4" t="s">
        <v>2308</v>
      </c>
      <c r="X1495" s="4" t="s">
        <v>2308</v>
      </c>
      <c r="Y1495" s="4" t="s">
        <v>2308</v>
      </c>
      <c r="Z1495" s="4" t="s">
        <v>2308</v>
      </c>
      <c r="AA1495" s="4"/>
      <c r="AB1495" s="5" t="s">
        <v>4534</v>
      </c>
    </row>
    <row r="1496" spans="1:28" ht="41" customHeight="1">
      <c r="A1496" s="161" t="str">
        <f>'Reported burning'!A1496</f>
        <v>176a</v>
      </c>
      <c r="B1496" s="161" t="str">
        <f>'Reported burning'!B1496</f>
        <v>176a.7</v>
      </c>
      <c r="C1496" s="161" t="str">
        <f>'Reported burning'!C1496</f>
        <v>Unknown</v>
      </c>
      <c r="D1496" s="161" t="str">
        <f>'Reported burning'!D1496</f>
        <v>ND</v>
      </c>
      <c r="E1496" s="161" t="str">
        <f>'Reported burning'!E1496</f>
        <v>ND</v>
      </c>
      <c r="F1496" s="161" t="str">
        <f>'Reported burning'!F1496</f>
        <v>ND</v>
      </c>
      <c r="G1496" s="161" t="str">
        <f>'Reported burning'!G1496</f>
        <v>Forest</v>
      </c>
      <c r="H1496" s="161" t="str">
        <f>'Reported burning'!H1496</f>
        <v>Presence</v>
      </c>
      <c r="I1496" s="4"/>
      <c r="J1496" s="4" t="s">
        <v>2308</v>
      </c>
      <c r="K1496" s="4" t="s">
        <v>2308</v>
      </c>
      <c r="L1496" s="4" t="s">
        <v>2308</v>
      </c>
      <c r="M1496" s="4" t="s">
        <v>2308</v>
      </c>
      <c r="N1496" s="4" t="s">
        <v>2308</v>
      </c>
      <c r="O1496" s="4" t="s">
        <v>2308</v>
      </c>
      <c r="P1496" s="4" t="s">
        <v>2308</v>
      </c>
      <c r="Q1496" s="4" t="s">
        <v>2308</v>
      </c>
      <c r="R1496" s="4" t="s">
        <v>2308</v>
      </c>
      <c r="S1496" s="4" t="s">
        <v>2308</v>
      </c>
      <c r="T1496" s="4" t="s">
        <v>2308</v>
      </c>
      <c r="U1496" s="4" t="s">
        <v>2308</v>
      </c>
      <c r="V1496" s="4" t="s">
        <v>2308</v>
      </c>
      <c r="W1496" s="4" t="s">
        <v>2308</v>
      </c>
      <c r="X1496" s="4" t="s">
        <v>38</v>
      </c>
      <c r="Y1496" s="4" t="s">
        <v>38</v>
      </c>
      <c r="Z1496" s="4" t="s">
        <v>2308</v>
      </c>
      <c r="AA1496" s="4"/>
      <c r="AB1496" s="4"/>
    </row>
    <row r="1497" spans="1:28" ht="57.5" customHeight="1">
      <c r="A1497" s="161" t="str">
        <f>'Reported burning'!A1497</f>
        <v>177a</v>
      </c>
      <c r="B1497" s="161" t="str">
        <f>'Reported burning'!B1497</f>
        <v>177a.1</v>
      </c>
      <c r="C1497" s="161" t="str">
        <f>'Reported burning'!C1497</f>
        <v>Human, deliberate</v>
      </c>
      <c r="D1497" s="161" t="str">
        <f>'Reported burning'!D1497</f>
        <v>Pest management</v>
      </c>
      <c r="E1497" s="161" t="str">
        <f>'Reported burning'!E1497</f>
        <v>Pastoralism, Migratory</v>
      </c>
      <c r="F1497" s="161" t="str">
        <f>'Reported burning'!F1497</f>
        <v>Forest</v>
      </c>
      <c r="G1497" s="161" t="str">
        <f>'Reported burning'!G1497</f>
        <v>Forest</v>
      </c>
      <c r="H1497" s="161" t="str">
        <f>'Reported burning'!H1497</f>
        <v>Presence</v>
      </c>
      <c r="I1497" s="4"/>
      <c r="J1497" s="4" t="s">
        <v>2308</v>
      </c>
      <c r="K1497" s="4" t="s">
        <v>2308</v>
      </c>
      <c r="L1497" s="4" t="s">
        <v>2308</v>
      </c>
      <c r="M1497" s="4" t="s">
        <v>2308</v>
      </c>
      <c r="N1497" s="4" t="s">
        <v>2308</v>
      </c>
      <c r="O1497" s="4" t="s">
        <v>2308</v>
      </c>
      <c r="P1497" s="4" t="s">
        <v>2308</v>
      </c>
      <c r="Q1497" s="4" t="s">
        <v>2308</v>
      </c>
      <c r="R1497" s="4" t="s">
        <v>2308</v>
      </c>
      <c r="S1497" s="4" t="s">
        <v>2308</v>
      </c>
      <c r="T1497" s="4" t="s">
        <v>2308</v>
      </c>
      <c r="U1497" s="4" t="s">
        <v>2308</v>
      </c>
      <c r="V1497" s="4" t="s">
        <v>2308</v>
      </c>
      <c r="W1497" s="4" t="s">
        <v>2308</v>
      </c>
      <c r="X1497" s="4" t="s">
        <v>2308</v>
      </c>
      <c r="Y1497" s="4" t="s">
        <v>2308</v>
      </c>
      <c r="Z1497" s="4" t="s">
        <v>2308</v>
      </c>
      <c r="AA1497" s="5" t="s">
        <v>4545</v>
      </c>
      <c r="AB1497" s="4"/>
    </row>
    <row r="1498" spans="1:28" ht="57.5" customHeight="1">
      <c r="A1498" s="161" t="str">
        <f>'Reported burning'!A1498</f>
        <v>177a</v>
      </c>
      <c r="B1498" s="161" t="str">
        <f>'Reported burning'!B1498</f>
        <v>177a.2</v>
      </c>
      <c r="C1498" s="161" t="str">
        <f>'Reported burning'!C1498</f>
        <v>Human, deliberate</v>
      </c>
      <c r="D1498" s="161" t="str">
        <f>'Reported burning'!D1498</f>
        <v>Forest clearance</v>
      </c>
      <c r="E1498" s="161" t="str">
        <f>'Reported burning'!E1498</f>
        <v>Pastoralism, Migratory</v>
      </c>
      <c r="F1498" s="161" t="str">
        <f>'Reported burning'!F1498</f>
        <v>Forest</v>
      </c>
      <c r="G1498" s="161" t="str">
        <f>'Reported burning'!G1498</f>
        <v>Forest</v>
      </c>
      <c r="H1498" s="161" t="str">
        <f>'Reported burning'!H1498</f>
        <v>Presence</v>
      </c>
      <c r="I1498" s="4"/>
      <c r="J1498" s="4" t="s">
        <v>2308</v>
      </c>
      <c r="K1498" s="4" t="s">
        <v>2308</v>
      </c>
      <c r="L1498" s="4" t="s">
        <v>2308</v>
      </c>
      <c r="M1498" s="4" t="s">
        <v>2308</v>
      </c>
      <c r="N1498" s="4" t="s">
        <v>2308</v>
      </c>
      <c r="O1498" s="4" t="s">
        <v>2308</v>
      </c>
      <c r="P1498" s="4" t="s">
        <v>2308</v>
      </c>
      <c r="Q1498" s="4" t="s">
        <v>2308</v>
      </c>
      <c r="R1498" s="4" t="s">
        <v>2308</v>
      </c>
      <c r="S1498" s="4" t="s">
        <v>2308</v>
      </c>
      <c r="T1498" s="4" t="s">
        <v>2308</v>
      </c>
      <c r="U1498" s="4" t="s">
        <v>2308</v>
      </c>
      <c r="V1498" s="4" t="s">
        <v>2308</v>
      </c>
      <c r="W1498" s="4" t="s">
        <v>2308</v>
      </c>
      <c r="X1498" s="4" t="s">
        <v>2308</v>
      </c>
      <c r="Y1498" s="4" t="s">
        <v>2308</v>
      </c>
      <c r="Z1498" s="4" t="s">
        <v>2308</v>
      </c>
      <c r="AA1498" s="5" t="s">
        <v>4545</v>
      </c>
      <c r="AB1498" s="4"/>
    </row>
    <row r="1499" spans="1:28" ht="57.5" customHeight="1">
      <c r="A1499" s="161" t="str">
        <f>'Reported burning'!A1499</f>
        <v>177b</v>
      </c>
      <c r="B1499" s="161" t="str">
        <f>'Reported burning'!B1499</f>
        <v>177b.1</v>
      </c>
      <c r="C1499" s="161" t="str">
        <f>'Reported burning'!C1499</f>
        <v>Human, deliberate</v>
      </c>
      <c r="D1499" s="161" t="str">
        <f>'Reported burning'!D1499</f>
        <v>Pest management</v>
      </c>
      <c r="E1499" s="161" t="str">
        <f>'Reported burning'!E1499</f>
        <v>Pastoralism, Migratory</v>
      </c>
      <c r="F1499" s="161" t="str">
        <f>'Reported burning'!F1499</f>
        <v>Shrubland (Mixed forest &amp; grassland)</v>
      </c>
      <c r="G1499" s="161" t="str">
        <f>'Reported burning'!G1499</f>
        <v>ND</v>
      </c>
      <c r="H1499" s="161" t="str">
        <f>'Reported burning'!H1499</f>
        <v>Presence</v>
      </c>
      <c r="I1499" s="4"/>
      <c r="J1499" s="4" t="s">
        <v>2308</v>
      </c>
      <c r="K1499" s="4" t="s">
        <v>2308</v>
      </c>
      <c r="L1499" s="4" t="s">
        <v>2308</v>
      </c>
      <c r="M1499" s="4" t="s">
        <v>2308</v>
      </c>
      <c r="N1499" s="4" t="s">
        <v>2308</v>
      </c>
      <c r="O1499" s="4" t="s">
        <v>2308</v>
      </c>
      <c r="P1499" s="4" t="s">
        <v>2308</v>
      </c>
      <c r="Q1499" s="4" t="s">
        <v>2308</v>
      </c>
      <c r="R1499" s="4" t="s">
        <v>2308</v>
      </c>
      <c r="S1499" s="4" t="s">
        <v>2308</v>
      </c>
      <c r="T1499" s="4" t="s">
        <v>2308</v>
      </c>
      <c r="U1499" s="4" t="s">
        <v>2308</v>
      </c>
      <c r="V1499" s="4" t="s">
        <v>2308</v>
      </c>
      <c r="W1499" s="4" t="s">
        <v>2308</v>
      </c>
      <c r="X1499" s="4" t="s">
        <v>2308</v>
      </c>
      <c r="Y1499" s="4" t="s">
        <v>2308</v>
      </c>
      <c r="Z1499" s="4" t="s">
        <v>2308</v>
      </c>
      <c r="AA1499" s="5" t="s">
        <v>4545</v>
      </c>
      <c r="AB1499" s="4"/>
    </row>
    <row r="1500" spans="1:28" ht="57.5" customHeight="1">
      <c r="A1500" s="161" t="str">
        <f>'Reported burning'!A1500</f>
        <v>177b</v>
      </c>
      <c r="B1500" s="161" t="str">
        <f>'Reported burning'!B1500</f>
        <v>177b.2</v>
      </c>
      <c r="C1500" s="161" t="str">
        <f>'Reported burning'!C1500</f>
        <v>Human, deliberate</v>
      </c>
      <c r="D1500" s="161" t="str">
        <f>'Reported burning'!D1500</f>
        <v>Pasture renewal</v>
      </c>
      <c r="E1500" s="161" t="str">
        <f>'Reported burning'!E1500</f>
        <v>Pastoralism, Migratory</v>
      </c>
      <c r="F1500" s="161" t="str">
        <f>'Reported burning'!F1500</f>
        <v>Grassland</v>
      </c>
      <c r="G1500" s="161" t="str">
        <f>'Reported burning'!G1500</f>
        <v>ND</v>
      </c>
      <c r="H1500" s="161" t="str">
        <f>'Reported burning'!H1500</f>
        <v>Presence</v>
      </c>
      <c r="I1500" s="4"/>
      <c r="J1500" s="4" t="s">
        <v>2308</v>
      </c>
      <c r="K1500" s="4" t="s">
        <v>2308</v>
      </c>
      <c r="L1500" s="4" t="s">
        <v>2308</v>
      </c>
      <c r="M1500" s="4" t="s">
        <v>2308</v>
      </c>
      <c r="N1500" s="4" t="s">
        <v>2308</v>
      </c>
      <c r="O1500" s="4" t="s">
        <v>2308</v>
      </c>
      <c r="P1500" s="4" t="s">
        <v>2308</v>
      </c>
      <c r="Q1500" s="4" t="s">
        <v>2308</v>
      </c>
      <c r="R1500" s="4" t="s">
        <v>2308</v>
      </c>
      <c r="S1500" s="4" t="s">
        <v>2308</v>
      </c>
      <c r="T1500" s="4" t="s">
        <v>2308</v>
      </c>
      <c r="U1500" s="4" t="s">
        <v>2308</v>
      </c>
      <c r="V1500" s="4" t="s">
        <v>2308</v>
      </c>
      <c r="W1500" s="4" t="s">
        <v>2308</v>
      </c>
      <c r="X1500" s="4" t="s">
        <v>2308</v>
      </c>
      <c r="Y1500" s="4" t="s">
        <v>2308</v>
      </c>
      <c r="Z1500" s="4" t="s">
        <v>2308</v>
      </c>
      <c r="AA1500" s="5" t="s">
        <v>4546</v>
      </c>
      <c r="AB1500" s="4"/>
    </row>
    <row r="1501" spans="1:28" ht="57.5" customHeight="1">
      <c r="A1501" s="161" t="str">
        <f>'Reported burning'!A1501</f>
        <v>177c</v>
      </c>
      <c r="B1501" s="161" t="str">
        <f>'Reported burning'!B1501</f>
        <v>177c.1</v>
      </c>
      <c r="C1501" s="161" t="str">
        <f>'Reported burning'!C1501</f>
        <v>Human, deliberate</v>
      </c>
      <c r="D1501" s="161" t="str">
        <f>'Reported burning'!D1501</f>
        <v>Domestic</v>
      </c>
      <c r="E1501" s="161" t="str">
        <f>'Reported burning'!E1501</f>
        <v>Pastoralism, Migratory</v>
      </c>
      <c r="F1501" s="161" t="str">
        <f>'Reported burning'!F1501</f>
        <v>ND</v>
      </c>
      <c r="G1501" s="161" t="str">
        <f>'Reported burning'!G1501</f>
        <v>ND</v>
      </c>
      <c r="H1501" s="161" t="str">
        <f>'Reported burning'!H1501</f>
        <v>Presence</v>
      </c>
      <c r="I1501" s="4"/>
      <c r="J1501" s="4" t="s">
        <v>2308</v>
      </c>
      <c r="K1501" s="4" t="s">
        <v>2308</v>
      </c>
      <c r="L1501" s="4" t="s">
        <v>2308</v>
      </c>
      <c r="M1501" s="4" t="s">
        <v>2308</v>
      </c>
      <c r="N1501" s="4" t="s">
        <v>2308</v>
      </c>
      <c r="O1501" s="4" t="s">
        <v>2308</v>
      </c>
      <c r="P1501" s="4" t="s">
        <v>2308</v>
      </c>
      <c r="Q1501" s="4" t="s">
        <v>2308</v>
      </c>
      <c r="R1501" s="4" t="s">
        <v>2308</v>
      </c>
      <c r="S1501" s="4" t="s">
        <v>2308</v>
      </c>
      <c r="T1501" s="4" t="s">
        <v>2308</v>
      </c>
      <c r="U1501" s="4" t="s">
        <v>2308</v>
      </c>
      <c r="V1501" s="4" t="s">
        <v>2308</v>
      </c>
      <c r="W1501" s="4" t="s">
        <v>2308</v>
      </c>
      <c r="X1501" s="4" t="s">
        <v>2308</v>
      </c>
      <c r="Y1501" s="4" t="s">
        <v>2308</v>
      </c>
      <c r="Z1501" s="4" t="s">
        <v>2308</v>
      </c>
      <c r="AA1501" s="5" t="s">
        <v>4549</v>
      </c>
      <c r="AB1501" s="4"/>
    </row>
    <row r="1502" spans="1:28" ht="57.5" customHeight="1">
      <c r="A1502" s="161" t="str">
        <f>'Reported burning'!A1502</f>
        <v>177d</v>
      </c>
      <c r="B1502" s="161" t="str">
        <f>'Reported burning'!B1502</f>
        <v>177d.1</v>
      </c>
      <c r="C1502" s="161" t="str">
        <f>'Reported burning'!C1502</f>
        <v>Human, deliberate</v>
      </c>
      <c r="D1502" s="161" t="str">
        <f>'Reported burning'!D1502</f>
        <v>Domestic</v>
      </c>
      <c r="E1502" s="161" t="str">
        <f>'Reported burning'!E1502</f>
        <v>Pastoralism, Migratory</v>
      </c>
      <c r="F1502" s="161" t="str">
        <f>'Reported burning'!F1502</f>
        <v>ND</v>
      </c>
      <c r="G1502" s="161" t="str">
        <f>'Reported burning'!G1502</f>
        <v>ND</v>
      </c>
      <c r="H1502" s="161" t="str">
        <f>'Reported burning'!H1502</f>
        <v>Presence</v>
      </c>
      <c r="I1502" s="4"/>
      <c r="J1502" s="4" t="s">
        <v>2308</v>
      </c>
      <c r="K1502" s="4" t="s">
        <v>2308</v>
      </c>
      <c r="L1502" s="4" t="s">
        <v>2308</v>
      </c>
      <c r="M1502" s="4" t="s">
        <v>2308</v>
      </c>
      <c r="N1502" s="4" t="s">
        <v>2308</v>
      </c>
      <c r="O1502" s="4" t="s">
        <v>2308</v>
      </c>
      <c r="P1502" s="4" t="s">
        <v>2308</v>
      </c>
      <c r="Q1502" s="4" t="s">
        <v>2308</v>
      </c>
      <c r="R1502" s="4" t="s">
        <v>2308</v>
      </c>
      <c r="S1502" s="4" t="s">
        <v>2308</v>
      </c>
      <c r="T1502" s="4" t="s">
        <v>2308</v>
      </c>
      <c r="U1502" s="4" t="s">
        <v>2308</v>
      </c>
      <c r="V1502" s="4" t="s">
        <v>2308</v>
      </c>
      <c r="W1502" s="4" t="s">
        <v>2308</v>
      </c>
      <c r="X1502" s="4" t="s">
        <v>2308</v>
      </c>
      <c r="Y1502" s="4" t="s">
        <v>2308</v>
      </c>
      <c r="Z1502" s="4" t="s">
        <v>2308</v>
      </c>
      <c r="AA1502" s="5" t="s">
        <v>4549</v>
      </c>
      <c r="AB1502" s="4"/>
    </row>
    <row r="1503" spans="1:28" ht="47" customHeight="1">
      <c r="A1503" s="161" t="str">
        <f>'Reported burning'!A1503</f>
        <v>178a</v>
      </c>
      <c r="B1503" s="161" t="str">
        <f>'Reported burning'!B1503</f>
        <v>178a.1</v>
      </c>
      <c r="C1503" s="161" t="str">
        <f>'Reported burning'!C1503</f>
        <v>All</v>
      </c>
      <c r="D1503" s="161" t="str">
        <f>'Reported burning'!D1503</f>
        <v>All</v>
      </c>
      <c r="E1503" s="161" t="str">
        <f>'Reported burning'!E1503</f>
        <v>All</v>
      </c>
      <c r="F1503" s="161" t="str">
        <f>'Reported burning'!F1503</f>
        <v>All</v>
      </c>
      <c r="G1503" s="161" t="str">
        <f>'Reported burning'!G1503</f>
        <v>All</v>
      </c>
      <c r="H1503" s="161" t="str">
        <f>'Reported burning'!H1503</f>
        <v>Absence</v>
      </c>
      <c r="I1503" s="4"/>
      <c r="J1503" s="22">
        <v>0</v>
      </c>
      <c r="K1503" s="22">
        <v>0</v>
      </c>
      <c r="L1503" s="22">
        <v>0</v>
      </c>
      <c r="M1503" s="22">
        <v>0</v>
      </c>
      <c r="N1503" s="22">
        <v>0</v>
      </c>
      <c r="O1503" s="22">
        <v>0</v>
      </c>
      <c r="P1503" s="22">
        <v>0</v>
      </c>
      <c r="Q1503" s="22">
        <v>0</v>
      </c>
      <c r="R1503" s="22">
        <v>0</v>
      </c>
      <c r="S1503" s="22">
        <v>0</v>
      </c>
      <c r="T1503" s="22">
        <v>0</v>
      </c>
      <c r="U1503" s="22">
        <v>0</v>
      </c>
      <c r="V1503" s="22">
        <v>0</v>
      </c>
      <c r="W1503" s="22">
        <v>0</v>
      </c>
      <c r="X1503" s="5" t="s">
        <v>2308</v>
      </c>
      <c r="Y1503" s="5" t="s">
        <v>2308</v>
      </c>
      <c r="Z1503" s="5" t="s">
        <v>2308</v>
      </c>
      <c r="AA1503" s="5" t="s">
        <v>2308</v>
      </c>
      <c r="AB1503" s="184" t="s">
        <v>4560</v>
      </c>
    </row>
    <row r="1504" spans="1:28" ht="47" customHeight="1">
      <c r="A1504" s="161" t="str">
        <f>'Reported burning'!A1504</f>
        <v>178b</v>
      </c>
      <c r="B1504" s="161" t="str">
        <f>'Reported burning'!B1504</f>
        <v>178b.1</v>
      </c>
      <c r="C1504" s="161" t="str">
        <f>'Reported burning'!C1504</f>
        <v>Human, deliberate</v>
      </c>
      <c r="D1504" s="161" t="str">
        <f>'Reported burning'!D1504</f>
        <v>All</v>
      </c>
      <c r="E1504" s="161" t="str">
        <f>'Reported burning'!E1504</f>
        <v>Cattle, Intensive</v>
      </c>
      <c r="F1504" s="161" t="str">
        <f>'Reported burning'!F1504</f>
        <v>All</v>
      </c>
      <c r="G1504" s="161" t="str">
        <f>'Reported burning'!G1504</f>
        <v>All</v>
      </c>
      <c r="H1504" s="161" t="str">
        <f>'Reported burning'!H1504</f>
        <v>Absence</v>
      </c>
      <c r="I1504" s="4"/>
      <c r="J1504" s="22">
        <v>0</v>
      </c>
      <c r="K1504" s="22">
        <v>0</v>
      </c>
      <c r="L1504" s="22">
        <v>0</v>
      </c>
      <c r="M1504" s="22">
        <v>0</v>
      </c>
      <c r="N1504" s="22">
        <v>0</v>
      </c>
      <c r="O1504" s="22">
        <v>0</v>
      </c>
      <c r="P1504" s="22">
        <v>0</v>
      </c>
      <c r="Q1504" s="22">
        <v>0</v>
      </c>
      <c r="R1504" s="22">
        <v>0</v>
      </c>
      <c r="S1504" s="22">
        <v>0</v>
      </c>
      <c r="T1504" s="22">
        <v>0</v>
      </c>
      <c r="U1504" s="22">
        <v>0</v>
      </c>
      <c r="V1504" s="22">
        <v>0</v>
      </c>
      <c r="W1504" s="22">
        <v>0</v>
      </c>
      <c r="X1504" s="5" t="s">
        <v>2308</v>
      </c>
      <c r="Y1504" s="5" t="s">
        <v>2308</v>
      </c>
      <c r="Z1504" s="5" t="s">
        <v>2308</v>
      </c>
      <c r="AA1504" s="5" t="s">
        <v>2308</v>
      </c>
      <c r="AB1504" s="185" t="s">
        <v>4562</v>
      </c>
    </row>
    <row r="1505" spans="1:29" ht="47" customHeight="1">
      <c r="A1505" s="161" t="str">
        <f>'Reported burning'!A1505</f>
        <v>178b</v>
      </c>
      <c r="B1505" s="161" t="str">
        <f>'Reported burning'!B1505</f>
        <v>178b.2</v>
      </c>
      <c r="C1505" s="161" t="str">
        <f>'Reported burning'!C1505</f>
        <v>Human, deliberate</v>
      </c>
      <c r="D1505" s="161" t="str">
        <f>'Reported burning'!D1505</f>
        <v>All</v>
      </c>
      <c r="E1505" s="161" t="str">
        <f>'Reported burning'!E1505</f>
        <v>Cattle, Extensive</v>
      </c>
      <c r="F1505" s="161" t="str">
        <f>'Reported burning'!F1505</f>
        <v>All</v>
      </c>
      <c r="G1505" s="161" t="str">
        <f>'Reported burning'!G1505</f>
        <v>All</v>
      </c>
      <c r="H1505" s="161" t="str">
        <f>'Reported burning'!H1505</f>
        <v>Absence</v>
      </c>
      <c r="I1505" s="4"/>
      <c r="J1505" s="22">
        <v>0</v>
      </c>
      <c r="K1505" s="22">
        <v>0</v>
      </c>
      <c r="L1505" s="22">
        <v>0</v>
      </c>
      <c r="M1505" s="22">
        <v>0</v>
      </c>
      <c r="N1505" s="22">
        <v>0</v>
      </c>
      <c r="O1505" s="22">
        <v>0</v>
      </c>
      <c r="P1505" s="22">
        <v>0</v>
      </c>
      <c r="Q1505" s="22">
        <v>0</v>
      </c>
      <c r="R1505" s="22">
        <v>0</v>
      </c>
      <c r="S1505" s="22">
        <v>0</v>
      </c>
      <c r="T1505" s="22">
        <v>0</v>
      </c>
      <c r="U1505" s="22">
        <v>0</v>
      </c>
      <c r="V1505" s="22">
        <v>0</v>
      </c>
      <c r="W1505" s="22">
        <v>0</v>
      </c>
      <c r="X1505" s="5" t="s">
        <v>2308</v>
      </c>
      <c r="Y1505" s="5" t="s">
        <v>2308</v>
      </c>
      <c r="Z1505" s="5" t="s">
        <v>2308</v>
      </c>
      <c r="AA1505" s="5" t="s">
        <v>2308</v>
      </c>
      <c r="AB1505" s="185" t="s">
        <v>4562</v>
      </c>
    </row>
    <row r="1506" spans="1:29" ht="55" customHeight="1">
      <c r="A1506" s="161" t="str">
        <f>'Reported burning'!A1506</f>
        <v>179a</v>
      </c>
      <c r="B1506" s="161" t="str">
        <f>'Reported burning'!B1506</f>
        <v>179a.1</v>
      </c>
      <c r="C1506" s="161" t="str">
        <f>'Reported burning'!C1506</f>
        <v>All</v>
      </c>
      <c r="D1506" s="161" t="str">
        <f>'Reported burning'!D1506</f>
        <v>All</v>
      </c>
      <c r="E1506" s="161" t="str">
        <f>'Reported burning'!E1506</f>
        <v>All</v>
      </c>
      <c r="F1506" s="161" t="str">
        <f>'Reported burning'!F1506</f>
        <v>All</v>
      </c>
      <c r="G1506" s="161" t="str">
        <f>'Reported burning'!G1506</f>
        <v>All</v>
      </c>
      <c r="H1506" s="161" t="str">
        <f>'Reported burning'!H1506</f>
        <v>Presence</v>
      </c>
      <c r="I1506" s="4"/>
      <c r="J1506" s="4" t="s">
        <v>2308</v>
      </c>
      <c r="K1506" s="4" t="s">
        <v>2308</v>
      </c>
      <c r="L1506" s="4" t="s">
        <v>2308</v>
      </c>
      <c r="M1506" s="4" t="s">
        <v>2308</v>
      </c>
      <c r="N1506" s="4" t="s">
        <v>2308</v>
      </c>
      <c r="O1506" s="4" t="s">
        <v>2308</v>
      </c>
      <c r="P1506" s="4" t="s">
        <v>2308</v>
      </c>
      <c r="Q1506" s="4" t="s">
        <v>2308</v>
      </c>
      <c r="R1506" s="4" t="s">
        <v>2308</v>
      </c>
      <c r="S1506" s="4" t="s">
        <v>2308</v>
      </c>
      <c r="T1506" s="4" t="s">
        <v>2308</v>
      </c>
      <c r="U1506" s="4" t="s">
        <v>2308</v>
      </c>
      <c r="V1506" s="4" t="s">
        <v>2308</v>
      </c>
      <c r="W1506" s="4" t="s">
        <v>2308</v>
      </c>
      <c r="X1506" s="4" t="s">
        <v>2308</v>
      </c>
      <c r="Y1506" s="4" t="s">
        <v>2308</v>
      </c>
      <c r="Z1506" s="4" t="s">
        <v>2308</v>
      </c>
      <c r="AA1506" s="5" t="s">
        <v>4589</v>
      </c>
      <c r="AB1506" s="4" t="s">
        <v>4588</v>
      </c>
    </row>
    <row r="1507" spans="1:29" ht="41.5" customHeight="1">
      <c r="A1507" s="161" t="str">
        <f>'Reported burning'!A1507</f>
        <v>179b</v>
      </c>
      <c r="B1507" s="161" t="str">
        <f>'Reported burning'!B1507</f>
        <v>179b.1</v>
      </c>
      <c r="C1507" s="161" t="str">
        <f>'Reported burning'!C1507</f>
        <v>All</v>
      </c>
      <c r="D1507" s="161" t="str">
        <f>'Reported burning'!D1507</f>
        <v>All</v>
      </c>
      <c r="E1507" s="161" t="str">
        <f>'Reported burning'!E1507</f>
        <v>All</v>
      </c>
      <c r="F1507" s="161" t="str">
        <f>'Reported burning'!F1507</f>
        <v>All</v>
      </c>
      <c r="G1507" s="161" t="str">
        <f>'Reported burning'!G1507</f>
        <v>All</v>
      </c>
      <c r="H1507" s="161" t="str">
        <f>'Reported burning'!H1507</f>
        <v>Presence</v>
      </c>
      <c r="I1507" s="4"/>
      <c r="J1507" s="4" t="s">
        <v>2308</v>
      </c>
      <c r="K1507" s="4" t="s">
        <v>2308</v>
      </c>
      <c r="L1507" s="4" t="s">
        <v>2308</v>
      </c>
      <c r="M1507" s="4" t="s">
        <v>2308</v>
      </c>
      <c r="N1507" s="4" t="s">
        <v>2308</v>
      </c>
      <c r="O1507" s="4" t="s">
        <v>2308</v>
      </c>
      <c r="P1507" s="4" t="s">
        <v>2308</v>
      </c>
      <c r="Q1507" s="4" t="s">
        <v>2308</v>
      </c>
      <c r="R1507" s="4" t="s">
        <v>2308</v>
      </c>
      <c r="S1507" s="4" t="s">
        <v>2308</v>
      </c>
      <c r="T1507" s="4" t="s">
        <v>2308</v>
      </c>
      <c r="U1507" s="4" t="s">
        <v>2308</v>
      </c>
      <c r="V1507" s="4" t="s">
        <v>2308</v>
      </c>
      <c r="W1507" s="4" t="s">
        <v>2308</v>
      </c>
      <c r="X1507" s="4" t="s">
        <v>2308</v>
      </c>
      <c r="Y1507" s="4" t="s">
        <v>2308</v>
      </c>
      <c r="Z1507" s="4" t="s">
        <v>2308</v>
      </c>
      <c r="AA1507" s="4"/>
      <c r="AB1507" s="4"/>
    </row>
    <row r="1508" spans="1:29" ht="41.5" customHeight="1">
      <c r="A1508" s="161" t="str">
        <f>'Reported burning'!A1508</f>
        <v>179c</v>
      </c>
      <c r="B1508" s="161" t="str">
        <f>'Reported burning'!B1508</f>
        <v>179c.1</v>
      </c>
      <c r="C1508" s="161" t="str">
        <f>'Reported burning'!C1508</f>
        <v>All</v>
      </c>
      <c r="D1508" s="161" t="str">
        <f>'Reported burning'!D1508</f>
        <v>All</v>
      </c>
      <c r="E1508" s="161" t="str">
        <f>'Reported burning'!E1508</f>
        <v>All</v>
      </c>
      <c r="F1508" s="161" t="str">
        <f>'Reported burning'!F1508</f>
        <v>All</v>
      </c>
      <c r="G1508" s="161" t="str">
        <f>'Reported burning'!G1508</f>
        <v>All</v>
      </c>
      <c r="H1508" s="161" t="str">
        <f>'Reported burning'!H1508</f>
        <v>Presence</v>
      </c>
      <c r="I1508" s="4"/>
      <c r="J1508" s="4" t="s">
        <v>2308</v>
      </c>
      <c r="K1508" s="4" t="s">
        <v>2308</v>
      </c>
      <c r="L1508" s="4" t="s">
        <v>2308</v>
      </c>
      <c r="M1508" s="4" t="s">
        <v>2308</v>
      </c>
      <c r="N1508" s="4" t="s">
        <v>2308</v>
      </c>
      <c r="O1508" s="4" t="s">
        <v>2308</v>
      </c>
      <c r="P1508" s="4" t="s">
        <v>2308</v>
      </c>
      <c r="Q1508" s="4" t="s">
        <v>2308</v>
      </c>
      <c r="R1508" s="4" t="s">
        <v>2308</v>
      </c>
      <c r="S1508" s="4" t="s">
        <v>2308</v>
      </c>
      <c r="T1508" s="4" t="s">
        <v>2308</v>
      </c>
      <c r="U1508" s="4" t="s">
        <v>2308</v>
      </c>
      <c r="V1508" s="4" t="s">
        <v>2308</v>
      </c>
      <c r="W1508" s="4" t="s">
        <v>2308</v>
      </c>
      <c r="X1508" s="4" t="s">
        <v>2308</v>
      </c>
      <c r="Y1508" s="4" t="s">
        <v>2308</v>
      </c>
      <c r="Z1508" s="4" t="s">
        <v>2308</v>
      </c>
      <c r="AA1508" s="4"/>
      <c r="AB1508" s="4"/>
    </row>
    <row r="1509" spans="1:29" ht="41.5" customHeight="1">
      <c r="A1509" s="161" t="str">
        <f>'Reported burning'!A1509</f>
        <v>179d</v>
      </c>
      <c r="B1509" s="161" t="str">
        <f>'Reported burning'!B1509</f>
        <v>179d.1</v>
      </c>
      <c r="C1509" s="161" t="str">
        <f>'Reported burning'!C1509</f>
        <v>All</v>
      </c>
      <c r="D1509" s="161" t="str">
        <f>'Reported burning'!D1509</f>
        <v>All</v>
      </c>
      <c r="E1509" s="161" t="str">
        <f>'Reported burning'!E1509</f>
        <v>All</v>
      </c>
      <c r="F1509" s="161" t="str">
        <f>'Reported burning'!F1509</f>
        <v>All</v>
      </c>
      <c r="G1509" s="161" t="str">
        <f>'Reported burning'!G1509</f>
        <v>All</v>
      </c>
      <c r="H1509" s="161" t="str">
        <f>'Reported burning'!H1509</f>
        <v>Presence</v>
      </c>
      <c r="I1509" s="4"/>
      <c r="J1509" s="4" t="s">
        <v>2308</v>
      </c>
      <c r="K1509" s="4" t="s">
        <v>2308</v>
      </c>
      <c r="L1509" s="4" t="s">
        <v>2308</v>
      </c>
      <c r="M1509" s="4" t="s">
        <v>2308</v>
      </c>
      <c r="N1509" s="4" t="s">
        <v>2308</v>
      </c>
      <c r="O1509" s="4" t="s">
        <v>2308</v>
      </c>
      <c r="P1509" s="4" t="s">
        <v>2308</v>
      </c>
      <c r="Q1509" s="4" t="s">
        <v>2308</v>
      </c>
      <c r="R1509" s="4" t="s">
        <v>2308</v>
      </c>
      <c r="S1509" s="4" t="s">
        <v>2308</v>
      </c>
      <c r="T1509" s="4" t="s">
        <v>2308</v>
      </c>
      <c r="U1509" s="4" t="s">
        <v>2308</v>
      </c>
      <c r="V1509" s="4" t="s">
        <v>2308</v>
      </c>
      <c r="W1509" s="4" t="s">
        <v>2308</v>
      </c>
      <c r="X1509" s="4" t="s">
        <v>2308</v>
      </c>
      <c r="Y1509" s="4" t="s">
        <v>2308</v>
      </c>
      <c r="Z1509" s="4" t="s">
        <v>2308</v>
      </c>
      <c r="AA1509" s="4"/>
      <c r="AB1509" s="4"/>
    </row>
    <row r="1510" spans="1:29" ht="41.5" customHeight="1">
      <c r="A1510" s="161" t="str">
        <f>'Reported burning'!A1510</f>
        <v>179e</v>
      </c>
      <c r="B1510" s="161" t="str">
        <f>'Reported burning'!B1510</f>
        <v>179e.1</v>
      </c>
      <c r="C1510" s="161" t="str">
        <f>'Reported burning'!C1510</f>
        <v>All</v>
      </c>
      <c r="D1510" s="161" t="str">
        <f>'Reported burning'!D1510</f>
        <v>All</v>
      </c>
      <c r="E1510" s="161" t="str">
        <f>'Reported burning'!E1510</f>
        <v>All</v>
      </c>
      <c r="F1510" s="161" t="str">
        <f>'Reported burning'!F1510</f>
        <v>All</v>
      </c>
      <c r="G1510" s="161" t="str">
        <f>'Reported burning'!G1510</f>
        <v>All</v>
      </c>
      <c r="H1510" s="161" t="str">
        <f>'Reported burning'!H1510</f>
        <v>Presence</v>
      </c>
      <c r="I1510" s="4"/>
      <c r="J1510" s="4" t="s">
        <v>2308</v>
      </c>
      <c r="K1510" s="4" t="s">
        <v>2308</v>
      </c>
      <c r="L1510" s="4" t="s">
        <v>2308</v>
      </c>
      <c r="M1510" s="4" t="s">
        <v>2308</v>
      </c>
      <c r="N1510" s="4" t="s">
        <v>2308</v>
      </c>
      <c r="O1510" s="4" t="s">
        <v>2308</v>
      </c>
      <c r="P1510" s="4" t="s">
        <v>2308</v>
      </c>
      <c r="Q1510" s="4" t="s">
        <v>2308</v>
      </c>
      <c r="R1510" s="4" t="s">
        <v>2308</v>
      </c>
      <c r="S1510" s="4" t="s">
        <v>2308</v>
      </c>
      <c r="T1510" s="4" t="s">
        <v>2308</v>
      </c>
      <c r="U1510" s="4" t="s">
        <v>2308</v>
      </c>
      <c r="V1510" s="4" t="s">
        <v>2308</v>
      </c>
      <c r="W1510" s="4" t="s">
        <v>2308</v>
      </c>
      <c r="X1510" s="4" t="s">
        <v>2308</v>
      </c>
      <c r="Y1510" s="4" t="s">
        <v>2308</v>
      </c>
      <c r="Z1510" s="4" t="s">
        <v>2308</v>
      </c>
      <c r="AA1510" s="4"/>
      <c r="AB1510" s="4"/>
    </row>
    <row r="1511" spans="1:29" ht="48" customHeight="1">
      <c r="A1511" s="161" t="str">
        <f>'Reported burning'!A1511</f>
        <v>179b</v>
      </c>
      <c r="B1511" s="161" t="str">
        <f>'Reported burning'!B1511</f>
        <v>179b.2</v>
      </c>
      <c r="C1511" s="161" t="str">
        <f>'Reported burning'!C1511</f>
        <v>All</v>
      </c>
      <c r="D1511" s="161" t="str">
        <f>'Reported burning'!D1511</f>
        <v>All</v>
      </c>
      <c r="E1511" s="161" t="str">
        <f>'Reported burning'!E1511</f>
        <v>All</v>
      </c>
      <c r="F1511" s="161" t="str">
        <f>'Reported burning'!F1511</f>
        <v>All</v>
      </c>
      <c r="G1511" s="161" t="str">
        <f>'Reported burning'!G1511</f>
        <v>All</v>
      </c>
      <c r="H1511" s="161" t="str">
        <f>'Reported burning'!H1511</f>
        <v>Presence</v>
      </c>
      <c r="I1511" s="4"/>
      <c r="J1511" s="4" t="s">
        <v>2308</v>
      </c>
      <c r="K1511" s="4" t="s">
        <v>2308</v>
      </c>
      <c r="L1511" s="4" t="s">
        <v>2308</v>
      </c>
      <c r="M1511" s="4" t="s">
        <v>2308</v>
      </c>
      <c r="N1511" s="4" t="s">
        <v>2308</v>
      </c>
      <c r="O1511" s="4" t="s">
        <v>2308</v>
      </c>
      <c r="P1511" s="4" t="s">
        <v>2308</v>
      </c>
      <c r="Q1511" s="4" t="s">
        <v>2308</v>
      </c>
      <c r="R1511" s="4" t="s">
        <v>2308</v>
      </c>
      <c r="S1511" s="4" t="s">
        <v>2308</v>
      </c>
      <c r="T1511" s="4" t="s">
        <v>2308</v>
      </c>
      <c r="U1511" s="4" t="s">
        <v>2308</v>
      </c>
      <c r="V1511" s="4" t="s">
        <v>2308</v>
      </c>
      <c r="W1511" s="4" t="s">
        <v>2434</v>
      </c>
      <c r="X1511" s="4" t="s">
        <v>2308</v>
      </c>
      <c r="Y1511" s="4" t="s">
        <v>2308</v>
      </c>
      <c r="Z1511" s="4" t="s">
        <v>2308</v>
      </c>
      <c r="AA1511" s="5" t="s">
        <v>4590</v>
      </c>
      <c r="AB1511" s="4"/>
    </row>
    <row r="1512" spans="1:29" ht="48" customHeight="1">
      <c r="A1512" s="161" t="str">
        <f>'Reported burning'!A1512</f>
        <v>179c</v>
      </c>
      <c r="B1512" s="161" t="str">
        <f>'Reported burning'!B1512</f>
        <v>179c.2</v>
      </c>
      <c r="C1512" s="161" t="str">
        <f>'Reported burning'!C1512</f>
        <v>All</v>
      </c>
      <c r="D1512" s="161" t="str">
        <f>'Reported burning'!D1512</f>
        <v>All</v>
      </c>
      <c r="E1512" s="161" t="str">
        <f>'Reported burning'!E1512</f>
        <v>All</v>
      </c>
      <c r="F1512" s="161" t="str">
        <f>'Reported burning'!F1512</f>
        <v>All</v>
      </c>
      <c r="G1512" s="161" t="str">
        <f>'Reported burning'!G1512</f>
        <v>All</v>
      </c>
      <c r="H1512" s="161" t="str">
        <f>'Reported burning'!H1512</f>
        <v>Presence</v>
      </c>
      <c r="I1512" s="4"/>
      <c r="J1512" s="4" t="s">
        <v>2308</v>
      </c>
      <c r="K1512" s="4" t="s">
        <v>2308</v>
      </c>
      <c r="L1512" s="4" t="s">
        <v>2308</v>
      </c>
      <c r="M1512" s="4" t="s">
        <v>2308</v>
      </c>
      <c r="N1512" s="4" t="s">
        <v>2308</v>
      </c>
      <c r="O1512" s="4" t="s">
        <v>2308</v>
      </c>
      <c r="P1512" s="4" t="s">
        <v>2308</v>
      </c>
      <c r="Q1512" s="4" t="s">
        <v>2308</v>
      </c>
      <c r="R1512" s="4" t="s">
        <v>2308</v>
      </c>
      <c r="S1512" s="4" t="s">
        <v>2308</v>
      </c>
      <c r="T1512" s="4" t="s">
        <v>2308</v>
      </c>
      <c r="U1512" s="4" t="s">
        <v>2308</v>
      </c>
      <c r="V1512" s="4" t="s">
        <v>2308</v>
      </c>
      <c r="W1512" s="4" t="s">
        <v>2434</v>
      </c>
      <c r="X1512" s="4" t="s">
        <v>2308</v>
      </c>
      <c r="Y1512" s="4" t="s">
        <v>2308</v>
      </c>
      <c r="Z1512" s="4" t="s">
        <v>2308</v>
      </c>
      <c r="AA1512" s="5" t="s">
        <v>4590</v>
      </c>
      <c r="AB1512" s="4"/>
    </row>
    <row r="1513" spans="1:29" ht="48" customHeight="1">
      <c r="A1513" s="161" t="str">
        <f>'Reported burning'!A1513</f>
        <v>179d</v>
      </c>
      <c r="B1513" s="161" t="str">
        <f>'Reported burning'!B1513</f>
        <v>179d.2</v>
      </c>
      <c r="C1513" s="161" t="str">
        <f>'Reported burning'!C1513</f>
        <v>All</v>
      </c>
      <c r="D1513" s="161" t="str">
        <f>'Reported burning'!D1513</f>
        <v>All</v>
      </c>
      <c r="E1513" s="161" t="str">
        <f>'Reported burning'!E1513</f>
        <v>All</v>
      </c>
      <c r="F1513" s="161" t="str">
        <f>'Reported burning'!F1513</f>
        <v>All</v>
      </c>
      <c r="G1513" s="161" t="str">
        <f>'Reported burning'!G1513</f>
        <v>All</v>
      </c>
      <c r="H1513" s="161" t="str">
        <f>'Reported burning'!H1513</f>
        <v>Presence</v>
      </c>
      <c r="I1513" s="4"/>
      <c r="J1513" s="4" t="s">
        <v>2308</v>
      </c>
      <c r="K1513" s="4" t="s">
        <v>2308</v>
      </c>
      <c r="L1513" s="4" t="s">
        <v>2308</v>
      </c>
      <c r="M1513" s="4" t="s">
        <v>2308</v>
      </c>
      <c r="N1513" s="4" t="s">
        <v>2308</v>
      </c>
      <c r="O1513" s="4" t="s">
        <v>2308</v>
      </c>
      <c r="P1513" s="4" t="s">
        <v>2308</v>
      </c>
      <c r="Q1513" s="4" t="s">
        <v>2308</v>
      </c>
      <c r="R1513" s="4" t="s">
        <v>2308</v>
      </c>
      <c r="S1513" s="4" t="s">
        <v>2308</v>
      </c>
      <c r="T1513" s="4" t="s">
        <v>2308</v>
      </c>
      <c r="U1513" s="4" t="s">
        <v>2308</v>
      </c>
      <c r="V1513" s="4" t="s">
        <v>2308</v>
      </c>
      <c r="W1513" s="4" t="s">
        <v>2434</v>
      </c>
      <c r="X1513" s="4" t="s">
        <v>2308</v>
      </c>
      <c r="Y1513" s="4" t="s">
        <v>2308</v>
      </c>
      <c r="Z1513" s="4" t="s">
        <v>2308</v>
      </c>
      <c r="AA1513" s="5" t="s">
        <v>4590</v>
      </c>
      <c r="AB1513" s="4"/>
    </row>
    <row r="1514" spans="1:29" ht="48" customHeight="1">
      <c r="A1514" s="161" t="str">
        <f>'Reported burning'!A1514</f>
        <v>179e</v>
      </c>
      <c r="B1514" s="161" t="str">
        <f>'Reported burning'!B1514</f>
        <v>179e.2</v>
      </c>
      <c r="C1514" s="161" t="str">
        <f>'Reported burning'!C1514</f>
        <v>All</v>
      </c>
      <c r="D1514" s="161" t="str">
        <f>'Reported burning'!D1514</f>
        <v>All</v>
      </c>
      <c r="E1514" s="161" t="str">
        <f>'Reported burning'!E1514</f>
        <v>All</v>
      </c>
      <c r="F1514" s="161" t="str">
        <f>'Reported burning'!F1514</f>
        <v>All</v>
      </c>
      <c r="G1514" s="161" t="str">
        <f>'Reported burning'!G1514</f>
        <v>All</v>
      </c>
      <c r="H1514" s="161" t="str">
        <f>'Reported burning'!H1514</f>
        <v>Absence</v>
      </c>
      <c r="I1514" s="12">
        <v>1992</v>
      </c>
      <c r="J1514" s="22">
        <v>0</v>
      </c>
      <c r="K1514" s="22">
        <v>0</v>
      </c>
      <c r="L1514" s="22">
        <v>0</v>
      </c>
      <c r="M1514" s="22">
        <v>0</v>
      </c>
      <c r="N1514" s="22">
        <v>0</v>
      </c>
      <c r="O1514" s="22">
        <v>0</v>
      </c>
      <c r="P1514" s="22">
        <v>0</v>
      </c>
      <c r="Q1514" s="22">
        <v>0</v>
      </c>
      <c r="R1514" s="22">
        <v>0</v>
      </c>
      <c r="S1514" s="22">
        <v>0</v>
      </c>
      <c r="T1514" s="22">
        <v>0</v>
      </c>
      <c r="U1514" s="22">
        <v>0</v>
      </c>
      <c r="V1514" s="22">
        <v>0</v>
      </c>
      <c r="W1514" s="22">
        <v>0</v>
      </c>
      <c r="X1514" s="22">
        <v>0</v>
      </c>
      <c r="Y1514" s="5" t="s">
        <v>2308</v>
      </c>
      <c r="Z1514" s="5" t="s">
        <v>2308</v>
      </c>
      <c r="AA1514" s="5" t="s">
        <v>4591</v>
      </c>
      <c r="AB1514" s="4"/>
      <c r="AC1514" s="146"/>
    </row>
    <row r="1515" spans="1:29" ht="36.5" customHeight="1">
      <c r="A1515" s="161" t="str">
        <f>'Reported burning'!A1515</f>
        <v>180a</v>
      </c>
      <c r="B1515" s="161" t="str">
        <f>'Reported burning'!B1515</f>
        <v>180a.1</v>
      </c>
      <c r="C1515" s="165" t="str">
        <f>'Reported burning'!C1515</f>
        <v>Human, deliberate</v>
      </c>
      <c r="D1515" s="165" t="str">
        <f>'Reported burning'!D1515</f>
        <v>Pasture renewal</v>
      </c>
      <c r="E1515" s="165" t="str">
        <f>'Reported burning'!E1515</f>
        <v>Pastoralism, Migratory</v>
      </c>
      <c r="F1515" s="165" t="str">
        <f>'Reported burning'!F1515</f>
        <v>Shrubland (Mixed forest &amp; grassland)</v>
      </c>
      <c r="G1515" s="165" t="str">
        <f>'Reported burning'!G1515</f>
        <v>All</v>
      </c>
      <c r="H1515" s="165" t="str">
        <f>'Reported burning'!H1515</f>
        <v>Presence</v>
      </c>
      <c r="I1515" s="6"/>
      <c r="J1515" s="5" t="s">
        <v>2308</v>
      </c>
      <c r="K1515" s="5" t="s">
        <v>2308</v>
      </c>
      <c r="L1515" s="5" t="s">
        <v>2308</v>
      </c>
      <c r="M1515" s="5" t="s">
        <v>2308</v>
      </c>
      <c r="N1515" s="5" t="s">
        <v>2308</v>
      </c>
      <c r="O1515" s="5" t="s">
        <v>2308</v>
      </c>
      <c r="P1515" s="5" t="s">
        <v>2308</v>
      </c>
      <c r="Q1515" s="5" t="s">
        <v>2308</v>
      </c>
      <c r="R1515" s="5" t="s">
        <v>2308</v>
      </c>
      <c r="S1515" s="5" t="s">
        <v>2308</v>
      </c>
      <c r="T1515" s="5" t="s">
        <v>2308</v>
      </c>
      <c r="U1515" s="5" t="s">
        <v>2308</v>
      </c>
      <c r="V1515" s="5" t="s">
        <v>2308</v>
      </c>
      <c r="W1515" s="5" t="s">
        <v>2308</v>
      </c>
      <c r="X1515" s="5" t="s">
        <v>2308</v>
      </c>
      <c r="Y1515" s="5" t="s">
        <v>2308</v>
      </c>
      <c r="Z1515" s="5" t="s">
        <v>2308</v>
      </c>
      <c r="AA1515" s="4"/>
      <c r="AB1515" s="4"/>
    </row>
    <row r="1516" spans="1:29" ht="36.5" customHeight="1">
      <c r="A1516" s="161" t="str">
        <f>'Reported burning'!A1516</f>
        <v>180a</v>
      </c>
      <c r="B1516" s="161" t="str">
        <f>'Reported burning'!B1516</f>
        <v>180a.2</v>
      </c>
      <c r="C1516" s="161" t="str">
        <f>'Reported burning'!C1516</f>
        <v>Human, deliberate</v>
      </c>
      <c r="D1516" s="161" t="str">
        <f>'Reported burning'!D1516</f>
        <v>Vegetation management</v>
      </c>
      <c r="E1516" s="161" t="str">
        <f>'Reported burning'!E1516</f>
        <v>Cropping, Swidden</v>
      </c>
      <c r="F1516" s="161" t="str">
        <f>'Reported burning'!F1516</f>
        <v>Shrubland (Mixed forest &amp; grassland)</v>
      </c>
      <c r="G1516" s="161" t="str">
        <f>'Reported burning'!G1516</f>
        <v>All</v>
      </c>
      <c r="H1516" s="161" t="str">
        <f>'Reported burning'!H1516</f>
        <v>Presence</v>
      </c>
      <c r="I1516" s="4"/>
      <c r="J1516" s="5" t="s">
        <v>2308</v>
      </c>
      <c r="K1516" s="5" t="s">
        <v>2308</v>
      </c>
      <c r="L1516" s="5" t="s">
        <v>2308</v>
      </c>
      <c r="M1516" s="5" t="s">
        <v>2308</v>
      </c>
      <c r="N1516" s="5" t="s">
        <v>2308</v>
      </c>
      <c r="O1516" s="5" t="s">
        <v>2308</v>
      </c>
      <c r="P1516" s="5" t="s">
        <v>2308</v>
      </c>
      <c r="Q1516" s="5" t="s">
        <v>2308</v>
      </c>
      <c r="R1516" s="5" t="s">
        <v>2308</v>
      </c>
      <c r="S1516" s="5" t="s">
        <v>2308</v>
      </c>
      <c r="T1516" s="5" t="s">
        <v>2308</v>
      </c>
      <c r="U1516" s="5" t="s">
        <v>2308</v>
      </c>
      <c r="V1516" s="5" t="s">
        <v>2308</v>
      </c>
      <c r="W1516" s="5" t="s">
        <v>2308</v>
      </c>
      <c r="X1516" s="5" t="s">
        <v>2308</v>
      </c>
      <c r="Y1516" s="5" t="s">
        <v>2308</v>
      </c>
      <c r="Z1516" s="5" t="s">
        <v>2308</v>
      </c>
      <c r="AA1516" s="4"/>
      <c r="AB1516" s="4"/>
    </row>
    <row r="1517" spans="1:29" ht="36.5" customHeight="1">
      <c r="A1517" s="161" t="str">
        <f>'Reported burning'!A1517</f>
        <v>180a</v>
      </c>
      <c r="B1517" s="161" t="str">
        <f>'Reported burning'!B1517</f>
        <v>180a.3</v>
      </c>
      <c r="C1517" s="161" t="str">
        <f>'Reported burning'!C1517</f>
        <v>Human, deliberate</v>
      </c>
      <c r="D1517" s="161" t="str">
        <f>'Reported burning'!D1517</f>
        <v>Vegetation management</v>
      </c>
      <c r="E1517" s="161" t="str">
        <f>'Reported burning'!E1517</f>
        <v>Pastoralism, Migratory</v>
      </c>
      <c r="F1517" s="161" t="str">
        <f>'Reported burning'!F1517</f>
        <v>Shrubland (Mixed forest &amp; grassland)</v>
      </c>
      <c r="G1517" s="161" t="str">
        <f>'Reported burning'!G1517</f>
        <v>All</v>
      </c>
      <c r="H1517" s="161" t="str">
        <f>'Reported burning'!H1517</f>
        <v>Presence</v>
      </c>
      <c r="I1517" s="4"/>
      <c r="J1517" s="5" t="s">
        <v>2308</v>
      </c>
      <c r="K1517" s="5" t="s">
        <v>2308</v>
      </c>
      <c r="L1517" s="5" t="s">
        <v>2308</v>
      </c>
      <c r="M1517" s="5" t="s">
        <v>2308</v>
      </c>
      <c r="N1517" s="5" t="s">
        <v>2308</v>
      </c>
      <c r="O1517" s="5" t="s">
        <v>2308</v>
      </c>
      <c r="P1517" s="5" t="s">
        <v>2308</v>
      </c>
      <c r="Q1517" s="5" t="s">
        <v>2308</v>
      </c>
      <c r="R1517" s="5" t="s">
        <v>2308</v>
      </c>
      <c r="S1517" s="5" t="s">
        <v>2308</v>
      </c>
      <c r="T1517" s="5" t="s">
        <v>2308</v>
      </c>
      <c r="U1517" s="5" t="s">
        <v>2308</v>
      </c>
      <c r="V1517" s="5" t="s">
        <v>2308</v>
      </c>
      <c r="W1517" s="5" t="s">
        <v>2308</v>
      </c>
      <c r="X1517" s="5" t="s">
        <v>2308</v>
      </c>
      <c r="Y1517" s="5" t="s">
        <v>2308</v>
      </c>
      <c r="Z1517" s="5" t="s">
        <v>2308</v>
      </c>
      <c r="AA1517" s="4"/>
      <c r="AB1517" s="4"/>
    </row>
    <row r="1518" spans="1:29" ht="36.5" customHeight="1">
      <c r="A1518" s="161" t="str">
        <f>'Reported burning'!A1518</f>
        <v>180a</v>
      </c>
      <c r="B1518" s="161" t="str">
        <f>'Reported burning'!B1518</f>
        <v>180a.4</v>
      </c>
      <c r="C1518" s="161" t="str">
        <f>'Reported burning'!C1518</f>
        <v>Human, deliberate</v>
      </c>
      <c r="D1518" s="161" t="str">
        <f>'Reported burning'!D1518</f>
        <v>Vegetation management</v>
      </c>
      <c r="E1518" s="161" t="str">
        <f>'Reported burning'!E1518</f>
        <v>Forestry, Traditional</v>
      </c>
      <c r="F1518" s="161" t="str">
        <f>'Reported burning'!F1518</f>
        <v>Shrubland (Mixed forest &amp; grassland)</v>
      </c>
      <c r="G1518" s="161" t="str">
        <f>'Reported burning'!G1518</f>
        <v>All</v>
      </c>
      <c r="H1518" s="161" t="str">
        <f>'Reported burning'!H1518</f>
        <v>Presence</v>
      </c>
      <c r="I1518" s="4"/>
      <c r="J1518" s="5" t="s">
        <v>2308</v>
      </c>
      <c r="K1518" s="5" t="s">
        <v>2308</v>
      </c>
      <c r="L1518" s="5" t="s">
        <v>2308</v>
      </c>
      <c r="M1518" s="5" t="s">
        <v>2308</v>
      </c>
      <c r="N1518" s="5" t="s">
        <v>2308</v>
      </c>
      <c r="O1518" s="5" t="s">
        <v>2308</v>
      </c>
      <c r="P1518" s="5" t="s">
        <v>2308</v>
      </c>
      <c r="Q1518" s="5" t="s">
        <v>2308</v>
      </c>
      <c r="R1518" s="5" t="s">
        <v>2308</v>
      </c>
      <c r="S1518" s="5" t="s">
        <v>2308</v>
      </c>
      <c r="T1518" s="5" t="s">
        <v>2308</v>
      </c>
      <c r="U1518" s="5" t="s">
        <v>2308</v>
      </c>
      <c r="V1518" s="5" t="s">
        <v>2308</v>
      </c>
      <c r="W1518" s="5" t="s">
        <v>2308</v>
      </c>
      <c r="X1518" s="5" t="s">
        <v>2308</v>
      </c>
      <c r="Y1518" s="5" t="s">
        <v>2308</v>
      </c>
      <c r="Z1518" s="5" t="s">
        <v>2308</v>
      </c>
      <c r="AA1518" s="4"/>
      <c r="AB1518" s="4"/>
    </row>
    <row r="1519" spans="1:29" ht="36.5" customHeight="1">
      <c r="A1519" s="161" t="str">
        <f>'Reported burning'!A1519</f>
        <v>180a</v>
      </c>
      <c r="B1519" s="161" t="str">
        <f>'Reported burning'!B1519</f>
        <v>180a.5</v>
      </c>
      <c r="C1519" s="161" t="str">
        <f>'Reported burning'!C1519</f>
        <v>Human, deliberate</v>
      </c>
      <c r="D1519" s="161" t="str">
        <f>'Reported burning'!D1519</f>
        <v>Fishing</v>
      </c>
      <c r="E1519" s="161" t="str">
        <f>'Reported burning'!E1519</f>
        <v>Pastoralism, Migratory</v>
      </c>
      <c r="F1519" s="161" t="str">
        <f>'Reported burning'!F1519</f>
        <v>Shrubland (Mixed forest &amp; grassland)</v>
      </c>
      <c r="G1519" s="161" t="str">
        <f>'Reported burning'!G1519</f>
        <v>All</v>
      </c>
      <c r="H1519" s="161" t="str">
        <f>'Reported burning'!H1519</f>
        <v>Presence</v>
      </c>
      <c r="I1519" s="4"/>
      <c r="J1519" s="5" t="s">
        <v>2308</v>
      </c>
      <c r="K1519" s="5" t="s">
        <v>2308</v>
      </c>
      <c r="L1519" s="5" t="s">
        <v>2308</v>
      </c>
      <c r="M1519" s="5" t="s">
        <v>2308</v>
      </c>
      <c r="N1519" s="5" t="s">
        <v>2308</v>
      </c>
      <c r="O1519" s="5" t="s">
        <v>2308</v>
      </c>
      <c r="P1519" s="5" t="s">
        <v>2308</v>
      </c>
      <c r="Q1519" s="5" t="s">
        <v>2308</v>
      </c>
      <c r="R1519" s="5" t="s">
        <v>2308</v>
      </c>
      <c r="S1519" s="5" t="s">
        <v>2308</v>
      </c>
      <c r="T1519" s="5" t="s">
        <v>2308</v>
      </c>
      <c r="U1519" s="5" t="s">
        <v>2308</v>
      </c>
      <c r="V1519" s="5" t="s">
        <v>2308</v>
      </c>
      <c r="W1519" s="5" t="s">
        <v>2308</v>
      </c>
      <c r="X1519" s="5" t="s">
        <v>2308</v>
      </c>
      <c r="Y1519" s="5" t="s">
        <v>2308</v>
      </c>
      <c r="Z1519" s="5" t="s">
        <v>2308</v>
      </c>
      <c r="AA1519" s="4"/>
      <c r="AB1519" s="4"/>
    </row>
    <row r="1520" spans="1:29" ht="36.5" customHeight="1">
      <c r="A1520" s="161" t="str">
        <f>'Reported burning'!A1520</f>
        <v>180a</v>
      </c>
      <c r="B1520" s="161" t="str">
        <f>'Reported burning'!B1520</f>
        <v>180a.6</v>
      </c>
      <c r="C1520" s="161" t="str">
        <f>'Reported burning'!C1520</f>
        <v>Human, deliberate</v>
      </c>
      <c r="D1520" s="161" t="str">
        <f>'Reported burning'!D1520</f>
        <v>Accessibility</v>
      </c>
      <c r="E1520" s="161" t="str">
        <f>'Reported burning'!E1520</f>
        <v>Forestry, Traditional</v>
      </c>
      <c r="F1520" s="161" t="str">
        <f>'Reported burning'!F1520</f>
        <v>Shrubland (Mixed forest &amp; grassland)</v>
      </c>
      <c r="G1520" s="161" t="str">
        <f>'Reported burning'!G1520</f>
        <v>All</v>
      </c>
      <c r="H1520" s="161" t="str">
        <f>'Reported burning'!H1520</f>
        <v>Presence</v>
      </c>
      <c r="I1520" s="4"/>
      <c r="J1520" s="5" t="s">
        <v>2308</v>
      </c>
      <c r="K1520" s="5" t="s">
        <v>2308</v>
      </c>
      <c r="L1520" s="5" t="s">
        <v>2308</v>
      </c>
      <c r="M1520" s="5" t="s">
        <v>2308</v>
      </c>
      <c r="N1520" s="5" t="s">
        <v>2308</v>
      </c>
      <c r="O1520" s="5" t="s">
        <v>2308</v>
      </c>
      <c r="P1520" s="5" t="s">
        <v>2308</v>
      </c>
      <c r="Q1520" s="5" t="s">
        <v>2308</v>
      </c>
      <c r="R1520" s="5" t="s">
        <v>2308</v>
      </c>
      <c r="S1520" s="5" t="s">
        <v>2308</v>
      </c>
      <c r="T1520" s="5" t="s">
        <v>2308</v>
      </c>
      <c r="U1520" s="5" t="s">
        <v>2308</v>
      </c>
      <c r="V1520" s="5" t="s">
        <v>2308</v>
      </c>
      <c r="W1520" s="5" t="s">
        <v>2308</v>
      </c>
      <c r="X1520" s="5" t="s">
        <v>2308</v>
      </c>
      <c r="Y1520" s="5" t="s">
        <v>2308</v>
      </c>
      <c r="Z1520" s="5" t="s">
        <v>2308</v>
      </c>
      <c r="AA1520" s="4"/>
      <c r="AB1520" s="4"/>
    </row>
    <row r="1521" spans="1:28" ht="36.5" customHeight="1">
      <c r="A1521" s="161" t="str">
        <f>'Reported burning'!A1521</f>
        <v>180a</v>
      </c>
      <c r="B1521" s="161" t="str">
        <f>'Reported burning'!B1521</f>
        <v>180a.7</v>
      </c>
      <c r="C1521" s="161" t="str">
        <f>'Reported burning'!C1521</f>
        <v>Human, deliberate</v>
      </c>
      <c r="D1521" s="161" t="str">
        <f>'Reported burning'!D1521</f>
        <v>Crop field preparation</v>
      </c>
      <c r="E1521" s="161" t="str">
        <f>'Reported burning'!E1521</f>
        <v>Cropping, Swidden</v>
      </c>
      <c r="F1521" s="161" t="str">
        <f>'Reported burning'!F1521</f>
        <v>Shrubland (Mixed forest &amp; grassland)</v>
      </c>
      <c r="G1521" s="161" t="str">
        <f>'Reported burning'!G1521</f>
        <v>All</v>
      </c>
      <c r="H1521" s="161" t="str">
        <f>'Reported burning'!H1521</f>
        <v>Presence</v>
      </c>
      <c r="I1521" s="4"/>
      <c r="J1521" s="5" t="s">
        <v>2308</v>
      </c>
      <c r="K1521" s="5" t="s">
        <v>2308</v>
      </c>
      <c r="L1521" s="5" t="s">
        <v>2308</v>
      </c>
      <c r="M1521" s="5" t="s">
        <v>2308</v>
      </c>
      <c r="N1521" s="5" t="s">
        <v>2308</v>
      </c>
      <c r="O1521" s="5" t="s">
        <v>2308</v>
      </c>
      <c r="P1521" s="5" t="s">
        <v>2308</v>
      </c>
      <c r="Q1521" s="5" t="s">
        <v>2308</v>
      </c>
      <c r="R1521" s="5" t="s">
        <v>2308</v>
      </c>
      <c r="S1521" s="5" t="s">
        <v>2308</v>
      </c>
      <c r="T1521" s="5" t="s">
        <v>2308</v>
      </c>
      <c r="U1521" s="5" t="s">
        <v>2308</v>
      </c>
      <c r="V1521" s="5" t="s">
        <v>2308</v>
      </c>
      <c r="W1521" s="5" t="s">
        <v>2308</v>
      </c>
      <c r="X1521" s="5" t="s">
        <v>2308</v>
      </c>
      <c r="Y1521" s="5" t="s">
        <v>2308</v>
      </c>
      <c r="Z1521" s="5" t="s">
        <v>2308</v>
      </c>
      <c r="AA1521" s="4"/>
      <c r="AB1521" s="4"/>
    </row>
    <row r="1522" spans="1:28" ht="36.5" customHeight="1">
      <c r="A1522" s="161" t="str">
        <f>'Reported burning'!A1522</f>
        <v>180a</v>
      </c>
      <c r="B1522" s="161" t="str">
        <f>'Reported burning'!B1522</f>
        <v>180a.8</v>
      </c>
      <c r="C1522" s="161" t="str">
        <f>'Reported burning'!C1522</f>
        <v>Human, deliberate</v>
      </c>
      <c r="D1522" s="161" t="str">
        <f>'Reported burning'!D1522</f>
        <v>Land clearance</v>
      </c>
      <c r="E1522" s="161" t="str">
        <f>'Reported burning'!E1522</f>
        <v>Cropping, Swidden</v>
      </c>
      <c r="F1522" s="161" t="str">
        <f>'Reported burning'!F1522</f>
        <v>Shrubland (Mixed forest &amp; grassland)</v>
      </c>
      <c r="G1522" s="161" t="str">
        <f>'Reported burning'!G1522</f>
        <v>All</v>
      </c>
      <c r="H1522" s="161" t="str">
        <f>'Reported burning'!H1522</f>
        <v>Presence</v>
      </c>
      <c r="I1522" s="4"/>
      <c r="J1522" s="5" t="s">
        <v>2308</v>
      </c>
      <c r="K1522" s="5" t="s">
        <v>2308</v>
      </c>
      <c r="L1522" s="5" t="s">
        <v>2308</v>
      </c>
      <c r="M1522" s="5" t="s">
        <v>2308</v>
      </c>
      <c r="N1522" s="5" t="s">
        <v>2308</v>
      </c>
      <c r="O1522" s="5" t="s">
        <v>2308</v>
      </c>
      <c r="P1522" s="5" t="s">
        <v>2308</v>
      </c>
      <c r="Q1522" s="5" t="s">
        <v>2308</v>
      </c>
      <c r="R1522" s="5" t="s">
        <v>2308</v>
      </c>
      <c r="S1522" s="5" t="s">
        <v>2308</v>
      </c>
      <c r="T1522" s="5" t="s">
        <v>2308</v>
      </c>
      <c r="U1522" s="5" t="s">
        <v>2308</v>
      </c>
      <c r="V1522" s="5" t="s">
        <v>2308</v>
      </c>
      <c r="W1522" s="5" t="s">
        <v>2308</v>
      </c>
      <c r="X1522" s="5" t="s">
        <v>2308</v>
      </c>
      <c r="Y1522" s="5" t="s">
        <v>2308</v>
      </c>
      <c r="Z1522" s="5" t="s">
        <v>2308</v>
      </c>
      <c r="AA1522" s="4"/>
      <c r="AB1522" s="4"/>
    </row>
    <row r="1523" spans="1:28" ht="36.5" customHeight="1">
      <c r="A1523" s="161" t="str">
        <f>'Reported burning'!A1523</f>
        <v>180a</v>
      </c>
      <c r="B1523" s="161" t="str">
        <f>'Reported burning'!B1523</f>
        <v>180a.9</v>
      </c>
      <c r="C1523" s="161" t="str">
        <f>'Reported burning'!C1523</f>
        <v>Human, deliberate</v>
      </c>
      <c r="D1523" s="161" t="str">
        <f>'Reported burning'!D1523</f>
        <v>Harvesting of NTFP</v>
      </c>
      <c r="E1523" s="161" t="str">
        <f>'Reported burning'!E1523</f>
        <v>Forestry, Traditional</v>
      </c>
      <c r="F1523" s="161" t="str">
        <f>'Reported burning'!F1523</f>
        <v>Shrubland (Mixed forest &amp; grassland)</v>
      </c>
      <c r="G1523" s="161" t="str">
        <f>'Reported burning'!G1523</f>
        <v>All</v>
      </c>
      <c r="H1523" s="161" t="str">
        <f>'Reported burning'!H1523</f>
        <v>Presence</v>
      </c>
      <c r="I1523" s="4"/>
      <c r="J1523" s="5" t="s">
        <v>2308</v>
      </c>
      <c r="K1523" s="5" t="s">
        <v>2308</v>
      </c>
      <c r="L1523" s="5" t="s">
        <v>2308</v>
      </c>
      <c r="M1523" s="5" t="s">
        <v>2308</v>
      </c>
      <c r="N1523" s="5" t="s">
        <v>2308</v>
      </c>
      <c r="O1523" s="5" t="s">
        <v>2308</v>
      </c>
      <c r="P1523" s="5" t="s">
        <v>2308</v>
      </c>
      <c r="Q1523" s="5" t="s">
        <v>2308</v>
      </c>
      <c r="R1523" s="5" t="s">
        <v>2308</v>
      </c>
      <c r="S1523" s="5" t="s">
        <v>2308</v>
      </c>
      <c r="T1523" s="5" t="s">
        <v>2308</v>
      </c>
      <c r="U1523" s="5" t="s">
        <v>2308</v>
      </c>
      <c r="V1523" s="5" t="s">
        <v>2308</v>
      </c>
      <c r="W1523" s="5" t="s">
        <v>2308</v>
      </c>
      <c r="X1523" s="5" t="s">
        <v>2308</v>
      </c>
      <c r="Y1523" s="5" t="s">
        <v>2308</v>
      </c>
      <c r="Z1523" s="5" t="s">
        <v>2308</v>
      </c>
      <c r="AA1523" s="5" t="s">
        <v>4610</v>
      </c>
      <c r="AB1523" s="4"/>
    </row>
    <row r="1524" spans="1:28" ht="36.5" customHeight="1">
      <c r="A1524" s="161" t="str">
        <f>'Reported burning'!A1524</f>
        <v>180a</v>
      </c>
      <c r="B1524" s="161" t="str">
        <f>'Reported burning'!B1524</f>
        <v>180a.10</v>
      </c>
      <c r="C1524" s="161" t="str">
        <f>'Reported burning'!C1524</f>
        <v>Human, deliberate</v>
      </c>
      <c r="D1524" s="161" t="str">
        <f>'Reported burning'!D1524</f>
        <v>Pest management</v>
      </c>
      <c r="E1524" s="161" t="str">
        <f>'Reported burning'!E1524</f>
        <v>Pastoralism, Migratory</v>
      </c>
      <c r="F1524" s="161" t="str">
        <f>'Reported burning'!F1524</f>
        <v>Shrubland (Mixed forest &amp; grassland)</v>
      </c>
      <c r="G1524" s="161" t="str">
        <f>'Reported burning'!G1524</f>
        <v>All</v>
      </c>
      <c r="H1524" s="161" t="str">
        <f>'Reported burning'!H1524</f>
        <v>Presence</v>
      </c>
      <c r="I1524" s="4"/>
      <c r="J1524" s="5" t="s">
        <v>2308</v>
      </c>
      <c r="K1524" s="5" t="s">
        <v>2308</v>
      </c>
      <c r="L1524" s="5" t="s">
        <v>2308</v>
      </c>
      <c r="M1524" s="5" t="s">
        <v>2308</v>
      </c>
      <c r="N1524" s="5" t="s">
        <v>2308</v>
      </c>
      <c r="O1524" s="5" t="s">
        <v>2308</v>
      </c>
      <c r="P1524" s="5" t="s">
        <v>2308</v>
      </c>
      <c r="Q1524" s="5" t="s">
        <v>2308</v>
      </c>
      <c r="R1524" s="5" t="s">
        <v>2308</v>
      </c>
      <c r="S1524" s="5" t="s">
        <v>2308</v>
      </c>
      <c r="T1524" s="5" t="s">
        <v>2308</v>
      </c>
      <c r="U1524" s="5" t="s">
        <v>2308</v>
      </c>
      <c r="V1524" s="5" t="s">
        <v>2308</v>
      </c>
      <c r="W1524" s="5" t="s">
        <v>2308</v>
      </c>
      <c r="X1524" s="5" t="s">
        <v>2308</v>
      </c>
      <c r="Y1524" s="5" t="s">
        <v>2308</v>
      </c>
      <c r="Z1524" s="5" t="s">
        <v>2308</v>
      </c>
      <c r="AA1524" s="4"/>
      <c r="AB1524" s="4"/>
    </row>
    <row r="1525" spans="1:28" ht="55.5" customHeight="1">
      <c r="A1525" s="161" t="str">
        <f>'Reported burning'!A1525</f>
        <v>180a</v>
      </c>
      <c r="B1525" s="161" t="str">
        <f>'Reported burning'!B1525</f>
        <v>180a.11</v>
      </c>
      <c r="C1525" s="161" t="str">
        <f>'Reported burning'!C1525</f>
        <v>Human, deliberate</v>
      </c>
      <c r="D1525" s="161" t="str">
        <f>'Reported burning'!D1525</f>
        <v>All</v>
      </c>
      <c r="E1525" s="161" t="str">
        <f>'Reported burning'!E1525</f>
        <v>Pastoralism, Migratory</v>
      </c>
      <c r="F1525" s="161" t="str">
        <f>'Reported burning'!F1525</f>
        <v>Shrubland (Mixed forest &amp; grassland)</v>
      </c>
      <c r="G1525" s="161" t="str">
        <f>'Reported burning'!G1525</f>
        <v>All</v>
      </c>
      <c r="H1525" s="161" t="str">
        <f>'Reported burning'!H1525</f>
        <v>Presence</v>
      </c>
      <c r="I1525" s="4"/>
      <c r="J1525" s="5" t="s">
        <v>2308</v>
      </c>
      <c r="K1525" s="5" t="s">
        <v>2308</v>
      </c>
      <c r="L1525" s="5" t="s">
        <v>2308</v>
      </c>
      <c r="M1525" s="5" t="s">
        <v>2308</v>
      </c>
      <c r="N1525" s="5" t="s">
        <v>2308</v>
      </c>
      <c r="O1525" s="5" t="s">
        <v>2308</v>
      </c>
      <c r="P1525" s="5" t="s">
        <v>2308</v>
      </c>
      <c r="Q1525" s="5" t="s">
        <v>2308</v>
      </c>
      <c r="R1525" s="5" t="s">
        <v>2308</v>
      </c>
      <c r="S1525" s="5" t="s">
        <v>2308</v>
      </c>
      <c r="T1525" s="5" t="s">
        <v>2308</v>
      </c>
      <c r="U1525" s="5" t="s">
        <v>2308</v>
      </c>
      <c r="V1525" s="5" t="s">
        <v>2308</v>
      </c>
      <c r="W1525" s="5" t="s">
        <v>2308</v>
      </c>
      <c r="X1525" s="5" t="s">
        <v>2308</v>
      </c>
      <c r="Y1525" s="5" t="s">
        <v>2308</v>
      </c>
      <c r="Z1525" s="5" t="s">
        <v>2308</v>
      </c>
      <c r="AA1525" s="5"/>
      <c r="AB1525" s="4"/>
    </row>
    <row r="1526" spans="1:28" ht="36.5" customHeight="1">
      <c r="A1526" s="161" t="str">
        <f>'Reported burning'!A1526</f>
        <v>180b</v>
      </c>
      <c r="B1526" s="161" t="str">
        <f>'Reported burning'!B1526</f>
        <v>180b.1</v>
      </c>
      <c r="C1526" s="161" t="str">
        <f>'Reported burning'!C1526</f>
        <v>Human, deliberate</v>
      </c>
      <c r="D1526" s="161" t="str">
        <f>'Reported burning'!D1526</f>
        <v>Pasture renewal</v>
      </c>
      <c r="E1526" s="161" t="str">
        <f>'Reported burning'!E1526</f>
        <v>Pastoralism, Migratory</v>
      </c>
      <c r="F1526" s="161" t="str">
        <f>'Reported burning'!F1526</f>
        <v>Shrubland (Mixed forest &amp; grassland)</v>
      </c>
      <c r="G1526" s="161" t="str">
        <f>'Reported burning'!G1526</f>
        <v>All</v>
      </c>
      <c r="H1526" s="161" t="str">
        <f>'Reported burning'!H1526</f>
        <v>Presence</v>
      </c>
      <c r="I1526" s="4"/>
      <c r="J1526" s="5" t="s">
        <v>2308</v>
      </c>
      <c r="K1526" s="5" t="s">
        <v>2308</v>
      </c>
      <c r="L1526" s="5" t="s">
        <v>2308</v>
      </c>
      <c r="M1526" s="5" t="s">
        <v>2308</v>
      </c>
      <c r="N1526" s="5" t="s">
        <v>2308</v>
      </c>
      <c r="O1526" s="5" t="s">
        <v>2308</v>
      </c>
      <c r="P1526" s="5" t="s">
        <v>2308</v>
      </c>
      <c r="Q1526" s="5" t="s">
        <v>2308</v>
      </c>
      <c r="R1526" s="5" t="s">
        <v>2308</v>
      </c>
      <c r="S1526" s="5" t="s">
        <v>2308</v>
      </c>
      <c r="T1526" s="5" t="s">
        <v>2308</v>
      </c>
      <c r="U1526" s="5" t="s">
        <v>2308</v>
      </c>
      <c r="V1526" s="5" t="s">
        <v>2308</v>
      </c>
      <c r="W1526" s="5" t="s">
        <v>2308</v>
      </c>
      <c r="X1526" s="5" t="s">
        <v>2308</v>
      </c>
      <c r="Y1526" s="5" t="s">
        <v>2308</v>
      </c>
      <c r="Z1526" s="5" t="s">
        <v>2308</v>
      </c>
      <c r="AA1526" s="4"/>
      <c r="AB1526" s="4"/>
    </row>
    <row r="1527" spans="1:28" ht="36.5" customHeight="1">
      <c r="A1527" s="161" t="str">
        <f>'Reported burning'!A1527</f>
        <v>180b</v>
      </c>
      <c r="B1527" s="161" t="str">
        <f>'Reported burning'!B1527</f>
        <v>180b.2</v>
      </c>
      <c r="C1527" s="161" t="str">
        <f>'Reported burning'!C1527</f>
        <v>Human, deliberate</v>
      </c>
      <c r="D1527" s="161" t="str">
        <f>'Reported burning'!D1527</f>
        <v>Vegetation management</v>
      </c>
      <c r="E1527" s="161" t="str">
        <f>'Reported burning'!E1527</f>
        <v>Cropping, Swidden</v>
      </c>
      <c r="F1527" s="161" t="str">
        <f>'Reported burning'!F1527</f>
        <v>Shrubland (Mixed forest &amp; grassland)</v>
      </c>
      <c r="G1527" s="161" t="str">
        <f>'Reported burning'!G1527</f>
        <v>All</v>
      </c>
      <c r="H1527" s="161" t="str">
        <f>'Reported burning'!H1527</f>
        <v>Presence</v>
      </c>
      <c r="I1527" s="4"/>
      <c r="J1527" s="5" t="s">
        <v>2308</v>
      </c>
      <c r="K1527" s="5" t="s">
        <v>2308</v>
      </c>
      <c r="L1527" s="5" t="s">
        <v>2308</v>
      </c>
      <c r="M1527" s="5" t="s">
        <v>2308</v>
      </c>
      <c r="N1527" s="5" t="s">
        <v>2308</v>
      </c>
      <c r="O1527" s="5" t="s">
        <v>2308</v>
      </c>
      <c r="P1527" s="5" t="s">
        <v>2308</v>
      </c>
      <c r="Q1527" s="5" t="s">
        <v>2308</v>
      </c>
      <c r="R1527" s="5" t="s">
        <v>2308</v>
      </c>
      <c r="S1527" s="5" t="s">
        <v>2308</v>
      </c>
      <c r="T1527" s="5" t="s">
        <v>2308</v>
      </c>
      <c r="U1527" s="5" t="s">
        <v>2308</v>
      </c>
      <c r="V1527" s="5" t="s">
        <v>2308</v>
      </c>
      <c r="W1527" s="5" t="s">
        <v>2308</v>
      </c>
      <c r="X1527" s="5" t="s">
        <v>2308</v>
      </c>
      <c r="Y1527" s="5" t="s">
        <v>2308</v>
      </c>
      <c r="Z1527" s="5" t="s">
        <v>2308</v>
      </c>
      <c r="AA1527" s="4"/>
      <c r="AB1527" s="4"/>
    </row>
    <row r="1528" spans="1:28" ht="36.5" customHeight="1">
      <c r="A1528" s="161" t="str">
        <f>'Reported burning'!A1528</f>
        <v>180b</v>
      </c>
      <c r="B1528" s="161" t="str">
        <f>'Reported burning'!B1528</f>
        <v>180b.3</v>
      </c>
      <c r="C1528" s="161" t="str">
        <f>'Reported burning'!C1528</f>
        <v>Human, deliberate</v>
      </c>
      <c r="D1528" s="161" t="str">
        <f>'Reported burning'!D1528</f>
        <v>Vegetation management</v>
      </c>
      <c r="E1528" s="161" t="str">
        <f>'Reported burning'!E1528</f>
        <v>Pastoralism, Migratory</v>
      </c>
      <c r="F1528" s="161" t="str">
        <f>'Reported burning'!F1528</f>
        <v>Shrubland (Mixed forest &amp; grassland)</v>
      </c>
      <c r="G1528" s="161" t="str">
        <f>'Reported burning'!G1528</f>
        <v>All</v>
      </c>
      <c r="H1528" s="161" t="str">
        <f>'Reported burning'!H1528</f>
        <v>Presence</v>
      </c>
      <c r="I1528" s="4"/>
      <c r="J1528" s="5" t="s">
        <v>2308</v>
      </c>
      <c r="K1528" s="5" t="s">
        <v>2308</v>
      </c>
      <c r="L1528" s="5" t="s">
        <v>2308</v>
      </c>
      <c r="M1528" s="5" t="s">
        <v>2308</v>
      </c>
      <c r="N1528" s="5" t="s">
        <v>2308</v>
      </c>
      <c r="O1528" s="5" t="s">
        <v>2308</v>
      </c>
      <c r="P1528" s="5" t="s">
        <v>2308</v>
      </c>
      <c r="Q1528" s="5" t="s">
        <v>2308</v>
      </c>
      <c r="R1528" s="5" t="s">
        <v>2308</v>
      </c>
      <c r="S1528" s="5" t="s">
        <v>2308</v>
      </c>
      <c r="T1528" s="5" t="s">
        <v>2308</v>
      </c>
      <c r="U1528" s="5" t="s">
        <v>2308</v>
      </c>
      <c r="V1528" s="5" t="s">
        <v>2308</v>
      </c>
      <c r="W1528" s="5" t="s">
        <v>2308</v>
      </c>
      <c r="X1528" s="5" t="s">
        <v>2308</v>
      </c>
      <c r="Y1528" s="5" t="s">
        <v>2308</v>
      </c>
      <c r="Z1528" s="5" t="s">
        <v>2308</v>
      </c>
      <c r="AA1528" s="4"/>
      <c r="AB1528" s="4"/>
    </row>
    <row r="1529" spans="1:28" ht="36.5" customHeight="1">
      <c r="A1529" s="161" t="str">
        <f>'Reported burning'!A1529</f>
        <v>180b</v>
      </c>
      <c r="B1529" s="161" t="str">
        <f>'Reported burning'!B1529</f>
        <v>180b.4</v>
      </c>
      <c r="C1529" s="161" t="str">
        <f>'Reported burning'!C1529</f>
        <v>Human, deliberate</v>
      </c>
      <c r="D1529" s="161" t="str">
        <f>'Reported burning'!D1529</f>
        <v>Vegetation management</v>
      </c>
      <c r="E1529" s="161" t="str">
        <f>'Reported burning'!E1529</f>
        <v>Forestry, Traditional</v>
      </c>
      <c r="F1529" s="161" t="str">
        <f>'Reported burning'!F1529</f>
        <v>Shrubland (Mixed forest &amp; grassland)</v>
      </c>
      <c r="G1529" s="161" t="str">
        <f>'Reported burning'!G1529</f>
        <v>All</v>
      </c>
      <c r="H1529" s="161" t="str">
        <f>'Reported burning'!H1529</f>
        <v>Presence</v>
      </c>
      <c r="I1529" s="4"/>
      <c r="J1529" s="5" t="s">
        <v>2308</v>
      </c>
      <c r="K1529" s="5" t="s">
        <v>2308</v>
      </c>
      <c r="L1529" s="5" t="s">
        <v>2308</v>
      </c>
      <c r="M1529" s="5" t="s">
        <v>2308</v>
      </c>
      <c r="N1529" s="5" t="s">
        <v>2308</v>
      </c>
      <c r="O1529" s="5" t="s">
        <v>2308</v>
      </c>
      <c r="P1529" s="5" t="s">
        <v>2308</v>
      </c>
      <c r="Q1529" s="5" t="s">
        <v>2308</v>
      </c>
      <c r="R1529" s="5" t="s">
        <v>2308</v>
      </c>
      <c r="S1529" s="5" t="s">
        <v>2308</v>
      </c>
      <c r="T1529" s="5" t="s">
        <v>2308</v>
      </c>
      <c r="U1529" s="5" t="s">
        <v>2308</v>
      </c>
      <c r="V1529" s="5" t="s">
        <v>2308</v>
      </c>
      <c r="W1529" s="5" t="s">
        <v>2308</v>
      </c>
      <c r="X1529" s="5" t="s">
        <v>2308</v>
      </c>
      <c r="Y1529" s="5" t="s">
        <v>2308</v>
      </c>
      <c r="Z1529" s="5" t="s">
        <v>2308</v>
      </c>
      <c r="AA1529" s="4"/>
      <c r="AB1529" s="4"/>
    </row>
    <row r="1530" spans="1:28" ht="36.5" customHeight="1">
      <c r="A1530" s="161" t="str">
        <f>'Reported burning'!A1530</f>
        <v>180b</v>
      </c>
      <c r="B1530" s="161" t="str">
        <f>'Reported burning'!B1530</f>
        <v>180b.5</v>
      </c>
      <c r="C1530" s="161" t="str">
        <f>'Reported burning'!C1530</f>
        <v>Human, deliberate</v>
      </c>
      <c r="D1530" s="161" t="str">
        <f>'Reported burning'!D1530</f>
        <v>Fishing</v>
      </c>
      <c r="E1530" s="161" t="str">
        <f>'Reported burning'!E1530</f>
        <v>Pastoralism, Migratory</v>
      </c>
      <c r="F1530" s="161" t="str">
        <f>'Reported burning'!F1530</f>
        <v>Shrubland (Mixed forest &amp; grassland)</v>
      </c>
      <c r="G1530" s="161" t="str">
        <f>'Reported burning'!G1530</f>
        <v>All</v>
      </c>
      <c r="H1530" s="161" t="str">
        <f>'Reported burning'!H1530</f>
        <v>Presence</v>
      </c>
      <c r="I1530" s="4"/>
      <c r="J1530" s="5" t="s">
        <v>2308</v>
      </c>
      <c r="K1530" s="5" t="s">
        <v>2308</v>
      </c>
      <c r="L1530" s="5" t="s">
        <v>2308</v>
      </c>
      <c r="M1530" s="5" t="s">
        <v>2308</v>
      </c>
      <c r="N1530" s="5" t="s">
        <v>2308</v>
      </c>
      <c r="O1530" s="5" t="s">
        <v>2308</v>
      </c>
      <c r="P1530" s="5" t="s">
        <v>2308</v>
      </c>
      <c r="Q1530" s="5" t="s">
        <v>2308</v>
      </c>
      <c r="R1530" s="5" t="s">
        <v>2308</v>
      </c>
      <c r="S1530" s="5" t="s">
        <v>2308</v>
      </c>
      <c r="T1530" s="5" t="s">
        <v>2308</v>
      </c>
      <c r="U1530" s="5" t="s">
        <v>2308</v>
      </c>
      <c r="V1530" s="5" t="s">
        <v>2308</v>
      </c>
      <c r="W1530" s="5" t="s">
        <v>2308</v>
      </c>
      <c r="X1530" s="5" t="s">
        <v>2308</v>
      </c>
      <c r="Y1530" s="5" t="s">
        <v>2308</v>
      </c>
      <c r="Z1530" s="5" t="s">
        <v>2308</v>
      </c>
      <c r="AA1530" s="4"/>
      <c r="AB1530" s="4"/>
    </row>
    <row r="1531" spans="1:28" ht="36.5" customHeight="1">
      <c r="A1531" s="161" t="str">
        <f>'Reported burning'!A1531</f>
        <v>180b</v>
      </c>
      <c r="B1531" s="161" t="str">
        <f>'Reported burning'!B1531</f>
        <v>180b.6</v>
      </c>
      <c r="C1531" s="161" t="str">
        <f>'Reported burning'!C1531</f>
        <v>Human, deliberate</v>
      </c>
      <c r="D1531" s="161" t="str">
        <f>'Reported burning'!D1531</f>
        <v>Accessibility</v>
      </c>
      <c r="E1531" s="161" t="str">
        <f>'Reported burning'!E1531</f>
        <v>Forestry, Traditional</v>
      </c>
      <c r="F1531" s="161" t="str">
        <f>'Reported burning'!F1531</f>
        <v>Shrubland (Mixed forest &amp; grassland)</v>
      </c>
      <c r="G1531" s="161" t="str">
        <f>'Reported burning'!G1531</f>
        <v>All</v>
      </c>
      <c r="H1531" s="161" t="str">
        <f>'Reported burning'!H1531</f>
        <v>Presence</v>
      </c>
      <c r="I1531" s="4"/>
      <c r="J1531" s="5" t="s">
        <v>2308</v>
      </c>
      <c r="K1531" s="5" t="s">
        <v>2308</v>
      </c>
      <c r="L1531" s="5" t="s">
        <v>2308</v>
      </c>
      <c r="M1531" s="5" t="s">
        <v>2308</v>
      </c>
      <c r="N1531" s="5" t="s">
        <v>2308</v>
      </c>
      <c r="O1531" s="5" t="s">
        <v>2308</v>
      </c>
      <c r="P1531" s="5" t="s">
        <v>2308</v>
      </c>
      <c r="Q1531" s="5" t="s">
        <v>2308</v>
      </c>
      <c r="R1531" s="5" t="s">
        <v>2308</v>
      </c>
      <c r="S1531" s="5" t="s">
        <v>2308</v>
      </c>
      <c r="T1531" s="5" t="s">
        <v>2308</v>
      </c>
      <c r="U1531" s="5" t="s">
        <v>2308</v>
      </c>
      <c r="V1531" s="5" t="s">
        <v>2308</v>
      </c>
      <c r="W1531" s="5" t="s">
        <v>2308</v>
      </c>
      <c r="X1531" s="5" t="s">
        <v>2308</v>
      </c>
      <c r="Y1531" s="5" t="s">
        <v>2308</v>
      </c>
      <c r="Z1531" s="5" t="s">
        <v>2308</v>
      </c>
      <c r="AA1531" s="4"/>
      <c r="AB1531" s="4"/>
    </row>
    <row r="1532" spans="1:28" ht="36.5" customHeight="1">
      <c r="A1532" s="161" t="str">
        <f>'Reported burning'!A1532</f>
        <v>180b</v>
      </c>
      <c r="B1532" s="161" t="str">
        <f>'Reported burning'!B1532</f>
        <v>180b.7</v>
      </c>
      <c r="C1532" s="161" t="str">
        <f>'Reported burning'!C1532</f>
        <v>Human, deliberate</v>
      </c>
      <c r="D1532" s="161" t="str">
        <f>'Reported burning'!D1532</f>
        <v>Crop field preparation</v>
      </c>
      <c r="E1532" s="161" t="str">
        <f>'Reported burning'!E1532</f>
        <v>Cropping, Swidden</v>
      </c>
      <c r="F1532" s="161" t="str">
        <f>'Reported burning'!F1532</f>
        <v>Shrubland (Mixed forest &amp; grassland)</v>
      </c>
      <c r="G1532" s="161" t="str">
        <f>'Reported burning'!G1532</f>
        <v>All</v>
      </c>
      <c r="H1532" s="161" t="str">
        <f>'Reported burning'!H1532</f>
        <v>Presence</v>
      </c>
      <c r="I1532" s="4"/>
      <c r="J1532" s="5" t="s">
        <v>2308</v>
      </c>
      <c r="K1532" s="5" t="s">
        <v>2308</v>
      </c>
      <c r="L1532" s="5" t="s">
        <v>2308</v>
      </c>
      <c r="M1532" s="5" t="s">
        <v>2308</v>
      </c>
      <c r="N1532" s="5" t="s">
        <v>2308</v>
      </c>
      <c r="O1532" s="5" t="s">
        <v>2308</v>
      </c>
      <c r="P1532" s="5" t="s">
        <v>2308</v>
      </c>
      <c r="Q1532" s="5" t="s">
        <v>2308</v>
      </c>
      <c r="R1532" s="5" t="s">
        <v>2308</v>
      </c>
      <c r="S1532" s="5" t="s">
        <v>2308</v>
      </c>
      <c r="T1532" s="5" t="s">
        <v>2308</v>
      </c>
      <c r="U1532" s="5" t="s">
        <v>2308</v>
      </c>
      <c r="V1532" s="5" t="s">
        <v>2308</v>
      </c>
      <c r="W1532" s="5" t="s">
        <v>2308</v>
      </c>
      <c r="X1532" s="5" t="s">
        <v>2308</v>
      </c>
      <c r="Y1532" s="5" t="s">
        <v>2308</v>
      </c>
      <c r="Z1532" s="5" t="s">
        <v>2308</v>
      </c>
      <c r="AA1532" s="4"/>
      <c r="AB1532" s="4"/>
    </row>
    <row r="1533" spans="1:28" ht="43.5" customHeight="1">
      <c r="A1533" s="161" t="str">
        <f>'Reported burning'!A1533</f>
        <v>180b</v>
      </c>
      <c r="B1533" s="161" t="str">
        <f>'Reported burning'!B1533</f>
        <v>180b.8</v>
      </c>
      <c r="C1533" s="161" t="str">
        <f>'Reported burning'!C1533</f>
        <v>Human, deliberate</v>
      </c>
      <c r="D1533" s="161" t="str">
        <f>'Reported burning'!D1533</f>
        <v>Land clearance</v>
      </c>
      <c r="E1533" s="161" t="str">
        <f>'Reported burning'!E1533</f>
        <v>Cropping, Swidden</v>
      </c>
      <c r="F1533" s="161" t="str">
        <f>'Reported burning'!F1533</f>
        <v>Shrubland (Mixed forest &amp; grassland)</v>
      </c>
      <c r="G1533" s="161" t="str">
        <f>'Reported burning'!G1533</f>
        <v>All</v>
      </c>
      <c r="H1533" s="161" t="str">
        <f>'Reported burning'!H1533</f>
        <v>Presence</v>
      </c>
      <c r="I1533" s="4"/>
      <c r="J1533" s="5" t="s">
        <v>2308</v>
      </c>
      <c r="K1533" s="5" t="s">
        <v>2308</v>
      </c>
      <c r="L1533" s="5" t="s">
        <v>2308</v>
      </c>
      <c r="M1533" s="5" t="s">
        <v>2308</v>
      </c>
      <c r="N1533" s="5" t="s">
        <v>2308</v>
      </c>
      <c r="O1533" s="5" t="s">
        <v>2308</v>
      </c>
      <c r="P1533" s="5" t="s">
        <v>2308</v>
      </c>
      <c r="Q1533" s="5" t="s">
        <v>2308</v>
      </c>
      <c r="R1533" s="5" t="s">
        <v>2308</v>
      </c>
      <c r="S1533" s="5" t="s">
        <v>2308</v>
      </c>
      <c r="T1533" s="5" t="s">
        <v>2308</v>
      </c>
      <c r="U1533" s="5" t="s">
        <v>2308</v>
      </c>
      <c r="V1533" s="5" t="s">
        <v>2308</v>
      </c>
      <c r="W1533" s="5" t="s">
        <v>2308</v>
      </c>
      <c r="X1533" s="5" t="s">
        <v>2308</v>
      </c>
      <c r="Y1533" s="5" t="s">
        <v>2308</v>
      </c>
      <c r="Z1533" s="5" t="s">
        <v>2308</v>
      </c>
      <c r="AA1533" s="5" t="s">
        <v>4610</v>
      </c>
      <c r="AB1533" s="4"/>
    </row>
    <row r="1534" spans="1:28" ht="36.5" customHeight="1">
      <c r="A1534" s="161" t="str">
        <f>'Reported burning'!A1534</f>
        <v>180b</v>
      </c>
      <c r="B1534" s="161" t="str">
        <f>'Reported burning'!B1534</f>
        <v>180b.9</v>
      </c>
      <c r="C1534" s="161" t="str">
        <f>'Reported burning'!C1534</f>
        <v>Human, deliberate</v>
      </c>
      <c r="D1534" s="161" t="str">
        <f>'Reported burning'!D1534</f>
        <v>Harvesting of NTFP</v>
      </c>
      <c r="E1534" s="161" t="str">
        <f>'Reported burning'!E1534</f>
        <v>Forestry, Traditional</v>
      </c>
      <c r="F1534" s="161" t="str">
        <f>'Reported burning'!F1534</f>
        <v>Shrubland (Mixed forest &amp; grassland)</v>
      </c>
      <c r="G1534" s="161" t="str">
        <f>'Reported burning'!G1534</f>
        <v>All</v>
      </c>
      <c r="H1534" s="161" t="str">
        <f>'Reported burning'!H1534</f>
        <v>Presence</v>
      </c>
      <c r="I1534" s="4"/>
      <c r="J1534" s="5" t="s">
        <v>2308</v>
      </c>
      <c r="K1534" s="5" t="s">
        <v>2308</v>
      </c>
      <c r="L1534" s="5" t="s">
        <v>2308</v>
      </c>
      <c r="M1534" s="5" t="s">
        <v>2308</v>
      </c>
      <c r="N1534" s="5" t="s">
        <v>2308</v>
      </c>
      <c r="O1534" s="5" t="s">
        <v>2308</v>
      </c>
      <c r="P1534" s="5" t="s">
        <v>2308</v>
      </c>
      <c r="Q1534" s="5" t="s">
        <v>2308</v>
      </c>
      <c r="R1534" s="5" t="s">
        <v>2308</v>
      </c>
      <c r="S1534" s="5" t="s">
        <v>2308</v>
      </c>
      <c r="T1534" s="5" t="s">
        <v>2308</v>
      </c>
      <c r="U1534" s="5" t="s">
        <v>2308</v>
      </c>
      <c r="V1534" s="5" t="s">
        <v>2308</v>
      </c>
      <c r="W1534" s="5" t="s">
        <v>2308</v>
      </c>
      <c r="X1534" s="5" t="s">
        <v>2308</v>
      </c>
      <c r="Y1534" s="5" t="s">
        <v>2308</v>
      </c>
      <c r="Z1534" s="5" t="s">
        <v>2308</v>
      </c>
      <c r="AA1534" s="4"/>
      <c r="AB1534" s="4"/>
    </row>
    <row r="1535" spans="1:28" ht="40.5" customHeight="1">
      <c r="A1535" s="161" t="str">
        <f>'Reported burning'!A1535</f>
        <v>180b</v>
      </c>
      <c r="B1535" s="161" t="str">
        <f>'Reported burning'!B1535</f>
        <v>180b.10</v>
      </c>
      <c r="C1535" s="161" t="str">
        <f>'Reported burning'!C1535</f>
        <v>Human, deliberate</v>
      </c>
      <c r="D1535" s="161" t="str">
        <f>'Reported burning'!D1535</f>
        <v>Pest management</v>
      </c>
      <c r="E1535" s="161" t="str">
        <f>'Reported burning'!E1535</f>
        <v>Pastoralism, Migratory</v>
      </c>
      <c r="F1535" s="161" t="str">
        <f>'Reported burning'!F1535</f>
        <v>Shrubland (Mixed forest &amp; grassland)</v>
      </c>
      <c r="G1535" s="161" t="str">
        <f>'Reported burning'!G1535</f>
        <v>All</v>
      </c>
      <c r="H1535" s="161" t="str">
        <f>'Reported burning'!H1535</f>
        <v>Presence</v>
      </c>
      <c r="I1535" s="4"/>
      <c r="J1535" s="5" t="s">
        <v>2308</v>
      </c>
      <c r="K1535" s="5" t="s">
        <v>2308</v>
      </c>
      <c r="L1535" s="5" t="s">
        <v>2308</v>
      </c>
      <c r="M1535" s="5" t="s">
        <v>2308</v>
      </c>
      <c r="N1535" s="5" t="s">
        <v>2308</v>
      </c>
      <c r="O1535" s="5" t="s">
        <v>2308</v>
      </c>
      <c r="P1535" s="5" t="s">
        <v>2308</v>
      </c>
      <c r="Q1535" s="5" t="s">
        <v>2308</v>
      </c>
      <c r="R1535" s="5" t="s">
        <v>2308</v>
      </c>
      <c r="S1535" s="5" t="s">
        <v>2308</v>
      </c>
      <c r="T1535" s="5" t="s">
        <v>2308</v>
      </c>
      <c r="U1535" s="5" t="s">
        <v>2308</v>
      </c>
      <c r="V1535" s="5" t="s">
        <v>2308</v>
      </c>
      <c r="W1535" s="5" t="s">
        <v>2308</v>
      </c>
      <c r="X1535" s="5" t="s">
        <v>2308</v>
      </c>
      <c r="Y1535" s="5" t="s">
        <v>2308</v>
      </c>
      <c r="Z1535" s="5" t="s">
        <v>2308</v>
      </c>
      <c r="AA1535" s="4"/>
      <c r="AB1535" s="4"/>
    </row>
    <row r="1536" spans="1:28" ht="64.5" customHeight="1">
      <c r="A1536" s="161" t="str">
        <f>'Reported burning'!A1536</f>
        <v>180b</v>
      </c>
      <c r="B1536" s="161" t="str">
        <f>'Reported burning'!B1536</f>
        <v>180b.11</v>
      </c>
      <c r="C1536" s="161" t="str">
        <f>'Reported burning'!C1536</f>
        <v>Human, deliberate</v>
      </c>
      <c r="D1536" s="161" t="str">
        <f>'Reported burning'!D1536</f>
        <v>All</v>
      </c>
      <c r="E1536" s="161" t="str">
        <f>'Reported burning'!E1536</f>
        <v>Pastoralism, Migratory</v>
      </c>
      <c r="F1536" s="161" t="str">
        <f>'Reported burning'!F1536</f>
        <v>Shrubland (Mixed forest &amp; grassland)</v>
      </c>
      <c r="G1536" s="161" t="str">
        <f>'Reported burning'!G1536</f>
        <v>All</v>
      </c>
      <c r="H1536" s="161" t="str">
        <f>'Reported burning'!H1536</f>
        <v>Presence</v>
      </c>
      <c r="I1536" s="4"/>
      <c r="J1536" s="5" t="s">
        <v>2308</v>
      </c>
      <c r="K1536" s="5" t="s">
        <v>2308</v>
      </c>
      <c r="L1536" s="5" t="s">
        <v>2308</v>
      </c>
      <c r="M1536" s="5" t="s">
        <v>2308</v>
      </c>
      <c r="N1536" s="5" t="s">
        <v>2308</v>
      </c>
      <c r="O1536" s="5" t="s">
        <v>2308</v>
      </c>
      <c r="P1536" s="5" t="s">
        <v>2308</v>
      </c>
      <c r="Q1536" s="5" t="s">
        <v>2308</v>
      </c>
      <c r="R1536" s="5" t="s">
        <v>2308</v>
      </c>
      <c r="S1536" s="5" t="s">
        <v>2308</v>
      </c>
      <c r="T1536" s="5" t="s">
        <v>2308</v>
      </c>
      <c r="U1536" s="5" t="s">
        <v>2308</v>
      </c>
      <c r="V1536" s="5" t="s">
        <v>2308</v>
      </c>
      <c r="W1536" s="5" t="s">
        <v>2308</v>
      </c>
      <c r="X1536" s="5" t="s">
        <v>2308</v>
      </c>
      <c r="Y1536" s="5" t="s">
        <v>2308</v>
      </c>
      <c r="Z1536" s="5" t="s">
        <v>2308</v>
      </c>
      <c r="AA1536" s="5"/>
      <c r="AB1536" s="4"/>
    </row>
    <row r="1537" spans="1:28" ht="45" customHeight="1">
      <c r="A1537" s="161" t="str">
        <f>'Reported burning'!A1537</f>
        <v>180c</v>
      </c>
      <c r="B1537" s="161" t="str">
        <f>'Reported burning'!B1537</f>
        <v>180c.1</v>
      </c>
      <c r="C1537" s="161" t="str">
        <f>'Reported burning'!C1537</f>
        <v>Human, deliberate</v>
      </c>
      <c r="D1537" s="161" t="str">
        <f>'Reported burning'!D1537</f>
        <v>Conservation</v>
      </c>
      <c r="E1537" s="161" t="str">
        <f>'Reported burning'!E1537</f>
        <v>Biodiversity conservation</v>
      </c>
      <c r="F1537" s="161" t="str">
        <f>'Reported burning'!F1537</f>
        <v>Shrubland (Mixed forest &amp; grassland)</v>
      </c>
      <c r="G1537" s="161" t="str">
        <f>'Reported burning'!G1537</f>
        <v>All</v>
      </c>
      <c r="H1537" s="161" t="str">
        <f>'Reported burning'!H1537</f>
        <v>Presence</v>
      </c>
      <c r="I1537" s="4"/>
      <c r="J1537" s="5" t="s">
        <v>2308</v>
      </c>
      <c r="K1537" s="5" t="s">
        <v>2308</v>
      </c>
      <c r="L1537" s="5" t="s">
        <v>2308</v>
      </c>
      <c r="M1537" s="5" t="s">
        <v>2308</v>
      </c>
      <c r="N1537" s="5" t="s">
        <v>2308</v>
      </c>
      <c r="O1537" s="5" t="s">
        <v>2308</v>
      </c>
      <c r="P1537" s="5" t="s">
        <v>2308</v>
      </c>
      <c r="Q1537" s="5" t="s">
        <v>2308</v>
      </c>
      <c r="R1537" s="5" t="s">
        <v>2308</v>
      </c>
      <c r="S1537" s="5" t="s">
        <v>2308</v>
      </c>
      <c r="T1537" s="5" t="s">
        <v>2308</v>
      </c>
      <c r="U1537" s="5" t="s">
        <v>2308</v>
      </c>
      <c r="V1537" s="5" t="s">
        <v>2308</v>
      </c>
      <c r="W1537" s="5" t="s">
        <v>2308</v>
      </c>
      <c r="X1537" s="5" t="s">
        <v>2308</v>
      </c>
      <c r="Y1537" s="5" t="s">
        <v>2308</v>
      </c>
      <c r="Z1537" s="5" t="s">
        <v>2308</v>
      </c>
      <c r="AA1537" s="5"/>
      <c r="AB1537" s="4"/>
    </row>
    <row r="1538" spans="1:28" ht="43" customHeight="1">
      <c r="A1538" s="161" t="str">
        <f>'Reported burning'!A1538</f>
        <v>180c</v>
      </c>
      <c r="B1538" s="161" t="str">
        <f>'Reported burning'!B1538</f>
        <v>180c.2</v>
      </c>
      <c r="C1538" s="161" t="str">
        <f>'Reported burning'!C1538</f>
        <v>Human, deliberate</v>
      </c>
      <c r="D1538" s="161" t="str">
        <f>'Reported burning'!D1538</f>
        <v>Hunting</v>
      </c>
      <c r="E1538" s="161" t="str">
        <f>'Reported burning'!E1538</f>
        <v>Tourism manager</v>
      </c>
      <c r="F1538" s="161" t="str">
        <f>'Reported burning'!F1538</f>
        <v>Shrubland (Mixed forest &amp; grassland)</v>
      </c>
      <c r="G1538" s="161" t="str">
        <f>'Reported burning'!G1538</f>
        <v>All</v>
      </c>
      <c r="H1538" s="161" t="str">
        <f>'Reported burning'!H1538</f>
        <v>Presence</v>
      </c>
      <c r="I1538" s="4"/>
      <c r="J1538" s="5" t="s">
        <v>2308</v>
      </c>
      <c r="K1538" s="5" t="s">
        <v>2308</v>
      </c>
      <c r="L1538" s="5" t="s">
        <v>2308</v>
      </c>
      <c r="M1538" s="5" t="s">
        <v>2308</v>
      </c>
      <c r="N1538" s="5" t="s">
        <v>2308</v>
      </c>
      <c r="O1538" s="5" t="s">
        <v>2308</v>
      </c>
      <c r="P1538" s="5" t="s">
        <v>2308</v>
      </c>
      <c r="Q1538" s="5" t="s">
        <v>2308</v>
      </c>
      <c r="R1538" s="5" t="s">
        <v>2308</v>
      </c>
      <c r="S1538" s="5" t="s">
        <v>2308</v>
      </c>
      <c r="T1538" s="5" t="s">
        <v>2308</v>
      </c>
      <c r="U1538" s="5" t="s">
        <v>2308</v>
      </c>
      <c r="V1538" s="5" t="s">
        <v>2308</v>
      </c>
      <c r="W1538" s="5" t="s">
        <v>2308</v>
      </c>
      <c r="X1538" s="5" t="s">
        <v>2308</v>
      </c>
      <c r="Y1538" s="5" t="s">
        <v>2308</v>
      </c>
      <c r="Z1538" s="5" t="s">
        <v>2308</v>
      </c>
      <c r="AA1538" s="4"/>
      <c r="AB1538" s="4"/>
    </row>
    <row r="1539" spans="1:28" ht="69.5" customHeight="1">
      <c r="A1539" s="161" t="str">
        <f>'Reported burning'!A1539</f>
        <v>180c</v>
      </c>
      <c r="B1539" s="161" t="str">
        <f>'Reported burning'!B1539</f>
        <v>180c.3</v>
      </c>
      <c r="C1539" s="161" t="str">
        <f>'Reported burning'!C1539</f>
        <v>Human, deliberate</v>
      </c>
      <c r="D1539" s="161" t="str">
        <f>'Reported burning'!D1539</f>
        <v>All</v>
      </c>
      <c r="E1539" s="161" t="str">
        <f>'Reported burning'!E1539</f>
        <v>All</v>
      </c>
      <c r="F1539" s="161" t="str">
        <f>'Reported burning'!F1539</f>
        <v>Shrubland (Mixed forest &amp; grassland)</v>
      </c>
      <c r="G1539" s="161" t="str">
        <f>'Reported burning'!G1539</f>
        <v>All</v>
      </c>
      <c r="H1539" s="161" t="str">
        <f>'Reported burning'!H1539</f>
        <v>Presence</v>
      </c>
      <c r="I1539" s="4"/>
      <c r="J1539" s="5" t="s">
        <v>2308</v>
      </c>
      <c r="K1539" s="5" t="s">
        <v>2308</v>
      </c>
      <c r="L1539" s="5" t="s">
        <v>2308</v>
      </c>
      <c r="M1539" s="5" t="s">
        <v>2308</v>
      </c>
      <c r="N1539" s="5" t="s">
        <v>2308</v>
      </c>
      <c r="O1539" s="5" t="s">
        <v>2308</v>
      </c>
      <c r="P1539" s="5" t="s">
        <v>2308</v>
      </c>
      <c r="Q1539" s="5" t="s">
        <v>2308</v>
      </c>
      <c r="R1539" s="5" t="s">
        <v>2308</v>
      </c>
      <c r="S1539" s="5" t="s">
        <v>2308</v>
      </c>
      <c r="T1539" s="5" t="s">
        <v>2308</v>
      </c>
      <c r="U1539" s="5" t="s">
        <v>2308</v>
      </c>
      <c r="V1539" s="5" t="s">
        <v>2308</v>
      </c>
      <c r="W1539" s="4" t="s">
        <v>2433</v>
      </c>
      <c r="X1539" s="5" t="s">
        <v>2308</v>
      </c>
      <c r="Y1539" s="5" t="s">
        <v>2308</v>
      </c>
      <c r="Z1539" s="5" t="s">
        <v>2308</v>
      </c>
      <c r="AA1539" s="5" t="s">
        <v>4628</v>
      </c>
      <c r="AB1539" s="4"/>
    </row>
    <row r="1540" spans="1:28" ht="38" customHeight="1">
      <c r="A1540" s="161" t="str">
        <f>'Reported burning'!A1540</f>
        <v>180d</v>
      </c>
      <c r="B1540" s="161" t="str">
        <f>'Reported burning'!B1540</f>
        <v>180d.1</v>
      </c>
      <c r="C1540" s="161" t="str">
        <f>'Reported burning'!C1540</f>
        <v>Human, deliberate</v>
      </c>
      <c r="D1540" s="161" t="str">
        <f>'Reported burning'!D1540</f>
        <v>Pest management</v>
      </c>
      <c r="E1540" s="161" t="str">
        <f>'Reported burning'!E1540</f>
        <v>Pastoralism, Migratory</v>
      </c>
      <c r="F1540" s="161" t="str">
        <f>'Reported burning'!F1540</f>
        <v>Shrubland (Mixed forest &amp; grassland)</v>
      </c>
      <c r="G1540" s="161" t="str">
        <f>'Reported burning'!G1540</f>
        <v>All</v>
      </c>
      <c r="H1540" s="161" t="str">
        <f>'Reported burning'!H1540</f>
        <v>Presence</v>
      </c>
      <c r="I1540" s="4"/>
      <c r="J1540" s="5" t="s">
        <v>2308</v>
      </c>
      <c r="K1540" s="5" t="s">
        <v>2308</v>
      </c>
      <c r="L1540" s="5" t="s">
        <v>2308</v>
      </c>
      <c r="M1540" s="5" t="s">
        <v>2308</v>
      </c>
      <c r="N1540" s="5" t="s">
        <v>2308</v>
      </c>
      <c r="O1540" s="5" t="s">
        <v>2308</v>
      </c>
      <c r="P1540" s="5" t="s">
        <v>2308</v>
      </c>
      <c r="Q1540" s="5" t="s">
        <v>2308</v>
      </c>
      <c r="R1540" s="5" t="s">
        <v>2308</v>
      </c>
      <c r="S1540" s="5" t="s">
        <v>2308</v>
      </c>
      <c r="T1540" s="5" t="s">
        <v>2308</v>
      </c>
      <c r="U1540" s="5" t="s">
        <v>2308</v>
      </c>
      <c r="V1540" s="5" t="s">
        <v>2308</v>
      </c>
      <c r="W1540" s="5" t="s">
        <v>2308</v>
      </c>
      <c r="X1540" s="5" t="s">
        <v>2308</v>
      </c>
      <c r="Y1540" s="5" t="s">
        <v>2308</v>
      </c>
      <c r="Z1540" s="5" t="s">
        <v>2308</v>
      </c>
      <c r="AA1540" s="4"/>
      <c r="AB1540" s="4"/>
    </row>
    <row r="1541" spans="1:28" ht="58" customHeight="1">
      <c r="A1541" s="161" t="str">
        <f>'Reported burning'!A1541</f>
        <v>180d</v>
      </c>
      <c r="B1541" s="161" t="str">
        <f>'Reported burning'!B1541</f>
        <v>180d.2</v>
      </c>
      <c r="C1541" s="161" t="str">
        <f>'Reported burning'!C1541</f>
        <v>Human, deliberate</v>
      </c>
      <c r="D1541" s="161" t="str">
        <f>'Reported burning'!D1541</f>
        <v>All</v>
      </c>
      <c r="E1541" s="161" t="str">
        <f>'Reported burning'!E1541</f>
        <v>Pastoralism, Migratory</v>
      </c>
      <c r="F1541" s="161" t="str">
        <f>'Reported burning'!F1541</f>
        <v>Shrubland (Mixed forest &amp; grassland)</v>
      </c>
      <c r="G1541" s="161" t="str">
        <f>'Reported burning'!G1541</f>
        <v>All</v>
      </c>
      <c r="H1541" s="161" t="str">
        <f>'Reported burning'!H1541</f>
        <v>Presence</v>
      </c>
      <c r="I1541" s="4"/>
      <c r="J1541" s="5" t="s">
        <v>2308</v>
      </c>
      <c r="K1541" s="5" t="s">
        <v>2308</v>
      </c>
      <c r="L1541" s="5" t="s">
        <v>2308</v>
      </c>
      <c r="M1541" s="5" t="s">
        <v>2308</v>
      </c>
      <c r="N1541" s="5" t="s">
        <v>2308</v>
      </c>
      <c r="O1541" s="5" t="s">
        <v>2308</v>
      </c>
      <c r="P1541" s="5" t="s">
        <v>2308</v>
      </c>
      <c r="Q1541" s="5" t="s">
        <v>2308</v>
      </c>
      <c r="R1541" s="5" t="s">
        <v>2308</v>
      </c>
      <c r="S1541" s="5" t="s">
        <v>2308</v>
      </c>
      <c r="T1541" s="5" t="s">
        <v>2308</v>
      </c>
      <c r="U1541" s="5" t="s">
        <v>2308</v>
      </c>
      <c r="V1541" s="5" t="s">
        <v>2308</v>
      </c>
      <c r="W1541" s="4" t="s">
        <v>2407</v>
      </c>
      <c r="X1541" s="5" t="s">
        <v>2308</v>
      </c>
      <c r="Y1541" s="5" t="s">
        <v>2308</v>
      </c>
      <c r="Z1541" s="5" t="s">
        <v>2308</v>
      </c>
      <c r="AA1541" s="5" t="s">
        <v>4631</v>
      </c>
      <c r="AB1541" s="4"/>
    </row>
    <row r="1542" spans="1:28" ht="29">
      <c r="A1542" s="165" t="str">
        <f>'Reported burning'!A1542</f>
        <v>180e</v>
      </c>
      <c r="B1542" s="165" t="str">
        <f>'Reported burning'!B1542</f>
        <v>180e.1</v>
      </c>
      <c r="C1542" s="165" t="str">
        <f>'Reported burning'!C1542</f>
        <v>Human, deliberate</v>
      </c>
      <c r="D1542" s="165" t="str">
        <f>'Reported burning'!D1542</f>
        <v>Pyrome management</v>
      </c>
      <c r="E1542" s="165" t="str">
        <f>'Reported burning'!E1542</f>
        <v>Biodiversity conservation</v>
      </c>
      <c r="F1542" s="165" t="str">
        <f>'Reported burning'!F1542</f>
        <v>Shrubland (Mixed forest &amp; grassland)</v>
      </c>
      <c r="G1542" s="165" t="str">
        <f>'Reported burning'!G1542</f>
        <v>All</v>
      </c>
      <c r="H1542" s="165" t="str">
        <f>'Reported burning'!H1542</f>
        <v>Presence</v>
      </c>
      <c r="I1542" s="6"/>
      <c r="J1542" s="5" t="s">
        <v>2308</v>
      </c>
      <c r="K1542" s="5" t="s">
        <v>2308</v>
      </c>
      <c r="L1542" s="5" t="s">
        <v>2308</v>
      </c>
      <c r="M1542" s="5" t="s">
        <v>2308</v>
      </c>
      <c r="N1542" s="5" t="s">
        <v>2308</v>
      </c>
      <c r="O1542" s="5" t="s">
        <v>2308</v>
      </c>
      <c r="P1542" s="5" t="s">
        <v>2308</v>
      </c>
      <c r="Q1542" s="5" t="s">
        <v>2308</v>
      </c>
      <c r="R1542" s="5" t="s">
        <v>2308</v>
      </c>
      <c r="S1542" s="5" t="s">
        <v>2308</v>
      </c>
      <c r="T1542" s="5" t="s">
        <v>2308</v>
      </c>
      <c r="U1542" s="5" t="s">
        <v>2308</v>
      </c>
      <c r="V1542" s="5" t="s">
        <v>2308</v>
      </c>
      <c r="W1542" s="5" t="s">
        <v>2308</v>
      </c>
      <c r="X1542" s="5" t="s">
        <v>2308</v>
      </c>
      <c r="Y1542" s="5" t="s">
        <v>2308</v>
      </c>
      <c r="Z1542" s="5" t="s">
        <v>2308</v>
      </c>
      <c r="AA1542" s="4" t="s">
        <v>4644</v>
      </c>
      <c r="AB1542" s="4"/>
    </row>
    <row r="1543" spans="1:28" ht="29">
      <c r="A1543" s="161" t="str">
        <f>'Reported burning'!A1543</f>
        <v>180f</v>
      </c>
      <c r="B1543" s="161" t="str">
        <f>'Reported burning'!B1543</f>
        <v>180f.1</v>
      </c>
      <c r="C1543" s="161" t="str">
        <f>'Reported burning'!C1543</f>
        <v>Human, deliberate</v>
      </c>
      <c r="D1543" s="161" t="str">
        <f>'Reported burning'!D1543</f>
        <v>Pyrome management</v>
      </c>
      <c r="E1543" s="161" t="str">
        <f>'Reported burning'!E1543</f>
        <v>Biodiversity conservation</v>
      </c>
      <c r="F1543" s="161" t="str">
        <f>'Reported burning'!F1543</f>
        <v>Shrubland (Mixed forest &amp; grassland)</v>
      </c>
      <c r="G1543" s="161" t="str">
        <f>'Reported burning'!G1543</f>
        <v>All</v>
      </c>
      <c r="H1543" s="161" t="str">
        <f>'Reported burning'!H1543</f>
        <v>Presence</v>
      </c>
      <c r="I1543" s="4"/>
      <c r="J1543" s="5" t="s">
        <v>2308</v>
      </c>
      <c r="K1543" s="5" t="s">
        <v>2308</v>
      </c>
      <c r="L1543" s="5" t="s">
        <v>2308</v>
      </c>
      <c r="M1543" s="5" t="s">
        <v>2308</v>
      </c>
      <c r="N1543" s="5" t="s">
        <v>2308</v>
      </c>
      <c r="O1543" s="5" t="s">
        <v>2308</v>
      </c>
      <c r="P1543" s="5" t="s">
        <v>2308</v>
      </c>
      <c r="Q1543" s="5" t="s">
        <v>2308</v>
      </c>
      <c r="R1543" s="5" t="s">
        <v>2308</v>
      </c>
      <c r="S1543" s="5" t="s">
        <v>2308</v>
      </c>
      <c r="T1543" s="5" t="s">
        <v>2308</v>
      </c>
      <c r="U1543" s="5" t="s">
        <v>2308</v>
      </c>
      <c r="V1543" s="5" t="s">
        <v>2308</v>
      </c>
      <c r="W1543" s="5" t="s">
        <v>2308</v>
      </c>
      <c r="X1543" s="5" t="s">
        <v>2308</v>
      </c>
      <c r="Y1543" s="5" t="s">
        <v>2308</v>
      </c>
      <c r="Z1543" s="5" t="s">
        <v>2308</v>
      </c>
      <c r="AA1543" s="4" t="s">
        <v>4644</v>
      </c>
      <c r="AB1543" s="4"/>
    </row>
    <row r="1544" spans="1:28" ht="29">
      <c r="A1544" s="161" t="str">
        <f>'Reported burning'!A1544</f>
        <v>180e</v>
      </c>
      <c r="B1544" s="161" t="str">
        <f>'Reported burning'!B1544</f>
        <v>180e.2</v>
      </c>
      <c r="C1544" s="161" t="str">
        <f>'Reported burning'!C1544</f>
        <v>Human, deliberate</v>
      </c>
      <c r="D1544" s="161" t="str">
        <f>'Reported burning'!D1544</f>
        <v>Conservation</v>
      </c>
      <c r="E1544" s="161" t="str">
        <f>'Reported burning'!E1544</f>
        <v>Biodiversity conservation</v>
      </c>
      <c r="F1544" s="161" t="str">
        <f>'Reported burning'!F1544</f>
        <v>Shrubland (Mixed forest &amp; grassland)</v>
      </c>
      <c r="G1544" s="161" t="str">
        <f>'Reported burning'!G1544</f>
        <v>All</v>
      </c>
      <c r="H1544" s="161" t="str">
        <f>'Reported burning'!H1544</f>
        <v>Presence</v>
      </c>
      <c r="I1544" s="4"/>
      <c r="J1544" s="5" t="s">
        <v>2308</v>
      </c>
      <c r="K1544" s="5" t="s">
        <v>2308</v>
      </c>
      <c r="L1544" s="5" t="s">
        <v>2308</v>
      </c>
      <c r="M1544" s="5" t="s">
        <v>2308</v>
      </c>
      <c r="N1544" s="5" t="s">
        <v>2308</v>
      </c>
      <c r="O1544" s="5" t="s">
        <v>2308</v>
      </c>
      <c r="P1544" s="5" t="s">
        <v>2308</v>
      </c>
      <c r="Q1544" s="5" t="s">
        <v>2308</v>
      </c>
      <c r="R1544" s="5" t="s">
        <v>2308</v>
      </c>
      <c r="S1544" s="5" t="s">
        <v>2308</v>
      </c>
      <c r="T1544" s="5" t="s">
        <v>2308</v>
      </c>
      <c r="U1544" s="5" t="s">
        <v>2308</v>
      </c>
      <c r="V1544" s="5" t="s">
        <v>2308</v>
      </c>
      <c r="W1544" s="5" t="s">
        <v>2308</v>
      </c>
      <c r="X1544" s="5" t="s">
        <v>2308</v>
      </c>
      <c r="Y1544" s="5" t="s">
        <v>2308</v>
      </c>
      <c r="Z1544" s="5" t="s">
        <v>2308</v>
      </c>
      <c r="AA1544" s="4" t="s">
        <v>4644</v>
      </c>
      <c r="AB1544" s="4"/>
    </row>
    <row r="1545" spans="1:28" ht="36.5" customHeight="1">
      <c r="A1545" s="161" t="str">
        <f>'Reported burning'!A1545</f>
        <v>180f</v>
      </c>
      <c r="B1545" s="161" t="str">
        <f>'Reported burning'!B1545</f>
        <v>180f.2</v>
      </c>
      <c r="C1545" s="161" t="str">
        <f>'Reported burning'!C1545</f>
        <v>Human, deliberate</v>
      </c>
      <c r="D1545" s="161" t="str">
        <f>'Reported burning'!D1545</f>
        <v>Conservation</v>
      </c>
      <c r="E1545" s="161" t="str">
        <f>'Reported burning'!E1545</f>
        <v>Biodiversity conservation</v>
      </c>
      <c r="F1545" s="161" t="str">
        <f>'Reported burning'!F1545</f>
        <v>Shrubland (Mixed forest &amp; grassland)</v>
      </c>
      <c r="G1545" s="161" t="str">
        <f>'Reported burning'!G1545</f>
        <v>All</v>
      </c>
      <c r="H1545" s="161" t="str">
        <f>'Reported burning'!H1545</f>
        <v>Presence</v>
      </c>
      <c r="I1545" s="4"/>
      <c r="J1545" s="5" t="s">
        <v>2308</v>
      </c>
      <c r="K1545" s="5" t="s">
        <v>2308</v>
      </c>
      <c r="L1545" s="5" t="s">
        <v>2308</v>
      </c>
      <c r="M1545" s="5" t="s">
        <v>2308</v>
      </c>
      <c r="N1545" s="5" t="s">
        <v>2308</v>
      </c>
      <c r="O1545" s="5" t="s">
        <v>2308</v>
      </c>
      <c r="P1545" s="5" t="s">
        <v>2308</v>
      </c>
      <c r="Q1545" s="5" t="s">
        <v>2308</v>
      </c>
      <c r="R1545" s="5" t="s">
        <v>2308</v>
      </c>
      <c r="S1545" s="5" t="s">
        <v>2308</v>
      </c>
      <c r="T1545" s="5" t="s">
        <v>2308</v>
      </c>
      <c r="U1545" s="5" t="s">
        <v>2308</v>
      </c>
      <c r="V1545" s="5" t="s">
        <v>2308</v>
      </c>
      <c r="W1545" s="5" t="s">
        <v>2308</v>
      </c>
      <c r="X1545" s="5" t="s">
        <v>2308</v>
      </c>
      <c r="Y1545" s="5" t="s">
        <v>2308</v>
      </c>
      <c r="Z1545" s="5" t="s">
        <v>2308</v>
      </c>
      <c r="AA1545" s="4" t="s">
        <v>4644</v>
      </c>
      <c r="AB1545" s="4"/>
    </row>
    <row r="1546" spans="1:28" ht="52" customHeight="1">
      <c r="A1546" s="161" t="str">
        <f>'Reported burning'!A1546</f>
        <v>181a</v>
      </c>
      <c r="B1546" s="161" t="str">
        <f>'Reported burning'!B1546</f>
        <v>181a.1</v>
      </c>
      <c r="C1546" s="161" t="str">
        <f>'Reported burning'!C1546</f>
        <v>Lightning</v>
      </c>
      <c r="D1546" s="161" t="str">
        <f>'Reported burning'!D1546</f>
        <v>Pyrome management</v>
      </c>
      <c r="E1546" s="161" t="str">
        <f>'Reported burning'!E1546</f>
        <v>Biodiversity conservation</v>
      </c>
      <c r="F1546" s="161" t="str">
        <f>'Reported burning'!F1546</f>
        <v>Shrubland (Mixed forest &amp; grassland)</v>
      </c>
      <c r="G1546" s="161" t="str">
        <f>'Reported burning'!G1546</f>
        <v>Shrubland (Mixed forest &amp; grassland)</v>
      </c>
      <c r="H1546" s="161" t="str">
        <f>'Reported burning'!H1546</f>
        <v>Presence</v>
      </c>
      <c r="I1546" s="4"/>
      <c r="J1546" s="5" t="s">
        <v>2308</v>
      </c>
      <c r="K1546" s="5" t="s">
        <v>2308</v>
      </c>
      <c r="L1546" s="5" t="s">
        <v>2308</v>
      </c>
      <c r="M1546" s="5" t="s">
        <v>2308</v>
      </c>
      <c r="N1546" s="5" t="s">
        <v>2308</v>
      </c>
      <c r="O1546" s="5" t="s">
        <v>2308</v>
      </c>
      <c r="P1546" s="5" t="s">
        <v>2308</v>
      </c>
      <c r="Q1546" s="5" t="s">
        <v>2308</v>
      </c>
      <c r="R1546" s="5" t="s">
        <v>2308</v>
      </c>
      <c r="S1546" s="5" t="s">
        <v>2308</v>
      </c>
      <c r="T1546" s="5" t="s">
        <v>2308</v>
      </c>
      <c r="U1546" s="5" t="s">
        <v>2308</v>
      </c>
      <c r="V1546" s="5" t="s">
        <v>2308</v>
      </c>
      <c r="W1546" s="5" t="s">
        <v>2308</v>
      </c>
      <c r="X1546" s="4" t="s">
        <v>432</v>
      </c>
      <c r="Y1546" s="4" t="s">
        <v>68</v>
      </c>
      <c r="Z1546" s="4" t="s">
        <v>64</v>
      </c>
      <c r="AA1546" s="5" t="s">
        <v>4658</v>
      </c>
      <c r="AB1546" s="5" t="s">
        <v>4661</v>
      </c>
    </row>
    <row r="1547" spans="1:28" ht="56" customHeight="1">
      <c r="A1547" s="161" t="str">
        <f>'Reported burning'!A1547</f>
        <v>181a</v>
      </c>
      <c r="B1547" s="161" t="str">
        <f>'Reported burning'!B1547</f>
        <v>181a.2</v>
      </c>
      <c r="C1547" s="161" t="str">
        <f>'Reported burning'!C1547</f>
        <v>Human, deliberate</v>
      </c>
      <c r="D1547" s="161" t="str">
        <f>'Reported burning'!D1547</f>
        <v>All</v>
      </c>
      <c r="E1547" s="161" t="str">
        <f>'Reported burning'!E1547</f>
        <v>Biodiversity conservation</v>
      </c>
      <c r="F1547" s="161" t="str">
        <f>'Reported burning'!F1547</f>
        <v>Shrubland (Mixed forest &amp; grassland)</v>
      </c>
      <c r="G1547" s="161" t="str">
        <f>'Reported burning'!G1547</f>
        <v>Shrubland (Mixed forest &amp; grassland)</v>
      </c>
      <c r="H1547" s="161" t="str">
        <f>'Reported burning'!H1547</f>
        <v>Absence</v>
      </c>
      <c r="I1547" s="4"/>
      <c r="J1547" s="4" t="s">
        <v>2396</v>
      </c>
      <c r="K1547" s="4" t="s">
        <v>2396</v>
      </c>
      <c r="L1547" s="4" t="s">
        <v>2396</v>
      </c>
      <c r="M1547" s="4" t="s">
        <v>2396</v>
      </c>
      <c r="N1547" s="4" t="s">
        <v>2396</v>
      </c>
      <c r="O1547" s="4" t="s">
        <v>2396</v>
      </c>
      <c r="P1547" s="4" t="s">
        <v>2396</v>
      </c>
      <c r="Q1547" s="4" t="s">
        <v>2396</v>
      </c>
      <c r="R1547" s="4" t="s">
        <v>2396</v>
      </c>
      <c r="S1547" s="4" t="s">
        <v>2396</v>
      </c>
      <c r="T1547" s="4" t="s">
        <v>2396</v>
      </c>
      <c r="U1547" s="4" t="s">
        <v>2396</v>
      </c>
      <c r="V1547" s="4" t="s">
        <v>2396</v>
      </c>
      <c r="W1547" s="5" t="s">
        <v>2308</v>
      </c>
      <c r="X1547" s="5" t="s">
        <v>2308</v>
      </c>
      <c r="Y1547" s="5" t="s">
        <v>2308</v>
      </c>
      <c r="Z1547" s="5" t="s">
        <v>2308</v>
      </c>
      <c r="AA1547" s="5" t="s">
        <v>4660</v>
      </c>
      <c r="AB1547" s="4"/>
    </row>
    <row r="1548" spans="1:28" ht="41" customHeight="1">
      <c r="A1548" s="161" t="str">
        <f>'Reported burning'!A1548</f>
        <v>181b</v>
      </c>
      <c r="B1548" s="161" t="str">
        <f>'Reported burning'!B1548</f>
        <v>181b.1</v>
      </c>
      <c r="C1548" s="161" t="str">
        <f>'Reported burning'!C1548</f>
        <v>Human, deliberate</v>
      </c>
      <c r="D1548" s="161" t="str">
        <f>'Reported burning'!D1548</f>
        <v>Conservation</v>
      </c>
      <c r="E1548" s="161" t="str">
        <f>'Reported burning'!E1548</f>
        <v>Biodiversity conservation</v>
      </c>
      <c r="F1548" s="161" t="str">
        <f>'Reported burning'!F1548</f>
        <v>Shrubland (Mixed forest &amp; grassland)</v>
      </c>
      <c r="G1548" s="161" t="str">
        <f>'Reported burning'!G1548</f>
        <v>Shrubland (Mixed forest &amp; grassland)</v>
      </c>
      <c r="H1548" s="161" t="str">
        <f>'Reported burning'!H1548</f>
        <v>Presence</v>
      </c>
      <c r="I1548" s="4"/>
      <c r="J1548" s="5" t="s">
        <v>2308</v>
      </c>
      <c r="K1548" s="5" t="s">
        <v>2308</v>
      </c>
      <c r="L1548" s="5" t="s">
        <v>2308</v>
      </c>
      <c r="M1548" s="5" t="s">
        <v>2308</v>
      </c>
      <c r="N1548" s="5" t="s">
        <v>2308</v>
      </c>
      <c r="O1548" s="5" t="s">
        <v>2308</v>
      </c>
      <c r="P1548" s="5" t="s">
        <v>2308</v>
      </c>
      <c r="Q1548" s="5" t="s">
        <v>2308</v>
      </c>
      <c r="R1548" s="5" t="s">
        <v>2308</v>
      </c>
      <c r="S1548" s="5" t="s">
        <v>2308</v>
      </c>
      <c r="T1548" s="5" t="s">
        <v>2308</v>
      </c>
      <c r="U1548" s="5" t="s">
        <v>2308</v>
      </c>
      <c r="V1548" s="5" t="s">
        <v>2308</v>
      </c>
      <c r="W1548" s="5" t="s">
        <v>2308</v>
      </c>
      <c r="X1548" s="5" t="s">
        <v>2308</v>
      </c>
      <c r="Y1548" s="5" t="s">
        <v>2308</v>
      </c>
      <c r="Z1548" s="49" t="s">
        <v>2308</v>
      </c>
      <c r="AA1548" s="4"/>
      <c r="AB1548" s="4"/>
    </row>
    <row r="1549" spans="1:28" ht="41" customHeight="1">
      <c r="A1549" s="161" t="str">
        <f>'Reported burning'!A1549</f>
        <v>181c</v>
      </c>
      <c r="B1549" s="161" t="str">
        <f>'Reported burning'!B1549</f>
        <v>181c.1</v>
      </c>
      <c r="C1549" s="161" t="str">
        <f>'Reported burning'!C1549</f>
        <v>Human, deliberate</v>
      </c>
      <c r="D1549" s="161" t="str">
        <f>'Reported burning'!D1549</f>
        <v>Conservation</v>
      </c>
      <c r="E1549" s="161" t="str">
        <f>'Reported burning'!E1549</f>
        <v>Biodiversity conservation</v>
      </c>
      <c r="F1549" s="161" t="str">
        <f>'Reported burning'!F1549</f>
        <v>Shrubland (Mixed forest &amp; grassland)</v>
      </c>
      <c r="G1549" s="161" t="str">
        <f>'Reported burning'!G1549</f>
        <v>Shrubland (Mixed forest &amp; grassland)</v>
      </c>
      <c r="H1549" s="161" t="str">
        <f>'Reported burning'!H1549</f>
        <v>Presence</v>
      </c>
      <c r="I1549" s="4"/>
      <c r="J1549" s="5" t="s">
        <v>2308</v>
      </c>
      <c r="K1549" s="5" t="s">
        <v>2308</v>
      </c>
      <c r="L1549" s="5" t="s">
        <v>2308</v>
      </c>
      <c r="M1549" s="5" t="s">
        <v>2308</v>
      </c>
      <c r="N1549" s="5" t="s">
        <v>2308</v>
      </c>
      <c r="O1549" s="5" t="s">
        <v>2308</v>
      </c>
      <c r="P1549" s="5" t="s">
        <v>2308</v>
      </c>
      <c r="Q1549" s="5" t="s">
        <v>2308</v>
      </c>
      <c r="R1549" s="5" t="s">
        <v>2308</v>
      </c>
      <c r="S1549" s="5" t="s">
        <v>2308</v>
      </c>
      <c r="T1549" s="5" t="s">
        <v>2308</v>
      </c>
      <c r="U1549" s="5" t="s">
        <v>2308</v>
      </c>
      <c r="V1549" s="5" t="s">
        <v>2308</v>
      </c>
      <c r="W1549" s="5" t="s">
        <v>2308</v>
      </c>
      <c r="X1549" s="5" t="s">
        <v>2308</v>
      </c>
      <c r="Y1549" s="5" t="s">
        <v>2308</v>
      </c>
      <c r="Z1549" s="49" t="s">
        <v>2308</v>
      </c>
      <c r="AA1549" s="4"/>
      <c r="AB1549" s="4"/>
    </row>
    <row r="1550" spans="1:28" ht="65.5" customHeight="1">
      <c r="A1550" s="161" t="str">
        <f>'Reported burning'!A1550</f>
        <v>181d</v>
      </c>
      <c r="B1550" s="161" t="str">
        <f>'Reported burning'!B1550</f>
        <v>181d.1</v>
      </c>
      <c r="C1550" s="161" t="str">
        <f>'Reported burning'!C1550</f>
        <v>Human, deliberate</v>
      </c>
      <c r="D1550" s="161" t="str">
        <f>'Reported burning'!D1550</f>
        <v>Conservation</v>
      </c>
      <c r="E1550" s="161" t="str">
        <f>'Reported burning'!E1550</f>
        <v>Biodiversity conservation</v>
      </c>
      <c r="F1550" s="161" t="str">
        <f>'Reported burning'!F1550</f>
        <v>Shrubland (Mixed forest &amp; grassland)</v>
      </c>
      <c r="G1550" s="161" t="str">
        <f>'Reported burning'!G1550</f>
        <v>Shrubland (Mixed forest &amp; grassland)</v>
      </c>
      <c r="H1550" s="161" t="str">
        <f>'Reported burning'!H1550</f>
        <v>Presence</v>
      </c>
      <c r="I1550" s="4"/>
      <c r="J1550" s="4" t="s">
        <v>2403</v>
      </c>
      <c r="K1550" s="4" t="s">
        <v>2410</v>
      </c>
      <c r="L1550" s="5" t="s">
        <v>2308</v>
      </c>
      <c r="M1550" s="4" t="s">
        <v>2412</v>
      </c>
      <c r="N1550" s="5" t="s">
        <v>2308</v>
      </c>
      <c r="O1550" s="4" t="s">
        <v>2412</v>
      </c>
      <c r="P1550" s="5" t="s">
        <v>2308</v>
      </c>
      <c r="Q1550" s="4" t="s">
        <v>2411</v>
      </c>
      <c r="R1550" s="5" t="s">
        <v>2308</v>
      </c>
      <c r="S1550" s="5" t="s">
        <v>2308</v>
      </c>
      <c r="T1550" s="5" t="s">
        <v>2308</v>
      </c>
      <c r="U1550" s="4" t="s">
        <v>2421</v>
      </c>
      <c r="V1550" s="5" t="s">
        <v>2308</v>
      </c>
      <c r="W1550" s="5" t="s">
        <v>2308</v>
      </c>
      <c r="X1550" s="4" t="s">
        <v>38</v>
      </c>
      <c r="Y1550" s="4" t="s">
        <v>35</v>
      </c>
      <c r="Z1550" s="4" t="s">
        <v>64</v>
      </c>
      <c r="AA1550" s="4"/>
      <c r="AB1550" s="5" t="s">
        <v>4665</v>
      </c>
    </row>
    <row r="1551" spans="1:28" ht="83.5" customHeight="1">
      <c r="A1551" s="161" t="str">
        <f>'Reported burning'!A1551</f>
        <v>182a</v>
      </c>
      <c r="B1551" s="161" t="str">
        <f>'Reported burning'!B1551</f>
        <v>182a.1</v>
      </c>
      <c r="C1551" s="161" t="str">
        <f>'Reported burning'!C1551</f>
        <v>Human, deliberate</v>
      </c>
      <c r="D1551" s="161" t="str">
        <f>'Reported burning'!D1551</f>
        <v>Rangeland management</v>
      </c>
      <c r="E1551" s="161" t="str">
        <f>'Reported burning'!E1551</f>
        <v>Cattle, Intensive</v>
      </c>
      <c r="F1551" s="161" t="str">
        <f>'Reported burning'!F1551</f>
        <v>Shrubland (Mixed forest &amp; grassland)</v>
      </c>
      <c r="G1551" s="161" t="str">
        <f>'Reported burning'!G1551</f>
        <v>ND</v>
      </c>
      <c r="H1551" s="161" t="str">
        <f>'Reported burning'!H1551</f>
        <v>Absence</v>
      </c>
      <c r="I1551" s="4"/>
      <c r="J1551" s="4" t="s">
        <v>2396</v>
      </c>
      <c r="K1551" s="4" t="s">
        <v>2396</v>
      </c>
      <c r="L1551" s="4" t="s">
        <v>2396</v>
      </c>
      <c r="M1551" s="4" t="s">
        <v>2396</v>
      </c>
      <c r="N1551" s="4" t="s">
        <v>2396</v>
      </c>
      <c r="O1551" s="4" t="s">
        <v>2396</v>
      </c>
      <c r="P1551" s="4" t="s">
        <v>2396</v>
      </c>
      <c r="Q1551" s="4" t="s">
        <v>2396</v>
      </c>
      <c r="R1551" s="4" t="s">
        <v>2396</v>
      </c>
      <c r="S1551" s="4" t="s">
        <v>2396</v>
      </c>
      <c r="T1551" s="4" t="s">
        <v>2396</v>
      </c>
      <c r="U1551" s="4" t="s">
        <v>2396</v>
      </c>
      <c r="V1551" s="4" t="s">
        <v>2396</v>
      </c>
      <c r="W1551" s="5" t="s">
        <v>2308</v>
      </c>
      <c r="X1551" s="5" t="s">
        <v>2308</v>
      </c>
      <c r="Y1551" s="5" t="s">
        <v>2308</v>
      </c>
      <c r="Z1551" s="5" t="s">
        <v>2308</v>
      </c>
      <c r="AA1551" s="5" t="s">
        <v>4687</v>
      </c>
      <c r="AB1551" s="4"/>
    </row>
    <row r="1552" spans="1:28" ht="83.5" customHeight="1">
      <c r="A1552" s="161" t="str">
        <f>'Reported burning'!A1552</f>
        <v>182a</v>
      </c>
      <c r="B1552" s="161" t="str">
        <f>'Reported burning'!B1552</f>
        <v>182a.2</v>
      </c>
      <c r="C1552" s="161" t="str">
        <f>'Reported burning'!C1552</f>
        <v>Human, deliberate</v>
      </c>
      <c r="D1552" s="161" t="str">
        <f>'Reported burning'!D1552</f>
        <v>Pasture renewal</v>
      </c>
      <c r="E1552" s="161" t="str">
        <f>'Reported burning'!E1552</f>
        <v>Cattle, Intensive</v>
      </c>
      <c r="F1552" s="161" t="str">
        <f>'Reported burning'!F1552</f>
        <v>Shrubland (Mixed forest &amp; grassland)</v>
      </c>
      <c r="G1552" s="161" t="str">
        <f>'Reported burning'!G1552</f>
        <v>ND</v>
      </c>
      <c r="H1552" s="161" t="str">
        <f>'Reported burning'!H1552</f>
        <v>Absence</v>
      </c>
      <c r="I1552" s="4"/>
      <c r="J1552" s="4" t="s">
        <v>2396</v>
      </c>
      <c r="K1552" s="4" t="s">
        <v>2396</v>
      </c>
      <c r="L1552" s="4" t="s">
        <v>2396</v>
      </c>
      <c r="M1552" s="4" t="s">
        <v>2396</v>
      </c>
      <c r="N1552" s="4" t="s">
        <v>2396</v>
      </c>
      <c r="O1552" s="4" t="s">
        <v>2396</v>
      </c>
      <c r="P1552" s="4" t="s">
        <v>2396</v>
      </c>
      <c r="Q1552" s="4" t="s">
        <v>2396</v>
      </c>
      <c r="R1552" s="4" t="s">
        <v>2396</v>
      </c>
      <c r="S1552" s="4" t="s">
        <v>2396</v>
      </c>
      <c r="T1552" s="4" t="s">
        <v>2396</v>
      </c>
      <c r="U1552" s="4" t="s">
        <v>2396</v>
      </c>
      <c r="V1552" s="4" t="s">
        <v>2396</v>
      </c>
      <c r="W1552" s="5" t="s">
        <v>2308</v>
      </c>
      <c r="X1552" s="5" t="s">
        <v>2308</v>
      </c>
      <c r="Y1552" s="5" t="s">
        <v>2308</v>
      </c>
      <c r="Z1552" s="5" t="s">
        <v>2308</v>
      </c>
      <c r="AA1552" s="5" t="s">
        <v>4687</v>
      </c>
      <c r="AB1552" s="4"/>
    </row>
    <row r="1553" spans="1:28" ht="83.5" customHeight="1">
      <c r="A1553" s="161" t="str">
        <f>'Reported burning'!A1553</f>
        <v>182a</v>
      </c>
      <c r="B1553" s="161" t="str">
        <f>'Reported burning'!B1553</f>
        <v>182a.3</v>
      </c>
      <c r="C1553" s="161" t="str">
        <f>'Reported burning'!C1553</f>
        <v>Human, deliberate</v>
      </c>
      <c r="D1553" s="161" t="str">
        <f>'Reported burning'!D1553</f>
        <v>Rangeland management</v>
      </c>
      <c r="E1553" s="161" t="str">
        <f>'Reported burning'!E1553</f>
        <v>Pastoralism, Migratory</v>
      </c>
      <c r="F1553" s="161" t="str">
        <f>'Reported burning'!F1553</f>
        <v>Shrubland (Mixed forest &amp; grassland)</v>
      </c>
      <c r="G1553" s="161" t="str">
        <f>'Reported burning'!G1553</f>
        <v>ND</v>
      </c>
      <c r="H1553" s="161" t="str">
        <f>'Reported burning'!H1553</f>
        <v>Absence</v>
      </c>
      <c r="I1553" s="4"/>
      <c r="J1553" s="4" t="s">
        <v>2396</v>
      </c>
      <c r="K1553" s="4" t="s">
        <v>2396</v>
      </c>
      <c r="L1553" s="4" t="s">
        <v>2396</v>
      </c>
      <c r="M1553" s="4" t="s">
        <v>2396</v>
      </c>
      <c r="N1553" s="4" t="s">
        <v>2396</v>
      </c>
      <c r="O1553" s="4" t="s">
        <v>2396</v>
      </c>
      <c r="P1553" s="4" t="s">
        <v>2396</v>
      </c>
      <c r="Q1553" s="4" t="s">
        <v>2396</v>
      </c>
      <c r="R1553" s="4" t="s">
        <v>2396</v>
      </c>
      <c r="S1553" s="4" t="s">
        <v>2396</v>
      </c>
      <c r="T1553" s="4" t="s">
        <v>2396</v>
      </c>
      <c r="U1553" s="4" t="s">
        <v>2396</v>
      </c>
      <c r="V1553" s="4" t="s">
        <v>2396</v>
      </c>
      <c r="W1553" s="5" t="s">
        <v>2308</v>
      </c>
      <c r="X1553" s="5" t="s">
        <v>2308</v>
      </c>
      <c r="Y1553" s="5" t="s">
        <v>2308</v>
      </c>
      <c r="Z1553" s="5" t="s">
        <v>2308</v>
      </c>
      <c r="AA1553" s="5" t="s">
        <v>4690</v>
      </c>
      <c r="AB1553" s="4"/>
    </row>
    <row r="1554" spans="1:28" ht="77.5" customHeight="1">
      <c r="A1554" s="161" t="str">
        <f>'Reported burning'!A1554</f>
        <v>183a</v>
      </c>
      <c r="B1554" s="161" t="str">
        <f>'Reported burning'!B1554</f>
        <v>183a.1</v>
      </c>
      <c r="C1554" s="161" t="str">
        <f>'Reported burning'!C1554</f>
        <v>Human, deliberate</v>
      </c>
      <c r="D1554" s="161" t="str">
        <f>'Reported burning'!D1554</f>
        <v>Pyrome management</v>
      </c>
      <c r="E1554" s="161" t="str">
        <f>'Reported burning'!E1554</f>
        <v>Forestry, Industrial</v>
      </c>
      <c r="F1554" s="161" t="str">
        <f>'Reported burning'!F1554</f>
        <v>Forest</v>
      </c>
      <c r="G1554" s="161" t="str">
        <f>'Reported burning'!G1554</f>
        <v>ND</v>
      </c>
      <c r="H1554" s="161" t="str">
        <f>'Reported burning'!H1554</f>
        <v>Absence</v>
      </c>
      <c r="I1554" s="4"/>
      <c r="J1554" s="4" t="s">
        <v>2396</v>
      </c>
      <c r="K1554" s="4" t="s">
        <v>2396</v>
      </c>
      <c r="L1554" s="4" t="s">
        <v>2396</v>
      </c>
      <c r="M1554" s="4" t="s">
        <v>2396</v>
      </c>
      <c r="N1554" s="4" t="s">
        <v>2396</v>
      </c>
      <c r="O1554" s="4" t="s">
        <v>2396</v>
      </c>
      <c r="P1554" s="4" t="s">
        <v>2396</v>
      </c>
      <c r="Q1554" s="4" t="s">
        <v>2396</v>
      </c>
      <c r="R1554" s="4" t="s">
        <v>2396</v>
      </c>
      <c r="S1554" s="4" t="s">
        <v>2396</v>
      </c>
      <c r="T1554" s="4" t="s">
        <v>2396</v>
      </c>
      <c r="U1554" s="4" t="s">
        <v>2396</v>
      </c>
      <c r="V1554" s="4" t="s">
        <v>2396</v>
      </c>
      <c r="W1554" s="5" t="s">
        <v>2308</v>
      </c>
      <c r="X1554" s="5" t="s">
        <v>2308</v>
      </c>
      <c r="Y1554" s="5" t="s">
        <v>2308</v>
      </c>
      <c r="Z1554" s="5" t="s">
        <v>2308</v>
      </c>
      <c r="AA1554" s="5" t="s">
        <v>4707</v>
      </c>
      <c r="AB1554" s="4"/>
    </row>
    <row r="1555" spans="1:28" ht="66" customHeight="1">
      <c r="A1555" s="161" t="str">
        <f>'Reported burning'!A1555</f>
        <v>183a</v>
      </c>
      <c r="B1555" s="161" t="str">
        <f>'Reported burning'!B1555</f>
        <v>183a.2</v>
      </c>
      <c r="C1555" s="161" t="str">
        <f>'Reported burning'!C1555</f>
        <v>Human, deliberate</v>
      </c>
      <c r="D1555" s="161" t="str">
        <f>'Reported burning'!D1555</f>
        <v>Domestic</v>
      </c>
      <c r="E1555" s="161" t="str">
        <f>'Reported burning'!E1555</f>
        <v>Pastoralism, Migratory</v>
      </c>
      <c r="F1555" s="161" t="str">
        <f>'Reported burning'!F1555</f>
        <v>ND</v>
      </c>
      <c r="G1555" s="161" t="str">
        <f>'Reported burning'!G1555</f>
        <v>ND</v>
      </c>
      <c r="H1555" s="161" t="str">
        <f>'Reported burning'!H1555</f>
        <v>Presence</v>
      </c>
      <c r="I1555" s="4"/>
      <c r="J1555" s="5" t="s">
        <v>2308</v>
      </c>
      <c r="K1555" s="5" t="s">
        <v>2308</v>
      </c>
      <c r="L1555" s="5" t="s">
        <v>2308</v>
      </c>
      <c r="M1555" s="5" t="s">
        <v>2308</v>
      </c>
      <c r="N1555" s="5" t="s">
        <v>2308</v>
      </c>
      <c r="O1555" s="5" t="s">
        <v>2308</v>
      </c>
      <c r="P1555" s="5" t="s">
        <v>2308</v>
      </c>
      <c r="Q1555" s="5" t="s">
        <v>2308</v>
      </c>
      <c r="R1555" s="5" t="s">
        <v>2308</v>
      </c>
      <c r="S1555" s="5" t="s">
        <v>2308</v>
      </c>
      <c r="T1555" s="5" t="s">
        <v>2308</v>
      </c>
      <c r="U1555" s="5" t="s">
        <v>2308</v>
      </c>
      <c r="V1555" s="5" t="s">
        <v>2308</v>
      </c>
      <c r="W1555" s="5" t="s">
        <v>2308</v>
      </c>
      <c r="X1555" s="5" t="s">
        <v>2308</v>
      </c>
      <c r="Y1555" s="5" t="s">
        <v>2308</v>
      </c>
      <c r="Z1555" s="5" t="s">
        <v>2308</v>
      </c>
      <c r="AA1555" s="20" t="s">
        <v>4706</v>
      </c>
      <c r="AB1555" s="4"/>
    </row>
    <row r="1556" spans="1:28" ht="83.5" customHeight="1">
      <c r="A1556" s="161" t="str">
        <f>'Reported burning'!A1556</f>
        <v>183b</v>
      </c>
      <c r="B1556" s="161" t="str">
        <f>'Reported burning'!B1556</f>
        <v>183b.1</v>
      </c>
      <c r="C1556" s="161" t="str">
        <f>'Reported burning'!C1556</f>
        <v>Human, deliberate</v>
      </c>
      <c r="D1556" s="161" t="str">
        <f>'Reported burning'!D1556</f>
        <v>Pyrome management</v>
      </c>
      <c r="E1556" s="161" t="str">
        <f>'Reported burning'!E1556</f>
        <v>Forestry, Industrial</v>
      </c>
      <c r="F1556" s="161" t="str">
        <f>'Reported burning'!F1556</f>
        <v>Forest</v>
      </c>
      <c r="G1556" s="161" t="str">
        <f>'Reported burning'!G1556</f>
        <v>ND</v>
      </c>
      <c r="H1556" s="161" t="str">
        <f>'Reported burning'!H1556</f>
        <v>Absence</v>
      </c>
      <c r="I1556" s="4"/>
      <c r="J1556" s="4" t="s">
        <v>2396</v>
      </c>
      <c r="K1556" s="4" t="s">
        <v>2396</v>
      </c>
      <c r="L1556" s="4" t="s">
        <v>2396</v>
      </c>
      <c r="M1556" s="4" t="s">
        <v>2396</v>
      </c>
      <c r="N1556" s="4" t="s">
        <v>2396</v>
      </c>
      <c r="O1556" s="4" t="s">
        <v>2396</v>
      </c>
      <c r="P1556" s="4" t="s">
        <v>2396</v>
      </c>
      <c r="Q1556" s="4" t="s">
        <v>2396</v>
      </c>
      <c r="R1556" s="4" t="s">
        <v>2396</v>
      </c>
      <c r="S1556" s="4" t="s">
        <v>2396</v>
      </c>
      <c r="T1556" s="4" t="s">
        <v>2396</v>
      </c>
      <c r="U1556" s="4" t="s">
        <v>2396</v>
      </c>
      <c r="V1556" s="4" t="s">
        <v>2396</v>
      </c>
      <c r="W1556" s="5" t="s">
        <v>2308</v>
      </c>
      <c r="X1556" s="5" t="s">
        <v>2308</v>
      </c>
      <c r="Y1556" s="5" t="s">
        <v>2308</v>
      </c>
      <c r="Z1556" s="5" t="s">
        <v>2308</v>
      </c>
      <c r="AA1556" s="5" t="s">
        <v>4707</v>
      </c>
      <c r="AB1556" s="4"/>
    </row>
    <row r="1557" spans="1:28" ht="52" customHeight="1">
      <c r="A1557" s="161" t="str">
        <f>'Reported burning'!A1557</f>
        <v>184a</v>
      </c>
      <c r="B1557" s="161" t="str">
        <f>'Reported burning'!B1557</f>
        <v>184a.1</v>
      </c>
      <c r="C1557" s="161" t="str">
        <f>'Reported burning'!C1557</f>
        <v>Human, deliberate</v>
      </c>
      <c r="D1557" s="161" t="str">
        <f>'Reported burning'!D1557</f>
        <v>Pasture renewal</v>
      </c>
      <c r="E1557" s="161" t="str">
        <f>'Reported burning'!E1557</f>
        <v>Pastoralism, Migratory</v>
      </c>
      <c r="F1557" s="161" t="str">
        <f>'Reported burning'!F1557</f>
        <v>Shrubland (Mixed forest &amp; grassland)</v>
      </c>
      <c r="G1557" s="161" t="str">
        <f>'Reported burning'!G1557</f>
        <v>ND</v>
      </c>
      <c r="H1557" s="161" t="str">
        <f>'Reported burning'!H1557</f>
        <v>Presence</v>
      </c>
      <c r="I1557" s="4"/>
      <c r="J1557" s="5" t="s">
        <v>2308</v>
      </c>
      <c r="K1557" s="5" t="s">
        <v>2308</v>
      </c>
      <c r="L1557" s="5" t="s">
        <v>2308</v>
      </c>
      <c r="M1557" s="5" t="s">
        <v>2308</v>
      </c>
      <c r="N1557" s="5" t="s">
        <v>2308</v>
      </c>
      <c r="O1557" s="5" t="s">
        <v>2308</v>
      </c>
      <c r="P1557" s="5" t="s">
        <v>2308</v>
      </c>
      <c r="Q1557" s="5" t="s">
        <v>2308</v>
      </c>
      <c r="R1557" s="5" t="s">
        <v>2308</v>
      </c>
      <c r="S1557" s="5" t="s">
        <v>2308</v>
      </c>
      <c r="T1557" s="5" t="s">
        <v>2308</v>
      </c>
      <c r="U1557" s="5" t="s">
        <v>2308</v>
      </c>
      <c r="V1557" s="5" t="s">
        <v>2308</v>
      </c>
      <c r="W1557" s="5" t="s">
        <v>2308</v>
      </c>
      <c r="X1557" s="5" t="s">
        <v>2308</v>
      </c>
      <c r="Y1557" s="5" t="s">
        <v>2308</v>
      </c>
      <c r="Z1557" s="4" t="s">
        <v>2308</v>
      </c>
      <c r="AA1557" s="4" t="s">
        <v>4717</v>
      </c>
      <c r="AB1557" s="4"/>
    </row>
    <row r="1558" spans="1:28" ht="75" customHeight="1">
      <c r="A1558" s="161" t="str">
        <f>'Reported burning'!A1558</f>
        <v>184a</v>
      </c>
      <c r="B1558" s="161" t="str">
        <f>'Reported burning'!B1558</f>
        <v>184a.2</v>
      </c>
      <c r="C1558" s="161" t="str">
        <f>'Reported burning'!C1558</f>
        <v>Human, deliberate</v>
      </c>
      <c r="D1558" s="161" t="str">
        <f>'Reported burning'!D1558</f>
        <v>Rangeland management</v>
      </c>
      <c r="E1558" s="161" t="str">
        <f>'Reported burning'!E1558</f>
        <v>Pastoralism, Migratory</v>
      </c>
      <c r="F1558" s="161" t="str">
        <f>'Reported burning'!F1558</f>
        <v>Shrubland (Mixed forest &amp; grassland)</v>
      </c>
      <c r="G1558" s="161" t="str">
        <f>'Reported burning'!G1558</f>
        <v>ND</v>
      </c>
      <c r="H1558" s="161" t="str">
        <f>'Reported burning'!H1558</f>
        <v>Absence</v>
      </c>
      <c r="I1558" s="4"/>
      <c r="J1558" s="4" t="s">
        <v>2396</v>
      </c>
      <c r="K1558" s="4" t="s">
        <v>2396</v>
      </c>
      <c r="L1558" s="4" t="s">
        <v>2396</v>
      </c>
      <c r="M1558" s="4" t="s">
        <v>2396</v>
      </c>
      <c r="N1558" s="4" t="s">
        <v>2396</v>
      </c>
      <c r="O1558" s="4" t="s">
        <v>2396</v>
      </c>
      <c r="P1558" s="4" t="s">
        <v>2396</v>
      </c>
      <c r="Q1558" s="4" t="s">
        <v>2396</v>
      </c>
      <c r="R1558" s="4" t="s">
        <v>2396</v>
      </c>
      <c r="S1558" s="4" t="s">
        <v>2396</v>
      </c>
      <c r="T1558" s="4" t="s">
        <v>2396</v>
      </c>
      <c r="U1558" s="4" t="s">
        <v>2396</v>
      </c>
      <c r="V1558" s="4" t="s">
        <v>2396</v>
      </c>
      <c r="W1558" s="5" t="s">
        <v>2308</v>
      </c>
      <c r="X1558" s="5" t="s">
        <v>2308</v>
      </c>
      <c r="Y1558" s="5" t="s">
        <v>2308</v>
      </c>
      <c r="Z1558" s="5" t="s">
        <v>2308</v>
      </c>
      <c r="AA1558" s="5" t="s">
        <v>4718</v>
      </c>
      <c r="AB1558" s="4"/>
    </row>
    <row r="1559" spans="1:28" ht="63" customHeight="1">
      <c r="A1559" s="161" t="str">
        <f>'Reported burning'!A1559</f>
        <v>184a</v>
      </c>
      <c r="B1559" s="161" t="str">
        <f>'Reported burning'!B1559</f>
        <v>184a.3</v>
      </c>
      <c r="C1559" s="161" t="str">
        <f>'Reported burning'!C1559</f>
        <v>Human, deliberate</v>
      </c>
      <c r="D1559" s="161" t="str">
        <f>'Reported burning'!D1559</f>
        <v>Pest management</v>
      </c>
      <c r="E1559" s="161" t="str">
        <f>'Reported burning'!E1559</f>
        <v>Pastoralism, Migratory</v>
      </c>
      <c r="F1559" s="161" t="str">
        <f>'Reported burning'!F1559</f>
        <v>Shrubland (Mixed forest &amp; grassland)</v>
      </c>
      <c r="G1559" s="161" t="str">
        <f>'Reported burning'!G1559</f>
        <v>ND</v>
      </c>
      <c r="H1559" s="161" t="str">
        <f>'Reported burning'!H1559</f>
        <v>Presence</v>
      </c>
      <c r="I1559" s="4"/>
      <c r="J1559" s="5" t="s">
        <v>2308</v>
      </c>
      <c r="K1559" s="5" t="s">
        <v>2308</v>
      </c>
      <c r="L1559" s="5" t="s">
        <v>2308</v>
      </c>
      <c r="M1559" s="5" t="s">
        <v>2308</v>
      </c>
      <c r="N1559" s="5" t="s">
        <v>2308</v>
      </c>
      <c r="O1559" s="5" t="s">
        <v>2308</v>
      </c>
      <c r="P1559" s="5" t="s">
        <v>2308</v>
      </c>
      <c r="Q1559" s="5" t="s">
        <v>2308</v>
      </c>
      <c r="R1559" s="5" t="s">
        <v>2308</v>
      </c>
      <c r="S1559" s="5" t="s">
        <v>2308</v>
      </c>
      <c r="T1559" s="5" t="s">
        <v>2308</v>
      </c>
      <c r="U1559" s="5" t="s">
        <v>2308</v>
      </c>
      <c r="V1559" s="5" t="s">
        <v>2308</v>
      </c>
      <c r="W1559" s="5" t="s">
        <v>2308</v>
      </c>
      <c r="X1559" s="5" t="s">
        <v>2308</v>
      </c>
      <c r="Y1559" s="5" t="s">
        <v>2308</v>
      </c>
      <c r="Z1559" s="5" t="s">
        <v>2308</v>
      </c>
      <c r="AA1559" s="5" t="s">
        <v>4720</v>
      </c>
      <c r="AB1559" s="4"/>
    </row>
    <row r="1560" spans="1:28" ht="45.5" customHeight="1">
      <c r="A1560" s="161" t="str">
        <f>'Reported burning'!A1560</f>
        <v>185a</v>
      </c>
      <c r="B1560" s="161" t="str">
        <f>'Reported burning'!B1560</f>
        <v>185a.1</v>
      </c>
      <c r="C1560" s="161" t="str">
        <f>'Reported burning'!C1560</f>
        <v>Human, deliberate</v>
      </c>
      <c r="D1560" s="161" t="str">
        <f>'Reported burning'!D1560</f>
        <v>Crop field preparation</v>
      </c>
      <c r="E1560" s="161" t="str">
        <f>'Reported burning'!E1560</f>
        <v>Cropping, Intensive</v>
      </c>
      <c r="F1560" s="161" t="str">
        <f>'Reported burning'!F1560</f>
        <v>Cropland</v>
      </c>
      <c r="G1560" s="161" t="str">
        <f>'Reported burning'!G1560</f>
        <v>ND</v>
      </c>
      <c r="H1560" s="161" t="str">
        <f>'Reported burning'!H1560</f>
        <v>Absence</v>
      </c>
      <c r="I1560" s="4"/>
      <c r="J1560" s="22">
        <v>0</v>
      </c>
      <c r="K1560" s="22">
        <v>0</v>
      </c>
      <c r="L1560" s="22">
        <v>0</v>
      </c>
      <c r="M1560" s="22">
        <v>0</v>
      </c>
      <c r="N1560" s="22">
        <v>0</v>
      </c>
      <c r="O1560" s="22">
        <v>0</v>
      </c>
      <c r="P1560" s="22">
        <v>0</v>
      </c>
      <c r="Q1560" s="22">
        <v>0</v>
      </c>
      <c r="R1560" s="22">
        <v>0</v>
      </c>
      <c r="S1560" s="22">
        <v>0</v>
      </c>
      <c r="T1560" s="22">
        <v>0</v>
      </c>
      <c r="U1560" s="22">
        <v>0</v>
      </c>
      <c r="V1560" s="22">
        <v>0</v>
      </c>
      <c r="W1560" s="5" t="s">
        <v>2308</v>
      </c>
      <c r="X1560" s="5" t="s">
        <v>2308</v>
      </c>
      <c r="Y1560" s="5" t="s">
        <v>2308</v>
      </c>
      <c r="Z1560" s="5" t="s">
        <v>2308</v>
      </c>
      <c r="AA1560" s="5" t="s">
        <v>4739</v>
      </c>
      <c r="AB1560" s="4"/>
    </row>
    <row r="1561" spans="1:28" ht="45.5" customHeight="1">
      <c r="A1561" s="161" t="str">
        <f>'Reported burning'!A1561</f>
        <v>185b</v>
      </c>
      <c r="B1561" s="161" t="str">
        <f>'Reported burning'!B1561</f>
        <v>185b.1</v>
      </c>
      <c r="C1561" s="161" t="str">
        <f>'Reported burning'!C1561</f>
        <v>Human, deliberate</v>
      </c>
      <c r="D1561" s="161" t="str">
        <f>'Reported burning'!D1561</f>
        <v>Crop field preparation</v>
      </c>
      <c r="E1561" s="161" t="str">
        <f>'Reported burning'!E1561</f>
        <v>Cropping, Intensive</v>
      </c>
      <c r="F1561" s="161" t="str">
        <f>'Reported burning'!F1561</f>
        <v>Cropland</v>
      </c>
      <c r="G1561" s="161" t="str">
        <f>'Reported burning'!G1561</f>
        <v>ND</v>
      </c>
      <c r="H1561" s="161" t="str">
        <f>'Reported burning'!H1561</f>
        <v>Absence</v>
      </c>
      <c r="I1561" s="4"/>
      <c r="J1561" s="22">
        <v>0</v>
      </c>
      <c r="K1561" s="22">
        <v>0</v>
      </c>
      <c r="L1561" s="22">
        <v>0</v>
      </c>
      <c r="M1561" s="22">
        <v>0</v>
      </c>
      <c r="N1561" s="22">
        <v>0</v>
      </c>
      <c r="O1561" s="22">
        <v>0</v>
      </c>
      <c r="P1561" s="22">
        <v>0</v>
      </c>
      <c r="Q1561" s="22">
        <v>0</v>
      </c>
      <c r="R1561" s="22">
        <v>0</v>
      </c>
      <c r="S1561" s="22">
        <v>0</v>
      </c>
      <c r="T1561" s="22">
        <v>0</v>
      </c>
      <c r="U1561" s="22">
        <v>0</v>
      </c>
      <c r="V1561" s="22">
        <v>0</v>
      </c>
      <c r="W1561" s="5" t="s">
        <v>2308</v>
      </c>
      <c r="X1561" s="5" t="s">
        <v>2308</v>
      </c>
      <c r="Y1561" s="5" t="s">
        <v>2308</v>
      </c>
      <c r="Z1561" s="5" t="s">
        <v>2308</v>
      </c>
      <c r="AA1561" s="5" t="s">
        <v>4739</v>
      </c>
      <c r="AB1561" s="4"/>
    </row>
    <row r="1562" spans="1:28" ht="45.5" customHeight="1">
      <c r="A1562" s="161" t="str">
        <f>'Reported burning'!A1562</f>
        <v>185c</v>
      </c>
      <c r="B1562" s="161" t="str">
        <f>'Reported burning'!B1562</f>
        <v>185c.1</v>
      </c>
      <c r="C1562" s="161" t="str">
        <f>'Reported burning'!C1562</f>
        <v>Human, deliberate</v>
      </c>
      <c r="D1562" s="161" t="str">
        <f>'Reported burning'!D1562</f>
        <v>Crop field preparation</v>
      </c>
      <c r="E1562" s="161" t="str">
        <f>'Reported burning'!E1562</f>
        <v>Cropping, Intensive</v>
      </c>
      <c r="F1562" s="161" t="str">
        <f>'Reported burning'!F1562</f>
        <v>Cropland</v>
      </c>
      <c r="G1562" s="161" t="str">
        <f>'Reported burning'!G1562</f>
        <v>ND</v>
      </c>
      <c r="H1562" s="161" t="str">
        <f>'Reported burning'!H1562</f>
        <v>Absence</v>
      </c>
      <c r="I1562" s="4"/>
      <c r="J1562" s="22">
        <v>0</v>
      </c>
      <c r="K1562" s="22">
        <v>0</v>
      </c>
      <c r="L1562" s="22">
        <v>0</v>
      </c>
      <c r="M1562" s="22">
        <v>0</v>
      </c>
      <c r="N1562" s="22">
        <v>0</v>
      </c>
      <c r="O1562" s="22">
        <v>0</v>
      </c>
      <c r="P1562" s="22">
        <v>0</v>
      </c>
      <c r="Q1562" s="22">
        <v>0</v>
      </c>
      <c r="R1562" s="22">
        <v>0</v>
      </c>
      <c r="S1562" s="22">
        <v>0</v>
      </c>
      <c r="T1562" s="22">
        <v>0</v>
      </c>
      <c r="U1562" s="22">
        <v>0</v>
      </c>
      <c r="V1562" s="22">
        <v>0</v>
      </c>
      <c r="W1562" s="5" t="s">
        <v>2308</v>
      </c>
      <c r="X1562" s="5" t="s">
        <v>2308</v>
      </c>
      <c r="Y1562" s="5" t="s">
        <v>2308</v>
      </c>
      <c r="Z1562" s="5" t="s">
        <v>2308</v>
      </c>
      <c r="AA1562" s="5" t="s">
        <v>4739</v>
      </c>
      <c r="AB1562" s="4"/>
    </row>
    <row r="1563" spans="1:28" ht="45.5" customHeight="1">
      <c r="A1563" s="161" t="str">
        <f>'Reported burning'!A1563</f>
        <v>185d</v>
      </c>
      <c r="B1563" s="161" t="str">
        <f>'Reported burning'!B1563</f>
        <v>185d.1</v>
      </c>
      <c r="C1563" s="161" t="str">
        <f>'Reported burning'!C1563</f>
        <v>Human, deliberate</v>
      </c>
      <c r="D1563" s="161" t="str">
        <f>'Reported burning'!D1563</f>
        <v>Crop field preparation</v>
      </c>
      <c r="E1563" s="161" t="str">
        <f>'Reported burning'!E1563</f>
        <v>Cropping, Intensive</v>
      </c>
      <c r="F1563" s="161" t="str">
        <f>'Reported burning'!F1563</f>
        <v>Cropland</v>
      </c>
      <c r="G1563" s="161" t="str">
        <f>'Reported burning'!G1563</f>
        <v>ND</v>
      </c>
      <c r="H1563" s="161" t="str">
        <f>'Reported burning'!H1563</f>
        <v>Absence</v>
      </c>
      <c r="I1563" s="4"/>
      <c r="J1563" s="22">
        <v>0</v>
      </c>
      <c r="K1563" s="22">
        <v>0</v>
      </c>
      <c r="L1563" s="22">
        <v>0</v>
      </c>
      <c r="M1563" s="22">
        <v>0</v>
      </c>
      <c r="N1563" s="22">
        <v>0</v>
      </c>
      <c r="O1563" s="22">
        <v>0</v>
      </c>
      <c r="P1563" s="22">
        <v>0</v>
      </c>
      <c r="Q1563" s="22">
        <v>0</v>
      </c>
      <c r="R1563" s="22">
        <v>0</v>
      </c>
      <c r="S1563" s="22">
        <v>0</v>
      </c>
      <c r="T1563" s="22">
        <v>0</v>
      </c>
      <c r="U1563" s="22">
        <v>0</v>
      </c>
      <c r="V1563" s="22">
        <v>0</v>
      </c>
      <c r="W1563" s="5" t="s">
        <v>2308</v>
      </c>
      <c r="X1563" s="5" t="s">
        <v>2308</v>
      </c>
      <c r="Y1563" s="5" t="s">
        <v>2308</v>
      </c>
      <c r="Z1563" s="5" t="s">
        <v>2308</v>
      </c>
      <c r="AA1563" s="5" t="s">
        <v>4739</v>
      </c>
      <c r="AB1563" s="4"/>
    </row>
    <row r="1564" spans="1:28" ht="45.5" customHeight="1">
      <c r="A1564" s="161" t="str">
        <f>'Reported burning'!A1564</f>
        <v>185a</v>
      </c>
      <c r="B1564" s="161" t="str">
        <f>'Reported burning'!B1564</f>
        <v>185a.2</v>
      </c>
      <c r="C1564" s="161" t="str">
        <f>'Reported burning'!C1564</f>
        <v>Human, deliberate</v>
      </c>
      <c r="D1564" s="161" t="str">
        <f>'Reported burning'!D1564</f>
        <v>Crop field preparation</v>
      </c>
      <c r="E1564" s="161" t="str">
        <f>'Reported burning'!E1564</f>
        <v>Mixed cropping-livestock small holder, Subsistence-oriented</v>
      </c>
      <c r="F1564" s="161" t="str">
        <f>'Reported burning'!F1564</f>
        <v>Cropland</v>
      </c>
      <c r="G1564" s="161" t="str">
        <f>'Reported burning'!G1564</f>
        <v>ND</v>
      </c>
      <c r="H1564" s="161" t="str">
        <f>'Reported burning'!H1564</f>
        <v>Absence</v>
      </c>
      <c r="I1564" s="4"/>
      <c r="J1564" s="22">
        <v>0</v>
      </c>
      <c r="K1564" s="22">
        <v>0</v>
      </c>
      <c r="L1564" s="22">
        <v>0</v>
      </c>
      <c r="M1564" s="22">
        <v>0</v>
      </c>
      <c r="N1564" s="22">
        <v>0</v>
      </c>
      <c r="O1564" s="22">
        <v>0</v>
      </c>
      <c r="P1564" s="22">
        <v>0</v>
      </c>
      <c r="Q1564" s="22">
        <v>0</v>
      </c>
      <c r="R1564" s="22">
        <v>0</v>
      </c>
      <c r="S1564" s="22">
        <v>0</v>
      </c>
      <c r="T1564" s="22">
        <v>0</v>
      </c>
      <c r="U1564" s="22">
        <v>0</v>
      </c>
      <c r="V1564" s="22">
        <v>0</v>
      </c>
      <c r="W1564" s="5" t="s">
        <v>2308</v>
      </c>
      <c r="X1564" s="5" t="s">
        <v>2308</v>
      </c>
      <c r="Y1564" s="5" t="s">
        <v>2308</v>
      </c>
      <c r="Z1564" s="5" t="s">
        <v>2308</v>
      </c>
      <c r="AA1564" s="5" t="s">
        <v>4744</v>
      </c>
      <c r="AB1564" s="4"/>
    </row>
    <row r="1565" spans="1:28" ht="45.5" customHeight="1">
      <c r="A1565" s="161" t="str">
        <f>'Reported burning'!A1565</f>
        <v>185b</v>
      </c>
      <c r="B1565" s="161" t="str">
        <f>'Reported burning'!B1565</f>
        <v>185b.2</v>
      </c>
      <c r="C1565" s="161" t="str">
        <f>'Reported burning'!C1565</f>
        <v>Human, deliberate</v>
      </c>
      <c r="D1565" s="161" t="str">
        <f>'Reported burning'!D1565</f>
        <v>Crop field preparation</v>
      </c>
      <c r="E1565" s="161" t="str">
        <f>'Reported burning'!E1565</f>
        <v>Mixed cropping-livestock small holder, Subsistence-oriented</v>
      </c>
      <c r="F1565" s="161" t="str">
        <f>'Reported burning'!F1565</f>
        <v>Cropland</v>
      </c>
      <c r="G1565" s="161" t="str">
        <f>'Reported burning'!G1565</f>
        <v>ND</v>
      </c>
      <c r="H1565" s="161" t="str">
        <f>'Reported burning'!H1565</f>
        <v>Absence</v>
      </c>
      <c r="I1565" s="4"/>
      <c r="J1565" s="22">
        <v>0</v>
      </c>
      <c r="K1565" s="22">
        <v>0</v>
      </c>
      <c r="L1565" s="22">
        <v>0</v>
      </c>
      <c r="M1565" s="22">
        <v>0</v>
      </c>
      <c r="N1565" s="22">
        <v>0</v>
      </c>
      <c r="O1565" s="22">
        <v>0</v>
      </c>
      <c r="P1565" s="22">
        <v>0</v>
      </c>
      <c r="Q1565" s="22">
        <v>0</v>
      </c>
      <c r="R1565" s="22">
        <v>0</v>
      </c>
      <c r="S1565" s="22">
        <v>0</v>
      </c>
      <c r="T1565" s="22">
        <v>0</v>
      </c>
      <c r="U1565" s="22">
        <v>0</v>
      </c>
      <c r="V1565" s="22">
        <v>0</v>
      </c>
      <c r="W1565" s="5" t="s">
        <v>2308</v>
      </c>
      <c r="X1565" s="5" t="s">
        <v>2308</v>
      </c>
      <c r="Y1565" s="5" t="s">
        <v>2308</v>
      </c>
      <c r="Z1565" s="5" t="s">
        <v>2308</v>
      </c>
      <c r="AA1565" s="5" t="s">
        <v>4744</v>
      </c>
      <c r="AB1565" s="4"/>
    </row>
    <row r="1566" spans="1:28" ht="45.5" customHeight="1">
      <c r="A1566" s="161" t="str">
        <f>'Reported burning'!A1566</f>
        <v>185c</v>
      </c>
      <c r="B1566" s="161" t="str">
        <f>'Reported burning'!B1566</f>
        <v>185c.2</v>
      </c>
      <c r="C1566" s="161" t="str">
        <f>'Reported burning'!C1566</f>
        <v>Human, deliberate</v>
      </c>
      <c r="D1566" s="161" t="str">
        <f>'Reported burning'!D1566</f>
        <v>Crop field preparation</v>
      </c>
      <c r="E1566" s="161" t="str">
        <f>'Reported burning'!E1566</f>
        <v>Mixed cropping-livestock small holder, Subsistence-oriented</v>
      </c>
      <c r="F1566" s="161" t="str">
        <f>'Reported burning'!F1566</f>
        <v>Cropland</v>
      </c>
      <c r="G1566" s="161" t="str">
        <f>'Reported burning'!G1566</f>
        <v>ND</v>
      </c>
      <c r="H1566" s="161" t="str">
        <f>'Reported burning'!H1566</f>
        <v>Absence</v>
      </c>
      <c r="I1566" s="4"/>
      <c r="J1566" s="22">
        <v>0</v>
      </c>
      <c r="K1566" s="22">
        <v>0</v>
      </c>
      <c r="L1566" s="22">
        <v>0</v>
      </c>
      <c r="M1566" s="22">
        <v>0</v>
      </c>
      <c r="N1566" s="22">
        <v>0</v>
      </c>
      <c r="O1566" s="22">
        <v>0</v>
      </c>
      <c r="P1566" s="22">
        <v>0</v>
      </c>
      <c r="Q1566" s="22">
        <v>0</v>
      </c>
      <c r="R1566" s="22">
        <v>0</v>
      </c>
      <c r="S1566" s="22">
        <v>0</v>
      </c>
      <c r="T1566" s="22">
        <v>0</v>
      </c>
      <c r="U1566" s="22">
        <v>0</v>
      </c>
      <c r="V1566" s="22">
        <v>0</v>
      </c>
      <c r="W1566" s="5" t="s">
        <v>2308</v>
      </c>
      <c r="X1566" s="5" t="s">
        <v>2308</v>
      </c>
      <c r="Y1566" s="5" t="s">
        <v>2308</v>
      </c>
      <c r="Z1566" s="5" t="s">
        <v>2308</v>
      </c>
      <c r="AA1566" s="5" t="s">
        <v>4744</v>
      </c>
      <c r="AB1566" s="4"/>
    </row>
    <row r="1567" spans="1:28" ht="45.5" customHeight="1">
      <c r="A1567" s="161" t="str">
        <f>'Reported burning'!A1567</f>
        <v>185d</v>
      </c>
      <c r="B1567" s="161" t="str">
        <f>'Reported burning'!B1567</f>
        <v>185d.2</v>
      </c>
      <c r="C1567" s="161" t="str">
        <f>'Reported burning'!C1567</f>
        <v>Human, deliberate</v>
      </c>
      <c r="D1567" s="161" t="str">
        <f>'Reported burning'!D1567</f>
        <v>Crop field preparation</v>
      </c>
      <c r="E1567" s="161" t="str">
        <f>'Reported burning'!E1567</f>
        <v>Mixed cropping-livestock small holder, Subsistence-oriented</v>
      </c>
      <c r="F1567" s="161" t="str">
        <f>'Reported burning'!F1567</f>
        <v>Cropland</v>
      </c>
      <c r="G1567" s="161" t="str">
        <f>'Reported burning'!G1567</f>
        <v>ND</v>
      </c>
      <c r="H1567" s="161" t="str">
        <f>'Reported burning'!H1567</f>
        <v>Absence</v>
      </c>
      <c r="I1567" s="4"/>
      <c r="J1567" s="22">
        <v>0</v>
      </c>
      <c r="K1567" s="22">
        <v>0</v>
      </c>
      <c r="L1567" s="22">
        <v>0</v>
      </c>
      <c r="M1567" s="22">
        <v>0</v>
      </c>
      <c r="N1567" s="22">
        <v>0</v>
      </c>
      <c r="O1567" s="22">
        <v>0</v>
      </c>
      <c r="P1567" s="22">
        <v>0</v>
      </c>
      <c r="Q1567" s="22">
        <v>0</v>
      </c>
      <c r="R1567" s="22">
        <v>0</v>
      </c>
      <c r="S1567" s="22">
        <v>0</v>
      </c>
      <c r="T1567" s="22">
        <v>0</v>
      </c>
      <c r="U1567" s="22">
        <v>0</v>
      </c>
      <c r="V1567" s="22">
        <v>0</v>
      </c>
      <c r="W1567" s="5" t="s">
        <v>2308</v>
      </c>
      <c r="X1567" s="5" t="s">
        <v>2308</v>
      </c>
      <c r="Y1567" s="5" t="s">
        <v>2308</v>
      </c>
      <c r="Z1567" s="5" t="s">
        <v>2308</v>
      </c>
      <c r="AA1567" s="5" t="s">
        <v>4744</v>
      </c>
      <c r="AB1567" s="4"/>
    </row>
    <row r="1568" spans="1:28" ht="45.5" customHeight="1">
      <c r="A1568" s="161" t="str">
        <f>'Reported burning'!A1568</f>
        <v>186a</v>
      </c>
      <c r="B1568" s="161" t="str">
        <f>'Reported burning'!B1568</f>
        <v>186a.1</v>
      </c>
      <c r="C1568" s="161" t="str">
        <f>'Reported burning'!C1568</f>
        <v>Human, deliberate</v>
      </c>
      <c r="D1568" s="161" t="str">
        <f>'Reported burning'!D1568</f>
        <v>Hunting</v>
      </c>
      <c r="E1568" s="161" t="str">
        <f>'Reported burning'!E1568</f>
        <v>Pastoralism, Migratory</v>
      </c>
      <c r="F1568" s="161" t="str">
        <f>'Reported burning'!F1568</f>
        <v>Shrubland (Mixed forest &amp; grassland)</v>
      </c>
      <c r="G1568" s="161" t="str">
        <f>'Reported burning'!G1568</f>
        <v>ND</v>
      </c>
      <c r="H1568" s="161" t="str">
        <f>'Reported burning'!H1568</f>
        <v>Absence</v>
      </c>
      <c r="I1568" s="4"/>
      <c r="J1568" s="22">
        <v>0</v>
      </c>
      <c r="K1568" s="22">
        <v>0</v>
      </c>
      <c r="L1568" s="22">
        <v>0</v>
      </c>
      <c r="M1568" s="22">
        <v>0</v>
      </c>
      <c r="N1568" s="22">
        <v>0</v>
      </c>
      <c r="O1568" s="22">
        <v>0</v>
      </c>
      <c r="P1568" s="22">
        <v>0</v>
      </c>
      <c r="Q1568" s="22">
        <v>0</v>
      </c>
      <c r="R1568" s="22">
        <v>0</v>
      </c>
      <c r="S1568" s="22">
        <v>0</v>
      </c>
      <c r="T1568" s="22">
        <v>0</v>
      </c>
      <c r="U1568" s="22">
        <v>0</v>
      </c>
      <c r="V1568" s="22">
        <v>0</v>
      </c>
      <c r="W1568" s="5" t="s">
        <v>2308</v>
      </c>
      <c r="X1568" s="5" t="s">
        <v>2308</v>
      </c>
      <c r="Y1568" s="5" t="s">
        <v>2308</v>
      </c>
      <c r="Z1568" s="5" t="s">
        <v>2308</v>
      </c>
      <c r="AA1568" s="5" t="s">
        <v>4757</v>
      </c>
      <c r="AB1568" s="4"/>
    </row>
    <row r="1569" spans="1:28" ht="45.5" customHeight="1">
      <c r="A1569" s="161" t="str">
        <f>'Reported burning'!A1569</f>
        <v>186b</v>
      </c>
      <c r="B1569" s="161" t="str">
        <f>'Reported burning'!B1569</f>
        <v>186b.1</v>
      </c>
      <c r="C1569" s="161" t="str">
        <f>'Reported burning'!C1569</f>
        <v>Human, deliberate</v>
      </c>
      <c r="D1569" s="161" t="str">
        <f>'Reported burning'!D1569</f>
        <v>Hunting</v>
      </c>
      <c r="E1569" s="161" t="str">
        <f>'Reported burning'!E1569</f>
        <v>Pastoralism, Migratory</v>
      </c>
      <c r="F1569" s="161" t="str">
        <f>'Reported burning'!F1569</f>
        <v>Shrubland (Mixed forest &amp; grassland)</v>
      </c>
      <c r="G1569" s="161" t="str">
        <f>'Reported burning'!G1569</f>
        <v>ND</v>
      </c>
      <c r="H1569" s="161" t="str">
        <f>'Reported burning'!H1569</f>
        <v>Absence</v>
      </c>
      <c r="I1569" s="4"/>
      <c r="J1569" s="22">
        <v>0</v>
      </c>
      <c r="K1569" s="22">
        <v>0</v>
      </c>
      <c r="L1569" s="22">
        <v>0</v>
      </c>
      <c r="M1569" s="22">
        <v>0</v>
      </c>
      <c r="N1569" s="22">
        <v>0</v>
      </c>
      <c r="O1569" s="22">
        <v>0</v>
      </c>
      <c r="P1569" s="22">
        <v>0</v>
      </c>
      <c r="Q1569" s="22">
        <v>0</v>
      </c>
      <c r="R1569" s="22">
        <v>0</v>
      </c>
      <c r="S1569" s="22">
        <v>0</v>
      </c>
      <c r="T1569" s="22">
        <v>0</v>
      </c>
      <c r="U1569" s="22">
        <v>0</v>
      </c>
      <c r="V1569" s="22">
        <v>0</v>
      </c>
      <c r="W1569" s="5" t="s">
        <v>2308</v>
      </c>
      <c r="X1569" s="5" t="s">
        <v>2308</v>
      </c>
      <c r="Y1569" s="5" t="s">
        <v>2308</v>
      </c>
      <c r="Z1569" s="5" t="s">
        <v>2308</v>
      </c>
      <c r="AA1569" s="5" t="s">
        <v>4757</v>
      </c>
      <c r="AB1569" s="4"/>
    </row>
    <row r="1570" spans="1:28" ht="45.5" customHeight="1">
      <c r="A1570" s="161" t="str">
        <f>'Reported burning'!A1570</f>
        <v>186c</v>
      </c>
      <c r="B1570" s="161" t="str">
        <f>'Reported burning'!B1570</f>
        <v>186c.1</v>
      </c>
      <c r="C1570" s="161" t="str">
        <f>'Reported burning'!C1570</f>
        <v>Human, deliberate</v>
      </c>
      <c r="D1570" s="161" t="str">
        <f>'Reported burning'!D1570</f>
        <v>Hunting</v>
      </c>
      <c r="E1570" s="161" t="str">
        <f>'Reported burning'!E1570</f>
        <v>Pastoralism, Migratory</v>
      </c>
      <c r="F1570" s="161" t="str">
        <f>'Reported burning'!F1570</f>
        <v>Shrubland (Mixed forest &amp; grassland)</v>
      </c>
      <c r="G1570" s="161" t="str">
        <f>'Reported burning'!G1570</f>
        <v>ND</v>
      </c>
      <c r="H1570" s="161" t="str">
        <f>'Reported burning'!H1570</f>
        <v>Absence</v>
      </c>
      <c r="I1570" s="4"/>
      <c r="J1570" s="22">
        <v>0</v>
      </c>
      <c r="K1570" s="22">
        <v>0</v>
      </c>
      <c r="L1570" s="22">
        <v>0</v>
      </c>
      <c r="M1570" s="22">
        <v>0</v>
      </c>
      <c r="N1570" s="22">
        <v>0</v>
      </c>
      <c r="O1570" s="22">
        <v>0</v>
      </c>
      <c r="P1570" s="22">
        <v>0</v>
      </c>
      <c r="Q1570" s="22">
        <v>0</v>
      </c>
      <c r="R1570" s="22">
        <v>0</v>
      </c>
      <c r="S1570" s="22">
        <v>0</v>
      </c>
      <c r="T1570" s="22">
        <v>0</v>
      </c>
      <c r="U1570" s="22">
        <v>0</v>
      </c>
      <c r="V1570" s="22">
        <v>0</v>
      </c>
      <c r="W1570" s="5" t="s">
        <v>2308</v>
      </c>
      <c r="X1570" s="5" t="s">
        <v>2308</v>
      </c>
      <c r="Y1570" s="5" t="s">
        <v>2308</v>
      </c>
      <c r="Z1570" s="5" t="s">
        <v>2308</v>
      </c>
      <c r="AA1570" s="5" t="s">
        <v>4757</v>
      </c>
      <c r="AB1570" s="4"/>
    </row>
    <row r="1571" spans="1:28" ht="64.5" customHeight="1">
      <c r="A1571" s="161" t="str">
        <f>'Reported burning'!A1571</f>
        <v>186a</v>
      </c>
      <c r="B1571" s="161" t="str">
        <f>'Reported burning'!B1571</f>
        <v>186a.2</v>
      </c>
      <c r="C1571" s="161" t="str">
        <f>'Reported burning'!C1571</f>
        <v>Human, deliberate</v>
      </c>
      <c r="D1571" s="161" t="str">
        <f>'Reported burning'!D1571</f>
        <v>Land clearance</v>
      </c>
      <c r="E1571" s="161" t="str">
        <f>'Reported burning'!E1571</f>
        <v>Cropping, Monoculture, Subsistence-oriented</v>
      </c>
      <c r="F1571" s="161" t="str">
        <f>'Reported burning'!F1571</f>
        <v>Shrubland (Mixed forest &amp; grassland)</v>
      </c>
      <c r="G1571" s="161" t="str">
        <f>'Reported burning'!G1571</f>
        <v>ND</v>
      </c>
      <c r="H1571" s="161" t="str">
        <f>'Reported burning'!H1571</f>
        <v>Presence</v>
      </c>
      <c r="I1571" s="4"/>
      <c r="J1571" s="5" t="s">
        <v>2308</v>
      </c>
      <c r="K1571" s="5" t="s">
        <v>2308</v>
      </c>
      <c r="L1571" s="5" t="s">
        <v>2308</v>
      </c>
      <c r="M1571" s="5" t="s">
        <v>2308</v>
      </c>
      <c r="N1571" s="5" t="s">
        <v>2308</v>
      </c>
      <c r="O1571" s="5" t="s">
        <v>2308</v>
      </c>
      <c r="P1571" s="5" t="s">
        <v>2308</v>
      </c>
      <c r="Q1571" s="5" t="s">
        <v>2308</v>
      </c>
      <c r="R1571" s="5" t="s">
        <v>2308</v>
      </c>
      <c r="S1571" s="5" t="s">
        <v>2308</v>
      </c>
      <c r="T1571" s="5" t="s">
        <v>2308</v>
      </c>
      <c r="U1571" s="5" t="s">
        <v>2308</v>
      </c>
      <c r="V1571" s="5" t="s">
        <v>2308</v>
      </c>
      <c r="W1571" s="5" t="s">
        <v>2308</v>
      </c>
      <c r="X1571" s="5" t="s">
        <v>2308</v>
      </c>
      <c r="Y1571" s="5" t="s">
        <v>2308</v>
      </c>
      <c r="Z1571" s="5" t="s">
        <v>2308</v>
      </c>
      <c r="AA1571" s="5" t="s">
        <v>4764</v>
      </c>
      <c r="AB1571" s="4"/>
    </row>
    <row r="1572" spans="1:28" ht="64.5" customHeight="1">
      <c r="A1572" s="161" t="str">
        <f>'Reported burning'!A1572</f>
        <v>186b</v>
      </c>
      <c r="B1572" s="161" t="str">
        <f>'Reported burning'!B1572</f>
        <v>186b.2</v>
      </c>
      <c r="C1572" s="161" t="str">
        <f>'Reported burning'!C1572</f>
        <v>Human, deliberate</v>
      </c>
      <c r="D1572" s="161" t="str">
        <f>'Reported burning'!D1572</f>
        <v>Land clearance</v>
      </c>
      <c r="E1572" s="161" t="str">
        <f>'Reported burning'!E1572</f>
        <v>Cropping, Monoculture, Subsistence-oriented</v>
      </c>
      <c r="F1572" s="161" t="str">
        <f>'Reported burning'!F1572</f>
        <v>Shrubland (Mixed forest &amp; grassland)</v>
      </c>
      <c r="G1572" s="161" t="str">
        <f>'Reported burning'!G1572</f>
        <v>ND</v>
      </c>
      <c r="H1572" s="161" t="str">
        <f>'Reported burning'!H1572</f>
        <v>Presence</v>
      </c>
      <c r="I1572" s="4"/>
      <c r="J1572" s="5" t="s">
        <v>2308</v>
      </c>
      <c r="K1572" s="5" t="s">
        <v>2308</v>
      </c>
      <c r="L1572" s="5" t="s">
        <v>2308</v>
      </c>
      <c r="M1572" s="5" t="s">
        <v>2308</v>
      </c>
      <c r="N1572" s="5" t="s">
        <v>2308</v>
      </c>
      <c r="O1572" s="5" t="s">
        <v>2308</v>
      </c>
      <c r="P1572" s="5" t="s">
        <v>2308</v>
      </c>
      <c r="Q1572" s="5" t="s">
        <v>2308</v>
      </c>
      <c r="R1572" s="5" t="s">
        <v>2308</v>
      </c>
      <c r="S1572" s="5" t="s">
        <v>2308</v>
      </c>
      <c r="T1572" s="5" t="s">
        <v>2308</v>
      </c>
      <c r="U1572" s="5" t="s">
        <v>2308</v>
      </c>
      <c r="V1572" s="5" t="s">
        <v>2308</v>
      </c>
      <c r="W1572" s="5" t="s">
        <v>2308</v>
      </c>
      <c r="X1572" s="5" t="s">
        <v>2308</v>
      </c>
      <c r="Y1572" s="5" t="s">
        <v>2308</v>
      </c>
      <c r="Z1572" s="5" t="s">
        <v>2308</v>
      </c>
      <c r="AA1572" s="5" t="s">
        <v>4764</v>
      </c>
      <c r="AB1572" s="4"/>
    </row>
    <row r="1573" spans="1:28" ht="64.5" customHeight="1">
      <c r="A1573" s="161" t="str">
        <f>'Reported burning'!A1573</f>
        <v>186c</v>
      </c>
      <c r="B1573" s="161" t="str">
        <f>'Reported burning'!B1573</f>
        <v>186c.2</v>
      </c>
      <c r="C1573" s="161" t="str">
        <f>'Reported burning'!C1573</f>
        <v>Human, deliberate</v>
      </c>
      <c r="D1573" s="161" t="str">
        <f>'Reported burning'!D1573</f>
        <v>Land clearance</v>
      </c>
      <c r="E1573" s="161" t="str">
        <f>'Reported burning'!E1573</f>
        <v>Cropping, Monoculture, Subsistence-oriented</v>
      </c>
      <c r="F1573" s="161" t="str">
        <f>'Reported burning'!F1573</f>
        <v>Shrubland (Mixed forest &amp; grassland)</v>
      </c>
      <c r="G1573" s="161" t="str">
        <f>'Reported burning'!G1573</f>
        <v>ND</v>
      </c>
      <c r="H1573" s="161" t="str">
        <f>'Reported burning'!H1573</f>
        <v>Presence</v>
      </c>
      <c r="I1573" s="4"/>
      <c r="J1573" s="5" t="s">
        <v>2308</v>
      </c>
      <c r="K1573" s="5" t="s">
        <v>2308</v>
      </c>
      <c r="L1573" s="5" t="s">
        <v>2308</v>
      </c>
      <c r="M1573" s="5" t="s">
        <v>2308</v>
      </c>
      <c r="N1573" s="5" t="s">
        <v>2308</v>
      </c>
      <c r="O1573" s="5" t="s">
        <v>2308</v>
      </c>
      <c r="P1573" s="5" t="s">
        <v>2308</v>
      </c>
      <c r="Q1573" s="5" t="s">
        <v>2308</v>
      </c>
      <c r="R1573" s="5" t="s">
        <v>2308</v>
      </c>
      <c r="S1573" s="5" t="s">
        <v>2308</v>
      </c>
      <c r="T1573" s="5" t="s">
        <v>2308</v>
      </c>
      <c r="U1573" s="5" t="s">
        <v>2308</v>
      </c>
      <c r="V1573" s="5" t="s">
        <v>2308</v>
      </c>
      <c r="W1573" s="5" t="s">
        <v>2308</v>
      </c>
      <c r="X1573" s="5" t="s">
        <v>2308</v>
      </c>
      <c r="Y1573" s="5" t="s">
        <v>2308</v>
      </c>
      <c r="Z1573" s="5" t="s">
        <v>2308</v>
      </c>
      <c r="AA1573" s="5" t="s">
        <v>4764</v>
      </c>
      <c r="AB1573" s="4"/>
    </row>
    <row r="1574" spans="1:28" ht="64.5" customHeight="1">
      <c r="A1574" s="161" t="str">
        <f>'Reported burning'!A1574</f>
        <v>186a</v>
      </c>
      <c r="B1574" s="161" t="str">
        <f>'Reported burning'!B1574</f>
        <v>186a.3</v>
      </c>
      <c r="C1574" s="161" t="str">
        <f>'Reported burning'!C1574</f>
        <v>Human, deliberate</v>
      </c>
      <c r="D1574" s="161" t="str">
        <f>'Reported burning'!D1574</f>
        <v>Arson</v>
      </c>
      <c r="E1574" s="161" t="str">
        <f>'Reported burning'!E1574</f>
        <v>Cropping, Monoculture, Subsistence-oriented</v>
      </c>
      <c r="F1574" s="161" t="str">
        <f>'Reported burning'!F1574</f>
        <v>Pasture</v>
      </c>
      <c r="G1574" s="161" t="str">
        <f>'Reported burning'!G1574</f>
        <v>ND</v>
      </c>
      <c r="H1574" s="161" t="str">
        <f>'Reported burning'!H1574</f>
        <v>Presence</v>
      </c>
      <c r="I1574" s="4"/>
      <c r="J1574" s="5" t="s">
        <v>2308</v>
      </c>
      <c r="K1574" s="5" t="s">
        <v>2308</v>
      </c>
      <c r="L1574" s="5" t="s">
        <v>2308</v>
      </c>
      <c r="M1574" s="5" t="s">
        <v>2308</v>
      </c>
      <c r="N1574" s="5" t="s">
        <v>2308</v>
      </c>
      <c r="O1574" s="5" t="s">
        <v>2308</v>
      </c>
      <c r="P1574" s="5" t="s">
        <v>2308</v>
      </c>
      <c r="Q1574" s="5" t="s">
        <v>2308</v>
      </c>
      <c r="R1574" s="5" t="s">
        <v>2308</v>
      </c>
      <c r="S1574" s="5" t="s">
        <v>2308</v>
      </c>
      <c r="T1574" s="5" t="s">
        <v>2308</v>
      </c>
      <c r="U1574" s="5" t="s">
        <v>2308</v>
      </c>
      <c r="V1574" s="5" t="s">
        <v>2308</v>
      </c>
      <c r="W1574" s="5" t="s">
        <v>2308</v>
      </c>
      <c r="X1574" s="5" t="s">
        <v>2308</v>
      </c>
      <c r="Y1574" s="5" t="s">
        <v>2308</v>
      </c>
      <c r="Z1574" s="5" t="s">
        <v>2308</v>
      </c>
      <c r="AA1574" s="5" t="s">
        <v>4764</v>
      </c>
      <c r="AB1574" s="4"/>
    </row>
    <row r="1575" spans="1:28" ht="64.5" customHeight="1">
      <c r="A1575" s="161" t="str">
        <f>'Reported burning'!A1575</f>
        <v>186b</v>
      </c>
      <c r="B1575" s="161" t="str">
        <f>'Reported burning'!B1575</f>
        <v>186b.3</v>
      </c>
      <c r="C1575" s="161" t="str">
        <f>'Reported burning'!C1575</f>
        <v>Human, deliberate</v>
      </c>
      <c r="D1575" s="161" t="str">
        <f>'Reported burning'!D1575</f>
        <v>Arson</v>
      </c>
      <c r="E1575" s="161" t="str">
        <f>'Reported burning'!E1575</f>
        <v>Cropping, Monoculture, Subsistence-oriented</v>
      </c>
      <c r="F1575" s="161" t="str">
        <f>'Reported burning'!F1575</f>
        <v>Pasture</v>
      </c>
      <c r="G1575" s="161" t="str">
        <f>'Reported burning'!G1575</f>
        <v>ND</v>
      </c>
      <c r="H1575" s="161" t="str">
        <f>'Reported burning'!H1575</f>
        <v>Presence</v>
      </c>
      <c r="I1575" s="4"/>
      <c r="J1575" s="5" t="s">
        <v>2308</v>
      </c>
      <c r="K1575" s="5" t="s">
        <v>2308</v>
      </c>
      <c r="L1575" s="5" t="s">
        <v>2308</v>
      </c>
      <c r="M1575" s="5" t="s">
        <v>2308</v>
      </c>
      <c r="N1575" s="5" t="s">
        <v>2308</v>
      </c>
      <c r="O1575" s="5" t="s">
        <v>2308</v>
      </c>
      <c r="P1575" s="5" t="s">
        <v>2308</v>
      </c>
      <c r="Q1575" s="5" t="s">
        <v>2308</v>
      </c>
      <c r="R1575" s="5" t="s">
        <v>2308</v>
      </c>
      <c r="S1575" s="5" t="s">
        <v>2308</v>
      </c>
      <c r="T1575" s="5" t="s">
        <v>2308</v>
      </c>
      <c r="U1575" s="5" t="s">
        <v>2308</v>
      </c>
      <c r="V1575" s="5" t="s">
        <v>2308</v>
      </c>
      <c r="W1575" s="5" t="s">
        <v>2308</v>
      </c>
      <c r="X1575" s="5" t="s">
        <v>2308</v>
      </c>
      <c r="Y1575" s="5" t="s">
        <v>2308</v>
      </c>
      <c r="Z1575" s="5" t="s">
        <v>2308</v>
      </c>
      <c r="AA1575" s="5" t="s">
        <v>4764</v>
      </c>
      <c r="AB1575" s="4"/>
    </row>
    <row r="1576" spans="1:28" ht="64.5" customHeight="1">
      <c r="A1576" s="161" t="str">
        <f>'Reported burning'!A1576</f>
        <v>186c</v>
      </c>
      <c r="B1576" s="161" t="str">
        <f>'Reported burning'!B1576</f>
        <v>186c.3</v>
      </c>
      <c r="C1576" s="161" t="str">
        <f>'Reported burning'!C1576</f>
        <v>Human, deliberate</v>
      </c>
      <c r="D1576" s="161" t="str">
        <f>'Reported burning'!D1576</f>
        <v>Arson</v>
      </c>
      <c r="E1576" s="161" t="str">
        <f>'Reported burning'!E1576</f>
        <v>Cropping, Monoculture, Subsistence-oriented</v>
      </c>
      <c r="F1576" s="161" t="str">
        <f>'Reported burning'!F1576</f>
        <v>Pasture</v>
      </c>
      <c r="G1576" s="161" t="str">
        <f>'Reported burning'!G1576</f>
        <v>ND</v>
      </c>
      <c r="H1576" s="161" t="str">
        <f>'Reported burning'!H1576</f>
        <v>Presence</v>
      </c>
      <c r="I1576" s="4"/>
      <c r="J1576" s="5" t="s">
        <v>2308</v>
      </c>
      <c r="K1576" s="5" t="s">
        <v>2308</v>
      </c>
      <c r="L1576" s="5" t="s">
        <v>2308</v>
      </c>
      <c r="M1576" s="5" t="s">
        <v>2308</v>
      </c>
      <c r="N1576" s="5" t="s">
        <v>2308</v>
      </c>
      <c r="O1576" s="5" t="s">
        <v>2308</v>
      </c>
      <c r="P1576" s="5" t="s">
        <v>2308</v>
      </c>
      <c r="Q1576" s="5" t="s">
        <v>2308</v>
      </c>
      <c r="R1576" s="5" t="s">
        <v>2308</v>
      </c>
      <c r="S1576" s="5" t="s">
        <v>2308</v>
      </c>
      <c r="T1576" s="5" t="s">
        <v>2308</v>
      </c>
      <c r="U1576" s="5" t="s">
        <v>2308</v>
      </c>
      <c r="V1576" s="5" t="s">
        <v>2308</v>
      </c>
      <c r="W1576" s="5" t="s">
        <v>2308</v>
      </c>
      <c r="X1576" s="5" t="s">
        <v>2308</v>
      </c>
      <c r="Y1576" s="5" t="s">
        <v>2308</v>
      </c>
      <c r="Z1576" s="5" t="s">
        <v>2308</v>
      </c>
      <c r="AA1576" s="5" t="s">
        <v>4764</v>
      </c>
      <c r="AB1576" s="4"/>
    </row>
    <row r="1577" spans="1:28" ht="75" customHeight="1">
      <c r="A1577" s="161" t="str">
        <f>'Reported burning'!A1577</f>
        <v>187a</v>
      </c>
      <c r="B1577" s="161" t="str">
        <f>'Reported burning'!B1577</f>
        <v>187a.1</v>
      </c>
      <c r="C1577" s="161" t="str">
        <f>'Reported burning'!C1577</f>
        <v>Human, deliberate</v>
      </c>
      <c r="D1577" s="161" t="str">
        <f>'Reported burning'!D1577</f>
        <v>Arson</v>
      </c>
      <c r="E1577" s="161" t="str">
        <f>'Reported burning'!E1577</f>
        <v>Cropping, Intensive</v>
      </c>
      <c r="F1577" s="161" t="str">
        <f>'Reported burning'!F1577</f>
        <v>Pasture</v>
      </c>
      <c r="G1577" s="161" t="str">
        <f>'Reported burning'!G1577</f>
        <v>ND</v>
      </c>
      <c r="H1577" s="161" t="str">
        <f>'Reported burning'!H1577</f>
        <v>Presence</v>
      </c>
      <c r="I1577" s="4"/>
      <c r="J1577" t="s">
        <v>2404</v>
      </c>
      <c r="K1577" s="5" t="s">
        <v>2308</v>
      </c>
      <c r="L1577" s="5" t="s">
        <v>2308</v>
      </c>
      <c r="M1577" s="5" t="s">
        <v>2308</v>
      </c>
      <c r="N1577" s="5" t="s">
        <v>2308</v>
      </c>
      <c r="O1577" s="5" t="s">
        <v>2308</v>
      </c>
      <c r="P1577" s="5" t="s">
        <v>2308</v>
      </c>
      <c r="Q1577" s="5" t="s">
        <v>2308</v>
      </c>
      <c r="R1577" s="5" t="s">
        <v>2308</v>
      </c>
      <c r="S1577" s="5" t="s">
        <v>2308</v>
      </c>
      <c r="T1577" s="5" t="s">
        <v>2308</v>
      </c>
      <c r="U1577" s="5" t="s">
        <v>2308</v>
      </c>
      <c r="V1577" s="5" t="s">
        <v>2308</v>
      </c>
      <c r="W1577" t="s">
        <v>2433</v>
      </c>
      <c r="X1577" s="4" t="s">
        <v>432</v>
      </c>
      <c r="Y1577" s="4" t="s">
        <v>68</v>
      </c>
      <c r="Z1577" s="4" t="s">
        <v>64</v>
      </c>
      <c r="AA1577" s="5" t="s">
        <v>4776</v>
      </c>
      <c r="AB1577" s="5" t="s">
        <v>4782</v>
      </c>
    </row>
    <row r="1578" spans="1:28" ht="56" customHeight="1">
      <c r="A1578" s="161" t="str">
        <f>'Reported burning'!A1578</f>
        <v>187a</v>
      </c>
      <c r="B1578" s="161" t="str">
        <f>'Reported burning'!B1578</f>
        <v>187a.2</v>
      </c>
      <c r="C1578" s="161" t="str">
        <f>'Reported burning'!C1578</f>
        <v>Human, deliberate</v>
      </c>
      <c r="D1578" s="161" t="str">
        <f>'Reported burning'!D1578</f>
        <v>All</v>
      </c>
      <c r="E1578" s="161" t="str">
        <f>'Reported burning'!E1578</f>
        <v>Cattle, Intensive</v>
      </c>
      <c r="F1578" s="161" t="str">
        <f>'Reported burning'!F1578</f>
        <v>Cropland</v>
      </c>
      <c r="G1578" s="161" t="str">
        <f>'Reported burning'!G1578</f>
        <v>ND</v>
      </c>
      <c r="H1578" s="161" t="str">
        <f>'Reported burning'!H1578</f>
        <v>Absence</v>
      </c>
      <c r="I1578" s="4"/>
      <c r="J1578" s="22">
        <v>0</v>
      </c>
      <c r="K1578" s="22">
        <v>0</v>
      </c>
      <c r="L1578" s="22">
        <v>0</v>
      </c>
      <c r="M1578" s="22">
        <v>0</v>
      </c>
      <c r="N1578" s="22">
        <v>0</v>
      </c>
      <c r="O1578" s="22">
        <v>0</v>
      </c>
      <c r="P1578" s="22">
        <v>0</v>
      </c>
      <c r="Q1578" s="22">
        <v>0</v>
      </c>
      <c r="R1578" s="22">
        <v>0</v>
      </c>
      <c r="S1578" s="22">
        <v>0</v>
      </c>
      <c r="T1578" s="22">
        <v>0</v>
      </c>
      <c r="U1578" s="22">
        <v>0</v>
      </c>
      <c r="V1578" s="22">
        <v>0</v>
      </c>
      <c r="W1578" s="5" t="s">
        <v>2308</v>
      </c>
      <c r="X1578" s="5" t="s">
        <v>2308</v>
      </c>
      <c r="Y1578" s="5" t="s">
        <v>2308</v>
      </c>
      <c r="Z1578" s="5" t="s">
        <v>2308</v>
      </c>
      <c r="AA1578" s="5"/>
      <c r="AB1578" s="4"/>
    </row>
    <row r="1579" spans="1:28" ht="56" customHeight="1">
      <c r="A1579" s="161" t="str">
        <f>'Reported burning'!A1579</f>
        <v>187a</v>
      </c>
      <c r="B1579" s="161" t="str">
        <f>'Reported burning'!B1579</f>
        <v>187a.3</v>
      </c>
      <c r="C1579" s="161" t="str">
        <f>'Reported burning'!C1579</f>
        <v>Lightning</v>
      </c>
      <c r="D1579" s="161" t="str">
        <f>'Reported burning'!D1579</f>
        <v>ND</v>
      </c>
      <c r="E1579" s="161" t="str">
        <f>'Reported burning'!E1579</f>
        <v>ND</v>
      </c>
      <c r="F1579" s="161" t="str">
        <f>'Reported burning'!F1579</f>
        <v>ND</v>
      </c>
      <c r="G1579" s="161" t="str">
        <f>'Reported burning'!G1579</f>
        <v>Shrubland (Mixed forest &amp; grassland)</v>
      </c>
      <c r="H1579" s="161" t="str">
        <f>'Reported burning'!H1579</f>
        <v>Presence</v>
      </c>
      <c r="I1579" s="4"/>
      <c r="J1579" s="5" t="s">
        <v>2308</v>
      </c>
      <c r="K1579" s="5" t="s">
        <v>2308</v>
      </c>
      <c r="L1579" s="5" t="s">
        <v>2308</v>
      </c>
      <c r="M1579" s="5" t="s">
        <v>2308</v>
      </c>
      <c r="N1579" s="5" t="s">
        <v>2308</v>
      </c>
      <c r="O1579" s="5" t="s">
        <v>2308</v>
      </c>
      <c r="P1579" s="5" t="s">
        <v>2308</v>
      </c>
      <c r="Q1579" s="5" t="s">
        <v>2308</v>
      </c>
      <c r="R1579" s="5" t="s">
        <v>2308</v>
      </c>
      <c r="S1579" s="5" t="s">
        <v>2308</v>
      </c>
      <c r="T1579" s="5" t="s">
        <v>2308</v>
      </c>
      <c r="U1579" s="5" t="s">
        <v>2308</v>
      </c>
      <c r="V1579" s="5" t="s">
        <v>2308</v>
      </c>
      <c r="W1579" s="5" t="s">
        <v>2308</v>
      </c>
      <c r="X1579" s="5" t="s">
        <v>2308</v>
      </c>
      <c r="Y1579" s="5" t="s">
        <v>2308</v>
      </c>
      <c r="Z1579" s="5" t="s">
        <v>2308</v>
      </c>
      <c r="AA1579" s="4"/>
      <c r="AB1579" s="4"/>
    </row>
    <row r="1580" spans="1:28" ht="56" customHeight="1">
      <c r="A1580" s="161" t="str">
        <f>'Reported burning'!A1580</f>
        <v>187a</v>
      </c>
      <c r="B1580" s="161" t="str">
        <f>'Reported burning'!B1580</f>
        <v>187a.4</v>
      </c>
      <c r="C1580" s="161" t="str">
        <f>'Reported burning'!C1580</f>
        <v>Lightning</v>
      </c>
      <c r="D1580" s="161" t="str">
        <f>'Reported burning'!D1580</f>
        <v>ND</v>
      </c>
      <c r="E1580" s="161" t="str">
        <f>'Reported burning'!E1580</f>
        <v>ND</v>
      </c>
      <c r="F1580" s="161" t="str">
        <f>'Reported burning'!F1580</f>
        <v>ND</v>
      </c>
      <c r="G1580" s="161" t="str">
        <f>'Reported burning'!G1580</f>
        <v>Cropland</v>
      </c>
      <c r="H1580" s="161" t="str">
        <f>'Reported burning'!H1580</f>
        <v>Absence</v>
      </c>
      <c r="I1580" s="4"/>
      <c r="J1580" s="22">
        <v>0</v>
      </c>
      <c r="K1580" s="22">
        <v>0</v>
      </c>
      <c r="L1580" s="22">
        <v>0</v>
      </c>
      <c r="M1580" s="22">
        <v>0</v>
      </c>
      <c r="N1580" s="22">
        <v>0</v>
      </c>
      <c r="O1580" s="22">
        <v>0</v>
      </c>
      <c r="P1580" s="22">
        <v>0</v>
      </c>
      <c r="Q1580" s="22">
        <v>0</v>
      </c>
      <c r="R1580" s="22">
        <v>0</v>
      </c>
      <c r="S1580" s="22">
        <v>0</v>
      </c>
      <c r="T1580" s="22">
        <v>0</v>
      </c>
      <c r="U1580" s="22">
        <v>0</v>
      </c>
      <c r="V1580" s="22">
        <v>0</v>
      </c>
      <c r="W1580" s="5" t="s">
        <v>2308</v>
      </c>
      <c r="X1580" s="5" t="s">
        <v>2308</v>
      </c>
      <c r="Y1580" s="5" t="s">
        <v>2308</v>
      </c>
      <c r="Z1580" s="5" t="s">
        <v>2308</v>
      </c>
      <c r="AA1580" s="5" t="s">
        <v>4780</v>
      </c>
      <c r="AB1580" s="4"/>
    </row>
    <row r="1581" spans="1:28" ht="74" customHeight="1">
      <c r="A1581" s="161" t="str">
        <f>'Reported burning'!A1581</f>
        <v>187a</v>
      </c>
      <c r="B1581" s="161" t="str">
        <f>'Reported burning'!B1581</f>
        <v>187a.5</v>
      </c>
      <c r="C1581" s="161" t="str">
        <f>'Reported burning'!C1581</f>
        <v>Human, deliberate</v>
      </c>
      <c r="D1581" s="161" t="str">
        <f>'Reported burning'!D1581</f>
        <v>Rangeland management</v>
      </c>
      <c r="E1581" s="161" t="str">
        <f>'Reported burning'!E1581</f>
        <v>Pastoralism, Migratory</v>
      </c>
      <c r="F1581" s="161" t="str">
        <f>'Reported burning'!F1581</f>
        <v>Shrubland (Mixed forest &amp; grassland)</v>
      </c>
      <c r="G1581" s="161" t="str">
        <f>'Reported burning'!G1581</f>
        <v>ND</v>
      </c>
      <c r="H1581" s="161" t="str">
        <f>'Reported burning'!H1581</f>
        <v>Presence</v>
      </c>
      <c r="I1581" s="4"/>
      <c r="J1581" s="5" t="s">
        <v>2308</v>
      </c>
      <c r="K1581" s="5" t="s">
        <v>2308</v>
      </c>
      <c r="L1581" s="5" t="s">
        <v>2308</v>
      </c>
      <c r="M1581" s="5" t="s">
        <v>2308</v>
      </c>
      <c r="N1581" s="5" t="s">
        <v>2308</v>
      </c>
      <c r="O1581" s="5" t="s">
        <v>2308</v>
      </c>
      <c r="P1581" s="5" t="s">
        <v>2308</v>
      </c>
      <c r="Q1581" s="5" t="s">
        <v>2308</v>
      </c>
      <c r="R1581" s="5" t="s">
        <v>2308</v>
      </c>
      <c r="S1581" s="5" t="s">
        <v>2308</v>
      </c>
      <c r="T1581" s="5" t="s">
        <v>2308</v>
      </c>
      <c r="U1581" s="5" t="s">
        <v>2308</v>
      </c>
      <c r="V1581" s="5" t="s">
        <v>2308</v>
      </c>
      <c r="W1581" s="5" t="s">
        <v>2308</v>
      </c>
      <c r="X1581" s="5" t="s">
        <v>2308</v>
      </c>
      <c r="Y1581" s="5" t="s">
        <v>2308</v>
      </c>
      <c r="Z1581" s="5" t="s">
        <v>2308</v>
      </c>
      <c r="AA1581" s="5" t="s">
        <v>4783</v>
      </c>
      <c r="AB1581" s="4"/>
    </row>
    <row r="1582" spans="1:28" ht="57.5" customHeight="1">
      <c r="A1582" s="161" t="str">
        <f>'Reported burning'!A1582</f>
        <v>189a</v>
      </c>
      <c r="B1582" s="161" t="str">
        <f>'Reported burning'!B1582</f>
        <v>189a.1</v>
      </c>
      <c r="C1582" s="161" t="str">
        <f>'Reported burning'!C1582</f>
        <v>Lightning</v>
      </c>
      <c r="D1582" s="161" t="str">
        <f>'Reported burning'!D1582</f>
        <v>ND</v>
      </c>
      <c r="E1582" s="161" t="str">
        <f>'Reported burning'!E1582</f>
        <v>ND</v>
      </c>
      <c r="F1582" s="161" t="str">
        <f>'Reported burning'!F1582</f>
        <v>ND</v>
      </c>
      <c r="G1582" s="161" t="str">
        <f>'Reported burning'!G1582</f>
        <v>Shrubland (Mixed forest &amp; grassland)</v>
      </c>
      <c r="H1582" s="161" t="str">
        <f>'Reported burning'!H1582</f>
        <v>Presence</v>
      </c>
      <c r="I1582" s="4">
        <v>1937</v>
      </c>
      <c r="J1582" s="5" t="s">
        <v>2308</v>
      </c>
      <c r="K1582" s="5" t="s">
        <v>2308</v>
      </c>
      <c r="L1582" s="5" t="s">
        <v>2308</v>
      </c>
      <c r="M1582" s="5" t="s">
        <v>2308</v>
      </c>
      <c r="N1582" s="5" t="s">
        <v>2308</v>
      </c>
      <c r="O1582" s="5" t="s">
        <v>2308</v>
      </c>
      <c r="P1582" s="5" t="s">
        <v>2308</v>
      </c>
      <c r="Q1582" s="5" t="s">
        <v>2308</v>
      </c>
      <c r="R1582" s="5" t="s">
        <v>2308</v>
      </c>
      <c r="S1582" s="5" t="s">
        <v>2308</v>
      </c>
      <c r="T1582" s="5" t="s">
        <v>2308</v>
      </c>
      <c r="U1582" s="5" t="s">
        <v>2308</v>
      </c>
      <c r="V1582" s="5" t="s">
        <v>2308</v>
      </c>
      <c r="W1582" s="5" t="s">
        <v>2308</v>
      </c>
      <c r="X1582" s="4" t="s">
        <v>38</v>
      </c>
      <c r="Y1582" s="4" t="s">
        <v>412</v>
      </c>
      <c r="Z1582" s="4" t="s">
        <v>76</v>
      </c>
      <c r="AA1582" s="5" t="s">
        <v>4802</v>
      </c>
      <c r="AB1582" s="4"/>
    </row>
    <row r="1583" spans="1:28" ht="35" customHeight="1">
      <c r="A1583" s="161" t="str">
        <f>'Reported burning'!A1583</f>
        <v>189a</v>
      </c>
      <c r="B1583" s="161" t="str">
        <f>'Reported burning'!B1583</f>
        <v>189a.2</v>
      </c>
      <c r="C1583" s="161" t="str">
        <f>'Reported burning'!C1583</f>
        <v>Human, deliberate</v>
      </c>
      <c r="D1583" s="161" t="str">
        <f>'Reported burning'!D1583</f>
        <v>Conservation</v>
      </c>
      <c r="E1583" s="161" t="str">
        <f>'Reported burning'!E1583</f>
        <v>Biodiversity conservation</v>
      </c>
      <c r="F1583" s="161" t="str">
        <f>'Reported burning'!F1583</f>
        <v>Shrubland (Mixed forest &amp; grassland)</v>
      </c>
      <c r="G1583" s="161" t="str">
        <f>'Reported burning'!G1583</f>
        <v>ND</v>
      </c>
      <c r="H1583" s="161" t="str">
        <f>'Reported burning'!H1583</f>
        <v>Absence</v>
      </c>
      <c r="I1583" s="4">
        <v>1937</v>
      </c>
      <c r="J1583" s="22">
        <v>0</v>
      </c>
      <c r="K1583" s="22">
        <v>0</v>
      </c>
      <c r="L1583" s="22">
        <v>0</v>
      </c>
      <c r="M1583" s="22">
        <v>0</v>
      </c>
      <c r="N1583" s="22">
        <v>0</v>
      </c>
      <c r="O1583" s="22">
        <v>0</v>
      </c>
      <c r="P1583" s="22">
        <v>0</v>
      </c>
      <c r="Q1583" s="22">
        <v>0</v>
      </c>
      <c r="R1583" s="22">
        <v>0</v>
      </c>
      <c r="S1583" s="22">
        <v>0</v>
      </c>
      <c r="T1583" s="22">
        <v>0</v>
      </c>
      <c r="U1583" s="22">
        <v>0</v>
      </c>
      <c r="V1583" s="22">
        <v>0</v>
      </c>
      <c r="W1583" s="22">
        <v>0</v>
      </c>
      <c r="X1583" s="4" t="s">
        <v>38</v>
      </c>
      <c r="Y1583" s="4" t="s">
        <v>412</v>
      </c>
      <c r="Z1583" s="4" t="s">
        <v>76</v>
      </c>
      <c r="AA1583" s="39"/>
      <c r="AB1583" s="177"/>
    </row>
    <row r="1584" spans="1:28" ht="35" customHeight="1">
      <c r="A1584" s="161" t="str">
        <f>'Reported burning'!A1584</f>
        <v>189a</v>
      </c>
      <c r="B1584" s="161" t="str">
        <f>'Reported burning'!B1584</f>
        <v>189a.3</v>
      </c>
      <c r="C1584" s="161" t="str">
        <f>'Reported burning'!C1584</f>
        <v>Human, deliberate</v>
      </c>
      <c r="D1584" s="161" t="str">
        <f>'Reported burning'!D1584</f>
        <v>ND</v>
      </c>
      <c r="E1584" s="161" t="str">
        <f>'Reported burning'!E1584</f>
        <v>All</v>
      </c>
      <c r="F1584" s="161" t="str">
        <f>'Reported burning'!F1584</f>
        <v>Shrubland (Mixed forest &amp; grassland)</v>
      </c>
      <c r="G1584" s="161" t="str">
        <f>'Reported burning'!G1584</f>
        <v>ND</v>
      </c>
      <c r="H1584" s="161" t="str">
        <f>'Reported burning'!H1584</f>
        <v>Presence</v>
      </c>
      <c r="I1584" s="4">
        <v>1990</v>
      </c>
      <c r="J1584" s="5" t="s">
        <v>2308</v>
      </c>
      <c r="K1584" s="5" t="s">
        <v>2308</v>
      </c>
      <c r="L1584" s="5" t="s">
        <v>2308</v>
      </c>
      <c r="M1584" s="5" t="s">
        <v>2308</v>
      </c>
      <c r="N1584" s="5" t="s">
        <v>2308</v>
      </c>
      <c r="O1584" s="5" t="s">
        <v>2308</v>
      </c>
      <c r="P1584" s="5" t="s">
        <v>2308</v>
      </c>
      <c r="Q1584" s="5" t="s">
        <v>2308</v>
      </c>
      <c r="R1584" s="5" t="s">
        <v>2308</v>
      </c>
      <c r="S1584" s="5" t="s">
        <v>2308</v>
      </c>
      <c r="T1584" s="5" t="s">
        <v>2308</v>
      </c>
      <c r="U1584" s="5" t="s">
        <v>2308</v>
      </c>
      <c r="V1584" s="5" t="s">
        <v>2308</v>
      </c>
      <c r="W1584" s="5" t="s">
        <v>2308</v>
      </c>
      <c r="X1584" s="4" t="s">
        <v>38</v>
      </c>
      <c r="Y1584" s="4" t="s">
        <v>412</v>
      </c>
      <c r="Z1584" s="4" t="s">
        <v>76</v>
      </c>
      <c r="AA1584" s="5" t="s">
        <v>4813</v>
      </c>
      <c r="AB1584" s="177" t="s">
        <v>4804</v>
      </c>
    </row>
    <row r="1585" spans="1:28" ht="35" customHeight="1">
      <c r="A1585" s="161" t="str">
        <f>'Reported burning'!A1585</f>
        <v>189b</v>
      </c>
      <c r="B1585" s="161" t="str">
        <f>'Reported burning'!B1585</f>
        <v>189b.1</v>
      </c>
      <c r="C1585" s="161" t="str">
        <f>'Reported burning'!C1585</f>
        <v>Human, deliberate</v>
      </c>
      <c r="D1585" s="161" t="str">
        <f>'Reported burning'!D1585</f>
        <v>ND</v>
      </c>
      <c r="E1585" s="161" t="str">
        <f>'Reported burning'!E1585</f>
        <v>Pastoralism, Migratory</v>
      </c>
      <c r="F1585" s="161" t="str">
        <f>'Reported burning'!F1585</f>
        <v>Shrubland (Mixed forest &amp; grassland)</v>
      </c>
      <c r="G1585" s="161" t="str">
        <f>'Reported burning'!G1585</f>
        <v>ND</v>
      </c>
      <c r="H1585" s="161" t="str">
        <f>'Reported burning'!H1585</f>
        <v>Presence</v>
      </c>
      <c r="I1585" s="4">
        <v>1990</v>
      </c>
      <c r="J1585" s="5" t="s">
        <v>2308</v>
      </c>
      <c r="K1585" s="5" t="s">
        <v>2308</v>
      </c>
      <c r="L1585" s="5" t="s">
        <v>2308</v>
      </c>
      <c r="M1585" s="5" t="s">
        <v>2308</v>
      </c>
      <c r="N1585" s="5" t="s">
        <v>2308</v>
      </c>
      <c r="O1585" s="5" t="s">
        <v>2308</v>
      </c>
      <c r="P1585" s="5" t="s">
        <v>2308</v>
      </c>
      <c r="Q1585" s="5" t="s">
        <v>2308</v>
      </c>
      <c r="R1585" s="5" t="s">
        <v>2308</v>
      </c>
      <c r="S1585" s="5" t="s">
        <v>2308</v>
      </c>
      <c r="T1585" s="5" t="s">
        <v>2308</v>
      </c>
      <c r="U1585" s="5" t="s">
        <v>2308</v>
      </c>
      <c r="V1585" s="5" t="s">
        <v>2308</v>
      </c>
      <c r="W1585" s="5" t="s">
        <v>2308</v>
      </c>
      <c r="X1585" s="4" t="s">
        <v>38</v>
      </c>
      <c r="Y1585" s="4" t="s">
        <v>412</v>
      </c>
      <c r="Z1585" s="4" t="s">
        <v>76</v>
      </c>
      <c r="AA1585" s="5" t="s">
        <v>4813</v>
      </c>
      <c r="AB1585" s="177" t="s">
        <v>4804</v>
      </c>
    </row>
    <row r="1586" spans="1:28" ht="35" customHeight="1">
      <c r="A1586" s="161" t="str">
        <f>'Reported burning'!A1586</f>
        <v>189b</v>
      </c>
      <c r="B1586" s="161" t="str">
        <f>'Reported burning'!B1586</f>
        <v>189b.2</v>
      </c>
      <c r="C1586" s="161" t="str">
        <f>'Reported burning'!C1586</f>
        <v>Human, deliberate</v>
      </c>
      <c r="D1586" s="161" t="str">
        <f>'Reported burning'!D1586</f>
        <v>ND</v>
      </c>
      <c r="E1586" s="161" t="str">
        <f>'Reported burning'!E1586</f>
        <v>Pastoralism, Migratory</v>
      </c>
      <c r="F1586" s="161" t="str">
        <f>'Reported burning'!F1586</f>
        <v>Shrubland (Mixed forest &amp; grassland)</v>
      </c>
      <c r="G1586" s="161" t="str">
        <f>'Reported burning'!G1586</f>
        <v>ND</v>
      </c>
      <c r="H1586" s="161" t="str">
        <f>'Reported burning'!H1586</f>
        <v>Presence</v>
      </c>
      <c r="I1586" s="4">
        <v>1990</v>
      </c>
      <c r="J1586" s="5" t="s">
        <v>2308</v>
      </c>
      <c r="K1586" s="5" t="s">
        <v>2308</v>
      </c>
      <c r="L1586" s="5" t="s">
        <v>2308</v>
      </c>
      <c r="M1586" s="5" t="s">
        <v>2308</v>
      </c>
      <c r="N1586" s="5" t="s">
        <v>2308</v>
      </c>
      <c r="O1586" s="5" t="s">
        <v>2308</v>
      </c>
      <c r="P1586" s="5" t="s">
        <v>2308</v>
      </c>
      <c r="Q1586" s="5" t="s">
        <v>2308</v>
      </c>
      <c r="R1586" s="5" t="s">
        <v>2308</v>
      </c>
      <c r="S1586" s="5" t="s">
        <v>2308</v>
      </c>
      <c r="T1586" s="5" t="s">
        <v>2308</v>
      </c>
      <c r="U1586" s="5" t="s">
        <v>2308</v>
      </c>
      <c r="V1586" s="5" t="s">
        <v>2308</v>
      </c>
      <c r="W1586" s="5" t="s">
        <v>2308</v>
      </c>
      <c r="X1586" s="4" t="s">
        <v>38</v>
      </c>
      <c r="Y1586" s="4" t="s">
        <v>412</v>
      </c>
      <c r="Z1586" s="4" t="s">
        <v>76</v>
      </c>
      <c r="AA1586" s="5" t="s">
        <v>4813</v>
      </c>
      <c r="AB1586" s="177" t="s">
        <v>4804</v>
      </c>
    </row>
    <row r="1587" spans="1:28" ht="35" customHeight="1">
      <c r="A1587" s="161" t="str">
        <f>'Reported burning'!A1587</f>
        <v>189b</v>
      </c>
      <c r="B1587" s="161" t="str">
        <f>'Reported burning'!B1587</f>
        <v>189b.3</v>
      </c>
      <c r="C1587" s="161" t="str">
        <f>'Reported burning'!C1587</f>
        <v>Human, deliberate</v>
      </c>
      <c r="D1587" s="161" t="str">
        <f>'Reported burning'!D1587</f>
        <v>ND</v>
      </c>
      <c r="E1587" s="161" t="str">
        <f>'Reported burning'!E1587</f>
        <v>Cattle, Extensive</v>
      </c>
      <c r="F1587" s="161" t="str">
        <f>'Reported burning'!F1587</f>
        <v>Shrubland (Mixed forest &amp; grassland)</v>
      </c>
      <c r="G1587" s="161" t="str">
        <f>'Reported burning'!G1587</f>
        <v>ND</v>
      </c>
      <c r="H1587" s="161" t="str">
        <f>'Reported burning'!H1587</f>
        <v>Presence</v>
      </c>
      <c r="I1587" s="4">
        <v>1990</v>
      </c>
      <c r="J1587" s="5" t="s">
        <v>2308</v>
      </c>
      <c r="K1587" s="5" t="s">
        <v>2308</v>
      </c>
      <c r="L1587" s="5" t="s">
        <v>2308</v>
      </c>
      <c r="M1587" s="5" t="s">
        <v>2308</v>
      </c>
      <c r="N1587" s="5" t="s">
        <v>2308</v>
      </c>
      <c r="O1587" s="5" t="s">
        <v>2308</v>
      </c>
      <c r="P1587" s="5" t="s">
        <v>2308</v>
      </c>
      <c r="Q1587" s="5" t="s">
        <v>2308</v>
      </c>
      <c r="R1587" s="5" t="s">
        <v>2308</v>
      </c>
      <c r="S1587" s="5" t="s">
        <v>2308</v>
      </c>
      <c r="T1587" s="5" t="s">
        <v>2308</v>
      </c>
      <c r="U1587" s="5" t="s">
        <v>2308</v>
      </c>
      <c r="V1587" s="5" t="s">
        <v>2308</v>
      </c>
      <c r="W1587" s="5" t="s">
        <v>2308</v>
      </c>
      <c r="X1587" s="5" t="s">
        <v>2308</v>
      </c>
      <c r="Y1587" s="5" t="s">
        <v>2308</v>
      </c>
      <c r="Z1587" s="5" t="s">
        <v>2308</v>
      </c>
      <c r="AA1587" s="5" t="s">
        <v>4813</v>
      </c>
      <c r="AB1587" s="177" t="s">
        <v>4804</v>
      </c>
    </row>
    <row r="1588" spans="1:28" ht="35" customHeight="1">
      <c r="A1588" s="161" t="str">
        <f>'Reported burning'!A1588</f>
        <v>189b</v>
      </c>
      <c r="B1588" s="161" t="str">
        <f>'Reported burning'!B1588</f>
        <v>189b.4</v>
      </c>
      <c r="C1588" s="161" t="str">
        <f>'Reported burning'!C1588</f>
        <v>Human, deliberate</v>
      </c>
      <c r="D1588" s="161" t="str">
        <f>'Reported burning'!D1588</f>
        <v>ND</v>
      </c>
      <c r="E1588" s="161" t="str">
        <f>'Reported burning'!E1588</f>
        <v>Cropping, Swidden</v>
      </c>
      <c r="F1588" s="161" t="str">
        <f>'Reported burning'!F1588</f>
        <v>Shrubland (Mixed forest &amp; grassland)</v>
      </c>
      <c r="G1588" s="161" t="str">
        <f>'Reported burning'!G1588</f>
        <v>ND</v>
      </c>
      <c r="H1588" s="161" t="str">
        <f>'Reported burning'!H1588</f>
        <v>Presence</v>
      </c>
      <c r="I1588" s="4">
        <v>1990</v>
      </c>
      <c r="J1588" s="5" t="s">
        <v>2308</v>
      </c>
      <c r="K1588" s="5" t="s">
        <v>2308</v>
      </c>
      <c r="L1588" s="5" t="s">
        <v>2308</v>
      </c>
      <c r="M1588" s="5" t="s">
        <v>2308</v>
      </c>
      <c r="N1588" s="5" t="s">
        <v>2308</v>
      </c>
      <c r="O1588" s="5" t="s">
        <v>2308</v>
      </c>
      <c r="P1588" s="5" t="s">
        <v>2308</v>
      </c>
      <c r="Q1588" s="5" t="s">
        <v>2308</v>
      </c>
      <c r="R1588" s="5" t="s">
        <v>2308</v>
      </c>
      <c r="S1588" s="5" t="s">
        <v>2308</v>
      </c>
      <c r="T1588" s="5" t="s">
        <v>2308</v>
      </c>
      <c r="U1588" s="5" t="s">
        <v>2308</v>
      </c>
      <c r="V1588" s="5" t="s">
        <v>2308</v>
      </c>
      <c r="W1588" s="5" t="s">
        <v>2308</v>
      </c>
      <c r="X1588" s="4" t="s">
        <v>38</v>
      </c>
      <c r="Y1588" s="4" t="s">
        <v>412</v>
      </c>
      <c r="Z1588" s="4" t="s">
        <v>2308</v>
      </c>
      <c r="AA1588" s="5" t="s">
        <v>4813</v>
      </c>
      <c r="AB1588" s="177" t="s">
        <v>4804</v>
      </c>
    </row>
    <row r="1589" spans="1:28" ht="35" customHeight="1">
      <c r="A1589" s="161" t="str">
        <f>'Reported burning'!A1589</f>
        <v>189c</v>
      </c>
      <c r="B1589" s="161" t="str">
        <f>'Reported burning'!B1589</f>
        <v>189c.1</v>
      </c>
      <c r="C1589" s="161" t="str">
        <f>'Reported burning'!C1589</f>
        <v>Human, deliberate</v>
      </c>
      <c r="D1589" s="161" t="str">
        <f>'Reported burning'!D1589</f>
        <v>Pasture renewal</v>
      </c>
      <c r="E1589" s="161" t="str">
        <f>'Reported burning'!E1589</f>
        <v>Cattle, Extensive</v>
      </c>
      <c r="F1589" s="161" t="str">
        <f>'Reported burning'!F1589</f>
        <v>Shrubland (Mixed forest &amp; grassland)</v>
      </c>
      <c r="G1589" s="161" t="str">
        <f>'Reported burning'!G1589</f>
        <v>ND</v>
      </c>
      <c r="H1589" s="161" t="str">
        <f>'Reported burning'!H1589</f>
        <v>Absence</v>
      </c>
      <c r="I1589" s="4">
        <v>1937</v>
      </c>
      <c r="J1589" s="22">
        <v>0</v>
      </c>
      <c r="K1589" s="22">
        <v>0</v>
      </c>
      <c r="L1589" s="22">
        <v>0</v>
      </c>
      <c r="M1589" s="22">
        <v>0</v>
      </c>
      <c r="N1589" s="22">
        <v>0</v>
      </c>
      <c r="O1589" s="22">
        <v>0</v>
      </c>
      <c r="P1589" s="22">
        <v>0</v>
      </c>
      <c r="Q1589" s="22">
        <v>0</v>
      </c>
      <c r="R1589" s="22">
        <v>0</v>
      </c>
      <c r="S1589" s="22">
        <v>0</v>
      </c>
      <c r="T1589" s="22">
        <v>0</v>
      </c>
      <c r="U1589" s="22">
        <v>0</v>
      </c>
      <c r="V1589" s="22">
        <v>0</v>
      </c>
      <c r="W1589" s="22">
        <v>0</v>
      </c>
      <c r="X1589" s="5" t="s">
        <v>2308</v>
      </c>
      <c r="Y1589" s="5" t="s">
        <v>2308</v>
      </c>
      <c r="Z1589" s="5" t="s">
        <v>2308</v>
      </c>
      <c r="AA1589" s="4"/>
      <c r="AB1589" s="4"/>
    </row>
    <row r="1590" spans="1:28" ht="35" customHeight="1">
      <c r="A1590" s="161" t="str">
        <f>'Reported burning'!A1590</f>
        <v>189c</v>
      </c>
      <c r="B1590" s="161" t="str">
        <f>'Reported burning'!B1590</f>
        <v>189c.2</v>
      </c>
      <c r="C1590" s="161" t="str">
        <f>'Reported burning'!C1590</f>
        <v>Human, deliberate</v>
      </c>
      <c r="D1590" s="161" t="str">
        <f>'Reported burning'!D1590</f>
        <v>Pasture renewal</v>
      </c>
      <c r="E1590" s="161" t="str">
        <f>'Reported burning'!E1590</f>
        <v>Cattle, Extensive</v>
      </c>
      <c r="F1590" s="161" t="str">
        <f>'Reported burning'!F1590</f>
        <v>Shrubland (Mixed forest &amp; grassland)</v>
      </c>
      <c r="G1590" s="161" t="str">
        <f>'Reported burning'!G1590</f>
        <v>ND</v>
      </c>
      <c r="H1590" s="161" t="str">
        <f>'Reported burning'!H1590</f>
        <v>Presence</v>
      </c>
      <c r="I1590" s="4">
        <v>1990</v>
      </c>
      <c r="J1590" s="5" t="s">
        <v>2308</v>
      </c>
      <c r="K1590" s="5" t="s">
        <v>2308</v>
      </c>
      <c r="L1590" s="5" t="s">
        <v>2308</v>
      </c>
      <c r="M1590" s="5" t="s">
        <v>2308</v>
      </c>
      <c r="N1590" s="5" t="s">
        <v>2308</v>
      </c>
      <c r="O1590" s="5" t="s">
        <v>2308</v>
      </c>
      <c r="P1590" s="5" t="s">
        <v>2308</v>
      </c>
      <c r="Q1590" s="5" t="s">
        <v>2308</v>
      </c>
      <c r="R1590" s="5" t="s">
        <v>2308</v>
      </c>
      <c r="S1590" s="5" t="s">
        <v>2308</v>
      </c>
      <c r="T1590" s="5" t="s">
        <v>2308</v>
      </c>
      <c r="U1590" s="5" t="s">
        <v>2308</v>
      </c>
      <c r="V1590" s="5" t="s">
        <v>2308</v>
      </c>
      <c r="W1590" s="5" t="s">
        <v>2308</v>
      </c>
      <c r="X1590" s="4" t="s">
        <v>38</v>
      </c>
      <c r="Y1590" s="4" t="s">
        <v>412</v>
      </c>
      <c r="Z1590" s="4" t="s">
        <v>2308</v>
      </c>
      <c r="AA1590" s="4"/>
      <c r="AB1590" s="177" t="s">
        <v>4804</v>
      </c>
    </row>
    <row r="1591" spans="1:28" ht="38" customHeight="1">
      <c r="A1591" s="161" t="str">
        <f>'Reported burning'!A1591</f>
        <v>189c</v>
      </c>
      <c r="B1591" s="161" t="str">
        <f>'Reported burning'!B1591</f>
        <v>189c.3</v>
      </c>
      <c r="C1591" s="161" t="str">
        <f>'Reported burning'!C1591</f>
        <v>Human, deliberate</v>
      </c>
      <c r="D1591" s="161" t="str">
        <f>'Reported burning'!D1591</f>
        <v>Pasture renewal</v>
      </c>
      <c r="E1591" s="161" t="str">
        <f>'Reported burning'!E1591</f>
        <v>Cattle, Intensive</v>
      </c>
      <c r="F1591" s="161" t="str">
        <f>'Reported burning'!F1591</f>
        <v>Shrubland (Mixed forest &amp; grassland)</v>
      </c>
      <c r="G1591" s="161" t="str">
        <f>'Reported burning'!G1591</f>
        <v>ND</v>
      </c>
      <c r="H1591" s="161" t="str">
        <f>'Reported burning'!H1591</f>
        <v>Absence</v>
      </c>
      <c r="I1591" s="4">
        <v>1937</v>
      </c>
      <c r="J1591" s="22">
        <v>0</v>
      </c>
      <c r="K1591" s="22">
        <v>0</v>
      </c>
      <c r="L1591" s="22">
        <v>0</v>
      </c>
      <c r="M1591" s="22">
        <v>0</v>
      </c>
      <c r="N1591" s="22">
        <v>0</v>
      </c>
      <c r="O1591" s="22">
        <v>0</v>
      </c>
      <c r="P1591" s="22">
        <v>0</v>
      </c>
      <c r="Q1591" s="22">
        <v>0</v>
      </c>
      <c r="R1591" s="22">
        <v>0</v>
      </c>
      <c r="S1591" s="22">
        <v>0</v>
      </c>
      <c r="T1591" s="22">
        <v>0</v>
      </c>
      <c r="U1591" s="22">
        <v>0</v>
      </c>
      <c r="V1591" s="22">
        <v>0</v>
      </c>
      <c r="W1591" s="22">
        <v>0</v>
      </c>
      <c r="X1591" s="5" t="s">
        <v>2308</v>
      </c>
      <c r="Y1591" s="5" t="s">
        <v>2308</v>
      </c>
      <c r="Z1591" s="5" t="s">
        <v>2308</v>
      </c>
      <c r="AA1591" s="4"/>
      <c r="AB1591" s="4"/>
    </row>
    <row r="1592" spans="1:28" ht="38" customHeight="1">
      <c r="A1592" s="161" t="str">
        <f>'Reported burning'!A1592</f>
        <v>189c</v>
      </c>
      <c r="B1592" s="161" t="str">
        <f>'Reported burning'!B1592</f>
        <v>189c.4</v>
      </c>
      <c r="C1592" s="161" t="str">
        <f>'Reported burning'!C1592</f>
        <v>Human, deliberate</v>
      </c>
      <c r="D1592" s="161" t="str">
        <f>'Reported burning'!D1592</f>
        <v>Pasture renewal</v>
      </c>
      <c r="E1592" s="161" t="str">
        <f>'Reported burning'!E1592</f>
        <v>Cattle, Intensive</v>
      </c>
      <c r="F1592" s="161" t="str">
        <f>'Reported burning'!F1592</f>
        <v>Shrubland (Mixed forest &amp; grassland)</v>
      </c>
      <c r="G1592" s="161" t="str">
        <f>'Reported burning'!G1592</f>
        <v>ND</v>
      </c>
      <c r="H1592" s="161" t="str">
        <f>'Reported burning'!H1592</f>
        <v>Presence</v>
      </c>
      <c r="I1592" s="4">
        <v>1990</v>
      </c>
      <c r="J1592" s="5" t="s">
        <v>2308</v>
      </c>
      <c r="K1592" s="5" t="s">
        <v>2308</v>
      </c>
      <c r="L1592" s="5" t="s">
        <v>2308</v>
      </c>
      <c r="M1592" s="5" t="s">
        <v>2308</v>
      </c>
      <c r="N1592" s="5" t="s">
        <v>2308</v>
      </c>
      <c r="O1592" s="5" t="s">
        <v>2308</v>
      </c>
      <c r="P1592" s="5" t="s">
        <v>2308</v>
      </c>
      <c r="Q1592" s="5" t="s">
        <v>2308</v>
      </c>
      <c r="R1592" s="5" t="s">
        <v>2308</v>
      </c>
      <c r="S1592" s="5" t="s">
        <v>2308</v>
      </c>
      <c r="T1592" s="5" t="s">
        <v>2308</v>
      </c>
      <c r="U1592" s="5" t="s">
        <v>2308</v>
      </c>
      <c r="V1592" s="5" t="s">
        <v>2308</v>
      </c>
      <c r="W1592" s="5" t="s">
        <v>2308</v>
      </c>
      <c r="X1592" s="4" t="s">
        <v>38</v>
      </c>
      <c r="Y1592" s="4" t="s">
        <v>412</v>
      </c>
      <c r="Z1592" s="4" t="s">
        <v>2308</v>
      </c>
      <c r="AA1592" s="4"/>
      <c r="AB1592" s="5" t="s">
        <v>4804</v>
      </c>
    </row>
    <row r="1593" spans="1:28" ht="38" customHeight="1">
      <c r="A1593" s="161" t="str">
        <f>'Reported burning'!A1593</f>
        <v>190a</v>
      </c>
      <c r="B1593" s="161" t="str">
        <f>'Reported burning'!B1593</f>
        <v>190a.1</v>
      </c>
      <c r="C1593" s="161" t="str">
        <f>'Reported burning'!C1593</f>
        <v>All</v>
      </c>
      <c r="D1593" s="161" t="str">
        <f>'Reported burning'!D1593</f>
        <v>All</v>
      </c>
      <c r="E1593" s="161" t="str">
        <f>'Reported burning'!E1593</f>
        <v>All</v>
      </c>
      <c r="F1593" s="161" t="str">
        <f>'Reported burning'!F1593</f>
        <v>ND</v>
      </c>
      <c r="G1593" s="161" t="str">
        <f>'Reported burning'!G1593</f>
        <v>Shrubland (Mixed forest &amp; grassland)</v>
      </c>
      <c r="H1593" s="161" t="str">
        <f>'Reported burning'!H1593</f>
        <v>Presence</v>
      </c>
      <c r="I1593" s="4"/>
      <c r="J1593" s="5" t="s">
        <v>2308</v>
      </c>
      <c r="K1593" s="5" t="s">
        <v>2308</v>
      </c>
      <c r="L1593" s="5" t="s">
        <v>2308</v>
      </c>
      <c r="M1593" s="5" t="s">
        <v>2308</v>
      </c>
      <c r="N1593" s="5" t="s">
        <v>2308</v>
      </c>
      <c r="O1593" s="5" t="s">
        <v>2308</v>
      </c>
      <c r="P1593" s="5" t="s">
        <v>2308</v>
      </c>
      <c r="Q1593" s="5" t="s">
        <v>2308</v>
      </c>
      <c r="R1593" s="5" t="s">
        <v>2308</v>
      </c>
      <c r="S1593" s="5" t="s">
        <v>2308</v>
      </c>
      <c r="T1593" s="5" t="s">
        <v>2308</v>
      </c>
      <c r="U1593" s="5" t="s">
        <v>2308</v>
      </c>
      <c r="V1593" s="5" t="s">
        <v>2308</v>
      </c>
      <c r="W1593" s="4" t="s">
        <v>2407</v>
      </c>
      <c r="X1593" s="5" t="s">
        <v>2308</v>
      </c>
      <c r="Y1593" s="5" t="s">
        <v>2308</v>
      </c>
      <c r="Z1593" s="5" t="s">
        <v>2308</v>
      </c>
      <c r="AA1593" s="4"/>
      <c r="AB1593" s="4"/>
    </row>
    <row r="1594" spans="1:28" ht="48" customHeight="1">
      <c r="A1594" s="161" t="str">
        <f>'Reported burning'!A1594</f>
        <v>191a</v>
      </c>
      <c r="B1594" s="161" t="str">
        <f>'Reported burning'!B1594</f>
        <v>191a.1</v>
      </c>
      <c r="C1594" s="161" t="str">
        <f>'Reported burning'!C1594</f>
        <v>Human, deliberate</v>
      </c>
      <c r="D1594" s="161" t="str">
        <f>'Reported burning'!D1594</f>
        <v>Rangeland management</v>
      </c>
      <c r="E1594" s="161" t="str">
        <f>'Reported burning'!E1594</f>
        <v>Pastoralism, Migratory</v>
      </c>
      <c r="F1594" s="161" t="str">
        <f>'Reported burning'!F1594</f>
        <v>Shrubland (Mixed forest &amp; grassland)</v>
      </c>
      <c r="G1594" s="161" t="str">
        <f>'Reported burning'!G1594</f>
        <v>Shrubland (Mixed forest &amp; grassland)</v>
      </c>
      <c r="H1594" s="161" t="str">
        <f>'Reported burning'!H1594</f>
        <v>Absence</v>
      </c>
      <c r="I1594" s="4"/>
      <c r="J1594" s="22">
        <v>0</v>
      </c>
      <c r="K1594" s="22">
        <v>0</v>
      </c>
      <c r="L1594" s="22">
        <v>0</v>
      </c>
      <c r="M1594" s="22">
        <v>0</v>
      </c>
      <c r="N1594" s="22">
        <v>0</v>
      </c>
      <c r="O1594" s="22">
        <v>0</v>
      </c>
      <c r="P1594" s="22">
        <v>0</v>
      </c>
      <c r="Q1594" s="22">
        <v>0</v>
      </c>
      <c r="R1594" s="22">
        <v>0</v>
      </c>
      <c r="S1594" s="22">
        <v>0</v>
      </c>
      <c r="T1594" s="22">
        <v>0</v>
      </c>
      <c r="U1594" s="22">
        <v>0</v>
      </c>
      <c r="V1594" s="22">
        <v>0</v>
      </c>
      <c r="W1594" s="22">
        <v>0</v>
      </c>
      <c r="X1594" s="5" t="s">
        <v>2308</v>
      </c>
      <c r="Y1594" s="5" t="s">
        <v>2308</v>
      </c>
      <c r="Z1594" s="5" t="s">
        <v>2308</v>
      </c>
      <c r="AA1594" s="5" t="s">
        <v>4836</v>
      </c>
      <c r="AB1594" s="4"/>
    </row>
    <row r="1595" spans="1:28" ht="37.5" customHeight="1">
      <c r="A1595" s="161" t="str">
        <f>'Reported burning'!A1595</f>
        <v>191b</v>
      </c>
      <c r="B1595" s="161" t="str">
        <f>'Reported burning'!B1595</f>
        <v>191b.1</v>
      </c>
      <c r="C1595" s="161" t="str">
        <f>'Reported burning'!C1595</f>
        <v>Human, deliberate</v>
      </c>
      <c r="D1595" s="161" t="str">
        <f>'Reported burning'!D1595</f>
        <v>Rangeland management</v>
      </c>
      <c r="E1595" s="161" t="str">
        <f>'Reported burning'!E1595</f>
        <v>Pastoralism, Migratory</v>
      </c>
      <c r="F1595" s="161" t="str">
        <f>'Reported burning'!F1595</f>
        <v>Shrubland (Mixed forest &amp; grassland)</v>
      </c>
      <c r="G1595" s="161" t="str">
        <f>'Reported burning'!G1595</f>
        <v>Shrubland (Mixed forest &amp; grassland)</v>
      </c>
      <c r="H1595" s="161" t="str">
        <f>'Reported burning'!H1595</f>
        <v>Presence</v>
      </c>
      <c r="I1595" s="4"/>
      <c r="J1595" s="5" t="s">
        <v>2308</v>
      </c>
      <c r="K1595" s="5" t="s">
        <v>2308</v>
      </c>
      <c r="L1595" s="5" t="s">
        <v>2308</v>
      </c>
      <c r="M1595" s="5" t="s">
        <v>2308</v>
      </c>
      <c r="N1595" s="5" t="s">
        <v>2308</v>
      </c>
      <c r="O1595" s="5" t="s">
        <v>2308</v>
      </c>
      <c r="P1595" s="5" t="s">
        <v>2308</v>
      </c>
      <c r="Q1595" s="5" t="s">
        <v>2308</v>
      </c>
      <c r="R1595" s="5" t="s">
        <v>2308</v>
      </c>
      <c r="S1595" s="5" t="s">
        <v>2308</v>
      </c>
      <c r="T1595" s="5" t="s">
        <v>2308</v>
      </c>
      <c r="U1595" s="5" t="s">
        <v>2308</v>
      </c>
      <c r="V1595" s="5" t="s">
        <v>2308</v>
      </c>
      <c r="W1595" s="5" t="s">
        <v>2308</v>
      </c>
      <c r="X1595" s="5" t="s">
        <v>2308</v>
      </c>
      <c r="Y1595" s="5" t="s">
        <v>2308</v>
      </c>
      <c r="Z1595" s="5" t="s">
        <v>2308</v>
      </c>
      <c r="AA1595" s="4"/>
      <c r="AB1595" s="4"/>
    </row>
    <row r="1596" spans="1:28" ht="33" customHeight="1">
      <c r="A1596" s="161" t="str">
        <f>'Reported burning'!A1596</f>
        <v>192a</v>
      </c>
      <c r="B1596" s="161" t="str">
        <f>'Reported burning'!B1596</f>
        <v>192a.1</v>
      </c>
      <c r="C1596" s="161" t="str">
        <f>'Reported burning'!C1596</f>
        <v>Human, deliberate</v>
      </c>
      <c r="D1596" s="161" t="str">
        <f>'Reported burning'!D1596</f>
        <v>Rangeland management</v>
      </c>
      <c r="E1596" s="161" t="str">
        <f>'Reported burning'!E1596</f>
        <v>Pastoralism, Migratory</v>
      </c>
      <c r="F1596" s="161" t="str">
        <f>'Reported burning'!F1596</f>
        <v>Shrubland (Mixed forest &amp; grassland)</v>
      </c>
      <c r="G1596" s="161" t="str">
        <f>'Reported burning'!G1596</f>
        <v>ND</v>
      </c>
      <c r="H1596" s="161" t="str">
        <f>'Reported burning'!H1596</f>
        <v>Presence</v>
      </c>
      <c r="I1596" s="4"/>
      <c r="J1596" s="5" t="s">
        <v>2308</v>
      </c>
      <c r="K1596" s="5" t="s">
        <v>2308</v>
      </c>
      <c r="L1596" s="5" t="s">
        <v>2308</v>
      </c>
      <c r="M1596" s="5" t="s">
        <v>2308</v>
      </c>
      <c r="N1596" s="5" t="s">
        <v>2308</v>
      </c>
      <c r="O1596" s="5" t="s">
        <v>2308</v>
      </c>
      <c r="P1596" s="5" t="s">
        <v>2308</v>
      </c>
      <c r="Q1596" s="5" t="s">
        <v>2308</v>
      </c>
      <c r="R1596" s="5" t="s">
        <v>2308</v>
      </c>
      <c r="S1596" s="5" t="s">
        <v>2308</v>
      </c>
      <c r="T1596" s="5" t="s">
        <v>2308</v>
      </c>
      <c r="U1596" s="5" t="s">
        <v>2308</v>
      </c>
      <c r="V1596" s="5" t="s">
        <v>2308</v>
      </c>
      <c r="W1596" s="5" t="s">
        <v>2308</v>
      </c>
      <c r="X1596" s="5" t="s">
        <v>2308</v>
      </c>
      <c r="Y1596" s="5" t="s">
        <v>2308</v>
      </c>
      <c r="Z1596" s="5" t="s">
        <v>2308</v>
      </c>
      <c r="AA1596" s="4"/>
      <c r="AB1596" s="4"/>
    </row>
    <row r="1597" spans="1:28" ht="33" customHeight="1">
      <c r="A1597" s="161" t="str">
        <f>'Reported burning'!A1597</f>
        <v>192b</v>
      </c>
      <c r="B1597" s="161" t="str">
        <f>'Reported burning'!B1597</f>
        <v>192b.1</v>
      </c>
      <c r="C1597" s="161" t="str">
        <f>'Reported burning'!C1597</f>
        <v>Human, deliberate</v>
      </c>
      <c r="D1597" s="161" t="str">
        <f>'Reported burning'!D1597</f>
        <v>All</v>
      </c>
      <c r="E1597" s="161" t="str">
        <f>'Reported burning'!E1597</f>
        <v>Cropping, Swidden</v>
      </c>
      <c r="F1597" s="161" t="str">
        <f>'Reported burning'!F1597</f>
        <v>ND</v>
      </c>
      <c r="G1597" s="161" t="str">
        <f>'Reported burning'!G1597</f>
        <v>ND</v>
      </c>
      <c r="H1597" s="161" t="str">
        <f>'Reported burning'!H1597</f>
        <v>Presence</v>
      </c>
      <c r="I1597" s="4"/>
      <c r="J1597" s="5" t="s">
        <v>2308</v>
      </c>
      <c r="K1597" s="5" t="s">
        <v>2308</v>
      </c>
      <c r="L1597" s="5" t="s">
        <v>2308</v>
      </c>
      <c r="M1597" s="5" t="s">
        <v>2308</v>
      </c>
      <c r="N1597" s="5" t="s">
        <v>2308</v>
      </c>
      <c r="O1597" s="5" t="s">
        <v>2308</v>
      </c>
      <c r="P1597" s="5" t="s">
        <v>2308</v>
      </c>
      <c r="Q1597" s="5" t="s">
        <v>2308</v>
      </c>
      <c r="R1597" s="5" t="s">
        <v>2308</v>
      </c>
      <c r="S1597" s="5" t="s">
        <v>2308</v>
      </c>
      <c r="T1597" s="5" t="s">
        <v>2308</v>
      </c>
      <c r="U1597" s="5" t="s">
        <v>2308</v>
      </c>
      <c r="V1597" s="5" t="s">
        <v>2308</v>
      </c>
      <c r="W1597" s="5" t="s">
        <v>2308</v>
      </c>
      <c r="X1597" s="5" t="s">
        <v>2308</v>
      </c>
      <c r="Y1597" s="5" t="s">
        <v>2308</v>
      </c>
      <c r="Z1597" s="5" t="s">
        <v>2308</v>
      </c>
      <c r="AA1597" s="4"/>
      <c r="AB1597" s="4"/>
    </row>
    <row r="1598" spans="1:28" ht="53" customHeight="1">
      <c r="A1598" s="161" t="str">
        <f>'Reported burning'!A1598</f>
        <v>192b</v>
      </c>
      <c r="B1598" s="161" t="str">
        <f>'Reported burning'!B1598</f>
        <v>192b.2</v>
      </c>
      <c r="C1598" s="161" t="str">
        <f>'Reported burning'!C1598</f>
        <v>Human, deliberate</v>
      </c>
      <c r="D1598" s="161" t="str">
        <f>'Reported burning'!D1598</f>
        <v>Rangeland management</v>
      </c>
      <c r="E1598" s="161" t="str">
        <f>'Reported burning'!E1598</f>
        <v>Pastoralism, Migratory</v>
      </c>
      <c r="F1598" s="161" t="str">
        <f>'Reported burning'!F1598</f>
        <v>Forest</v>
      </c>
      <c r="G1598" s="161" t="str">
        <f>'Reported burning'!G1598</f>
        <v>ND</v>
      </c>
      <c r="H1598" s="161" t="str">
        <f>'Reported burning'!H1598</f>
        <v>Absence</v>
      </c>
      <c r="I1598" s="4"/>
      <c r="J1598" s="22">
        <v>0</v>
      </c>
      <c r="K1598" s="22">
        <v>0</v>
      </c>
      <c r="L1598" s="22">
        <v>0</v>
      </c>
      <c r="M1598" s="22">
        <v>0</v>
      </c>
      <c r="N1598" s="22">
        <v>0</v>
      </c>
      <c r="O1598" s="22">
        <v>0</v>
      </c>
      <c r="P1598" s="22">
        <v>0</v>
      </c>
      <c r="Q1598" s="22">
        <v>0</v>
      </c>
      <c r="R1598" s="22">
        <v>0</v>
      </c>
      <c r="S1598" s="22">
        <v>0</v>
      </c>
      <c r="T1598" s="22">
        <v>0</v>
      </c>
      <c r="U1598" s="22">
        <v>0</v>
      </c>
      <c r="V1598" s="22">
        <v>0</v>
      </c>
      <c r="W1598" s="22">
        <v>0</v>
      </c>
      <c r="X1598" s="5" t="s">
        <v>2308</v>
      </c>
      <c r="Y1598" s="5" t="s">
        <v>2308</v>
      </c>
      <c r="Z1598" s="5" t="s">
        <v>2308</v>
      </c>
      <c r="AA1598" s="5" t="s">
        <v>4836</v>
      </c>
      <c r="AB1598" s="4"/>
    </row>
    <row r="1599" spans="1:28" ht="46" customHeight="1">
      <c r="A1599" s="161" t="str">
        <f>'Reported burning'!A1599</f>
        <v>193a</v>
      </c>
      <c r="B1599" s="161" t="str">
        <f>'Reported burning'!B1599</f>
        <v>193a.1</v>
      </c>
      <c r="C1599" s="161" t="str">
        <f>'Reported burning'!C1599</f>
        <v>Human, deliberate</v>
      </c>
      <c r="D1599" s="161" t="str">
        <f>'Reported burning'!D1599</f>
        <v>Rangeland management</v>
      </c>
      <c r="E1599" s="161" t="str">
        <f>'Reported burning'!E1599</f>
        <v>Pastoralism, Migratory</v>
      </c>
      <c r="F1599" s="161" t="str">
        <f>'Reported burning'!F1599</f>
        <v>Forest</v>
      </c>
      <c r="G1599" s="161" t="str">
        <f>'Reported burning'!G1599</f>
        <v>ND</v>
      </c>
      <c r="H1599" s="161" t="str">
        <f>'Reported burning'!H1599</f>
        <v>Absence</v>
      </c>
      <c r="I1599" s="4"/>
      <c r="J1599" s="22">
        <v>0</v>
      </c>
      <c r="K1599" s="22">
        <v>0</v>
      </c>
      <c r="L1599" s="22">
        <v>0</v>
      </c>
      <c r="M1599" s="22">
        <v>0</v>
      </c>
      <c r="N1599" s="22">
        <v>0</v>
      </c>
      <c r="O1599" s="22">
        <v>0</v>
      </c>
      <c r="P1599" s="22">
        <v>0</v>
      </c>
      <c r="Q1599" s="22">
        <v>0</v>
      </c>
      <c r="R1599" s="22">
        <v>0</v>
      </c>
      <c r="S1599" s="22">
        <v>0</v>
      </c>
      <c r="T1599" s="22">
        <v>0</v>
      </c>
      <c r="U1599" s="22">
        <v>0</v>
      </c>
      <c r="V1599" s="22">
        <v>0</v>
      </c>
      <c r="W1599" s="22">
        <v>0</v>
      </c>
      <c r="X1599" s="5" t="s">
        <v>2308</v>
      </c>
      <c r="Y1599" s="5" t="s">
        <v>2308</v>
      </c>
      <c r="Z1599" s="5" t="s">
        <v>2308</v>
      </c>
      <c r="AA1599" s="5" t="s">
        <v>4874</v>
      </c>
      <c r="AB1599" s="4"/>
    </row>
    <row r="1600" spans="1:28" ht="46" customHeight="1">
      <c r="A1600" s="161" t="str">
        <f>'Reported burning'!A1600</f>
        <v>193b</v>
      </c>
      <c r="B1600" s="161" t="str">
        <f>'Reported burning'!B1600</f>
        <v>193b.1</v>
      </c>
      <c r="C1600" s="161" t="str">
        <f>'Reported burning'!C1600</f>
        <v>Human, deliberate</v>
      </c>
      <c r="D1600" s="161" t="str">
        <f>'Reported burning'!D1600</f>
        <v>Rangeland management</v>
      </c>
      <c r="E1600" s="161" t="str">
        <f>'Reported burning'!E1600</f>
        <v>Pastoralism, Migratory</v>
      </c>
      <c r="F1600" s="161" t="str">
        <f>'Reported burning'!F1600</f>
        <v>Forest</v>
      </c>
      <c r="G1600" s="161" t="str">
        <f>'Reported burning'!G1600</f>
        <v>ND</v>
      </c>
      <c r="H1600" s="161" t="str">
        <f>'Reported burning'!H1600</f>
        <v>Absence</v>
      </c>
      <c r="I1600" s="4"/>
      <c r="J1600" s="22">
        <v>0</v>
      </c>
      <c r="K1600" s="22">
        <v>0</v>
      </c>
      <c r="L1600" s="22">
        <v>0</v>
      </c>
      <c r="M1600" s="22">
        <v>0</v>
      </c>
      <c r="N1600" s="22">
        <v>0</v>
      </c>
      <c r="O1600" s="22">
        <v>0</v>
      </c>
      <c r="P1600" s="22">
        <v>0</v>
      </c>
      <c r="Q1600" s="22">
        <v>0</v>
      </c>
      <c r="R1600" s="22">
        <v>0</v>
      </c>
      <c r="S1600" s="22">
        <v>0</v>
      </c>
      <c r="T1600" s="22">
        <v>0</v>
      </c>
      <c r="U1600" s="22">
        <v>0</v>
      </c>
      <c r="V1600" s="22">
        <v>0</v>
      </c>
      <c r="W1600" s="22">
        <v>0</v>
      </c>
      <c r="X1600" s="5" t="s">
        <v>2308</v>
      </c>
      <c r="Y1600" s="5" t="s">
        <v>2308</v>
      </c>
      <c r="Z1600" s="5" t="s">
        <v>2308</v>
      </c>
      <c r="AA1600" s="5" t="s">
        <v>4874</v>
      </c>
      <c r="AB1600" s="4"/>
    </row>
    <row r="1601" spans="1:28" ht="46" customHeight="1">
      <c r="A1601" s="161" t="str">
        <f>'Reported burning'!A1601</f>
        <v>193c</v>
      </c>
      <c r="B1601" s="161" t="str">
        <f>'Reported burning'!B1601</f>
        <v>193c.1</v>
      </c>
      <c r="C1601" s="161" t="str">
        <f>'Reported burning'!C1601</f>
        <v>Human, deliberate</v>
      </c>
      <c r="D1601" s="161" t="str">
        <f>'Reported burning'!D1601</f>
        <v>Rangeland management</v>
      </c>
      <c r="E1601" s="161" t="str">
        <f>'Reported burning'!E1601</f>
        <v>Pastoralism, Migratory</v>
      </c>
      <c r="F1601" s="161" t="str">
        <f>'Reported burning'!F1601</f>
        <v>Forest</v>
      </c>
      <c r="G1601" s="161" t="str">
        <f>'Reported burning'!G1601</f>
        <v>ND</v>
      </c>
      <c r="H1601" s="161" t="str">
        <f>'Reported burning'!H1601</f>
        <v>Absence</v>
      </c>
      <c r="I1601" s="4"/>
      <c r="J1601" s="22">
        <v>0</v>
      </c>
      <c r="K1601" s="22">
        <v>0</v>
      </c>
      <c r="L1601" s="22">
        <v>0</v>
      </c>
      <c r="M1601" s="22">
        <v>0</v>
      </c>
      <c r="N1601" s="22">
        <v>0</v>
      </c>
      <c r="O1601" s="22">
        <v>0</v>
      </c>
      <c r="P1601" s="22">
        <v>0</v>
      </c>
      <c r="Q1601" s="22">
        <v>0</v>
      </c>
      <c r="R1601" s="22">
        <v>0</v>
      </c>
      <c r="S1601" s="22">
        <v>0</v>
      </c>
      <c r="T1601" s="22">
        <v>0</v>
      </c>
      <c r="U1601" s="22">
        <v>0</v>
      </c>
      <c r="V1601" s="22">
        <v>0</v>
      </c>
      <c r="W1601" s="22">
        <v>0</v>
      </c>
      <c r="X1601" s="5" t="s">
        <v>2308</v>
      </c>
      <c r="Y1601" s="5" t="s">
        <v>2308</v>
      </c>
      <c r="Z1601" s="5" t="s">
        <v>2308</v>
      </c>
      <c r="AA1601" s="5" t="s">
        <v>4874</v>
      </c>
      <c r="AB1601" s="4"/>
    </row>
    <row r="1602" spans="1:28" ht="46" customHeight="1">
      <c r="A1602" s="161" t="str">
        <f>'Reported burning'!A1602</f>
        <v>193d</v>
      </c>
      <c r="B1602" s="161" t="str">
        <f>'Reported burning'!B1602</f>
        <v>193d.1</v>
      </c>
      <c r="C1602" s="161" t="str">
        <f>'Reported burning'!C1602</f>
        <v>Human, deliberate</v>
      </c>
      <c r="D1602" s="161" t="str">
        <f>'Reported burning'!D1602</f>
        <v>Rangeland management</v>
      </c>
      <c r="E1602" s="161" t="str">
        <f>'Reported burning'!E1602</f>
        <v>Pastoralism, Migratory</v>
      </c>
      <c r="F1602" s="161" t="str">
        <f>'Reported burning'!F1602</f>
        <v>Forest</v>
      </c>
      <c r="G1602" s="161" t="str">
        <f>'Reported burning'!G1602</f>
        <v>ND</v>
      </c>
      <c r="H1602" s="161" t="str">
        <f>'Reported burning'!H1602</f>
        <v>Absence</v>
      </c>
      <c r="I1602" s="4"/>
      <c r="J1602" s="22">
        <v>0</v>
      </c>
      <c r="K1602" s="22">
        <v>0</v>
      </c>
      <c r="L1602" s="22">
        <v>0</v>
      </c>
      <c r="M1602" s="22">
        <v>0</v>
      </c>
      <c r="N1602" s="22">
        <v>0</v>
      </c>
      <c r="O1602" s="22">
        <v>0</v>
      </c>
      <c r="P1602" s="22">
        <v>0</v>
      </c>
      <c r="Q1602" s="22">
        <v>0</v>
      </c>
      <c r="R1602" s="22">
        <v>0</v>
      </c>
      <c r="S1602" s="22">
        <v>0</v>
      </c>
      <c r="T1602" s="22">
        <v>0</v>
      </c>
      <c r="U1602" s="22">
        <v>0</v>
      </c>
      <c r="V1602" s="22">
        <v>0</v>
      </c>
      <c r="W1602" s="22">
        <v>0</v>
      </c>
      <c r="X1602" s="5" t="s">
        <v>2308</v>
      </c>
      <c r="Y1602" s="5" t="s">
        <v>2308</v>
      </c>
      <c r="Z1602" s="5" t="s">
        <v>2308</v>
      </c>
      <c r="AA1602" s="5" t="s">
        <v>4874</v>
      </c>
      <c r="AB1602" s="4"/>
    </row>
    <row r="1603" spans="1:28" ht="46" customHeight="1">
      <c r="A1603" s="161" t="str">
        <f>'Reported burning'!A1603</f>
        <v>193e</v>
      </c>
      <c r="B1603" s="161" t="str">
        <f>'Reported burning'!B1603</f>
        <v>193e.1</v>
      </c>
      <c r="C1603" s="161" t="str">
        <f>'Reported burning'!C1603</f>
        <v>Human, deliberate</v>
      </c>
      <c r="D1603" s="161" t="str">
        <f>'Reported burning'!D1603</f>
        <v>Rangeland management</v>
      </c>
      <c r="E1603" s="161" t="str">
        <f>'Reported burning'!E1603</f>
        <v>Pastoralism, Migratory</v>
      </c>
      <c r="F1603" s="161" t="str">
        <f>'Reported burning'!F1603</f>
        <v>Forest</v>
      </c>
      <c r="G1603" s="161" t="str">
        <f>'Reported burning'!G1603</f>
        <v>ND</v>
      </c>
      <c r="H1603" s="161" t="str">
        <f>'Reported burning'!H1603</f>
        <v>Absence</v>
      </c>
      <c r="I1603" s="4"/>
      <c r="J1603" s="22">
        <v>0</v>
      </c>
      <c r="K1603" s="22">
        <v>0</v>
      </c>
      <c r="L1603" s="22">
        <v>0</v>
      </c>
      <c r="M1603" s="22">
        <v>0</v>
      </c>
      <c r="N1603" s="22">
        <v>0</v>
      </c>
      <c r="O1603" s="22">
        <v>0</v>
      </c>
      <c r="P1603" s="22">
        <v>0</v>
      </c>
      <c r="Q1603" s="22">
        <v>0</v>
      </c>
      <c r="R1603" s="22">
        <v>0</v>
      </c>
      <c r="S1603" s="22">
        <v>0</v>
      </c>
      <c r="T1603" s="22">
        <v>0</v>
      </c>
      <c r="U1603" s="22">
        <v>0</v>
      </c>
      <c r="V1603" s="22">
        <v>0</v>
      </c>
      <c r="W1603" s="22">
        <v>0</v>
      </c>
      <c r="X1603" s="5" t="s">
        <v>2308</v>
      </c>
      <c r="Y1603" s="5" t="s">
        <v>2308</v>
      </c>
      <c r="Z1603" s="5" t="s">
        <v>2308</v>
      </c>
      <c r="AA1603" s="5" t="s">
        <v>4874</v>
      </c>
      <c r="AB1603" s="4"/>
    </row>
    <row r="1604" spans="1:28" ht="46" customHeight="1">
      <c r="A1604" s="161" t="str">
        <f>'Reported burning'!A1604</f>
        <v>193a</v>
      </c>
      <c r="B1604" s="161" t="str">
        <f>'Reported burning'!B1604</f>
        <v>193a.2</v>
      </c>
      <c r="C1604" s="161" t="str">
        <f>'Reported burning'!C1604</f>
        <v>Human, deliberate</v>
      </c>
      <c r="D1604" s="161" t="str">
        <f>'Reported burning'!D1604</f>
        <v>Land clearance</v>
      </c>
      <c r="E1604" s="161" t="str">
        <f>'Reported burning'!E1604</f>
        <v>Pastoralism, Migratory</v>
      </c>
      <c r="F1604" s="161" t="str">
        <f>'Reported burning'!F1604</f>
        <v>Forest</v>
      </c>
      <c r="G1604" s="161" t="str">
        <f>'Reported burning'!G1604</f>
        <v>ND</v>
      </c>
      <c r="H1604" s="161" t="str">
        <f>'Reported burning'!H1604</f>
        <v>Absence</v>
      </c>
      <c r="I1604" s="4"/>
      <c r="J1604" s="22">
        <v>0</v>
      </c>
      <c r="K1604" s="22">
        <v>0</v>
      </c>
      <c r="L1604" s="22">
        <v>0</v>
      </c>
      <c r="M1604" s="22">
        <v>0</v>
      </c>
      <c r="N1604" s="22">
        <v>0</v>
      </c>
      <c r="O1604" s="22">
        <v>0</v>
      </c>
      <c r="P1604" s="22">
        <v>0</v>
      </c>
      <c r="Q1604" s="22">
        <v>0</v>
      </c>
      <c r="R1604" s="22">
        <v>0</v>
      </c>
      <c r="S1604" s="22">
        <v>0</v>
      </c>
      <c r="T1604" s="22">
        <v>0</v>
      </c>
      <c r="U1604" s="22">
        <v>0</v>
      </c>
      <c r="V1604" s="22">
        <v>0</v>
      </c>
      <c r="W1604" s="22">
        <v>0</v>
      </c>
      <c r="X1604" s="5" t="s">
        <v>2308</v>
      </c>
      <c r="Y1604" s="5" t="s">
        <v>2308</v>
      </c>
      <c r="Z1604" s="5" t="s">
        <v>2308</v>
      </c>
      <c r="AA1604" s="5" t="s">
        <v>4874</v>
      </c>
      <c r="AB1604" s="4"/>
    </row>
    <row r="1605" spans="1:28" ht="46" customHeight="1">
      <c r="A1605" s="161" t="str">
        <f>'Reported burning'!A1605</f>
        <v>193b</v>
      </c>
      <c r="B1605" s="161" t="str">
        <f>'Reported burning'!B1605</f>
        <v>193b.2</v>
      </c>
      <c r="C1605" s="161" t="str">
        <f>'Reported burning'!C1605</f>
        <v>Human, deliberate</v>
      </c>
      <c r="D1605" s="161" t="str">
        <f>'Reported burning'!D1605</f>
        <v>Land clearance</v>
      </c>
      <c r="E1605" s="161" t="str">
        <f>'Reported burning'!E1605</f>
        <v>Pastoralism, Migratory</v>
      </c>
      <c r="F1605" s="161" t="str">
        <f>'Reported burning'!F1605</f>
        <v>Forest</v>
      </c>
      <c r="G1605" s="161" t="str">
        <f>'Reported burning'!G1605</f>
        <v>ND</v>
      </c>
      <c r="H1605" s="161" t="str">
        <f>'Reported burning'!H1605</f>
        <v>Absence</v>
      </c>
      <c r="I1605" s="4"/>
      <c r="J1605" s="22">
        <v>0</v>
      </c>
      <c r="K1605" s="22">
        <v>0</v>
      </c>
      <c r="L1605" s="22">
        <v>0</v>
      </c>
      <c r="M1605" s="22">
        <v>0</v>
      </c>
      <c r="N1605" s="22">
        <v>0</v>
      </c>
      <c r="O1605" s="22">
        <v>0</v>
      </c>
      <c r="P1605" s="22">
        <v>0</v>
      </c>
      <c r="Q1605" s="22">
        <v>0</v>
      </c>
      <c r="R1605" s="22">
        <v>0</v>
      </c>
      <c r="S1605" s="22">
        <v>0</v>
      </c>
      <c r="T1605" s="22">
        <v>0</v>
      </c>
      <c r="U1605" s="22">
        <v>0</v>
      </c>
      <c r="V1605" s="22">
        <v>0</v>
      </c>
      <c r="W1605" s="22">
        <v>0</v>
      </c>
      <c r="X1605" s="5" t="s">
        <v>2308</v>
      </c>
      <c r="Y1605" s="5" t="s">
        <v>2308</v>
      </c>
      <c r="Z1605" s="5" t="s">
        <v>2308</v>
      </c>
      <c r="AA1605" s="5" t="s">
        <v>4874</v>
      </c>
      <c r="AB1605" s="4"/>
    </row>
    <row r="1606" spans="1:28" ht="46" customHeight="1">
      <c r="A1606" s="161" t="str">
        <f>'Reported burning'!A1606</f>
        <v>193c</v>
      </c>
      <c r="B1606" s="161" t="str">
        <f>'Reported burning'!B1606</f>
        <v>193c.2</v>
      </c>
      <c r="C1606" s="161" t="str">
        <f>'Reported burning'!C1606</f>
        <v>Human, deliberate</v>
      </c>
      <c r="D1606" s="161" t="str">
        <f>'Reported burning'!D1606</f>
        <v>Land clearance</v>
      </c>
      <c r="E1606" s="161" t="str">
        <f>'Reported burning'!E1606</f>
        <v>Pastoralism, Migratory</v>
      </c>
      <c r="F1606" s="161" t="str">
        <f>'Reported burning'!F1606</f>
        <v>Forest</v>
      </c>
      <c r="G1606" s="161" t="str">
        <f>'Reported burning'!G1606</f>
        <v>ND</v>
      </c>
      <c r="H1606" s="161" t="str">
        <f>'Reported burning'!H1606</f>
        <v>Absence</v>
      </c>
      <c r="I1606" s="4"/>
      <c r="J1606" s="22">
        <v>0</v>
      </c>
      <c r="K1606" s="22">
        <v>0</v>
      </c>
      <c r="L1606" s="22">
        <v>0</v>
      </c>
      <c r="M1606" s="22">
        <v>0</v>
      </c>
      <c r="N1606" s="22">
        <v>0</v>
      </c>
      <c r="O1606" s="22">
        <v>0</v>
      </c>
      <c r="P1606" s="22">
        <v>0</v>
      </c>
      <c r="Q1606" s="22">
        <v>0</v>
      </c>
      <c r="R1606" s="22">
        <v>0</v>
      </c>
      <c r="S1606" s="22">
        <v>0</v>
      </c>
      <c r="T1606" s="22">
        <v>0</v>
      </c>
      <c r="U1606" s="22">
        <v>0</v>
      </c>
      <c r="V1606" s="22">
        <v>0</v>
      </c>
      <c r="W1606" s="22">
        <v>0</v>
      </c>
      <c r="X1606" s="5" t="s">
        <v>2308</v>
      </c>
      <c r="Y1606" s="5" t="s">
        <v>2308</v>
      </c>
      <c r="Z1606" s="5" t="s">
        <v>2308</v>
      </c>
      <c r="AA1606" s="5" t="s">
        <v>4874</v>
      </c>
      <c r="AB1606" s="4"/>
    </row>
    <row r="1607" spans="1:28" ht="46" customHeight="1">
      <c r="A1607" s="161" t="str">
        <f>'Reported burning'!A1607</f>
        <v>193d</v>
      </c>
      <c r="B1607" s="161" t="str">
        <f>'Reported burning'!B1607</f>
        <v>193d.2</v>
      </c>
      <c r="C1607" s="161" t="str">
        <f>'Reported burning'!C1607</f>
        <v>Human, deliberate</v>
      </c>
      <c r="D1607" s="161" t="str">
        <f>'Reported burning'!D1607</f>
        <v>Land clearance</v>
      </c>
      <c r="E1607" s="161" t="str">
        <f>'Reported burning'!E1607</f>
        <v>Pastoralism, Migratory</v>
      </c>
      <c r="F1607" s="161" t="str">
        <f>'Reported burning'!F1607</f>
        <v>Forest</v>
      </c>
      <c r="G1607" s="161" t="str">
        <f>'Reported burning'!G1607</f>
        <v>ND</v>
      </c>
      <c r="H1607" s="161" t="str">
        <f>'Reported burning'!H1607</f>
        <v>Absence</v>
      </c>
      <c r="I1607" s="4"/>
      <c r="J1607" s="22">
        <v>0</v>
      </c>
      <c r="K1607" s="22">
        <v>0</v>
      </c>
      <c r="L1607" s="22">
        <v>0</v>
      </c>
      <c r="M1607" s="22">
        <v>0</v>
      </c>
      <c r="N1607" s="22">
        <v>0</v>
      </c>
      <c r="O1607" s="22">
        <v>0</v>
      </c>
      <c r="P1607" s="22">
        <v>0</v>
      </c>
      <c r="Q1607" s="22">
        <v>0</v>
      </c>
      <c r="R1607" s="22">
        <v>0</v>
      </c>
      <c r="S1607" s="22">
        <v>0</v>
      </c>
      <c r="T1607" s="22">
        <v>0</v>
      </c>
      <c r="U1607" s="22">
        <v>0</v>
      </c>
      <c r="V1607" s="22">
        <v>0</v>
      </c>
      <c r="W1607" s="22">
        <v>0</v>
      </c>
      <c r="X1607" s="5" t="s">
        <v>2308</v>
      </c>
      <c r="Y1607" s="5" t="s">
        <v>2308</v>
      </c>
      <c r="Z1607" s="5" t="s">
        <v>2308</v>
      </c>
      <c r="AA1607" s="5" t="s">
        <v>4874</v>
      </c>
      <c r="AB1607" s="4"/>
    </row>
    <row r="1608" spans="1:28" ht="46" customHeight="1">
      <c r="A1608" s="161" t="str">
        <f>'Reported burning'!A1608</f>
        <v>193e</v>
      </c>
      <c r="B1608" s="161" t="str">
        <f>'Reported burning'!B1608</f>
        <v>193e.2</v>
      </c>
      <c r="C1608" s="161" t="str">
        <f>'Reported burning'!C1608</f>
        <v>Human, deliberate</v>
      </c>
      <c r="D1608" s="161" t="str">
        <f>'Reported burning'!D1608</f>
        <v>Land clearance</v>
      </c>
      <c r="E1608" s="161" t="str">
        <f>'Reported burning'!E1608</f>
        <v>Pastoralism, Migratory</v>
      </c>
      <c r="F1608" s="161" t="str">
        <f>'Reported burning'!F1608</f>
        <v>Forest</v>
      </c>
      <c r="G1608" s="161" t="str">
        <f>'Reported burning'!G1608</f>
        <v>ND</v>
      </c>
      <c r="H1608" s="161" t="str">
        <f>'Reported burning'!H1608</f>
        <v>Absence</v>
      </c>
      <c r="I1608" s="4"/>
      <c r="J1608" s="22">
        <v>0</v>
      </c>
      <c r="K1608" s="22">
        <v>0</v>
      </c>
      <c r="L1608" s="22">
        <v>0</v>
      </c>
      <c r="M1608" s="22">
        <v>0</v>
      </c>
      <c r="N1608" s="22">
        <v>0</v>
      </c>
      <c r="O1608" s="22">
        <v>0</v>
      </c>
      <c r="P1608" s="22">
        <v>0</v>
      </c>
      <c r="Q1608" s="22">
        <v>0</v>
      </c>
      <c r="R1608" s="22">
        <v>0</v>
      </c>
      <c r="S1608" s="22">
        <v>0</v>
      </c>
      <c r="T1608" s="22">
        <v>0</v>
      </c>
      <c r="U1608" s="22">
        <v>0</v>
      </c>
      <c r="V1608" s="22">
        <v>0</v>
      </c>
      <c r="W1608" s="22">
        <v>0</v>
      </c>
      <c r="X1608" s="5" t="s">
        <v>2308</v>
      </c>
      <c r="Y1608" s="5" t="s">
        <v>2308</v>
      </c>
      <c r="Z1608" s="5" t="s">
        <v>2308</v>
      </c>
      <c r="AA1608" s="5" t="s">
        <v>4874</v>
      </c>
      <c r="AB1608" s="4"/>
    </row>
    <row r="1609" spans="1:28" ht="39" customHeight="1">
      <c r="A1609" s="161" t="str">
        <f>'Reported burning'!A1609</f>
        <v>193b</v>
      </c>
      <c r="B1609" s="161" t="str">
        <f>'Reported burning'!B1609</f>
        <v>193b.3</v>
      </c>
      <c r="C1609" s="161" t="str">
        <f>'Reported burning'!C1609</f>
        <v>Human, accidental</v>
      </c>
      <c r="D1609" s="161" t="str">
        <f>'Reported burning'!D1609</f>
        <v>Accidental</v>
      </c>
      <c r="E1609" s="161" t="str">
        <f>'Reported burning'!E1609</f>
        <v>ND</v>
      </c>
      <c r="F1609" s="161" t="str">
        <f>'Reported burning'!F1609</f>
        <v>Forest</v>
      </c>
      <c r="G1609" s="161" t="str">
        <f>'Reported burning'!G1609</f>
        <v>ND</v>
      </c>
      <c r="H1609" s="161" t="str">
        <f>'Reported burning'!H1609</f>
        <v>Presence</v>
      </c>
      <c r="I1609" s="4"/>
      <c r="J1609" s="5" t="s">
        <v>2308</v>
      </c>
      <c r="K1609" s="5" t="s">
        <v>2308</v>
      </c>
      <c r="L1609" s="5" t="s">
        <v>2308</v>
      </c>
      <c r="M1609" s="5" t="s">
        <v>2308</v>
      </c>
      <c r="N1609" s="5" t="s">
        <v>2308</v>
      </c>
      <c r="O1609" s="5" t="s">
        <v>2308</v>
      </c>
      <c r="P1609" s="5" t="s">
        <v>2308</v>
      </c>
      <c r="Q1609" s="5" t="s">
        <v>2308</v>
      </c>
      <c r="R1609" s="5" t="s">
        <v>2308</v>
      </c>
      <c r="S1609" s="5" t="s">
        <v>2308</v>
      </c>
      <c r="T1609" s="5" t="s">
        <v>2308</v>
      </c>
      <c r="U1609" s="5" t="s">
        <v>2308</v>
      </c>
      <c r="V1609" s="5" t="s">
        <v>2308</v>
      </c>
      <c r="W1609" s="5" t="s">
        <v>2308</v>
      </c>
      <c r="X1609" s="5" t="s">
        <v>2308</v>
      </c>
      <c r="Y1609" s="5" t="s">
        <v>2308</v>
      </c>
      <c r="Z1609" s="5" t="s">
        <v>2308</v>
      </c>
      <c r="AA1609" s="4"/>
      <c r="AB1609" s="4"/>
    </row>
    <row r="1610" spans="1:28" ht="39" customHeight="1">
      <c r="A1610" s="161" t="str">
        <f>'Reported burning'!A1610</f>
        <v>193c</v>
      </c>
      <c r="B1610" s="161" t="str">
        <f>'Reported burning'!B1610</f>
        <v>193c.3</v>
      </c>
      <c r="C1610" s="161" t="str">
        <f>'Reported burning'!C1610</f>
        <v>Human, accidental</v>
      </c>
      <c r="D1610" s="161" t="str">
        <f>'Reported burning'!D1610</f>
        <v>Accidental</v>
      </c>
      <c r="E1610" s="161" t="str">
        <f>'Reported burning'!E1610</f>
        <v>ND</v>
      </c>
      <c r="F1610" s="161" t="str">
        <f>'Reported burning'!F1610</f>
        <v>Forest</v>
      </c>
      <c r="G1610" s="161" t="str">
        <f>'Reported burning'!G1610</f>
        <v>ND</v>
      </c>
      <c r="H1610" s="161" t="str">
        <f>'Reported burning'!H1610</f>
        <v>Presence</v>
      </c>
      <c r="I1610" s="4"/>
      <c r="J1610" s="5" t="s">
        <v>2308</v>
      </c>
      <c r="K1610" s="5" t="s">
        <v>2308</v>
      </c>
      <c r="L1610" s="5" t="s">
        <v>2308</v>
      </c>
      <c r="M1610" s="5" t="s">
        <v>2308</v>
      </c>
      <c r="N1610" s="5" t="s">
        <v>2308</v>
      </c>
      <c r="O1610" s="5" t="s">
        <v>2308</v>
      </c>
      <c r="P1610" s="5" t="s">
        <v>2308</v>
      </c>
      <c r="Q1610" s="5" t="s">
        <v>2308</v>
      </c>
      <c r="R1610" s="5" t="s">
        <v>2308</v>
      </c>
      <c r="S1610" s="5" t="s">
        <v>2308</v>
      </c>
      <c r="T1610" s="5" t="s">
        <v>2308</v>
      </c>
      <c r="U1610" s="5" t="s">
        <v>2308</v>
      </c>
      <c r="V1610" s="5" t="s">
        <v>2308</v>
      </c>
      <c r="W1610" s="5" t="s">
        <v>2308</v>
      </c>
      <c r="X1610" s="5" t="s">
        <v>2308</v>
      </c>
      <c r="Y1610" s="5" t="s">
        <v>2308</v>
      </c>
      <c r="Z1610" s="5" t="s">
        <v>2308</v>
      </c>
      <c r="AA1610" s="4"/>
      <c r="AB1610" s="4"/>
    </row>
    <row r="1611" spans="1:28" ht="39" customHeight="1">
      <c r="A1611" s="161" t="str">
        <f>'Reported burning'!A1611</f>
        <v>193d</v>
      </c>
      <c r="B1611" s="161" t="str">
        <f>'Reported burning'!B1611</f>
        <v>193d.3</v>
      </c>
      <c r="C1611" s="161" t="str">
        <f>'Reported burning'!C1611</f>
        <v>Human, accidental</v>
      </c>
      <c r="D1611" s="161" t="str">
        <f>'Reported burning'!D1611</f>
        <v>Accidental</v>
      </c>
      <c r="E1611" s="161" t="str">
        <f>'Reported burning'!E1611</f>
        <v>ND</v>
      </c>
      <c r="F1611" s="161" t="str">
        <f>'Reported burning'!F1611</f>
        <v>Forest</v>
      </c>
      <c r="G1611" s="161" t="str">
        <f>'Reported burning'!G1611</f>
        <v>ND</v>
      </c>
      <c r="H1611" s="161" t="str">
        <f>'Reported burning'!H1611</f>
        <v>Presence</v>
      </c>
      <c r="I1611" s="4"/>
      <c r="J1611" s="5" t="s">
        <v>2308</v>
      </c>
      <c r="K1611" s="5" t="s">
        <v>2308</v>
      </c>
      <c r="L1611" s="5" t="s">
        <v>2308</v>
      </c>
      <c r="M1611" s="5" t="s">
        <v>2308</v>
      </c>
      <c r="N1611" s="5" t="s">
        <v>2308</v>
      </c>
      <c r="O1611" s="5" t="s">
        <v>2308</v>
      </c>
      <c r="P1611" s="5" t="s">
        <v>2308</v>
      </c>
      <c r="Q1611" s="5" t="s">
        <v>2308</v>
      </c>
      <c r="R1611" s="5" t="s">
        <v>2308</v>
      </c>
      <c r="S1611" s="5" t="s">
        <v>2308</v>
      </c>
      <c r="T1611" s="5" t="s">
        <v>2308</v>
      </c>
      <c r="U1611" s="5" t="s">
        <v>2308</v>
      </c>
      <c r="V1611" s="5" t="s">
        <v>2308</v>
      </c>
      <c r="W1611" s="5" t="s">
        <v>2308</v>
      </c>
      <c r="X1611" s="5" t="s">
        <v>2308</v>
      </c>
      <c r="Y1611" s="5" t="s">
        <v>2308</v>
      </c>
      <c r="Z1611" s="5" t="s">
        <v>2308</v>
      </c>
      <c r="AA1611" s="4"/>
      <c r="AB1611" s="4"/>
    </row>
    <row r="1612" spans="1:28" ht="39" customHeight="1">
      <c r="A1612" s="161" t="str">
        <f>'Reported burning'!A1612</f>
        <v>193e</v>
      </c>
      <c r="B1612" s="161" t="str">
        <f>'Reported burning'!B1612</f>
        <v>193e.3</v>
      </c>
      <c r="C1612" s="161" t="str">
        <f>'Reported burning'!C1612</f>
        <v>Human, accidental</v>
      </c>
      <c r="D1612" s="161" t="str">
        <f>'Reported burning'!D1612</f>
        <v>Accidental</v>
      </c>
      <c r="E1612" s="161" t="str">
        <f>'Reported burning'!E1612</f>
        <v>ND</v>
      </c>
      <c r="F1612" s="161" t="str">
        <f>'Reported burning'!F1612</f>
        <v>Forest</v>
      </c>
      <c r="G1612" s="161" t="str">
        <f>'Reported burning'!G1612</f>
        <v>ND</v>
      </c>
      <c r="H1612" s="161" t="str">
        <f>'Reported burning'!H1612</f>
        <v>Presence</v>
      </c>
      <c r="I1612" s="4"/>
      <c r="J1612" s="5" t="s">
        <v>2308</v>
      </c>
      <c r="K1612" s="5" t="s">
        <v>2308</v>
      </c>
      <c r="L1612" s="5" t="s">
        <v>2308</v>
      </c>
      <c r="M1612" s="5" t="s">
        <v>2308</v>
      </c>
      <c r="N1612" s="5" t="s">
        <v>2308</v>
      </c>
      <c r="O1612" s="5" t="s">
        <v>2308</v>
      </c>
      <c r="P1612" s="5" t="s">
        <v>2308</v>
      </c>
      <c r="Q1612" s="5" t="s">
        <v>2308</v>
      </c>
      <c r="R1612" s="5" t="s">
        <v>2308</v>
      </c>
      <c r="S1612" s="5" t="s">
        <v>2308</v>
      </c>
      <c r="T1612" s="5" t="s">
        <v>2308</v>
      </c>
      <c r="U1612" s="5" t="s">
        <v>2308</v>
      </c>
      <c r="V1612" s="5" t="s">
        <v>2308</v>
      </c>
      <c r="W1612" s="5" t="s">
        <v>2308</v>
      </c>
      <c r="X1612" s="5" t="s">
        <v>2308</v>
      </c>
      <c r="Y1612" s="5" t="s">
        <v>2308</v>
      </c>
      <c r="Z1612" s="5" t="s">
        <v>2308</v>
      </c>
      <c r="AA1612" s="4"/>
      <c r="AB1612" s="4"/>
    </row>
    <row r="1613" spans="1:28" ht="39" customHeight="1">
      <c r="A1613" s="161" t="str">
        <f>'Reported burning'!A1613</f>
        <v>193c</v>
      </c>
      <c r="B1613" s="161" t="str">
        <f>'Reported burning'!B1613</f>
        <v>193c.4</v>
      </c>
      <c r="C1613" s="161" t="str">
        <f>'Reported burning'!C1613</f>
        <v>Human, deliberate</v>
      </c>
      <c r="D1613" s="161" t="str">
        <f>'Reported burning'!D1613</f>
        <v>Pyrome management</v>
      </c>
      <c r="E1613" s="161" t="str">
        <f>'Reported burning'!E1613</f>
        <v>Forestry, Industrial</v>
      </c>
      <c r="F1613" s="161" t="str">
        <f>'Reported burning'!F1613</f>
        <v>Forest</v>
      </c>
      <c r="G1613" s="161" t="str">
        <f>'Reported burning'!G1613</f>
        <v>ND</v>
      </c>
      <c r="H1613" s="161" t="str">
        <f>'Reported burning'!H1613</f>
        <v>Absence</v>
      </c>
      <c r="I1613" s="4"/>
      <c r="J1613" s="22">
        <v>0</v>
      </c>
      <c r="K1613" s="22">
        <v>0</v>
      </c>
      <c r="L1613" s="22">
        <v>0</v>
      </c>
      <c r="M1613" s="22">
        <v>0</v>
      </c>
      <c r="N1613" s="22">
        <v>0</v>
      </c>
      <c r="O1613" s="22">
        <v>0</v>
      </c>
      <c r="P1613" s="22">
        <v>0</v>
      </c>
      <c r="Q1613" s="22">
        <v>0</v>
      </c>
      <c r="R1613" s="22">
        <v>0</v>
      </c>
      <c r="S1613" s="22">
        <v>0</v>
      </c>
      <c r="T1613" s="22">
        <v>0</v>
      </c>
      <c r="U1613" s="22">
        <v>0</v>
      </c>
      <c r="V1613" s="22">
        <v>0</v>
      </c>
      <c r="W1613" s="22">
        <v>0</v>
      </c>
      <c r="X1613" s="5" t="s">
        <v>2308</v>
      </c>
      <c r="Y1613" s="5" t="s">
        <v>2308</v>
      </c>
      <c r="Z1613" s="5" t="s">
        <v>2308</v>
      </c>
      <c r="AA1613" s="5" t="s">
        <v>4883</v>
      </c>
      <c r="AB1613" s="4"/>
    </row>
    <row r="1614" spans="1:28" ht="39" customHeight="1">
      <c r="A1614" s="161" t="str">
        <f>'Reported burning'!A1614</f>
        <v>193d</v>
      </c>
      <c r="B1614" s="161" t="str">
        <f>'Reported burning'!B1614</f>
        <v>193d.4</v>
      </c>
      <c r="C1614" s="161" t="str">
        <f>'Reported burning'!C1614</f>
        <v>Human, deliberate</v>
      </c>
      <c r="D1614" s="161" t="str">
        <f>'Reported burning'!D1614</f>
        <v>Pyrome management</v>
      </c>
      <c r="E1614" s="161" t="str">
        <f>'Reported burning'!E1614</f>
        <v>Forestry, Industrial</v>
      </c>
      <c r="F1614" s="161" t="str">
        <f>'Reported burning'!F1614</f>
        <v>Forest</v>
      </c>
      <c r="G1614" s="161" t="str">
        <f>'Reported burning'!G1614</f>
        <v>ND</v>
      </c>
      <c r="H1614" s="161" t="str">
        <f>'Reported burning'!H1614</f>
        <v>Absence</v>
      </c>
      <c r="I1614" s="4"/>
      <c r="J1614" s="22">
        <v>0</v>
      </c>
      <c r="K1614" s="22">
        <v>0</v>
      </c>
      <c r="L1614" s="22">
        <v>0</v>
      </c>
      <c r="M1614" s="22">
        <v>0</v>
      </c>
      <c r="N1614" s="22">
        <v>0</v>
      </c>
      <c r="O1614" s="22">
        <v>0</v>
      </c>
      <c r="P1614" s="22">
        <v>0</v>
      </c>
      <c r="Q1614" s="22">
        <v>0</v>
      </c>
      <c r="R1614" s="22">
        <v>0</v>
      </c>
      <c r="S1614" s="22">
        <v>0</v>
      </c>
      <c r="T1614" s="22">
        <v>0</v>
      </c>
      <c r="U1614" s="22">
        <v>0</v>
      </c>
      <c r="V1614" s="22">
        <v>0</v>
      </c>
      <c r="W1614" s="22">
        <v>0</v>
      </c>
      <c r="X1614" s="5" t="s">
        <v>2308</v>
      </c>
      <c r="Y1614" s="5" t="s">
        <v>2308</v>
      </c>
      <c r="Z1614" s="5" t="s">
        <v>2308</v>
      </c>
      <c r="AA1614" s="5" t="s">
        <v>4883</v>
      </c>
      <c r="AB1614" s="4"/>
    </row>
    <row r="1615" spans="1:28" ht="39" customHeight="1">
      <c r="A1615" s="161" t="str">
        <f>'Reported burning'!A1615</f>
        <v>193e</v>
      </c>
      <c r="B1615" s="161" t="str">
        <f>'Reported burning'!B1615</f>
        <v>193e.4</v>
      </c>
      <c r="C1615" s="161" t="str">
        <f>'Reported burning'!C1615</f>
        <v>Human, deliberate</v>
      </c>
      <c r="D1615" s="161" t="str">
        <f>'Reported burning'!D1615</f>
        <v>Pyrome management</v>
      </c>
      <c r="E1615" s="161" t="str">
        <f>'Reported burning'!E1615</f>
        <v>Forestry, Industrial</v>
      </c>
      <c r="F1615" s="161" t="str">
        <f>'Reported burning'!F1615</f>
        <v>Forest</v>
      </c>
      <c r="G1615" s="161" t="str">
        <f>'Reported burning'!G1615</f>
        <v>ND</v>
      </c>
      <c r="H1615" s="161" t="str">
        <f>'Reported burning'!H1615</f>
        <v>Absence</v>
      </c>
      <c r="I1615" s="4"/>
      <c r="J1615" s="22">
        <v>0</v>
      </c>
      <c r="K1615" s="22">
        <v>0</v>
      </c>
      <c r="L1615" s="22">
        <v>0</v>
      </c>
      <c r="M1615" s="22">
        <v>0</v>
      </c>
      <c r="N1615" s="22">
        <v>0</v>
      </c>
      <c r="O1615" s="22">
        <v>0</v>
      </c>
      <c r="P1615" s="22">
        <v>0</v>
      </c>
      <c r="Q1615" s="22">
        <v>0</v>
      </c>
      <c r="R1615" s="22">
        <v>0</v>
      </c>
      <c r="S1615" s="22">
        <v>0</v>
      </c>
      <c r="T1615" s="22">
        <v>0</v>
      </c>
      <c r="U1615" s="22">
        <v>0</v>
      </c>
      <c r="V1615" s="22">
        <v>0</v>
      </c>
      <c r="W1615" s="22">
        <v>0</v>
      </c>
      <c r="X1615" s="5" t="s">
        <v>2308</v>
      </c>
      <c r="Y1615" s="5" t="s">
        <v>2308</v>
      </c>
      <c r="Z1615" s="5" t="s">
        <v>2308</v>
      </c>
      <c r="AA1615" s="5" t="s">
        <v>4883</v>
      </c>
      <c r="AB1615" s="4"/>
    </row>
    <row r="1616" spans="1:28" ht="47" customHeight="1">
      <c r="A1616" s="161" t="str">
        <f>'Reported burning'!A1616</f>
        <v>194a</v>
      </c>
      <c r="B1616" s="161" t="str">
        <f>'Reported burning'!B1616</f>
        <v>194a.5</v>
      </c>
      <c r="C1616" s="161" t="str">
        <f>'Reported burning'!C1616</f>
        <v>All</v>
      </c>
      <c r="D1616" s="161" t="str">
        <f>'Reported burning'!D1616</f>
        <v>ND</v>
      </c>
      <c r="E1616" s="161" t="str">
        <f>'Reported burning'!E1616</f>
        <v>ND</v>
      </c>
      <c r="F1616" s="161" t="str">
        <f>'Reported burning'!F1616</f>
        <v>ND</v>
      </c>
      <c r="G1616" s="161" t="str">
        <f>'Reported burning'!G1616</f>
        <v>Forest</v>
      </c>
      <c r="H1616" s="161" t="str">
        <f>'Reported burning'!H1616</f>
        <v>Presence</v>
      </c>
      <c r="I1616" s="4"/>
      <c r="J1616" s="5" t="s">
        <v>2308</v>
      </c>
      <c r="K1616" s="5" t="s">
        <v>2308</v>
      </c>
      <c r="L1616" s="5" t="s">
        <v>2308</v>
      </c>
      <c r="M1616" s="5" t="s">
        <v>2308</v>
      </c>
      <c r="N1616" s="5" t="s">
        <v>2308</v>
      </c>
      <c r="O1616" s="5" t="s">
        <v>2308</v>
      </c>
      <c r="P1616" s="5" t="s">
        <v>2308</v>
      </c>
      <c r="Q1616" s="5" t="s">
        <v>2308</v>
      </c>
      <c r="R1616" s="5" t="s">
        <v>2308</v>
      </c>
      <c r="S1616" s="5" t="s">
        <v>2308</v>
      </c>
      <c r="T1616" s="5" t="s">
        <v>2308</v>
      </c>
      <c r="U1616" s="5" t="s">
        <v>2308</v>
      </c>
      <c r="V1616" s="4" t="s">
        <v>2406</v>
      </c>
      <c r="W1616" s="5" t="s">
        <v>2308</v>
      </c>
      <c r="X1616" s="5" t="s">
        <v>2308</v>
      </c>
      <c r="Y1616" s="5" t="s">
        <v>2308</v>
      </c>
      <c r="Z1616" s="5" t="s">
        <v>2308</v>
      </c>
      <c r="AA1616" s="4"/>
      <c r="AB1616" s="5" t="s">
        <v>4895</v>
      </c>
    </row>
    <row r="1617" spans="1:28" ht="47" customHeight="1">
      <c r="A1617" s="161" t="str">
        <f>'Reported burning'!A1617</f>
        <v>194b</v>
      </c>
      <c r="B1617" s="161" t="str">
        <f>'Reported burning'!B1617</f>
        <v>194b.5</v>
      </c>
      <c r="C1617" s="161" t="str">
        <f>'Reported burning'!C1617</f>
        <v>All</v>
      </c>
      <c r="D1617" s="161" t="str">
        <f>'Reported burning'!D1617</f>
        <v>ND</v>
      </c>
      <c r="E1617" s="161" t="str">
        <f>'Reported burning'!E1617</f>
        <v>ND</v>
      </c>
      <c r="F1617" s="161" t="str">
        <f>'Reported burning'!F1617</f>
        <v>ND</v>
      </c>
      <c r="G1617" s="161" t="str">
        <f>'Reported burning'!G1617</f>
        <v>Forest</v>
      </c>
      <c r="H1617" s="161" t="str">
        <f>'Reported burning'!H1617</f>
        <v>Presence</v>
      </c>
      <c r="I1617" s="4"/>
      <c r="J1617" s="5" t="s">
        <v>2308</v>
      </c>
      <c r="K1617" s="5" t="s">
        <v>2308</v>
      </c>
      <c r="L1617" s="5" t="s">
        <v>2308</v>
      </c>
      <c r="M1617" s="5" t="s">
        <v>2308</v>
      </c>
      <c r="N1617" s="5" t="s">
        <v>2308</v>
      </c>
      <c r="O1617" s="5" t="s">
        <v>2308</v>
      </c>
      <c r="P1617" s="5" t="s">
        <v>2308</v>
      </c>
      <c r="Q1617" s="5" t="s">
        <v>2308</v>
      </c>
      <c r="R1617" s="5" t="s">
        <v>2308</v>
      </c>
      <c r="S1617" s="5" t="s">
        <v>2308</v>
      </c>
      <c r="T1617" s="5" t="s">
        <v>2308</v>
      </c>
      <c r="U1617" s="5" t="s">
        <v>2308</v>
      </c>
      <c r="V1617" s="4" t="s">
        <v>2406</v>
      </c>
      <c r="W1617" s="5" t="s">
        <v>2308</v>
      </c>
      <c r="X1617" s="5" t="s">
        <v>2308</v>
      </c>
      <c r="Y1617" s="5" t="s">
        <v>2308</v>
      </c>
      <c r="Z1617" s="5" t="s">
        <v>2308</v>
      </c>
      <c r="AA1617" s="4"/>
      <c r="AB1617" s="5" t="s">
        <v>4895</v>
      </c>
    </row>
    <row r="1618" spans="1:28" ht="47" customHeight="1">
      <c r="A1618" s="161" t="str">
        <f>'Reported burning'!A1618</f>
        <v>194c</v>
      </c>
      <c r="B1618" s="161" t="str">
        <f>'Reported burning'!B1618</f>
        <v>194c.5</v>
      </c>
      <c r="C1618" s="161" t="str">
        <f>'Reported burning'!C1618</f>
        <v>All</v>
      </c>
      <c r="D1618" s="161" t="str">
        <f>'Reported burning'!D1618</f>
        <v>ND</v>
      </c>
      <c r="E1618" s="161" t="str">
        <f>'Reported burning'!E1618</f>
        <v>ND</v>
      </c>
      <c r="F1618" s="161" t="str">
        <f>'Reported burning'!F1618</f>
        <v>ND</v>
      </c>
      <c r="G1618" s="161" t="str">
        <f>'Reported burning'!G1618</f>
        <v>Forest</v>
      </c>
      <c r="H1618" s="161" t="str">
        <f>'Reported burning'!H1618</f>
        <v>Presence</v>
      </c>
      <c r="I1618" s="4"/>
      <c r="J1618" s="5" t="s">
        <v>2308</v>
      </c>
      <c r="K1618" s="5" t="s">
        <v>2308</v>
      </c>
      <c r="L1618" s="5" t="s">
        <v>2308</v>
      </c>
      <c r="M1618" s="5" t="s">
        <v>2308</v>
      </c>
      <c r="N1618" s="5" t="s">
        <v>2308</v>
      </c>
      <c r="O1618" s="5" t="s">
        <v>2308</v>
      </c>
      <c r="P1618" s="5" t="s">
        <v>2308</v>
      </c>
      <c r="Q1618" s="5" t="s">
        <v>2308</v>
      </c>
      <c r="R1618" s="5" t="s">
        <v>2308</v>
      </c>
      <c r="S1618" s="5" t="s">
        <v>2308</v>
      </c>
      <c r="T1618" s="5" t="s">
        <v>2308</v>
      </c>
      <c r="U1618" s="5" t="s">
        <v>2308</v>
      </c>
      <c r="V1618" s="5" t="s">
        <v>2308</v>
      </c>
      <c r="W1618" s="5" t="s">
        <v>2308</v>
      </c>
      <c r="X1618" s="5" t="s">
        <v>2308</v>
      </c>
      <c r="Y1618" s="5" t="s">
        <v>2308</v>
      </c>
      <c r="Z1618" s="5" t="s">
        <v>2308</v>
      </c>
      <c r="AA1618" s="4"/>
      <c r="AB1618" s="4"/>
    </row>
    <row r="1619" spans="1:28" ht="47" customHeight="1">
      <c r="A1619" s="161" t="str">
        <f>'Reported burning'!A1619</f>
        <v>194d</v>
      </c>
      <c r="B1619" s="161" t="str">
        <f>'Reported burning'!B1619</f>
        <v>194d.5</v>
      </c>
      <c r="C1619" s="161" t="str">
        <f>'Reported burning'!C1619</f>
        <v>All</v>
      </c>
      <c r="D1619" s="161" t="str">
        <f>'Reported burning'!D1619</f>
        <v>ND</v>
      </c>
      <c r="E1619" s="161" t="str">
        <f>'Reported burning'!E1619</f>
        <v>ND</v>
      </c>
      <c r="F1619" s="161" t="str">
        <f>'Reported burning'!F1619</f>
        <v>ND</v>
      </c>
      <c r="G1619" s="161" t="str">
        <f>'Reported burning'!G1619</f>
        <v>Forest</v>
      </c>
      <c r="H1619" s="161" t="str">
        <f>'Reported burning'!H1619</f>
        <v>Presence</v>
      </c>
      <c r="I1619" s="4"/>
      <c r="J1619" s="5" t="s">
        <v>2308</v>
      </c>
      <c r="K1619" s="5" t="s">
        <v>2308</v>
      </c>
      <c r="L1619" s="5" t="s">
        <v>2308</v>
      </c>
      <c r="M1619" s="5" t="s">
        <v>2308</v>
      </c>
      <c r="N1619" s="5" t="s">
        <v>2308</v>
      </c>
      <c r="O1619" s="5" t="s">
        <v>2308</v>
      </c>
      <c r="P1619" s="5" t="s">
        <v>2308</v>
      </c>
      <c r="Q1619" s="5" t="s">
        <v>2308</v>
      </c>
      <c r="R1619" s="5" t="s">
        <v>2308</v>
      </c>
      <c r="S1619" s="5" t="s">
        <v>2308</v>
      </c>
      <c r="T1619" s="5" t="s">
        <v>2308</v>
      </c>
      <c r="U1619" s="5" t="s">
        <v>2308</v>
      </c>
      <c r="V1619" s="5" t="s">
        <v>2308</v>
      </c>
      <c r="W1619" s="5" t="s">
        <v>2308</v>
      </c>
      <c r="X1619" s="5" t="s">
        <v>2308</v>
      </c>
      <c r="Y1619" s="5" t="s">
        <v>2308</v>
      </c>
      <c r="Z1619" s="5" t="s">
        <v>2308</v>
      </c>
      <c r="AA1619" s="4"/>
      <c r="AB1619" s="4"/>
    </row>
    <row r="1620" spans="1:28" ht="47" customHeight="1">
      <c r="A1620" s="161" t="str">
        <f>'Reported burning'!A1620</f>
        <v>194e</v>
      </c>
      <c r="B1620" s="161" t="str">
        <f>'Reported burning'!B1620</f>
        <v>194e.5</v>
      </c>
      <c r="C1620" s="161" t="str">
        <f>'Reported burning'!C1620</f>
        <v>All</v>
      </c>
      <c r="D1620" s="161" t="str">
        <f>'Reported burning'!D1620</f>
        <v>ND</v>
      </c>
      <c r="E1620" s="161" t="str">
        <f>'Reported burning'!E1620</f>
        <v>ND</v>
      </c>
      <c r="F1620" s="161" t="str">
        <f>'Reported burning'!F1620</f>
        <v>ND</v>
      </c>
      <c r="G1620" s="161" t="str">
        <f>'Reported burning'!G1620</f>
        <v>Forest</v>
      </c>
      <c r="H1620" s="161" t="str">
        <f>'Reported burning'!H1620</f>
        <v>Presence</v>
      </c>
      <c r="I1620" s="4"/>
      <c r="J1620" s="5" t="s">
        <v>2308</v>
      </c>
      <c r="K1620" s="5" t="s">
        <v>2308</v>
      </c>
      <c r="L1620" s="5" t="s">
        <v>2308</v>
      </c>
      <c r="M1620" s="5" t="s">
        <v>2308</v>
      </c>
      <c r="N1620" s="5" t="s">
        <v>2308</v>
      </c>
      <c r="O1620" s="5" t="s">
        <v>2308</v>
      </c>
      <c r="P1620" s="5" t="s">
        <v>2308</v>
      </c>
      <c r="Q1620" s="5" t="s">
        <v>2308</v>
      </c>
      <c r="R1620" s="5" t="s">
        <v>2308</v>
      </c>
      <c r="S1620" s="5" t="s">
        <v>2308</v>
      </c>
      <c r="T1620" s="5" t="s">
        <v>2308</v>
      </c>
      <c r="U1620" s="5" t="s">
        <v>2308</v>
      </c>
      <c r="V1620" s="5" t="s">
        <v>2308</v>
      </c>
      <c r="W1620" s="5" t="s">
        <v>2308</v>
      </c>
      <c r="X1620" s="5" t="s">
        <v>2308</v>
      </c>
      <c r="Y1620" s="5" t="s">
        <v>2308</v>
      </c>
      <c r="Z1620" s="5" t="s">
        <v>2308</v>
      </c>
      <c r="AA1620" s="4"/>
      <c r="AB1620" s="4"/>
    </row>
    <row r="1621" spans="1:28" ht="54.5" customHeight="1">
      <c r="A1621" s="161" t="str">
        <f>'Reported burning'!A1621</f>
        <v>195a</v>
      </c>
      <c r="B1621" s="161" t="str">
        <f>'Reported burning'!B1621</f>
        <v>195a.1</v>
      </c>
      <c r="C1621" s="161" t="str">
        <f>'Reported burning'!C1621</f>
        <v>Human, deliberate</v>
      </c>
      <c r="D1621" s="161" t="str">
        <f>'Reported burning'!D1621</f>
        <v>ND</v>
      </c>
      <c r="E1621" s="161" t="str">
        <f>'Reported burning'!E1621</f>
        <v>Cattle, Extensive</v>
      </c>
      <c r="F1621" s="161" t="str">
        <f>'Reported burning'!F1621</f>
        <v>ND</v>
      </c>
      <c r="G1621" s="161" t="str">
        <f>'Reported burning'!G1621</f>
        <v>Shrubland (Mixed forest &amp; grassland)</v>
      </c>
      <c r="H1621" s="161" t="str">
        <f>'Reported burning'!H1621</f>
        <v>Presence</v>
      </c>
      <c r="I1621" s="4"/>
      <c r="J1621" t="s">
        <v>2399</v>
      </c>
      <c r="K1621" s="5" t="s">
        <v>2308</v>
      </c>
      <c r="L1621" s="5" t="s">
        <v>2308</v>
      </c>
      <c r="M1621" s="5" t="s">
        <v>2308</v>
      </c>
      <c r="N1621" s="5" t="s">
        <v>2308</v>
      </c>
      <c r="O1621" s="5" t="s">
        <v>2308</v>
      </c>
      <c r="P1621" s="5" t="s">
        <v>2308</v>
      </c>
      <c r="Q1621" s="5" t="s">
        <v>2308</v>
      </c>
      <c r="R1621" s="5" t="s">
        <v>2308</v>
      </c>
      <c r="S1621" s="5" t="s">
        <v>2308</v>
      </c>
      <c r="T1621" s="5" t="s">
        <v>2308</v>
      </c>
      <c r="U1621" s="5" t="s">
        <v>2308</v>
      </c>
      <c r="V1621" s="5" t="s">
        <v>2308</v>
      </c>
      <c r="W1621" s="5" t="s">
        <v>2308</v>
      </c>
      <c r="X1621" s="5" t="s">
        <v>2308</v>
      </c>
      <c r="Y1621" s="5" t="s">
        <v>2308</v>
      </c>
      <c r="Z1621" s="5" t="s">
        <v>2308</v>
      </c>
      <c r="AA1621" s="5"/>
      <c r="AB1621" s="5"/>
    </row>
    <row r="1622" spans="1:28" ht="49" customHeight="1">
      <c r="A1622" s="161" t="str">
        <f>'Reported burning'!A1622</f>
        <v>195b</v>
      </c>
      <c r="B1622" s="161" t="str">
        <f>'Reported burning'!B1622</f>
        <v>195b.1</v>
      </c>
      <c r="C1622" s="161" t="str">
        <f>'Reported burning'!C1622</f>
        <v>Human, deliberate</v>
      </c>
      <c r="D1622" s="161" t="str">
        <f>'Reported burning'!D1622</f>
        <v>ND</v>
      </c>
      <c r="E1622" s="161" t="str">
        <f>'Reported burning'!E1622</f>
        <v>Cattle, Extensive</v>
      </c>
      <c r="F1622" s="161" t="str">
        <f>'Reported burning'!F1622</f>
        <v>ND</v>
      </c>
      <c r="G1622" s="161" t="str">
        <f>'Reported burning'!G1622</f>
        <v>Shrubland (Mixed forest &amp; grassland)</v>
      </c>
      <c r="H1622" s="161" t="str">
        <f>'Reported burning'!H1622</f>
        <v>Presence</v>
      </c>
      <c r="I1622" s="4"/>
      <c r="J1622" s="5" t="s">
        <v>2308</v>
      </c>
      <c r="K1622" s="5" t="s">
        <v>2308</v>
      </c>
      <c r="L1622" s="5" t="s">
        <v>2308</v>
      </c>
      <c r="M1622" s="5" t="s">
        <v>2308</v>
      </c>
      <c r="N1622" s="5" t="s">
        <v>2308</v>
      </c>
      <c r="O1622" s="5" t="s">
        <v>2308</v>
      </c>
      <c r="P1622" s="5" t="s">
        <v>2308</v>
      </c>
      <c r="Q1622" s="5" t="s">
        <v>2308</v>
      </c>
      <c r="R1622" s="5" t="s">
        <v>2308</v>
      </c>
      <c r="S1622" s="5" t="s">
        <v>2308</v>
      </c>
      <c r="T1622" s="5" t="s">
        <v>2308</v>
      </c>
      <c r="U1622" s="5" t="s">
        <v>2308</v>
      </c>
      <c r="V1622" s="5" t="s">
        <v>2308</v>
      </c>
      <c r="W1622" s="5" t="s">
        <v>2308</v>
      </c>
      <c r="X1622" s="5" t="s">
        <v>2308</v>
      </c>
      <c r="Y1622" s="5" t="s">
        <v>2308</v>
      </c>
      <c r="Z1622" s="5" t="s">
        <v>2308</v>
      </c>
      <c r="AA1622" s="4"/>
      <c r="AB1622" s="4"/>
    </row>
    <row r="1623" spans="1:28" ht="49" customHeight="1">
      <c r="A1623" s="161" t="str">
        <f>'Reported burning'!A1623</f>
        <v>195c</v>
      </c>
      <c r="B1623" s="161" t="str">
        <f>'Reported burning'!B1623</f>
        <v>195c.1</v>
      </c>
      <c r="C1623" s="161" t="str">
        <f>'Reported burning'!C1623</f>
        <v>Human, deliberate</v>
      </c>
      <c r="D1623" s="161" t="str">
        <f>'Reported burning'!D1623</f>
        <v>ND</v>
      </c>
      <c r="E1623" s="161" t="str">
        <f>'Reported burning'!E1623</f>
        <v>Cattle, Extensive</v>
      </c>
      <c r="F1623" s="161" t="str">
        <f>'Reported burning'!F1623</f>
        <v>ND</v>
      </c>
      <c r="G1623" s="161" t="str">
        <f>'Reported burning'!G1623</f>
        <v>Shrubland (Mixed forest &amp; grassland)</v>
      </c>
      <c r="H1623" s="161" t="str">
        <f>'Reported burning'!H1623</f>
        <v>Presence</v>
      </c>
      <c r="I1623" s="4"/>
      <c r="J1623" s="5" t="s">
        <v>2308</v>
      </c>
      <c r="K1623" s="5" t="s">
        <v>2308</v>
      </c>
      <c r="L1623" s="5" t="s">
        <v>2308</v>
      </c>
      <c r="M1623" s="5" t="s">
        <v>2308</v>
      </c>
      <c r="N1623" s="5" t="s">
        <v>2308</v>
      </c>
      <c r="O1623" s="5" t="s">
        <v>2308</v>
      </c>
      <c r="P1623" s="5" t="s">
        <v>2308</v>
      </c>
      <c r="Q1623" s="5" t="s">
        <v>2308</v>
      </c>
      <c r="R1623" s="5" t="s">
        <v>2308</v>
      </c>
      <c r="S1623" s="5" t="s">
        <v>2308</v>
      </c>
      <c r="T1623" s="5" t="s">
        <v>2308</v>
      </c>
      <c r="U1623" s="5" t="s">
        <v>2308</v>
      </c>
      <c r="V1623" s="5" t="s">
        <v>2308</v>
      </c>
      <c r="W1623" s="5" t="s">
        <v>2308</v>
      </c>
      <c r="X1623" s="5" t="s">
        <v>2308</v>
      </c>
      <c r="Y1623" s="5" t="s">
        <v>2308</v>
      </c>
      <c r="Z1623" s="5" t="s">
        <v>2308</v>
      </c>
      <c r="AA1623" s="4"/>
      <c r="AB1623" s="4"/>
    </row>
    <row r="1624" spans="1:28" ht="49" customHeight="1">
      <c r="A1624" s="161" t="str">
        <f>'Reported burning'!A1624</f>
        <v>195d</v>
      </c>
      <c r="B1624" s="161" t="str">
        <f>'Reported burning'!B1624</f>
        <v>195d.1</v>
      </c>
      <c r="C1624" s="161" t="str">
        <f>'Reported burning'!C1624</f>
        <v>Human, deliberate</v>
      </c>
      <c r="D1624" s="161" t="str">
        <f>'Reported burning'!D1624</f>
        <v>ND</v>
      </c>
      <c r="E1624" s="161" t="str">
        <f>'Reported burning'!E1624</f>
        <v>Cattle, Extensive</v>
      </c>
      <c r="F1624" s="161" t="str">
        <f>'Reported burning'!F1624</f>
        <v>ND</v>
      </c>
      <c r="G1624" s="161" t="str">
        <f>'Reported burning'!G1624</f>
        <v>Shrubland (Mixed forest &amp; grassland)</v>
      </c>
      <c r="H1624" s="161" t="str">
        <f>'Reported burning'!H1624</f>
        <v>Presence</v>
      </c>
      <c r="I1624" s="4"/>
      <c r="J1624" s="5" t="s">
        <v>2308</v>
      </c>
      <c r="K1624" s="5" t="s">
        <v>2308</v>
      </c>
      <c r="L1624" s="5" t="s">
        <v>2308</v>
      </c>
      <c r="M1624" s="5" t="s">
        <v>2308</v>
      </c>
      <c r="N1624" s="5" t="s">
        <v>2308</v>
      </c>
      <c r="O1624" s="5" t="s">
        <v>2308</v>
      </c>
      <c r="P1624" s="5" t="s">
        <v>2308</v>
      </c>
      <c r="Q1624" s="5" t="s">
        <v>2308</v>
      </c>
      <c r="R1624" s="5" t="s">
        <v>2308</v>
      </c>
      <c r="S1624" s="5" t="s">
        <v>2308</v>
      </c>
      <c r="T1624" s="5" t="s">
        <v>2308</v>
      </c>
      <c r="U1624" s="5" t="s">
        <v>2308</v>
      </c>
      <c r="V1624" s="5" t="s">
        <v>2308</v>
      </c>
      <c r="W1624" s="5" t="s">
        <v>2308</v>
      </c>
      <c r="X1624" s="5" t="s">
        <v>2308</v>
      </c>
      <c r="Y1624" s="5" t="s">
        <v>2308</v>
      </c>
      <c r="Z1624" s="5" t="s">
        <v>2308</v>
      </c>
      <c r="AA1624" s="4"/>
      <c r="AB1624" s="4"/>
    </row>
    <row r="1625" spans="1:28" ht="49" customHeight="1">
      <c r="A1625" s="161" t="str">
        <f>'Reported burning'!A1625</f>
        <v>195e</v>
      </c>
      <c r="B1625" s="161" t="str">
        <f>'Reported burning'!B1625</f>
        <v>195e.1</v>
      </c>
      <c r="C1625" s="161" t="str">
        <f>'Reported burning'!C1625</f>
        <v>Human, deliberate</v>
      </c>
      <c r="D1625" s="161" t="str">
        <f>'Reported burning'!D1625</f>
        <v>ND</v>
      </c>
      <c r="E1625" s="161" t="str">
        <f>'Reported burning'!E1625</f>
        <v>Cattle, Extensive</v>
      </c>
      <c r="F1625" s="161" t="str">
        <f>'Reported burning'!F1625</f>
        <v>ND</v>
      </c>
      <c r="G1625" s="161" t="str">
        <f>'Reported burning'!G1625</f>
        <v>Shrubland (Mixed forest &amp; grassland)</v>
      </c>
      <c r="H1625" s="161" t="str">
        <f>'Reported burning'!H1625</f>
        <v>Presence</v>
      </c>
      <c r="I1625" s="4"/>
      <c r="J1625" s="5" t="s">
        <v>2308</v>
      </c>
      <c r="K1625" s="5" t="s">
        <v>2308</v>
      </c>
      <c r="L1625" s="5" t="s">
        <v>2308</v>
      </c>
      <c r="M1625" s="5" t="s">
        <v>2308</v>
      </c>
      <c r="N1625" s="5" t="s">
        <v>2308</v>
      </c>
      <c r="O1625" s="5" t="s">
        <v>2308</v>
      </c>
      <c r="P1625" s="5" t="s">
        <v>2308</v>
      </c>
      <c r="Q1625" s="5" t="s">
        <v>2308</v>
      </c>
      <c r="R1625" s="5" t="s">
        <v>2308</v>
      </c>
      <c r="S1625" s="5" t="s">
        <v>2308</v>
      </c>
      <c r="T1625" s="5" t="s">
        <v>2308</v>
      </c>
      <c r="U1625" s="5" t="s">
        <v>2308</v>
      </c>
      <c r="V1625" s="5" t="s">
        <v>2308</v>
      </c>
      <c r="W1625" s="5" t="s">
        <v>2308</v>
      </c>
      <c r="X1625" s="5" t="s">
        <v>2308</v>
      </c>
      <c r="Y1625" s="5" t="s">
        <v>2308</v>
      </c>
      <c r="Z1625" s="5" t="s">
        <v>2308</v>
      </c>
      <c r="AA1625" s="4"/>
      <c r="AB1625" s="4"/>
    </row>
    <row r="1626" spans="1:28" ht="49" customHeight="1">
      <c r="A1626" s="161" t="str">
        <f>'Reported burning'!A1626</f>
        <v>195f</v>
      </c>
      <c r="B1626" s="161" t="str">
        <f>'Reported burning'!B1626</f>
        <v>195f.1</v>
      </c>
      <c r="C1626" s="161" t="str">
        <f>'Reported burning'!C1626</f>
        <v>Human, deliberate</v>
      </c>
      <c r="D1626" s="161" t="str">
        <f>'Reported burning'!D1626</f>
        <v>ND</v>
      </c>
      <c r="E1626" s="161" t="str">
        <f>'Reported burning'!E1626</f>
        <v>Cattle, Extensive</v>
      </c>
      <c r="F1626" s="161" t="str">
        <f>'Reported burning'!F1626</f>
        <v>ND</v>
      </c>
      <c r="G1626" s="161" t="str">
        <f>'Reported burning'!G1626</f>
        <v>Shrubland (Mixed forest &amp; grassland)</v>
      </c>
      <c r="H1626" s="161" t="str">
        <f>'Reported burning'!H1626</f>
        <v>Presence</v>
      </c>
      <c r="I1626" s="4"/>
      <c r="J1626" s="5" t="s">
        <v>2308</v>
      </c>
      <c r="K1626" s="5" t="s">
        <v>2308</v>
      </c>
      <c r="L1626" s="5" t="s">
        <v>2308</v>
      </c>
      <c r="M1626" s="5" t="s">
        <v>2308</v>
      </c>
      <c r="N1626" s="5" t="s">
        <v>2308</v>
      </c>
      <c r="O1626" s="5" t="s">
        <v>2308</v>
      </c>
      <c r="P1626" s="5" t="s">
        <v>2308</v>
      </c>
      <c r="Q1626" s="5" t="s">
        <v>2308</v>
      </c>
      <c r="R1626" s="5" t="s">
        <v>2308</v>
      </c>
      <c r="S1626" s="5" t="s">
        <v>2308</v>
      </c>
      <c r="T1626" s="5" t="s">
        <v>2308</v>
      </c>
      <c r="U1626" s="5" t="s">
        <v>2308</v>
      </c>
      <c r="V1626" s="5" t="s">
        <v>2308</v>
      </c>
      <c r="W1626" s="5" t="s">
        <v>2308</v>
      </c>
      <c r="X1626" s="5" t="s">
        <v>2308</v>
      </c>
      <c r="Y1626" s="5" t="s">
        <v>2308</v>
      </c>
      <c r="Z1626" s="5" t="s">
        <v>2308</v>
      </c>
      <c r="AA1626" s="4"/>
      <c r="AB1626" s="4"/>
    </row>
    <row r="1627" spans="1:28" ht="49" customHeight="1">
      <c r="A1627" s="161" t="str">
        <f>'Reported burning'!A1627</f>
        <v>195g</v>
      </c>
      <c r="B1627" s="161" t="str">
        <f>'Reported burning'!B1627</f>
        <v>195g.1</v>
      </c>
      <c r="C1627" s="161" t="str">
        <f>'Reported burning'!C1627</f>
        <v>Human, deliberate</v>
      </c>
      <c r="D1627" s="161" t="str">
        <f>'Reported burning'!D1627</f>
        <v>ND</v>
      </c>
      <c r="E1627" s="161" t="str">
        <f>'Reported burning'!E1627</f>
        <v>Cattle, Extensive</v>
      </c>
      <c r="F1627" s="161" t="str">
        <f>'Reported burning'!F1627</f>
        <v>ND</v>
      </c>
      <c r="G1627" s="161" t="str">
        <f>'Reported burning'!G1627</f>
        <v>Shrubland (Mixed forest &amp; grassland)</v>
      </c>
      <c r="H1627" s="161" t="str">
        <f>'Reported burning'!H1627</f>
        <v>Presence</v>
      </c>
      <c r="I1627" s="4"/>
      <c r="J1627" s="5" t="s">
        <v>2308</v>
      </c>
      <c r="K1627" s="5" t="s">
        <v>2308</v>
      </c>
      <c r="L1627" s="5" t="s">
        <v>2308</v>
      </c>
      <c r="M1627" s="5" t="s">
        <v>2308</v>
      </c>
      <c r="N1627" s="5" t="s">
        <v>2308</v>
      </c>
      <c r="O1627" s="5" t="s">
        <v>2308</v>
      </c>
      <c r="P1627" s="5" t="s">
        <v>2308</v>
      </c>
      <c r="Q1627" s="5" t="s">
        <v>2308</v>
      </c>
      <c r="R1627" s="5" t="s">
        <v>2308</v>
      </c>
      <c r="S1627" s="5" t="s">
        <v>2308</v>
      </c>
      <c r="T1627" s="5" t="s">
        <v>2308</v>
      </c>
      <c r="U1627" s="5" t="s">
        <v>2308</v>
      </c>
      <c r="V1627" s="5" t="s">
        <v>2308</v>
      </c>
      <c r="W1627" s="5" t="s">
        <v>2308</v>
      </c>
      <c r="X1627" s="5" t="s">
        <v>2308</v>
      </c>
      <c r="Y1627" s="5" t="s">
        <v>2308</v>
      </c>
      <c r="Z1627" s="5" t="s">
        <v>2308</v>
      </c>
      <c r="AA1627" s="4"/>
      <c r="AB1627" s="4"/>
    </row>
    <row r="1628" spans="1:28" ht="49" customHeight="1">
      <c r="A1628" s="161" t="str">
        <f>'Reported burning'!A1628</f>
        <v>195h</v>
      </c>
      <c r="B1628" s="161" t="str">
        <f>'Reported burning'!B1628</f>
        <v>195h.1</v>
      </c>
      <c r="C1628" s="161" t="str">
        <f>'Reported burning'!C1628</f>
        <v>Human, deliberate</v>
      </c>
      <c r="D1628" s="161" t="str">
        <f>'Reported burning'!D1628</f>
        <v>ND</v>
      </c>
      <c r="E1628" s="161" t="str">
        <f>'Reported burning'!E1628</f>
        <v>Cattle, Extensive</v>
      </c>
      <c r="F1628" s="161" t="str">
        <f>'Reported burning'!F1628</f>
        <v>ND</v>
      </c>
      <c r="G1628" s="161" t="str">
        <f>'Reported burning'!G1628</f>
        <v>Shrubland (Mixed forest &amp; grassland)</v>
      </c>
      <c r="H1628" s="161" t="str">
        <f>'Reported burning'!H1628</f>
        <v>Presence</v>
      </c>
      <c r="I1628" s="4"/>
      <c r="J1628" s="5" t="s">
        <v>2308</v>
      </c>
      <c r="K1628" s="5" t="s">
        <v>2308</v>
      </c>
      <c r="L1628" s="5" t="s">
        <v>2308</v>
      </c>
      <c r="M1628" s="5" t="s">
        <v>2308</v>
      </c>
      <c r="N1628" s="5" t="s">
        <v>2308</v>
      </c>
      <c r="O1628" s="5" t="s">
        <v>2308</v>
      </c>
      <c r="P1628" s="5" t="s">
        <v>2308</v>
      </c>
      <c r="Q1628" s="5" t="s">
        <v>2308</v>
      </c>
      <c r="R1628" s="5" t="s">
        <v>2308</v>
      </c>
      <c r="S1628" s="5" t="s">
        <v>2308</v>
      </c>
      <c r="T1628" s="5" t="s">
        <v>2308</v>
      </c>
      <c r="U1628" s="5" t="s">
        <v>2308</v>
      </c>
      <c r="V1628" s="5" t="s">
        <v>2308</v>
      </c>
      <c r="W1628" s="5" t="s">
        <v>2308</v>
      </c>
      <c r="X1628" s="5" t="s">
        <v>2308</v>
      </c>
      <c r="Y1628" s="5" t="s">
        <v>2308</v>
      </c>
      <c r="Z1628" s="5" t="s">
        <v>2308</v>
      </c>
      <c r="AA1628" s="4"/>
      <c r="AB1628" s="4"/>
    </row>
    <row r="1629" spans="1:28" ht="49" customHeight="1">
      <c r="A1629" s="161" t="str">
        <f>'Reported burning'!A1629</f>
        <v>195i</v>
      </c>
      <c r="B1629" s="161" t="str">
        <f>'Reported burning'!B1629</f>
        <v>195i.1</v>
      </c>
      <c r="C1629" s="161" t="str">
        <f>'Reported burning'!C1629</f>
        <v>Human, deliberate</v>
      </c>
      <c r="D1629" s="161" t="str">
        <f>'Reported burning'!D1629</f>
        <v>ND</v>
      </c>
      <c r="E1629" s="161" t="str">
        <f>'Reported burning'!E1629</f>
        <v>Cattle, Extensive</v>
      </c>
      <c r="F1629" s="161" t="str">
        <f>'Reported burning'!F1629</f>
        <v>ND</v>
      </c>
      <c r="G1629" s="161" t="str">
        <f>'Reported burning'!G1629</f>
        <v>Shrubland (Mixed forest &amp; grassland)</v>
      </c>
      <c r="H1629" s="161" t="str">
        <f>'Reported burning'!H1629</f>
        <v>Presence</v>
      </c>
      <c r="I1629" s="4"/>
      <c r="J1629" s="5" t="s">
        <v>2308</v>
      </c>
      <c r="K1629" s="5" t="s">
        <v>2308</v>
      </c>
      <c r="L1629" s="5" t="s">
        <v>2308</v>
      </c>
      <c r="M1629" s="5" t="s">
        <v>2308</v>
      </c>
      <c r="N1629" s="5" t="s">
        <v>2308</v>
      </c>
      <c r="O1629" s="5" t="s">
        <v>2308</v>
      </c>
      <c r="P1629" s="5" t="s">
        <v>2308</v>
      </c>
      <c r="Q1629" s="5" t="s">
        <v>2308</v>
      </c>
      <c r="R1629" s="5" t="s">
        <v>2308</v>
      </c>
      <c r="S1629" s="5" t="s">
        <v>2308</v>
      </c>
      <c r="T1629" s="5" t="s">
        <v>2308</v>
      </c>
      <c r="U1629" s="5" t="s">
        <v>2308</v>
      </c>
      <c r="V1629" s="5" t="s">
        <v>2308</v>
      </c>
      <c r="W1629" s="5" t="s">
        <v>2308</v>
      </c>
      <c r="X1629" s="5" t="s">
        <v>2308</v>
      </c>
      <c r="Y1629" s="5" t="s">
        <v>2308</v>
      </c>
      <c r="Z1629" s="5" t="s">
        <v>2308</v>
      </c>
      <c r="AA1629" s="4"/>
      <c r="AB1629" s="4"/>
    </row>
    <row r="1630" spans="1:28" ht="49" customHeight="1">
      <c r="A1630" s="161" t="str">
        <f>'Reported burning'!A1630</f>
        <v>195j</v>
      </c>
      <c r="B1630" s="161" t="str">
        <f>'Reported burning'!B1630</f>
        <v>195j.1</v>
      </c>
      <c r="C1630" s="161" t="str">
        <f>'Reported burning'!C1630</f>
        <v>Human, deliberate</v>
      </c>
      <c r="D1630" s="161" t="str">
        <f>'Reported burning'!D1630</f>
        <v>ND</v>
      </c>
      <c r="E1630" s="161" t="str">
        <f>'Reported burning'!E1630</f>
        <v>Cattle, Extensive</v>
      </c>
      <c r="F1630" s="161" t="str">
        <f>'Reported burning'!F1630</f>
        <v>ND</v>
      </c>
      <c r="G1630" s="161" t="str">
        <f>'Reported burning'!G1630</f>
        <v>Shrubland (Mixed forest &amp; grassland)</v>
      </c>
      <c r="H1630" s="161" t="str">
        <f>'Reported burning'!H1630</f>
        <v>Presence</v>
      </c>
      <c r="I1630" s="4"/>
      <c r="J1630" s="5" t="s">
        <v>2308</v>
      </c>
      <c r="K1630" s="5" t="s">
        <v>2308</v>
      </c>
      <c r="L1630" s="5" t="s">
        <v>2308</v>
      </c>
      <c r="M1630" s="5" t="s">
        <v>2308</v>
      </c>
      <c r="N1630" s="5" t="s">
        <v>2308</v>
      </c>
      <c r="O1630" s="5" t="s">
        <v>2308</v>
      </c>
      <c r="P1630" s="5" t="s">
        <v>2308</v>
      </c>
      <c r="Q1630" s="5" t="s">
        <v>2308</v>
      </c>
      <c r="R1630" s="5" t="s">
        <v>2308</v>
      </c>
      <c r="S1630" s="5" t="s">
        <v>2308</v>
      </c>
      <c r="T1630" s="5" t="s">
        <v>2308</v>
      </c>
      <c r="U1630" s="5" t="s">
        <v>2308</v>
      </c>
      <c r="V1630" s="5" t="s">
        <v>2308</v>
      </c>
      <c r="W1630" s="5" t="s">
        <v>2308</v>
      </c>
      <c r="X1630" s="5" t="s">
        <v>2308</v>
      </c>
      <c r="Y1630" s="5" t="s">
        <v>2308</v>
      </c>
      <c r="Z1630" s="5" t="s">
        <v>2308</v>
      </c>
      <c r="AA1630" s="4"/>
      <c r="AB1630" s="4"/>
    </row>
    <row r="1631" spans="1:28" ht="49" customHeight="1">
      <c r="A1631" s="161" t="str">
        <f>'Reported burning'!A1631</f>
        <v>195k</v>
      </c>
      <c r="B1631" s="161" t="str">
        <f>'Reported burning'!B1631</f>
        <v>195k.1</v>
      </c>
      <c r="C1631" s="161" t="str">
        <f>'Reported burning'!C1631</f>
        <v>Human, deliberate</v>
      </c>
      <c r="D1631" s="161" t="str">
        <f>'Reported burning'!D1631</f>
        <v>ND</v>
      </c>
      <c r="E1631" s="161" t="str">
        <f>'Reported burning'!E1631</f>
        <v>Cattle, Extensive</v>
      </c>
      <c r="F1631" s="161" t="str">
        <f>'Reported burning'!F1631</f>
        <v>ND</v>
      </c>
      <c r="G1631" s="161" t="str">
        <f>'Reported burning'!G1631</f>
        <v>Shrubland (Mixed forest &amp; grassland)</v>
      </c>
      <c r="H1631" s="161" t="str">
        <f>'Reported burning'!H1631</f>
        <v>Presence</v>
      </c>
      <c r="I1631" s="4"/>
      <c r="J1631" t="s">
        <v>2401</v>
      </c>
      <c r="K1631" s="5" t="s">
        <v>2308</v>
      </c>
      <c r="L1631" s="5" t="s">
        <v>2308</v>
      </c>
      <c r="M1631" s="5" t="s">
        <v>2308</v>
      </c>
      <c r="N1631" s="5" t="s">
        <v>2308</v>
      </c>
      <c r="O1631" s="5" t="s">
        <v>2308</v>
      </c>
      <c r="P1631" s="5" t="s">
        <v>2308</v>
      </c>
      <c r="Q1631" s="5" t="s">
        <v>2308</v>
      </c>
      <c r="R1631" s="5" t="s">
        <v>2308</v>
      </c>
      <c r="S1631" s="5" t="s">
        <v>2308</v>
      </c>
      <c r="T1631" s="5" t="s">
        <v>2308</v>
      </c>
      <c r="U1631" s="5" t="s">
        <v>2308</v>
      </c>
      <c r="V1631" s="5" t="s">
        <v>2308</v>
      </c>
      <c r="W1631" s="5" t="s">
        <v>2308</v>
      </c>
      <c r="X1631" s="5" t="s">
        <v>2308</v>
      </c>
      <c r="Y1631" s="5" t="s">
        <v>2308</v>
      </c>
      <c r="Z1631" s="5" t="s">
        <v>2308</v>
      </c>
      <c r="AA1631" s="4"/>
      <c r="AB1631" s="4"/>
    </row>
    <row r="1632" spans="1:28" ht="49" customHeight="1">
      <c r="A1632" s="161" t="str">
        <f>'Reported burning'!A1632</f>
        <v>195l</v>
      </c>
      <c r="B1632" s="161" t="str">
        <f>'Reported burning'!B1632</f>
        <v>195l.1</v>
      </c>
      <c r="C1632" s="161" t="str">
        <f>'Reported burning'!C1632</f>
        <v>Human, deliberate</v>
      </c>
      <c r="D1632" s="161" t="str">
        <f>'Reported burning'!D1632</f>
        <v>ND</v>
      </c>
      <c r="E1632" s="161" t="str">
        <f>'Reported burning'!E1632</f>
        <v>Cattle, Extensive</v>
      </c>
      <c r="F1632" s="161" t="str">
        <f>'Reported burning'!F1632</f>
        <v>ND</v>
      </c>
      <c r="G1632" s="161" t="str">
        <f>'Reported burning'!G1632</f>
        <v>Shrubland (Mixed forest &amp; grassland)</v>
      </c>
      <c r="H1632" s="161" t="str">
        <f>'Reported burning'!H1632</f>
        <v>Presence</v>
      </c>
      <c r="I1632" s="4"/>
      <c r="J1632" s="5" t="s">
        <v>2308</v>
      </c>
      <c r="K1632" s="5" t="s">
        <v>2308</v>
      </c>
      <c r="L1632" s="5" t="s">
        <v>2308</v>
      </c>
      <c r="M1632" s="5" t="s">
        <v>2308</v>
      </c>
      <c r="N1632" s="5" t="s">
        <v>2308</v>
      </c>
      <c r="O1632" s="5" t="s">
        <v>2308</v>
      </c>
      <c r="P1632" s="5" t="s">
        <v>2308</v>
      </c>
      <c r="Q1632" s="5" t="s">
        <v>2308</v>
      </c>
      <c r="R1632" s="5" t="s">
        <v>2308</v>
      </c>
      <c r="S1632" s="5" t="s">
        <v>2308</v>
      </c>
      <c r="T1632" s="5" t="s">
        <v>2308</v>
      </c>
      <c r="U1632" s="5" t="s">
        <v>2308</v>
      </c>
      <c r="V1632" s="5" t="s">
        <v>2308</v>
      </c>
      <c r="W1632" s="5" t="s">
        <v>2308</v>
      </c>
      <c r="X1632" s="5" t="s">
        <v>2308</v>
      </c>
      <c r="Y1632" s="5" t="s">
        <v>2308</v>
      </c>
      <c r="Z1632" s="5" t="s">
        <v>2308</v>
      </c>
      <c r="AA1632" s="4"/>
      <c r="AB1632" s="4"/>
    </row>
    <row r="1633" spans="1:28" ht="49" customHeight="1">
      <c r="A1633" s="161" t="str">
        <f>'Reported burning'!A1633</f>
        <v>195m</v>
      </c>
      <c r="B1633" s="161" t="str">
        <f>'Reported burning'!B1633</f>
        <v>195m.1</v>
      </c>
      <c r="C1633" s="161" t="str">
        <f>'Reported burning'!C1633</f>
        <v>Human, deliberate</v>
      </c>
      <c r="D1633" s="161" t="str">
        <f>'Reported burning'!D1633</f>
        <v>ND</v>
      </c>
      <c r="E1633" s="161" t="str">
        <f>'Reported burning'!E1633</f>
        <v>Cattle, Extensive</v>
      </c>
      <c r="F1633" s="161" t="str">
        <f>'Reported burning'!F1633</f>
        <v>ND</v>
      </c>
      <c r="G1633" s="161" t="str">
        <f>'Reported burning'!G1633</f>
        <v>Shrubland (Mixed forest &amp; grassland)</v>
      </c>
      <c r="H1633" s="161" t="str">
        <f>'Reported burning'!H1633</f>
        <v>Presence</v>
      </c>
      <c r="I1633" s="4"/>
      <c r="J1633" s="5" t="s">
        <v>2308</v>
      </c>
      <c r="K1633" s="5" t="s">
        <v>2308</v>
      </c>
      <c r="L1633" s="5" t="s">
        <v>2308</v>
      </c>
      <c r="M1633" s="5" t="s">
        <v>2308</v>
      </c>
      <c r="N1633" s="5" t="s">
        <v>2308</v>
      </c>
      <c r="O1633" s="5" t="s">
        <v>2308</v>
      </c>
      <c r="P1633" s="5" t="s">
        <v>2308</v>
      </c>
      <c r="Q1633" s="5" t="s">
        <v>2308</v>
      </c>
      <c r="R1633" s="5" t="s">
        <v>2308</v>
      </c>
      <c r="S1633" s="5" t="s">
        <v>2308</v>
      </c>
      <c r="T1633" s="5" t="s">
        <v>2308</v>
      </c>
      <c r="U1633" s="5" t="s">
        <v>2308</v>
      </c>
      <c r="V1633" s="5" t="s">
        <v>2308</v>
      </c>
      <c r="W1633" s="5" t="s">
        <v>2308</v>
      </c>
      <c r="X1633" s="5" t="s">
        <v>2308</v>
      </c>
      <c r="Y1633" s="5" t="s">
        <v>2308</v>
      </c>
      <c r="Z1633" s="5" t="s">
        <v>2308</v>
      </c>
      <c r="AA1633" s="4"/>
      <c r="AB1633" s="4"/>
    </row>
    <row r="1634" spans="1:28" ht="49" customHeight="1">
      <c r="A1634" s="161" t="str">
        <f>'Reported burning'!A1634</f>
        <v>195n</v>
      </c>
      <c r="B1634" s="161" t="str">
        <f>'Reported burning'!B1634</f>
        <v>195n.1</v>
      </c>
      <c r="C1634" s="161" t="str">
        <f>'Reported burning'!C1634</f>
        <v>Human, deliberate</v>
      </c>
      <c r="D1634" s="161" t="str">
        <f>'Reported burning'!D1634</f>
        <v>ND</v>
      </c>
      <c r="E1634" s="161" t="str">
        <f>'Reported burning'!E1634</f>
        <v>Cattle, Extensive</v>
      </c>
      <c r="F1634" s="161" t="str">
        <f>'Reported burning'!F1634</f>
        <v>ND</v>
      </c>
      <c r="G1634" s="161" t="str">
        <f>'Reported burning'!G1634</f>
        <v>Shrubland (Mixed forest &amp; grassland)</v>
      </c>
      <c r="H1634" s="161" t="str">
        <f>'Reported burning'!H1634</f>
        <v>Presence</v>
      </c>
      <c r="I1634" s="4"/>
      <c r="J1634" s="5" t="s">
        <v>2308</v>
      </c>
      <c r="K1634" s="5" t="s">
        <v>2308</v>
      </c>
      <c r="L1634" s="5" t="s">
        <v>2308</v>
      </c>
      <c r="M1634" s="5" t="s">
        <v>2308</v>
      </c>
      <c r="N1634" s="5" t="s">
        <v>2308</v>
      </c>
      <c r="O1634" s="5" t="s">
        <v>2308</v>
      </c>
      <c r="P1634" s="5" t="s">
        <v>2308</v>
      </c>
      <c r="Q1634" s="5" t="s">
        <v>2308</v>
      </c>
      <c r="R1634" s="5" t="s">
        <v>2308</v>
      </c>
      <c r="S1634" s="5" t="s">
        <v>2308</v>
      </c>
      <c r="T1634" s="5" t="s">
        <v>2308</v>
      </c>
      <c r="U1634" s="5" t="s">
        <v>2308</v>
      </c>
      <c r="V1634" s="5" t="s">
        <v>2308</v>
      </c>
      <c r="W1634" s="5" t="s">
        <v>2308</v>
      </c>
      <c r="X1634" s="5" t="s">
        <v>2308</v>
      </c>
      <c r="Y1634" s="5" t="s">
        <v>2308</v>
      </c>
      <c r="Z1634" s="5" t="s">
        <v>2308</v>
      </c>
      <c r="AA1634" s="4"/>
      <c r="AB1634" s="4"/>
    </row>
    <row r="1635" spans="1:28" ht="49" customHeight="1">
      <c r="A1635" s="161" t="str">
        <f>'Reported burning'!A1635</f>
        <v>195o</v>
      </c>
      <c r="B1635" s="161" t="str">
        <f>'Reported burning'!B1635</f>
        <v>195o.1</v>
      </c>
      <c r="C1635" s="161" t="str">
        <f>'Reported burning'!C1635</f>
        <v>Human, deliberate</v>
      </c>
      <c r="D1635" s="161" t="str">
        <f>'Reported burning'!D1635</f>
        <v>ND</v>
      </c>
      <c r="E1635" s="161" t="str">
        <f>'Reported burning'!E1635</f>
        <v>Cattle, Extensive</v>
      </c>
      <c r="F1635" s="161" t="str">
        <f>'Reported burning'!F1635</f>
        <v>ND</v>
      </c>
      <c r="G1635" s="161" t="str">
        <f>'Reported burning'!G1635</f>
        <v>Shrubland (Mixed forest &amp; grassland)</v>
      </c>
      <c r="H1635" s="161" t="str">
        <f>'Reported burning'!H1635</f>
        <v>Absence</v>
      </c>
      <c r="I1635" s="4"/>
      <c r="J1635" s="15">
        <v>0</v>
      </c>
      <c r="K1635" s="22">
        <v>0</v>
      </c>
      <c r="L1635" s="22">
        <v>0</v>
      </c>
      <c r="M1635" s="22">
        <v>0</v>
      </c>
      <c r="N1635" s="22">
        <v>0</v>
      </c>
      <c r="O1635" s="22">
        <v>0</v>
      </c>
      <c r="P1635" s="22">
        <v>0</v>
      </c>
      <c r="Q1635" s="22">
        <v>0</v>
      </c>
      <c r="R1635" s="22">
        <v>0</v>
      </c>
      <c r="S1635" s="22">
        <v>0</v>
      </c>
      <c r="T1635" s="22">
        <v>0</v>
      </c>
      <c r="U1635" s="22">
        <v>0</v>
      </c>
      <c r="V1635" s="22">
        <v>0</v>
      </c>
      <c r="W1635" s="5" t="s">
        <v>2308</v>
      </c>
      <c r="X1635" s="5" t="s">
        <v>2308</v>
      </c>
      <c r="Y1635" s="5" t="s">
        <v>2308</v>
      </c>
      <c r="Z1635" s="5" t="s">
        <v>2308</v>
      </c>
      <c r="AA1635" s="4"/>
      <c r="AB1635" s="4"/>
    </row>
    <row r="1636" spans="1:28" ht="49" customHeight="1">
      <c r="A1636" s="161" t="str">
        <f>'Reported burning'!A1636</f>
        <v>195p</v>
      </c>
      <c r="B1636" s="161" t="str">
        <f>'Reported burning'!B1636</f>
        <v>195p.1</v>
      </c>
      <c r="C1636" s="161" t="str">
        <f>'Reported burning'!C1636</f>
        <v>Human, deliberate</v>
      </c>
      <c r="D1636" s="161" t="str">
        <f>'Reported burning'!D1636</f>
        <v>ND</v>
      </c>
      <c r="E1636" s="161" t="str">
        <f>'Reported burning'!E1636</f>
        <v>Cattle, Extensive</v>
      </c>
      <c r="F1636" s="161" t="str">
        <f>'Reported burning'!F1636</f>
        <v>ND</v>
      </c>
      <c r="G1636" s="161" t="str">
        <f>'Reported burning'!G1636</f>
        <v>Shrubland (Mixed forest &amp; grassland)</v>
      </c>
      <c r="H1636" s="161" t="str">
        <f>'Reported burning'!H1636</f>
        <v>Presence</v>
      </c>
      <c r="I1636" s="4"/>
      <c r="J1636" s="5" t="s">
        <v>2308</v>
      </c>
      <c r="K1636" s="5" t="s">
        <v>2308</v>
      </c>
      <c r="L1636" s="5" t="s">
        <v>2308</v>
      </c>
      <c r="M1636" s="5" t="s">
        <v>2308</v>
      </c>
      <c r="N1636" s="5" t="s">
        <v>2308</v>
      </c>
      <c r="O1636" s="5" t="s">
        <v>2308</v>
      </c>
      <c r="P1636" s="5" t="s">
        <v>2308</v>
      </c>
      <c r="Q1636" s="5" t="s">
        <v>2308</v>
      </c>
      <c r="R1636" s="5" t="s">
        <v>2308</v>
      </c>
      <c r="S1636" s="5" t="s">
        <v>2308</v>
      </c>
      <c r="T1636" s="5" t="s">
        <v>2308</v>
      </c>
      <c r="U1636" s="5" t="s">
        <v>2308</v>
      </c>
      <c r="V1636" s="5" t="s">
        <v>2308</v>
      </c>
      <c r="W1636" s="5" t="s">
        <v>2308</v>
      </c>
      <c r="X1636" s="5" t="s">
        <v>2308</v>
      </c>
      <c r="Y1636" s="5" t="s">
        <v>2308</v>
      </c>
      <c r="Z1636" s="5" t="s">
        <v>2308</v>
      </c>
      <c r="AA1636" s="4"/>
      <c r="AB1636" s="4"/>
    </row>
    <row r="1637" spans="1:28" ht="49" customHeight="1">
      <c r="A1637" s="161" t="str">
        <f>'Reported burning'!A1637</f>
        <v>195q</v>
      </c>
      <c r="B1637" s="161" t="str">
        <f>'Reported burning'!B1637</f>
        <v>195q.1</v>
      </c>
      <c r="C1637" s="161" t="str">
        <f>'Reported burning'!C1637</f>
        <v>Human, deliberate</v>
      </c>
      <c r="D1637" s="161" t="str">
        <f>'Reported burning'!D1637</f>
        <v>ND</v>
      </c>
      <c r="E1637" s="161" t="str">
        <f>'Reported burning'!E1637</f>
        <v>Cattle, Extensive</v>
      </c>
      <c r="F1637" s="161" t="str">
        <f>'Reported burning'!F1637</f>
        <v>ND</v>
      </c>
      <c r="G1637" s="161" t="str">
        <f>'Reported burning'!G1637</f>
        <v>Shrubland (Mixed forest &amp; grassland)</v>
      </c>
      <c r="H1637" s="161" t="str">
        <f>'Reported burning'!H1637</f>
        <v>Presence</v>
      </c>
      <c r="I1637" s="4"/>
      <c r="J1637" s="5" t="s">
        <v>2308</v>
      </c>
      <c r="K1637" s="5" t="s">
        <v>2308</v>
      </c>
      <c r="L1637" s="5" t="s">
        <v>2308</v>
      </c>
      <c r="M1637" s="5" t="s">
        <v>2308</v>
      </c>
      <c r="N1637" s="5" t="s">
        <v>2308</v>
      </c>
      <c r="O1637" s="5" t="s">
        <v>2308</v>
      </c>
      <c r="P1637" s="5" t="s">
        <v>2308</v>
      </c>
      <c r="Q1637" s="5" t="s">
        <v>2308</v>
      </c>
      <c r="R1637" s="5" t="s">
        <v>2308</v>
      </c>
      <c r="S1637" s="5" t="s">
        <v>2308</v>
      </c>
      <c r="T1637" s="5" t="s">
        <v>2308</v>
      </c>
      <c r="U1637" s="5" t="s">
        <v>2308</v>
      </c>
      <c r="V1637" s="5" t="s">
        <v>2308</v>
      </c>
      <c r="W1637" s="5" t="s">
        <v>2308</v>
      </c>
      <c r="X1637" s="5" t="s">
        <v>2308</v>
      </c>
      <c r="Y1637" s="5" t="s">
        <v>2308</v>
      </c>
      <c r="Z1637" s="5" t="s">
        <v>2308</v>
      </c>
      <c r="AA1637" s="4"/>
      <c r="AB1637" s="4"/>
    </row>
    <row r="1638" spans="1:28" ht="49" customHeight="1">
      <c r="A1638" s="161" t="str">
        <f>'Reported burning'!A1638</f>
        <v>195r</v>
      </c>
      <c r="B1638" s="161" t="str">
        <f>'Reported burning'!B1638</f>
        <v>195r.1</v>
      </c>
      <c r="C1638" s="161" t="str">
        <f>'Reported burning'!C1638</f>
        <v>Human, deliberate</v>
      </c>
      <c r="D1638" s="161" t="str">
        <f>'Reported burning'!D1638</f>
        <v>ND</v>
      </c>
      <c r="E1638" s="161" t="str">
        <f>'Reported burning'!E1638</f>
        <v>Cattle, Extensive</v>
      </c>
      <c r="F1638" s="161" t="str">
        <f>'Reported burning'!F1638</f>
        <v>ND</v>
      </c>
      <c r="G1638" s="161" t="str">
        <f>'Reported burning'!G1638</f>
        <v>Shrubland (Mixed forest &amp; grassland)</v>
      </c>
      <c r="H1638" s="161" t="str">
        <f>'Reported burning'!H1638</f>
        <v>Presence</v>
      </c>
      <c r="I1638" s="4"/>
      <c r="J1638" s="5" t="s">
        <v>2308</v>
      </c>
      <c r="K1638" s="5" t="s">
        <v>2308</v>
      </c>
      <c r="L1638" s="5" t="s">
        <v>2308</v>
      </c>
      <c r="M1638" s="5" t="s">
        <v>2308</v>
      </c>
      <c r="N1638" s="5" t="s">
        <v>2308</v>
      </c>
      <c r="O1638" s="5" t="s">
        <v>2308</v>
      </c>
      <c r="P1638" s="5" t="s">
        <v>2308</v>
      </c>
      <c r="Q1638" s="5" t="s">
        <v>2308</v>
      </c>
      <c r="R1638" s="5" t="s">
        <v>2308</v>
      </c>
      <c r="S1638" s="5" t="s">
        <v>2308</v>
      </c>
      <c r="T1638" s="5" t="s">
        <v>2308</v>
      </c>
      <c r="U1638" s="5" t="s">
        <v>2308</v>
      </c>
      <c r="V1638" s="5" t="s">
        <v>2308</v>
      </c>
      <c r="W1638" s="5" t="s">
        <v>2308</v>
      </c>
      <c r="X1638" s="5" t="s">
        <v>2308</v>
      </c>
      <c r="Y1638" s="5" t="s">
        <v>2308</v>
      </c>
      <c r="Z1638" s="5" t="s">
        <v>2308</v>
      </c>
      <c r="AA1638" s="4"/>
      <c r="AB1638" s="4"/>
    </row>
    <row r="1639" spans="1:28" ht="49" customHeight="1">
      <c r="A1639" s="161" t="str">
        <f>'Reported burning'!A1639</f>
        <v>195s</v>
      </c>
      <c r="B1639" s="161" t="str">
        <f>'Reported burning'!B1639</f>
        <v>195s.1</v>
      </c>
      <c r="C1639" s="161" t="str">
        <f>'Reported burning'!C1639</f>
        <v>Human, deliberate</v>
      </c>
      <c r="D1639" s="161" t="str">
        <f>'Reported burning'!D1639</f>
        <v>ND</v>
      </c>
      <c r="E1639" s="161" t="str">
        <f>'Reported burning'!E1639</f>
        <v>Cattle, Extensive</v>
      </c>
      <c r="F1639" s="161" t="str">
        <f>'Reported burning'!F1639</f>
        <v>ND</v>
      </c>
      <c r="G1639" s="161" t="str">
        <f>'Reported burning'!G1639</f>
        <v>Shrubland (Mixed forest &amp; grassland)</v>
      </c>
      <c r="H1639" s="161" t="str">
        <f>'Reported burning'!H1639</f>
        <v>Presence</v>
      </c>
      <c r="I1639" s="4"/>
      <c r="J1639" s="5" t="s">
        <v>2308</v>
      </c>
      <c r="K1639" s="5" t="s">
        <v>2308</v>
      </c>
      <c r="L1639" s="5" t="s">
        <v>2308</v>
      </c>
      <c r="M1639" s="5" t="s">
        <v>2308</v>
      </c>
      <c r="N1639" s="5" t="s">
        <v>2308</v>
      </c>
      <c r="O1639" s="5" t="s">
        <v>2308</v>
      </c>
      <c r="P1639" s="5" t="s">
        <v>2308</v>
      </c>
      <c r="Q1639" s="5" t="s">
        <v>2308</v>
      </c>
      <c r="R1639" s="5" t="s">
        <v>2308</v>
      </c>
      <c r="S1639" s="5" t="s">
        <v>2308</v>
      </c>
      <c r="T1639" s="5" t="s">
        <v>2308</v>
      </c>
      <c r="U1639" s="5" t="s">
        <v>2308</v>
      </c>
      <c r="V1639" s="5" t="s">
        <v>2308</v>
      </c>
      <c r="W1639" s="5" t="s">
        <v>2308</v>
      </c>
      <c r="X1639" s="5" t="s">
        <v>2308</v>
      </c>
      <c r="Y1639" s="5" t="s">
        <v>2308</v>
      </c>
      <c r="Z1639" s="5" t="s">
        <v>2308</v>
      </c>
      <c r="AA1639" s="4"/>
      <c r="AB1639" s="4"/>
    </row>
    <row r="1640" spans="1:28" ht="49" customHeight="1">
      <c r="A1640" s="161" t="str">
        <f>'Reported burning'!A1640</f>
        <v>195t</v>
      </c>
      <c r="B1640" s="161" t="str">
        <f>'Reported burning'!B1640</f>
        <v>195t.1</v>
      </c>
      <c r="C1640" s="161" t="str">
        <f>'Reported burning'!C1640</f>
        <v>Human, deliberate</v>
      </c>
      <c r="D1640" s="161" t="str">
        <f>'Reported burning'!D1640</f>
        <v>ND</v>
      </c>
      <c r="E1640" s="161" t="str">
        <f>'Reported burning'!E1640</f>
        <v>Cattle, Extensive</v>
      </c>
      <c r="F1640" s="161" t="str">
        <f>'Reported burning'!F1640</f>
        <v>ND</v>
      </c>
      <c r="G1640" s="161" t="str">
        <f>'Reported burning'!G1640</f>
        <v>Shrubland (Mixed forest &amp; grassland)</v>
      </c>
      <c r="H1640" s="161" t="str">
        <f>'Reported burning'!H1640</f>
        <v>Presence</v>
      </c>
      <c r="I1640" s="4"/>
      <c r="J1640" s="5" t="s">
        <v>2308</v>
      </c>
      <c r="K1640" s="5" t="s">
        <v>2308</v>
      </c>
      <c r="L1640" s="5" t="s">
        <v>2308</v>
      </c>
      <c r="M1640" s="5" t="s">
        <v>2308</v>
      </c>
      <c r="N1640" s="5" t="s">
        <v>2308</v>
      </c>
      <c r="O1640" s="5" t="s">
        <v>2308</v>
      </c>
      <c r="P1640" s="5" t="s">
        <v>2308</v>
      </c>
      <c r="Q1640" s="5" t="s">
        <v>2308</v>
      </c>
      <c r="R1640" s="5" t="s">
        <v>2308</v>
      </c>
      <c r="S1640" s="5" t="s">
        <v>2308</v>
      </c>
      <c r="T1640" s="5" t="s">
        <v>2308</v>
      </c>
      <c r="U1640" s="5" t="s">
        <v>2308</v>
      </c>
      <c r="V1640" s="5" t="s">
        <v>2308</v>
      </c>
      <c r="W1640" s="5" t="s">
        <v>2308</v>
      </c>
      <c r="X1640" s="5" t="s">
        <v>2308</v>
      </c>
      <c r="Y1640" s="5" t="s">
        <v>2308</v>
      </c>
      <c r="Z1640" s="5" t="s">
        <v>2308</v>
      </c>
      <c r="AA1640" s="4"/>
      <c r="AB1640" s="4"/>
    </row>
    <row r="1641" spans="1:28" ht="49" customHeight="1">
      <c r="A1641" s="161" t="str">
        <f>'Reported burning'!A1641</f>
        <v>195u</v>
      </c>
      <c r="B1641" s="161" t="str">
        <f>'Reported burning'!B1641</f>
        <v>195u.1</v>
      </c>
      <c r="C1641" s="161" t="str">
        <f>'Reported burning'!C1641</f>
        <v>Human, deliberate</v>
      </c>
      <c r="D1641" s="161" t="str">
        <f>'Reported burning'!D1641</f>
        <v>ND</v>
      </c>
      <c r="E1641" s="161" t="str">
        <f>'Reported burning'!E1641</f>
        <v>Cattle, Extensive</v>
      </c>
      <c r="F1641" s="161" t="str">
        <f>'Reported burning'!F1641</f>
        <v>ND</v>
      </c>
      <c r="G1641" s="161" t="str">
        <f>'Reported burning'!G1641</f>
        <v>Shrubland (Mixed forest &amp; grassland)</v>
      </c>
      <c r="H1641" s="161" t="str">
        <f>'Reported burning'!H1641</f>
        <v>Presence</v>
      </c>
      <c r="I1641" s="4"/>
      <c r="J1641" t="s">
        <v>2399</v>
      </c>
      <c r="K1641" s="5" t="s">
        <v>2308</v>
      </c>
      <c r="L1641" s="5" t="s">
        <v>2308</v>
      </c>
      <c r="M1641" s="5" t="s">
        <v>2308</v>
      </c>
      <c r="N1641" s="5" t="s">
        <v>2308</v>
      </c>
      <c r="O1641" s="5" t="s">
        <v>2308</v>
      </c>
      <c r="P1641" s="5" t="s">
        <v>2308</v>
      </c>
      <c r="Q1641" s="5" t="s">
        <v>2308</v>
      </c>
      <c r="R1641" s="5" t="s">
        <v>2308</v>
      </c>
      <c r="S1641" s="5" t="s">
        <v>2308</v>
      </c>
      <c r="T1641" s="5" t="s">
        <v>2308</v>
      </c>
      <c r="U1641" s="5" t="s">
        <v>2308</v>
      </c>
      <c r="V1641" s="5" t="s">
        <v>2308</v>
      </c>
      <c r="W1641" s="5" t="s">
        <v>2308</v>
      </c>
      <c r="X1641" s="5" t="s">
        <v>2308</v>
      </c>
      <c r="Y1641" s="5" t="s">
        <v>2308</v>
      </c>
      <c r="Z1641" s="5" t="s">
        <v>2308</v>
      </c>
      <c r="AA1641" s="4"/>
      <c r="AB1641" s="4"/>
    </row>
    <row r="1642" spans="1:28" ht="49" customHeight="1">
      <c r="A1642" s="161" t="str">
        <f>'Reported burning'!A1642</f>
        <v>195v</v>
      </c>
      <c r="B1642" s="161" t="str">
        <f>'Reported burning'!B1642</f>
        <v>195v.1</v>
      </c>
      <c r="C1642" s="161" t="str">
        <f>'Reported burning'!C1642</f>
        <v>Human, deliberate</v>
      </c>
      <c r="D1642" s="161" t="str">
        <f>'Reported burning'!D1642</f>
        <v>ND</v>
      </c>
      <c r="E1642" s="161" t="str">
        <f>'Reported burning'!E1642</f>
        <v>Cattle, Extensive</v>
      </c>
      <c r="F1642" s="161" t="str">
        <f>'Reported burning'!F1642</f>
        <v>ND</v>
      </c>
      <c r="G1642" s="161" t="str">
        <f>'Reported burning'!G1642</f>
        <v>Shrubland (Mixed forest &amp; grassland)</v>
      </c>
      <c r="H1642" s="161" t="str">
        <f>'Reported burning'!H1642</f>
        <v>Presence</v>
      </c>
      <c r="I1642" s="4"/>
      <c r="J1642" s="5" t="s">
        <v>2308</v>
      </c>
      <c r="K1642" s="5" t="s">
        <v>2308</v>
      </c>
      <c r="L1642" s="5" t="s">
        <v>2308</v>
      </c>
      <c r="M1642" s="5" t="s">
        <v>2308</v>
      </c>
      <c r="N1642" s="5" t="s">
        <v>2308</v>
      </c>
      <c r="O1642" s="5" t="s">
        <v>2308</v>
      </c>
      <c r="P1642" s="5" t="s">
        <v>2308</v>
      </c>
      <c r="Q1642" s="5" t="s">
        <v>2308</v>
      </c>
      <c r="R1642" s="5" t="s">
        <v>2308</v>
      </c>
      <c r="S1642" s="5" t="s">
        <v>2308</v>
      </c>
      <c r="T1642" s="5" t="s">
        <v>2308</v>
      </c>
      <c r="U1642" s="5" t="s">
        <v>2308</v>
      </c>
      <c r="V1642" s="5" t="s">
        <v>2308</v>
      </c>
      <c r="W1642" s="5" t="s">
        <v>2308</v>
      </c>
      <c r="X1642" s="5" t="s">
        <v>2308</v>
      </c>
      <c r="Y1642" s="5" t="s">
        <v>2308</v>
      </c>
      <c r="Z1642" s="5" t="s">
        <v>2308</v>
      </c>
      <c r="AA1642" s="4"/>
      <c r="AB1642" s="4"/>
    </row>
    <row r="1643" spans="1:28" ht="49" customHeight="1">
      <c r="A1643" s="161" t="str">
        <f>'Reported burning'!A1643</f>
        <v>195w</v>
      </c>
      <c r="B1643" s="161" t="str">
        <f>'Reported burning'!B1643</f>
        <v>195w.1</v>
      </c>
      <c r="C1643" s="161" t="str">
        <f>'Reported burning'!C1643</f>
        <v>Human, deliberate</v>
      </c>
      <c r="D1643" s="161" t="str">
        <f>'Reported burning'!D1643</f>
        <v>ND</v>
      </c>
      <c r="E1643" s="161" t="str">
        <f>'Reported burning'!E1643</f>
        <v>Cattle, Extensive</v>
      </c>
      <c r="F1643" s="161" t="str">
        <f>'Reported burning'!F1643</f>
        <v>ND</v>
      </c>
      <c r="G1643" s="161" t="str">
        <f>'Reported burning'!G1643</f>
        <v>Shrubland (Mixed forest &amp; grassland)</v>
      </c>
      <c r="H1643" s="161" t="str">
        <f>'Reported burning'!H1643</f>
        <v>Presence</v>
      </c>
      <c r="I1643" s="4"/>
      <c r="J1643" s="5" t="s">
        <v>2308</v>
      </c>
      <c r="K1643" s="5" t="s">
        <v>2308</v>
      </c>
      <c r="L1643" s="5" t="s">
        <v>2308</v>
      </c>
      <c r="M1643" s="5" t="s">
        <v>2308</v>
      </c>
      <c r="N1643" s="5" t="s">
        <v>2308</v>
      </c>
      <c r="O1643" s="5" t="s">
        <v>2308</v>
      </c>
      <c r="P1643" s="5" t="s">
        <v>2308</v>
      </c>
      <c r="Q1643" s="5" t="s">
        <v>2308</v>
      </c>
      <c r="R1643" s="5" t="s">
        <v>2308</v>
      </c>
      <c r="S1643" s="5" t="s">
        <v>2308</v>
      </c>
      <c r="T1643" s="5" t="s">
        <v>2308</v>
      </c>
      <c r="U1643" s="5" t="s">
        <v>2308</v>
      </c>
      <c r="V1643" s="5" t="s">
        <v>2308</v>
      </c>
      <c r="W1643" s="5" t="s">
        <v>2308</v>
      </c>
      <c r="X1643" s="5" t="s">
        <v>2308</v>
      </c>
      <c r="Y1643" s="5" t="s">
        <v>2308</v>
      </c>
      <c r="Z1643" s="5" t="s">
        <v>2308</v>
      </c>
      <c r="AA1643" s="4"/>
      <c r="AB1643" s="4"/>
    </row>
    <row r="1644" spans="1:28" ht="49" customHeight="1">
      <c r="A1644" s="161" t="str">
        <f>'Reported burning'!A1644</f>
        <v>195x</v>
      </c>
      <c r="B1644" s="161" t="str">
        <f>'Reported burning'!B1644</f>
        <v>195x.1</v>
      </c>
      <c r="C1644" s="161" t="str">
        <f>'Reported burning'!C1644</f>
        <v>Human, deliberate</v>
      </c>
      <c r="D1644" s="161" t="str">
        <f>'Reported burning'!D1644</f>
        <v>ND</v>
      </c>
      <c r="E1644" s="161" t="str">
        <f>'Reported burning'!E1644</f>
        <v>Cattle, Extensive</v>
      </c>
      <c r="F1644" s="161" t="str">
        <f>'Reported burning'!F1644</f>
        <v>ND</v>
      </c>
      <c r="G1644" s="161" t="str">
        <f>'Reported burning'!G1644</f>
        <v>Shrubland (Mixed forest &amp; grassland)</v>
      </c>
      <c r="H1644" s="161" t="str">
        <f>'Reported burning'!H1644</f>
        <v>Presence</v>
      </c>
      <c r="I1644" s="4"/>
      <c r="J1644" s="5" t="s">
        <v>2308</v>
      </c>
      <c r="K1644" s="5" t="s">
        <v>2308</v>
      </c>
      <c r="L1644" s="5" t="s">
        <v>2308</v>
      </c>
      <c r="M1644" s="5" t="s">
        <v>2308</v>
      </c>
      <c r="N1644" s="5" t="s">
        <v>2308</v>
      </c>
      <c r="O1644" s="5" t="s">
        <v>2308</v>
      </c>
      <c r="P1644" s="5" t="s">
        <v>2308</v>
      </c>
      <c r="Q1644" s="5" t="s">
        <v>2308</v>
      </c>
      <c r="R1644" s="5" t="s">
        <v>2308</v>
      </c>
      <c r="S1644" s="5" t="s">
        <v>2308</v>
      </c>
      <c r="T1644" s="5" t="s">
        <v>2308</v>
      </c>
      <c r="U1644" s="5" t="s">
        <v>2308</v>
      </c>
      <c r="V1644" s="5" t="s">
        <v>2308</v>
      </c>
      <c r="W1644" s="5" t="s">
        <v>2308</v>
      </c>
      <c r="X1644" s="5" t="s">
        <v>2308</v>
      </c>
      <c r="Y1644" s="5" t="s">
        <v>2308</v>
      </c>
      <c r="Z1644" s="5" t="s">
        <v>2308</v>
      </c>
      <c r="AA1644" s="4"/>
      <c r="AB1644" s="4"/>
    </row>
    <row r="1645" spans="1:28" ht="49" customHeight="1">
      <c r="A1645" s="161" t="str">
        <f>'Reported burning'!A1645</f>
        <v>195y</v>
      </c>
      <c r="B1645" s="161" t="str">
        <f>'Reported burning'!B1645</f>
        <v>195y.1</v>
      </c>
      <c r="C1645" s="161" t="str">
        <f>'Reported burning'!C1645</f>
        <v>Human, deliberate</v>
      </c>
      <c r="D1645" s="161" t="str">
        <f>'Reported burning'!D1645</f>
        <v>ND</v>
      </c>
      <c r="E1645" s="161" t="str">
        <f>'Reported burning'!E1645</f>
        <v>Cattle, Extensive</v>
      </c>
      <c r="F1645" s="161" t="str">
        <f>'Reported burning'!F1645</f>
        <v>ND</v>
      </c>
      <c r="G1645" s="161" t="str">
        <f>'Reported burning'!G1645</f>
        <v>Shrubland (Mixed forest &amp; grassland)</v>
      </c>
      <c r="H1645" s="161" t="str">
        <f>'Reported burning'!H1645</f>
        <v>Presence</v>
      </c>
      <c r="I1645" s="4"/>
      <c r="J1645" s="5" t="s">
        <v>2308</v>
      </c>
      <c r="K1645" s="5" t="s">
        <v>2308</v>
      </c>
      <c r="L1645" s="5" t="s">
        <v>2308</v>
      </c>
      <c r="M1645" s="5" t="s">
        <v>2308</v>
      </c>
      <c r="N1645" s="5" t="s">
        <v>2308</v>
      </c>
      <c r="O1645" s="5" t="s">
        <v>2308</v>
      </c>
      <c r="P1645" s="5" t="s">
        <v>2308</v>
      </c>
      <c r="Q1645" s="5" t="s">
        <v>2308</v>
      </c>
      <c r="R1645" s="5" t="s">
        <v>2308</v>
      </c>
      <c r="S1645" s="5" t="s">
        <v>2308</v>
      </c>
      <c r="T1645" s="5" t="s">
        <v>2308</v>
      </c>
      <c r="U1645" s="5" t="s">
        <v>2308</v>
      </c>
      <c r="V1645" s="5" t="s">
        <v>2308</v>
      </c>
      <c r="W1645" s="5" t="s">
        <v>2308</v>
      </c>
      <c r="X1645" s="5" t="s">
        <v>2308</v>
      </c>
      <c r="Y1645" s="5" t="s">
        <v>2308</v>
      </c>
      <c r="Z1645" s="5" t="s">
        <v>2308</v>
      </c>
      <c r="AA1645" s="4"/>
      <c r="AB1645" s="4"/>
    </row>
    <row r="1646" spans="1:28" ht="38" customHeight="1">
      <c r="A1646" s="161" t="str">
        <f>'Reported burning'!A1646</f>
        <v>197a</v>
      </c>
      <c r="B1646" s="161" t="str">
        <f>'Reported burning'!B1646</f>
        <v>197a.1</v>
      </c>
      <c r="C1646" s="161" t="str">
        <f>'Reported burning'!C1646</f>
        <v>All</v>
      </c>
      <c r="D1646" s="161" t="str">
        <f>'Reported burning'!D1646</f>
        <v>All</v>
      </c>
      <c r="E1646" s="161" t="str">
        <f>'Reported burning'!E1646</f>
        <v>All</v>
      </c>
      <c r="F1646" s="161" t="str">
        <f>'Reported burning'!F1646</f>
        <v>All</v>
      </c>
      <c r="G1646" s="161" t="str">
        <f>'Reported burning'!G1646</f>
        <v>All</v>
      </c>
      <c r="H1646" s="161" t="str">
        <f>'Reported burning'!H1646</f>
        <v>Presence</v>
      </c>
      <c r="I1646" s="4"/>
      <c r="J1646" s="5" t="s">
        <v>2308</v>
      </c>
      <c r="K1646" s="5" t="s">
        <v>2308</v>
      </c>
      <c r="L1646" s="5" t="s">
        <v>2308</v>
      </c>
      <c r="M1646" s="5" t="s">
        <v>2308</v>
      </c>
      <c r="N1646" s="5" t="s">
        <v>2308</v>
      </c>
      <c r="O1646" s="5" t="s">
        <v>2308</v>
      </c>
      <c r="P1646" s="5" t="s">
        <v>2308</v>
      </c>
      <c r="Q1646" s="5" t="s">
        <v>2308</v>
      </c>
      <c r="R1646" t="s">
        <v>2394</v>
      </c>
      <c r="S1646" s="5" t="s">
        <v>2308</v>
      </c>
      <c r="T1646" s="5" t="s">
        <v>2308</v>
      </c>
      <c r="U1646" s="5" t="s">
        <v>2308</v>
      </c>
      <c r="V1646" s="5" t="s">
        <v>2308</v>
      </c>
      <c r="W1646" s="5" t="s">
        <v>2308</v>
      </c>
      <c r="X1646" s="4" t="s">
        <v>34</v>
      </c>
      <c r="Y1646" s="4" t="s">
        <v>68</v>
      </c>
      <c r="Z1646" s="4" t="s">
        <v>2688</v>
      </c>
      <c r="AA1646" s="4"/>
      <c r="AB1646" s="4" t="s">
        <v>5008</v>
      </c>
    </row>
    <row r="1647" spans="1:28" ht="38" customHeight="1">
      <c r="A1647" s="161" t="str">
        <f>'Reported burning'!A1647</f>
        <v>197a</v>
      </c>
      <c r="B1647" s="161" t="str">
        <f>'Reported burning'!B1647</f>
        <v>197a.2</v>
      </c>
      <c r="C1647" s="161" t="str">
        <f>'Reported burning'!C1647</f>
        <v>All</v>
      </c>
      <c r="D1647" s="161" t="str">
        <f>'Reported burning'!D1647</f>
        <v>ND</v>
      </c>
      <c r="E1647" s="161" t="str">
        <f>'Reported burning'!E1647</f>
        <v>Cropping, Monoculture, Market-oriented</v>
      </c>
      <c r="F1647" s="161" t="str">
        <f>'Reported burning'!F1647</f>
        <v>Cropland</v>
      </c>
      <c r="G1647" s="161" t="str">
        <f>'Reported burning'!G1647</f>
        <v>Cropland</v>
      </c>
      <c r="H1647" s="161" t="str">
        <f>'Reported burning'!H1647</f>
        <v>Presence</v>
      </c>
      <c r="I1647" s="4"/>
      <c r="J1647" t="s">
        <v>2402</v>
      </c>
      <c r="K1647" s="5" t="s">
        <v>2308</v>
      </c>
      <c r="L1647" s="5" t="s">
        <v>2308</v>
      </c>
      <c r="M1647" s="5" t="s">
        <v>2308</v>
      </c>
      <c r="N1647" s="5" t="s">
        <v>2308</v>
      </c>
      <c r="O1647" s="5" t="s">
        <v>2308</v>
      </c>
      <c r="P1647" t="s">
        <v>2406</v>
      </c>
      <c r="Q1647" s="5" t="s">
        <v>2308</v>
      </c>
      <c r="R1647" s="5" t="s">
        <v>2308</v>
      </c>
      <c r="S1647" s="5" t="s">
        <v>2308</v>
      </c>
      <c r="T1647" s="5" t="s">
        <v>2308</v>
      </c>
      <c r="U1647" s="5" t="s">
        <v>2308</v>
      </c>
      <c r="V1647" s="5" t="s">
        <v>2308</v>
      </c>
      <c r="W1647" s="5" t="s">
        <v>2308</v>
      </c>
      <c r="X1647" s="4" t="s">
        <v>34</v>
      </c>
      <c r="Y1647" s="4" t="s">
        <v>68</v>
      </c>
      <c r="Z1647" s="4" t="s">
        <v>2688</v>
      </c>
      <c r="AA1647" s="5" t="s">
        <v>5006</v>
      </c>
      <c r="AB1647" s="5" t="s">
        <v>5012</v>
      </c>
    </row>
    <row r="1648" spans="1:28" ht="38" customHeight="1">
      <c r="A1648" s="161" t="str">
        <f>'Reported burning'!A1648</f>
        <v>197a</v>
      </c>
      <c r="B1648" s="161" t="str">
        <f>'Reported burning'!B1648</f>
        <v>197a.3</v>
      </c>
      <c r="C1648" s="161" t="str">
        <f>'Reported burning'!C1648</f>
        <v>Human, deliberate</v>
      </c>
      <c r="D1648" s="161" t="str">
        <f>'Reported burning'!D1648</f>
        <v>Crop residue burning</v>
      </c>
      <c r="E1648" s="161" t="str">
        <f>'Reported burning'!E1648</f>
        <v>Cropping, Monoculture, Market-oriented</v>
      </c>
      <c r="F1648" s="161" t="str">
        <f>'Reported burning'!F1648</f>
        <v>Cropland</v>
      </c>
      <c r="G1648" s="161" t="str">
        <f>'Reported burning'!G1648</f>
        <v>ND</v>
      </c>
      <c r="H1648" s="161" t="str">
        <f>'Reported burning'!H1648</f>
        <v>Presence</v>
      </c>
      <c r="I1648" s="4"/>
      <c r="J1648" s="5" t="s">
        <v>2308</v>
      </c>
      <c r="K1648" s="5" t="s">
        <v>2308</v>
      </c>
      <c r="L1648" s="5" t="s">
        <v>2308</v>
      </c>
      <c r="M1648" s="5" t="s">
        <v>2308</v>
      </c>
      <c r="N1648" s="5" t="s">
        <v>2308</v>
      </c>
      <c r="O1648" s="5" t="s">
        <v>2308</v>
      </c>
      <c r="P1648" s="5" t="s">
        <v>2308</v>
      </c>
      <c r="Q1648" s="5" t="s">
        <v>2308</v>
      </c>
      <c r="R1648" s="5" t="s">
        <v>2308</v>
      </c>
      <c r="S1648" s="5" t="s">
        <v>2308</v>
      </c>
      <c r="T1648" s="5" t="s">
        <v>2308</v>
      </c>
      <c r="U1648" s="5" t="s">
        <v>2308</v>
      </c>
      <c r="V1648" s="5" t="s">
        <v>2308</v>
      </c>
      <c r="W1648" s="5" t="s">
        <v>2308</v>
      </c>
      <c r="X1648" s="4" t="s">
        <v>34</v>
      </c>
      <c r="Y1648" s="4" t="s">
        <v>68</v>
      </c>
      <c r="Z1648" s="4" t="s">
        <v>2688</v>
      </c>
      <c r="AA1648" s="5" t="s">
        <v>5006</v>
      </c>
      <c r="AB1648" s="5" t="s">
        <v>5012</v>
      </c>
    </row>
    <row r="1649" spans="1:28" ht="54" customHeight="1">
      <c r="A1649" s="161" t="str">
        <f>'Reported burning'!A1649</f>
        <v>197a</v>
      </c>
      <c r="B1649" s="161" t="str">
        <f>'Reported burning'!B1649</f>
        <v>197a.4</v>
      </c>
      <c r="C1649" s="161" t="str">
        <f>'Reported burning'!C1649</f>
        <v>All</v>
      </c>
      <c r="D1649" s="161" t="str">
        <f>'Reported burning'!D1649</f>
        <v>All</v>
      </c>
      <c r="E1649" s="161" t="str">
        <f>'Reported burning'!E1649</f>
        <v>Agroforestry, Market-oriented</v>
      </c>
      <c r="F1649" s="161" t="str">
        <f>'Reported burning'!F1649</f>
        <v>ND</v>
      </c>
      <c r="G1649" s="161" t="str">
        <f>'Reported burning'!G1649</f>
        <v>Cropland</v>
      </c>
      <c r="H1649" s="161" t="str">
        <f>'Reported burning'!H1649</f>
        <v>Presence</v>
      </c>
      <c r="I1649" s="4"/>
      <c r="J1649" s="4" t="s">
        <v>2403</v>
      </c>
      <c r="K1649" s="5" t="s">
        <v>2308</v>
      </c>
      <c r="L1649" s="5" t="s">
        <v>2308</v>
      </c>
      <c r="M1649" s="5" t="s">
        <v>2308</v>
      </c>
      <c r="N1649" s="5" t="s">
        <v>2308</v>
      </c>
      <c r="O1649" s="5" t="s">
        <v>2308</v>
      </c>
      <c r="P1649" s="4" t="s">
        <v>2407</v>
      </c>
      <c r="Q1649" s="5" t="s">
        <v>2308</v>
      </c>
      <c r="R1649" s="5" t="s">
        <v>2308</v>
      </c>
      <c r="S1649" s="5" t="s">
        <v>2308</v>
      </c>
      <c r="T1649" s="5" t="s">
        <v>2308</v>
      </c>
      <c r="U1649" s="5" t="s">
        <v>2308</v>
      </c>
      <c r="V1649" s="5" t="s">
        <v>2308</v>
      </c>
      <c r="W1649" s="5" t="s">
        <v>2308</v>
      </c>
      <c r="X1649" s="4" t="s">
        <v>34</v>
      </c>
      <c r="Y1649" s="4" t="s">
        <v>68</v>
      </c>
      <c r="Z1649" s="4" t="s">
        <v>2688</v>
      </c>
      <c r="AA1649" s="5"/>
      <c r="AB1649" s="5" t="s">
        <v>5011</v>
      </c>
    </row>
    <row r="1650" spans="1:28" ht="46.5" customHeight="1">
      <c r="A1650" s="161" t="str">
        <f>'Reported burning'!A1650</f>
        <v>197a</v>
      </c>
      <c r="B1650" s="161" t="str">
        <f>'Reported burning'!B1650</f>
        <v>197a.5</v>
      </c>
      <c r="C1650" s="161" t="str">
        <f>'Reported burning'!C1650</f>
        <v>All</v>
      </c>
      <c r="D1650" s="161" t="str">
        <f>'Reported burning'!D1650</f>
        <v>All</v>
      </c>
      <c r="E1650" s="161" t="str">
        <f>'Reported burning'!E1650</f>
        <v>Cattle, Extensive</v>
      </c>
      <c r="F1650" s="161" t="str">
        <f>'Reported burning'!F1650</f>
        <v>ND</v>
      </c>
      <c r="G1650" s="161" t="str">
        <f>'Reported burning'!G1650</f>
        <v>Pasture</v>
      </c>
      <c r="H1650" s="161" t="str">
        <f>'Reported burning'!H1650</f>
        <v>Presence</v>
      </c>
      <c r="I1650" s="4"/>
      <c r="J1650" s="4" t="s">
        <v>2401</v>
      </c>
      <c r="K1650" s="5" t="s">
        <v>2308</v>
      </c>
      <c r="L1650" s="5" t="s">
        <v>2308</v>
      </c>
      <c r="M1650" s="5" t="s">
        <v>2308</v>
      </c>
      <c r="N1650" s="5" t="s">
        <v>2308</v>
      </c>
      <c r="O1650" s="5" t="s">
        <v>2308</v>
      </c>
      <c r="P1650" s="4" t="s">
        <v>2408</v>
      </c>
      <c r="Q1650" s="5" t="s">
        <v>2308</v>
      </c>
      <c r="R1650" s="5" t="s">
        <v>2308</v>
      </c>
      <c r="S1650" s="5" t="s">
        <v>2308</v>
      </c>
      <c r="T1650" s="5" t="s">
        <v>2308</v>
      </c>
      <c r="U1650" s="5" t="s">
        <v>2308</v>
      </c>
      <c r="V1650" s="5" t="s">
        <v>2308</v>
      </c>
      <c r="W1650" s="5" t="s">
        <v>2308</v>
      </c>
      <c r="X1650" s="4" t="s">
        <v>34</v>
      </c>
      <c r="Y1650" s="4" t="s">
        <v>68</v>
      </c>
      <c r="Z1650" s="4" t="s">
        <v>2688</v>
      </c>
      <c r="AA1650" s="5"/>
      <c r="AB1650" s="5" t="s">
        <v>5012</v>
      </c>
    </row>
    <row r="1651" spans="1:28" ht="34.5" customHeight="1">
      <c r="A1651" s="161" t="str">
        <f>'Reported burning'!A1651</f>
        <v>197a</v>
      </c>
      <c r="B1651" s="161" t="str">
        <f>'Reported burning'!B1651</f>
        <v>197a.6</v>
      </c>
      <c r="C1651" s="161" t="str">
        <f>'Reported burning'!C1651</f>
        <v>All</v>
      </c>
      <c r="D1651" s="161" t="str">
        <f>'Reported burning'!D1651</f>
        <v>All</v>
      </c>
      <c r="E1651" s="161" t="str">
        <f>'Reported burning'!E1651</f>
        <v>ND</v>
      </c>
      <c r="F1651" s="161" t="str">
        <f>'Reported burning'!F1651</f>
        <v>ND</v>
      </c>
      <c r="G1651" s="161" t="str">
        <f>'Reported burning'!G1651</f>
        <v>Forest</v>
      </c>
      <c r="H1651" s="161" t="str">
        <f>'Reported burning'!H1651</f>
        <v>Presence</v>
      </c>
      <c r="I1651" s="4"/>
      <c r="J1651" s="5" t="s">
        <v>2308</v>
      </c>
      <c r="K1651" s="5" t="s">
        <v>2308</v>
      </c>
      <c r="L1651" s="5" t="s">
        <v>2308</v>
      </c>
      <c r="M1651" s="5" t="s">
        <v>2308</v>
      </c>
      <c r="N1651" s="5" t="s">
        <v>2308</v>
      </c>
      <c r="O1651" s="5" t="s">
        <v>2308</v>
      </c>
      <c r="P1651" s="5" t="s">
        <v>2308</v>
      </c>
      <c r="Q1651" s="5" t="s">
        <v>2308</v>
      </c>
      <c r="R1651" s="5" t="s">
        <v>2308</v>
      </c>
      <c r="S1651" s="5" t="s">
        <v>2308</v>
      </c>
      <c r="T1651" s="5" t="s">
        <v>2308</v>
      </c>
      <c r="U1651" s="5" t="s">
        <v>2308</v>
      </c>
      <c r="V1651" s="5" t="s">
        <v>2308</v>
      </c>
      <c r="W1651" s="5" t="s">
        <v>2308</v>
      </c>
      <c r="X1651" s="4" t="s">
        <v>34</v>
      </c>
      <c r="Y1651" s="4" t="s">
        <v>68</v>
      </c>
      <c r="Z1651" s="4" t="s">
        <v>2688</v>
      </c>
      <c r="AA1651" s="4"/>
      <c r="AB1651" s="5" t="s">
        <v>5012</v>
      </c>
    </row>
    <row r="1652" spans="1:28" ht="34.5" customHeight="1">
      <c r="A1652" s="161" t="str">
        <f>'Reported burning'!A1652</f>
        <v>197a</v>
      </c>
      <c r="B1652" s="161" t="str">
        <f>'Reported burning'!B1652</f>
        <v>197a.7</v>
      </c>
      <c r="C1652" s="161" t="str">
        <f>'Reported burning'!C1652</f>
        <v>All</v>
      </c>
      <c r="D1652" s="161" t="str">
        <f>'Reported burning'!D1652</f>
        <v>All</v>
      </c>
      <c r="E1652" s="161" t="str">
        <f>'Reported burning'!E1652</f>
        <v>ND</v>
      </c>
      <c r="F1652" s="161" t="str">
        <f>'Reported burning'!F1652</f>
        <v>ND</v>
      </c>
      <c r="G1652" s="161" t="str">
        <f>'Reported burning'!G1652</f>
        <v>Forest</v>
      </c>
      <c r="H1652" s="161" t="str">
        <f>'Reported burning'!H1652</f>
        <v>Presence</v>
      </c>
      <c r="I1652" s="4"/>
      <c r="J1652" s="5" t="s">
        <v>2308</v>
      </c>
      <c r="K1652" s="5" t="s">
        <v>2308</v>
      </c>
      <c r="L1652" s="5" t="s">
        <v>2308</v>
      </c>
      <c r="M1652" s="5" t="s">
        <v>2308</v>
      </c>
      <c r="N1652" s="5" t="s">
        <v>2308</v>
      </c>
      <c r="O1652" s="5" t="s">
        <v>2308</v>
      </c>
      <c r="P1652" s="5" t="s">
        <v>2308</v>
      </c>
      <c r="Q1652" s="5" t="s">
        <v>2308</v>
      </c>
      <c r="R1652" s="5" t="s">
        <v>2308</v>
      </c>
      <c r="S1652" s="5" t="s">
        <v>2308</v>
      </c>
      <c r="T1652" s="5" t="s">
        <v>2308</v>
      </c>
      <c r="U1652" s="5" t="s">
        <v>2308</v>
      </c>
      <c r="V1652" s="5" t="s">
        <v>2308</v>
      </c>
      <c r="W1652" s="5" t="s">
        <v>2308</v>
      </c>
      <c r="X1652" s="4" t="s">
        <v>34</v>
      </c>
      <c r="Y1652" s="4" t="s">
        <v>68</v>
      </c>
      <c r="Z1652" s="4" t="s">
        <v>2688</v>
      </c>
      <c r="AA1652" s="4"/>
      <c r="AB1652" s="5" t="s">
        <v>5012</v>
      </c>
    </row>
    <row r="1653" spans="1:28" ht="61.5" customHeight="1">
      <c r="A1653" s="161" t="str">
        <f>'Reported burning'!A1653</f>
        <v>198a</v>
      </c>
      <c r="B1653" s="161" t="str">
        <f>'Reported burning'!B1653</f>
        <v>198a.1</v>
      </c>
      <c r="C1653" s="161" t="str">
        <f>'Reported burning'!C1653</f>
        <v>Human, deliberate</v>
      </c>
      <c r="D1653" s="161" t="str">
        <f>'Reported burning'!D1653</f>
        <v>Charcoal production</v>
      </c>
      <c r="E1653" s="161" t="str">
        <f>'Reported burning'!E1653</f>
        <v>Forestry, Small-scale</v>
      </c>
      <c r="F1653" s="161" t="str">
        <f>'Reported burning'!F1653</f>
        <v>Forest</v>
      </c>
      <c r="G1653" s="161" t="str">
        <f>'Reported burning'!G1653</f>
        <v>ND</v>
      </c>
      <c r="H1653" s="161" t="str">
        <f>'Reported burning'!H1653</f>
        <v>Presence</v>
      </c>
      <c r="I1653" s="4"/>
      <c r="J1653" s="5" t="s">
        <v>2308</v>
      </c>
      <c r="K1653" s="5" t="s">
        <v>2308</v>
      </c>
      <c r="L1653" s="5" t="s">
        <v>2308</v>
      </c>
      <c r="M1653" s="5" t="s">
        <v>2308</v>
      </c>
      <c r="N1653" s="5" t="s">
        <v>2308</v>
      </c>
      <c r="O1653" s="5" t="s">
        <v>2308</v>
      </c>
      <c r="P1653" s="5" t="s">
        <v>2308</v>
      </c>
      <c r="Q1653" s="5" t="s">
        <v>2308</v>
      </c>
      <c r="R1653" s="5" t="s">
        <v>2308</v>
      </c>
      <c r="S1653" s="5" t="s">
        <v>2308</v>
      </c>
      <c r="T1653" s="5" t="s">
        <v>2308</v>
      </c>
      <c r="U1653" s="5" t="s">
        <v>2308</v>
      </c>
      <c r="V1653" s="5" t="s">
        <v>2308</v>
      </c>
      <c r="W1653" s="5" t="s">
        <v>2308</v>
      </c>
      <c r="X1653" s="5" t="s">
        <v>2308</v>
      </c>
      <c r="Y1653" s="5" t="s">
        <v>2308</v>
      </c>
      <c r="Z1653" s="5" t="s">
        <v>2308</v>
      </c>
      <c r="AA1653" s="4"/>
      <c r="AB1653" s="4"/>
    </row>
    <row r="1654" spans="1:28" ht="82" customHeight="1">
      <c r="A1654" s="161" t="str">
        <f>'Reported burning'!A1654</f>
        <v>198b</v>
      </c>
      <c r="B1654" s="161" t="str">
        <f>'Reported burning'!B1654</f>
        <v>198b.1</v>
      </c>
      <c r="C1654" s="161" t="str">
        <f>'Reported burning'!C1654</f>
        <v>Human, deliberate</v>
      </c>
      <c r="D1654" s="161" t="str">
        <f>'Reported burning'!D1654</f>
        <v>Pasture renewal</v>
      </c>
      <c r="E1654" s="161" t="str">
        <f>'Reported burning'!E1654</f>
        <v>Pastoralism, Migratory</v>
      </c>
      <c r="F1654" s="161" t="str">
        <f>'Reported burning'!F1654</f>
        <v>Shrubland (Mixed forest &amp; grassland)</v>
      </c>
      <c r="G1654" s="161" t="str">
        <f>'Reported burning'!G1654</f>
        <v>ND</v>
      </c>
      <c r="H1654" s="161" t="str">
        <f>'Reported burning'!H1654</f>
        <v>Absence</v>
      </c>
      <c r="I1654" s="4"/>
      <c r="J1654" s="4">
        <v>0</v>
      </c>
      <c r="K1654" s="4">
        <v>0</v>
      </c>
      <c r="L1654" s="4">
        <v>0</v>
      </c>
      <c r="M1654" s="4">
        <v>0</v>
      </c>
      <c r="N1654" s="4">
        <v>0</v>
      </c>
      <c r="O1654" s="4">
        <v>0</v>
      </c>
      <c r="P1654" s="4">
        <v>0</v>
      </c>
      <c r="Q1654" s="4">
        <v>0</v>
      </c>
      <c r="R1654" s="4">
        <v>0</v>
      </c>
      <c r="S1654" s="4">
        <v>0</v>
      </c>
      <c r="T1654" s="4">
        <v>0</v>
      </c>
      <c r="U1654" s="4">
        <v>0</v>
      </c>
      <c r="V1654" s="4">
        <v>0</v>
      </c>
      <c r="W1654" s="5" t="s">
        <v>2308</v>
      </c>
      <c r="X1654" s="5" t="s">
        <v>2308</v>
      </c>
      <c r="Y1654" s="5" t="s">
        <v>2308</v>
      </c>
      <c r="Z1654" s="5" t="s">
        <v>2308</v>
      </c>
      <c r="AA1654" s="5" t="s">
        <v>5027</v>
      </c>
      <c r="AB1654" s="4"/>
    </row>
    <row r="1655" spans="1:28" ht="42" customHeight="1">
      <c r="A1655" s="165" t="str">
        <f>'Reported burning'!A1655</f>
        <v>199a</v>
      </c>
      <c r="B1655" s="165" t="str">
        <f>'Reported burning'!B1655</f>
        <v>199a.1</v>
      </c>
      <c r="C1655" s="165" t="str">
        <f>'Reported burning'!C1655</f>
        <v>Human, deliberate</v>
      </c>
      <c r="D1655" s="165" t="str">
        <f>'Reported burning'!D1655</f>
        <v>Pasture renewal</v>
      </c>
      <c r="E1655" s="165" t="str">
        <f>'Reported burning'!E1655</f>
        <v>Pastoralism, Migratory</v>
      </c>
      <c r="F1655" s="165" t="str">
        <f>'Reported burning'!F1655</f>
        <v>Shrubland (Mixed forest &amp; grassland)</v>
      </c>
      <c r="G1655" s="165" t="str">
        <f>'Reported burning'!G1655</f>
        <v>ND</v>
      </c>
      <c r="H1655" s="165" t="str">
        <f>'Reported burning'!H1655</f>
        <v>Presence</v>
      </c>
      <c r="I1655" s="6">
        <v>1976</v>
      </c>
      <c r="J1655" s="7" t="s">
        <v>2308</v>
      </c>
      <c r="K1655" s="7" t="s">
        <v>2308</v>
      </c>
      <c r="L1655" s="7" t="s">
        <v>2308</v>
      </c>
      <c r="M1655" s="7" t="s">
        <v>2308</v>
      </c>
      <c r="N1655" s="7" t="s">
        <v>2308</v>
      </c>
      <c r="O1655" s="7" t="s">
        <v>2308</v>
      </c>
      <c r="P1655" s="7" t="s">
        <v>2308</v>
      </c>
      <c r="Q1655" s="7" t="s">
        <v>2308</v>
      </c>
      <c r="R1655" s="7" t="s">
        <v>2308</v>
      </c>
      <c r="S1655" s="7" t="s">
        <v>2308</v>
      </c>
      <c r="T1655" s="7" t="s">
        <v>2308</v>
      </c>
      <c r="U1655" s="7" t="s">
        <v>2308</v>
      </c>
      <c r="V1655" s="7" t="s">
        <v>2308</v>
      </c>
      <c r="W1655" s="7" t="s">
        <v>2308</v>
      </c>
      <c r="X1655" s="7" t="s">
        <v>2308</v>
      </c>
      <c r="Y1655" s="7" t="s">
        <v>2308</v>
      </c>
      <c r="Z1655" s="5" t="s">
        <v>2308</v>
      </c>
      <c r="AA1655" s="4"/>
      <c r="AB1655" s="4"/>
    </row>
    <row r="1656" spans="1:28" ht="42" customHeight="1">
      <c r="A1656" s="161" t="str">
        <f>'Reported burning'!A1656</f>
        <v>199a</v>
      </c>
      <c r="B1656" s="161" t="str">
        <f>'Reported burning'!B1656</f>
        <v>199a.2</v>
      </c>
      <c r="C1656" s="161" t="str">
        <f>'Reported burning'!C1656</f>
        <v>Human, deliberate</v>
      </c>
      <c r="D1656" s="161" t="str">
        <f>'Reported burning'!D1656</f>
        <v>Pest management</v>
      </c>
      <c r="E1656" s="161" t="str">
        <f>'Reported burning'!E1656</f>
        <v>Pastoralism, Migratory</v>
      </c>
      <c r="F1656" s="161" t="str">
        <f>'Reported burning'!F1656</f>
        <v>Shrubland (Mixed forest &amp; grassland)</v>
      </c>
      <c r="G1656" s="161" t="str">
        <f>'Reported burning'!G1656</f>
        <v>ND</v>
      </c>
      <c r="H1656" s="161" t="str">
        <f>'Reported burning'!H1656</f>
        <v>Presence</v>
      </c>
      <c r="I1656" s="4">
        <v>1976</v>
      </c>
      <c r="J1656" s="5" t="s">
        <v>2308</v>
      </c>
      <c r="K1656" s="5" t="s">
        <v>2308</v>
      </c>
      <c r="L1656" s="5" t="s">
        <v>2308</v>
      </c>
      <c r="M1656" s="5" t="s">
        <v>2308</v>
      </c>
      <c r="N1656" s="5" t="s">
        <v>2308</v>
      </c>
      <c r="O1656" s="5" t="s">
        <v>2308</v>
      </c>
      <c r="P1656" s="5" t="s">
        <v>2308</v>
      </c>
      <c r="Q1656" s="5" t="s">
        <v>2308</v>
      </c>
      <c r="R1656" s="5" t="s">
        <v>2308</v>
      </c>
      <c r="S1656" s="5" t="s">
        <v>2308</v>
      </c>
      <c r="T1656" s="5" t="s">
        <v>2308</v>
      </c>
      <c r="U1656" s="5" t="s">
        <v>2308</v>
      </c>
      <c r="V1656" s="5" t="s">
        <v>2308</v>
      </c>
      <c r="W1656" s="5" t="s">
        <v>2308</v>
      </c>
      <c r="X1656" s="4" t="s">
        <v>38</v>
      </c>
      <c r="Y1656" s="4" t="s">
        <v>68</v>
      </c>
      <c r="Z1656" s="5" t="s">
        <v>2308</v>
      </c>
      <c r="AA1656" s="4"/>
      <c r="AB1656" s="4"/>
    </row>
    <row r="1657" spans="1:28" ht="42" customHeight="1">
      <c r="A1657" s="161" t="str">
        <f>'Reported burning'!A1657</f>
        <v>199a</v>
      </c>
      <c r="B1657" s="161" t="str">
        <f>'Reported burning'!B1657</f>
        <v>199a.3</v>
      </c>
      <c r="C1657" s="161" t="str">
        <f>'Reported burning'!C1657</f>
        <v>Human, deliberate</v>
      </c>
      <c r="D1657" s="161" t="str">
        <f>'Reported burning'!D1657</f>
        <v>Hunting</v>
      </c>
      <c r="E1657" s="161" t="str">
        <f>'Reported burning'!E1657</f>
        <v>Forestry, Traditional</v>
      </c>
      <c r="F1657" s="161" t="str">
        <f>'Reported burning'!F1657</f>
        <v>Shrubland (Mixed forest &amp; grassland)</v>
      </c>
      <c r="G1657" s="161" t="str">
        <f>'Reported burning'!G1657</f>
        <v>ND</v>
      </c>
      <c r="H1657" s="161" t="str">
        <f>'Reported burning'!H1657</f>
        <v>Presence</v>
      </c>
      <c r="I1657" s="4">
        <v>1976</v>
      </c>
      <c r="J1657" s="5" t="s">
        <v>2308</v>
      </c>
      <c r="K1657" s="5" t="s">
        <v>2308</v>
      </c>
      <c r="L1657" s="5" t="s">
        <v>2308</v>
      </c>
      <c r="M1657" s="5" t="s">
        <v>2308</v>
      </c>
      <c r="N1657" s="5" t="s">
        <v>2308</v>
      </c>
      <c r="O1657" s="5" t="s">
        <v>2308</v>
      </c>
      <c r="P1657" s="5" t="s">
        <v>2308</v>
      </c>
      <c r="Q1657" s="5" t="s">
        <v>2308</v>
      </c>
      <c r="R1657" s="5" t="s">
        <v>2308</v>
      </c>
      <c r="S1657" s="5" t="s">
        <v>2308</v>
      </c>
      <c r="T1657" s="5" t="s">
        <v>2308</v>
      </c>
      <c r="U1657" s="5" t="s">
        <v>2308</v>
      </c>
      <c r="V1657" s="5" t="s">
        <v>2308</v>
      </c>
      <c r="W1657" s="5" t="s">
        <v>2308</v>
      </c>
      <c r="X1657" s="5" t="s">
        <v>2308</v>
      </c>
      <c r="Y1657" s="5" t="s">
        <v>2308</v>
      </c>
      <c r="Z1657" s="5" t="s">
        <v>2308</v>
      </c>
      <c r="AA1657" s="4"/>
      <c r="AB1657" s="4"/>
    </row>
    <row r="1658" spans="1:28" ht="42" customHeight="1">
      <c r="A1658" s="161" t="str">
        <f>'Reported burning'!A1658</f>
        <v>199a</v>
      </c>
      <c r="B1658" s="161" t="str">
        <f>'Reported burning'!B1658</f>
        <v>199a.4</v>
      </c>
      <c r="C1658" s="161" t="str">
        <f>'Reported burning'!C1658</f>
        <v>Human, deliberate</v>
      </c>
      <c r="D1658" s="161" t="str">
        <f>'Reported burning'!D1658</f>
        <v>Pasture renewal</v>
      </c>
      <c r="E1658" s="161" t="str">
        <f>'Reported burning'!E1658</f>
        <v>Pastoralism, Migratory</v>
      </c>
      <c r="F1658" s="161" t="str">
        <f>'Reported burning'!F1658</f>
        <v>Shrubland (Mixed forest &amp; grassland)</v>
      </c>
      <c r="G1658" s="161" t="str">
        <f>'Reported burning'!G1658</f>
        <v>ND</v>
      </c>
      <c r="H1658" s="161" t="str">
        <f>'Reported burning'!H1658</f>
        <v>Absence</v>
      </c>
      <c r="I1658" s="4">
        <v>1980</v>
      </c>
      <c r="J1658" s="22">
        <v>0</v>
      </c>
      <c r="K1658" s="22">
        <v>0</v>
      </c>
      <c r="L1658" s="22">
        <v>0</v>
      </c>
      <c r="M1658" s="22">
        <v>0</v>
      </c>
      <c r="N1658" s="22">
        <v>0</v>
      </c>
      <c r="O1658" s="22">
        <v>0</v>
      </c>
      <c r="P1658" s="22">
        <v>0</v>
      </c>
      <c r="Q1658" s="22">
        <v>0</v>
      </c>
      <c r="R1658" s="22">
        <v>0</v>
      </c>
      <c r="S1658" s="22">
        <v>0</v>
      </c>
      <c r="T1658" s="22">
        <v>0</v>
      </c>
      <c r="U1658" s="22">
        <v>0</v>
      </c>
      <c r="V1658" s="22">
        <v>0</v>
      </c>
      <c r="W1658" s="5" t="s">
        <v>2308</v>
      </c>
      <c r="X1658" s="5" t="s">
        <v>2308</v>
      </c>
      <c r="Y1658" s="5" t="s">
        <v>2308</v>
      </c>
      <c r="Z1658" s="5" t="s">
        <v>2308</v>
      </c>
      <c r="AA1658" s="4"/>
      <c r="AB1658" s="4"/>
    </row>
    <row r="1659" spans="1:28" ht="42" customHeight="1">
      <c r="A1659" s="161" t="str">
        <f>'Reported burning'!A1659</f>
        <v>199a</v>
      </c>
      <c r="B1659" s="161" t="str">
        <f>'Reported burning'!B1659</f>
        <v>199a.5</v>
      </c>
      <c r="C1659" s="161" t="str">
        <f>'Reported burning'!C1659</f>
        <v>Human, deliberate</v>
      </c>
      <c r="D1659" s="161" t="str">
        <f>'Reported burning'!D1659</f>
        <v>Pest management</v>
      </c>
      <c r="E1659" s="161" t="str">
        <f>'Reported burning'!E1659</f>
        <v>Pastoralism, Migratory</v>
      </c>
      <c r="F1659" s="161" t="str">
        <f>'Reported burning'!F1659</f>
        <v>Shrubland (Mixed forest &amp; grassland)</v>
      </c>
      <c r="G1659" s="161" t="str">
        <f>'Reported burning'!G1659</f>
        <v>ND</v>
      </c>
      <c r="H1659" s="161" t="str">
        <f>'Reported burning'!H1659</f>
        <v>Absence</v>
      </c>
      <c r="I1659" s="4">
        <v>1980</v>
      </c>
      <c r="J1659" s="22">
        <v>0</v>
      </c>
      <c r="K1659" s="22">
        <v>0</v>
      </c>
      <c r="L1659" s="22">
        <v>0</v>
      </c>
      <c r="M1659" s="22">
        <v>0</v>
      </c>
      <c r="N1659" s="22">
        <v>0</v>
      </c>
      <c r="O1659" s="22">
        <v>0</v>
      </c>
      <c r="P1659" s="22">
        <v>0</v>
      </c>
      <c r="Q1659" s="22">
        <v>0</v>
      </c>
      <c r="R1659" s="22">
        <v>0</v>
      </c>
      <c r="S1659" s="22">
        <v>0</v>
      </c>
      <c r="T1659" s="22">
        <v>0</v>
      </c>
      <c r="U1659" s="22">
        <v>0</v>
      </c>
      <c r="V1659" s="22">
        <v>0</v>
      </c>
      <c r="W1659" s="5" t="s">
        <v>2308</v>
      </c>
      <c r="X1659" s="5" t="s">
        <v>2308</v>
      </c>
      <c r="Y1659" s="5" t="s">
        <v>2308</v>
      </c>
      <c r="Z1659" s="5" t="s">
        <v>2308</v>
      </c>
      <c r="AA1659" s="4"/>
      <c r="AB1659" s="4"/>
    </row>
    <row r="1660" spans="1:28" ht="42" customHeight="1">
      <c r="A1660" s="161" t="str">
        <f>'Reported burning'!A1660</f>
        <v>199a</v>
      </c>
      <c r="B1660" s="161" t="str">
        <f>'Reported burning'!B1660</f>
        <v>199a.6</v>
      </c>
      <c r="C1660" s="161" t="str">
        <f>'Reported burning'!C1660</f>
        <v>Human, deliberate</v>
      </c>
      <c r="D1660" s="161" t="str">
        <f>'Reported burning'!D1660</f>
        <v>Hunting</v>
      </c>
      <c r="E1660" s="161" t="str">
        <f>'Reported burning'!E1660</f>
        <v>Forestry, Traditional</v>
      </c>
      <c r="F1660" s="161" t="str">
        <f>'Reported burning'!F1660</f>
        <v>Shrubland (Mixed forest &amp; grassland)</v>
      </c>
      <c r="G1660" s="161" t="str">
        <f>'Reported burning'!G1660</f>
        <v>ND</v>
      </c>
      <c r="H1660" s="161" t="str">
        <f>'Reported burning'!H1660</f>
        <v>Absence</v>
      </c>
      <c r="I1660" s="4">
        <v>1980</v>
      </c>
      <c r="J1660" s="22">
        <v>0</v>
      </c>
      <c r="K1660" s="22">
        <v>0</v>
      </c>
      <c r="L1660" s="22">
        <v>0</v>
      </c>
      <c r="M1660" s="22">
        <v>0</v>
      </c>
      <c r="N1660" s="22">
        <v>0</v>
      </c>
      <c r="O1660" s="22">
        <v>0</v>
      </c>
      <c r="P1660" s="22">
        <v>0</v>
      </c>
      <c r="Q1660" s="22">
        <v>0</v>
      </c>
      <c r="R1660" s="22">
        <v>0</v>
      </c>
      <c r="S1660" s="22">
        <v>0</v>
      </c>
      <c r="T1660" s="22">
        <v>0</v>
      </c>
      <c r="U1660" s="22">
        <v>0</v>
      </c>
      <c r="V1660" s="22">
        <v>0</v>
      </c>
      <c r="W1660" s="5" t="s">
        <v>2308</v>
      </c>
      <c r="X1660" s="5" t="s">
        <v>2308</v>
      </c>
      <c r="Y1660" s="5" t="s">
        <v>2308</v>
      </c>
      <c r="Z1660" s="5" t="s">
        <v>2308</v>
      </c>
      <c r="AA1660" s="4"/>
      <c r="AB1660" s="4"/>
    </row>
    <row r="1661" spans="1:28" ht="42" customHeight="1">
      <c r="A1661" s="161" t="str">
        <f>'Reported burning'!A1661</f>
        <v>199a</v>
      </c>
      <c r="B1661" s="161" t="str">
        <f>'Reported burning'!B1661</f>
        <v>199a.7</v>
      </c>
      <c r="C1661" s="161" t="str">
        <f>'Reported burning'!C1661</f>
        <v>Human, deliberate</v>
      </c>
      <c r="D1661" s="161" t="str">
        <f>'Reported burning'!D1661</f>
        <v>ND</v>
      </c>
      <c r="E1661" s="161" t="str">
        <f>'Reported burning'!E1661</f>
        <v>Pastoralism, Migratory</v>
      </c>
      <c r="F1661" s="161" t="str">
        <f>'Reported burning'!F1661</f>
        <v>Shrubland (Mixed forest &amp; grassland)</v>
      </c>
      <c r="G1661" s="161" t="str">
        <f>'Reported burning'!G1661</f>
        <v>ND</v>
      </c>
      <c r="H1661" s="161" t="str">
        <f>'Reported burning'!H1661</f>
        <v>Presence</v>
      </c>
      <c r="I1661" s="4">
        <v>2004</v>
      </c>
      <c r="J1661" s="5" t="s">
        <v>2308</v>
      </c>
      <c r="K1661" s="5" t="s">
        <v>2308</v>
      </c>
      <c r="L1661" s="5" t="s">
        <v>2308</v>
      </c>
      <c r="M1661" s="5" t="s">
        <v>2308</v>
      </c>
      <c r="N1661" s="5" t="s">
        <v>2308</v>
      </c>
      <c r="O1661" s="5" t="s">
        <v>2308</v>
      </c>
      <c r="P1661" s="5" t="s">
        <v>2308</v>
      </c>
      <c r="Q1661" s="5" t="s">
        <v>2308</v>
      </c>
      <c r="R1661" s="5" t="s">
        <v>2308</v>
      </c>
      <c r="S1661" s="5" t="s">
        <v>2308</v>
      </c>
      <c r="T1661" s="5" t="s">
        <v>2308</v>
      </c>
      <c r="U1661" s="5" t="s">
        <v>2308</v>
      </c>
      <c r="V1661" s="5" t="s">
        <v>2308</v>
      </c>
      <c r="W1661" s="5" t="s">
        <v>2308</v>
      </c>
      <c r="X1661" s="4" t="s">
        <v>38</v>
      </c>
      <c r="Y1661" s="4" t="s">
        <v>68</v>
      </c>
      <c r="Z1661" s="5" t="s">
        <v>2308</v>
      </c>
      <c r="AA1661" s="5" t="s">
        <v>5051</v>
      </c>
      <c r="AB1661" s="4"/>
    </row>
    <row r="1662" spans="1:28" ht="42" customHeight="1">
      <c r="A1662" s="161" t="str">
        <f>'Reported burning'!A1662</f>
        <v>199a</v>
      </c>
      <c r="B1662" s="161" t="str">
        <f>'Reported burning'!B1662</f>
        <v>199a.8</v>
      </c>
      <c r="C1662" s="161" t="str">
        <f>'Reported burning'!C1662</f>
        <v>Human, deliberate</v>
      </c>
      <c r="D1662" s="161" t="str">
        <f>'Reported burning'!D1662</f>
        <v>ND</v>
      </c>
      <c r="E1662" s="161" t="str">
        <f>'Reported burning'!E1662</f>
        <v>Forestry, Traditional</v>
      </c>
      <c r="F1662" s="161" t="str">
        <f>'Reported burning'!F1662</f>
        <v>Shrubland (Mixed forest &amp; grassland)</v>
      </c>
      <c r="G1662" s="161" t="str">
        <f>'Reported burning'!G1662</f>
        <v>ND</v>
      </c>
      <c r="H1662" s="161" t="str">
        <f>'Reported burning'!H1662</f>
        <v>Presence</v>
      </c>
      <c r="I1662" s="4">
        <v>2004</v>
      </c>
      <c r="J1662" s="5" t="s">
        <v>2308</v>
      </c>
      <c r="K1662" s="5" t="s">
        <v>2308</v>
      </c>
      <c r="L1662" s="5" t="s">
        <v>2308</v>
      </c>
      <c r="M1662" s="5" t="s">
        <v>2308</v>
      </c>
      <c r="N1662" s="5" t="s">
        <v>2308</v>
      </c>
      <c r="O1662" s="5" t="s">
        <v>2308</v>
      </c>
      <c r="P1662" s="5" t="s">
        <v>2308</v>
      </c>
      <c r="Q1662" s="5" t="s">
        <v>2308</v>
      </c>
      <c r="R1662" s="5" t="s">
        <v>2308</v>
      </c>
      <c r="S1662" s="5" t="s">
        <v>2308</v>
      </c>
      <c r="T1662" s="5" t="s">
        <v>2308</v>
      </c>
      <c r="U1662" s="5" t="s">
        <v>2308</v>
      </c>
      <c r="V1662" s="5" t="s">
        <v>2308</v>
      </c>
      <c r="W1662" s="5" t="s">
        <v>2308</v>
      </c>
      <c r="X1662" s="4" t="s">
        <v>38</v>
      </c>
      <c r="Y1662" s="4" t="s">
        <v>68</v>
      </c>
      <c r="Z1662" s="5" t="s">
        <v>2308</v>
      </c>
      <c r="AA1662" s="5" t="s">
        <v>5051</v>
      </c>
      <c r="AB1662" s="4"/>
    </row>
    <row r="1663" spans="1:28" ht="46" customHeight="1">
      <c r="A1663" s="161" t="str">
        <f>'Reported burning'!A1663</f>
        <v>200a</v>
      </c>
      <c r="B1663" s="161" t="str">
        <f>'Reported burning'!B1663</f>
        <v>200a.1</v>
      </c>
      <c r="C1663" s="161" t="str">
        <f>'Reported burning'!C1663</f>
        <v>Human, deliberate</v>
      </c>
      <c r="D1663" s="161" t="str">
        <f>'Reported burning'!D1663</f>
        <v>Pasture renewal</v>
      </c>
      <c r="E1663" s="161" t="str">
        <f>'Reported burning'!E1663</f>
        <v>Pastoralism, Migratory</v>
      </c>
      <c r="F1663" s="161" t="str">
        <f>'Reported burning'!F1663</f>
        <v>Shrubland (Mixed forest &amp; grassland)</v>
      </c>
      <c r="G1663" s="161" t="str">
        <f>'Reported burning'!G1663</f>
        <v>ND</v>
      </c>
      <c r="H1663" s="161" t="str">
        <f>'Reported burning'!H1663</f>
        <v>Presence</v>
      </c>
      <c r="I1663" s="4"/>
      <c r="J1663" s="4"/>
      <c r="K1663" s="5" t="s">
        <v>2308</v>
      </c>
      <c r="L1663" s="5" t="s">
        <v>2308</v>
      </c>
      <c r="M1663" s="5" t="s">
        <v>2308</v>
      </c>
      <c r="N1663" s="5" t="s">
        <v>2308</v>
      </c>
      <c r="O1663" s="5" t="s">
        <v>2308</v>
      </c>
      <c r="P1663" s="5" t="s">
        <v>2308</v>
      </c>
      <c r="Q1663" s="5" t="s">
        <v>2308</v>
      </c>
      <c r="R1663" s="5" t="s">
        <v>2308</v>
      </c>
      <c r="S1663" s="5" t="s">
        <v>2308</v>
      </c>
      <c r="T1663" s="5" t="s">
        <v>2308</v>
      </c>
      <c r="U1663" s="5" t="s">
        <v>2308</v>
      </c>
      <c r="V1663" s="5" t="s">
        <v>2308</v>
      </c>
      <c r="W1663" s="5" t="s">
        <v>2308</v>
      </c>
      <c r="X1663" s="5" t="s">
        <v>2308</v>
      </c>
      <c r="Y1663" s="5" t="s">
        <v>2308</v>
      </c>
      <c r="Z1663" s="5" t="s">
        <v>2308</v>
      </c>
      <c r="AA1663" s="5"/>
      <c r="AB1663" s="4"/>
    </row>
    <row r="1664" spans="1:28" ht="46" customHeight="1">
      <c r="A1664" s="161" t="str">
        <f>'Reported burning'!A1664</f>
        <v>200a</v>
      </c>
      <c r="B1664" s="161" t="str">
        <f>'Reported burning'!B1664</f>
        <v>200a.2</v>
      </c>
      <c r="C1664" s="161" t="str">
        <f>'Reported burning'!C1664</f>
        <v>Human, deliberate</v>
      </c>
      <c r="D1664" s="161" t="str">
        <f>'Reported burning'!D1664</f>
        <v>Hunting</v>
      </c>
      <c r="E1664" s="161" t="str">
        <f>'Reported burning'!E1664</f>
        <v>Forestry, Traditional</v>
      </c>
      <c r="F1664" s="161" t="str">
        <f>'Reported burning'!F1664</f>
        <v>Shrubland (Mixed forest &amp; grassland)</v>
      </c>
      <c r="G1664" s="161" t="str">
        <f>'Reported burning'!G1664</f>
        <v>ND</v>
      </c>
      <c r="H1664" s="161" t="str">
        <f>'Reported burning'!H1664</f>
        <v>Presence</v>
      </c>
      <c r="I1664" s="4"/>
      <c r="J1664" s="4"/>
      <c r="K1664" s="5" t="s">
        <v>2308</v>
      </c>
      <c r="L1664" s="5" t="s">
        <v>2308</v>
      </c>
      <c r="M1664" s="5" t="s">
        <v>2308</v>
      </c>
      <c r="N1664" s="5" t="s">
        <v>2308</v>
      </c>
      <c r="O1664" s="5" t="s">
        <v>2308</v>
      </c>
      <c r="P1664" s="5" t="s">
        <v>2308</v>
      </c>
      <c r="Q1664" s="5" t="s">
        <v>2308</v>
      </c>
      <c r="R1664" s="5" t="s">
        <v>2308</v>
      </c>
      <c r="S1664" s="5" t="s">
        <v>2308</v>
      </c>
      <c r="T1664" s="5" t="s">
        <v>2308</v>
      </c>
      <c r="U1664" s="5" t="s">
        <v>2308</v>
      </c>
      <c r="V1664" s="5" t="s">
        <v>2308</v>
      </c>
      <c r="W1664" s="5" t="s">
        <v>2308</v>
      </c>
      <c r="X1664" s="5" t="s">
        <v>2308</v>
      </c>
      <c r="Y1664" s="5" t="s">
        <v>2308</v>
      </c>
      <c r="Z1664" s="5" t="s">
        <v>2308</v>
      </c>
      <c r="AA1664" s="5"/>
      <c r="AB1664" s="4"/>
    </row>
    <row r="1665" spans="1:28" ht="42" customHeight="1">
      <c r="A1665" s="161" t="str">
        <f>'Reported burning'!A1665</f>
        <v>200a</v>
      </c>
      <c r="B1665" s="161" t="str">
        <f>'Reported burning'!B1665</f>
        <v>200a.3</v>
      </c>
      <c r="C1665" s="161" t="str">
        <f>'Reported burning'!C1665</f>
        <v>Human, deliberate</v>
      </c>
      <c r="D1665" s="161" t="str">
        <f>'Reported burning'!D1665</f>
        <v>Vegetation management</v>
      </c>
      <c r="E1665" s="161" t="str">
        <f>'Reported burning'!E1665</f>
        <v>Pastoralism, Migratory</v>
      </c>
      <c r="F1665" s="161" t="str">
        <f>'Reported burning'!F1665</f>
        <v>Shrubland (Mixed forest &amp; grassland)</v>
      </c>
      <c r="G1665" s="161" t="str">
        <f>'Reported burning'!G1665</f>
        <v>ND</v>
      </c>
      <c r="H1665" s="161" t="str">
        <f>'Reported burning'!H1665</f>
        <v>Presence</v>
      </c>
      <c r="I1665" s="4"/>
      <c r="J1665" s="4"/>
      <c r="K1665" s="5" t="s">
        <v>2308</v>
      </c>
      <c r="L1665" s="5" t="s">
        <v>2308</v>
      </c>
      <c r="M1665" s="5" t="s">
        <v>2308</v>
      </c>
      <c r="N1665" s="5" t="s">
        <v>2308</v>
      </c>
      <c r="O1665" s="5" t="s">
        <v>2308</v>
      </c>
      <c r="P1665" s="5" t="s">
        <v>2308</v>
      </c>
      <c r="Q1665" s="5" t="s">
        <v>2308</v>
      </c>
      <c r="R1665" s="5" t="s">
        <v>2308</v>
      </c>
      <c r="S1665" s="5" t="s">
        <v>2308</v>
      </c>
      <c r="T1665" s="5" t="s">
        <v>2308</v>
      </c>
      <c r="U1665" s="5" t="s">
        <v>2308</v>
      </c>
      <c r="V1665" s="5" t="s">
        <v>2308</v>
      </c>
      <c r="W1665" s="5" t="s">
        <v>2308</v>
      </c>
      <c r="X1665" s="5" t="s">
        <v>2308</v>
      </c>
      <c r="Y1665" s="5" t="s">
        <v>2308</v>
      </c>
      <c r="Z1665" s="5" t="s">
        <v>2308</v>
      </c>
      <c r="AA1665" s="5" t="s">
        <v>5062</v>
      </c>
      <c r="AB1665" s="4"/>
    </row>
    <row r="1666" spans="1:28" ht="33.5" customHeight="1">
      <c r="A1666" s="161" t="str">
        <f>'Reported burning'!A1666</f>
        <v>200a</v>
      </c>
      <c r="B1666" s="161" t="str">
        <f>'Reported burning'!B1666</f>
        <v>200a.4</v>
      </c>
      <c r="C1666" s="161" t="str">
        <f>'Reported burning'!C1666</f>
        <v>Human, deliberate</v>
      </c>
      <c r="D1666" s="161" t="str">
        <f>'Reported burning'!D1666</f>
        <v>Vegetation management</v>
      </c>
      <c r="E1666" s="161" t="str">
        <f>'Reported burning'!E1666</f>
        <v>Forestry, Traditional</v>
      </c>
      <c r="F1666" s="161" t="str">
        <f>'Reported burning'!F1666</f>
        <v>Shrubland (Mixed forest &amp; grassland)</v>
      </c>
      <c r="G1666" s="161" t="str">
        <f>'Reported burning'!G1666</f>
        <v>ND</v>
      </c>
      <c r="H1666" s="161" t="str">
        <f>'Reported burning'!H1666</f>
        <v>Presence</v>
      </c>
      <c r="I1666" s="4"/>
      <c r="J1666" s="4"/>
      <c r="K1666" s="5" t="s">
        <v>2308</v>
      </c>
      <c r="L1666" s="5" t="s">
        <v>2308</v>
      </c>
      <c r="M1666" s="5" t="s">
        <v>2308</v>
      </c>
      <c r="N1666" s="5" t="s">
        <v>2308</v>
      </c>
      <c r="O1666" s="5" t="s">
        <v>2308</v>
      </c>
      <c r="P1666" s="5" t="s">
        <v>2308</v>
      </c>
      <c r="Q1666" s="5" t="s">
        <v>2308</v>
      </c>
      <c r="R1666" s="5" t="s">
        <v>2308</v>
      </c>
      <c r="S1666" s="5" t="s">
        <v>2308</v>
      </c>
      <c r="T1666" s="5" t="s">
        <v>2308</v>
      </c>
      <c r="U1666" s="5" t="s">
        <v>2308</v>
      </c>
      <c r="V1666" s="5" t="s">
        <v>2308</v>
      </c>
      <c r="W1666" s="5" t="s">
        <v>2308</v>
      </c>
      <c r="X1666" s="5" t="s">
        <v>2308</v>
      </c>
      <c r="Y1666" s="5" t="s">
        <v>2308</v>
      </c>
      <c r="Z1666" s="5" t="s">
        <v>2308</v>
      </c>
      <c r="AA1666" s="5" t="s">
        <v>5062</v>
      </c>
      <c r="AB1666" s="4"/>
    </row>
    <row r="1667" spans="1:28">
      <c r="A1667" s="161">
        <f>'Reported burning'!A1667</f>
        <v>0</v>
      </c>
      <c r="B1667" s="161">
        <f>'Reported burning'!B1667</f>
        <v>0</v>
      </c>
      <c r="C1667" s="161">
        <f>'Reported burning'!C1667</f>
        <v>0</v>
      </c>
      <c r="D1667" s="161">
        <f>'Reported burning'!D1667</f>
        <v>0</v>
      </c>
      <c r="E1667" s="161">
        <f>'Reported burning'!E1667</f>
        <v>0</v>
      </c>
      <c r="F1667" s="161">
        <f>'Reported burning'!F1667</f>
        <v>0</v>
      </c>
      <c r="G1667" s="161">
        <f>'Reported burning'!G1667</f>
        <v>0</v>
      </c>
      <c r="H1667" s="161">
        <f>'Reported burning'!H1667</f>
        <v>0</v>
      </c>
      <c r="I1667" s="4"/>
      <c r="J1667"/>
      <c r="K1667"/>
      <c r="L1667"/>
      <c r="M1667"/>
      <c r="N1667"/>
      <c r="O1667"/>
      <c r="P1667"/>
      <c r="Q1667"/>
      <c r="R1667"/>
      <c r="S1667"/>
      <c r="T1667"/>
      <c r="U1667"/>
      <c r="V1667"/>
      <c r="W1667"/>
    </row>
    <row r="1668" spans="1:28">
      <c r="A1668" s="161">
        <f>'Reported burning'!A1668</f>
        <v>0</v>
      </c>
      <c r="B1668" s="161">
        <f>'Reported burning'!B1668</f>
        <v>0</v>
      </c>
      <c r="C1668" s="161">
        <f>'Reported burning'!C1668</f>
        <v>0</v>
      </c>
      <c r="D1668" s="161">
        <f>'Reported burning'!D1668</f>
        <v>0</v>
      </c>
      <c r="E1668" s="161">
        <f>'Reported burning'!E1668</f>
        <v>0</v>
      </c>
      <c r="F1668" s="161">
        <f>'Reported burning'!F1668</f>
        <v>0</v>
      </c>
      <c r="G1668" s="161">
        <f>'Reported burning'!G1668</f>
        <v>0</v>
      </c>
      <c r="H1668" s="161">
        <f>'Reported burning'!H1668</f>
        <v>0</v>
      </c>
      <c r="I1668" s="4"/>
      <c r="J1668"/>
      <c r="K1668"/>
      <c r="L1668"/>
      <c r="M1668"/>
      <c r="N1668"/>
      <c r="O1668"/>
      <c r="P1668"/>
      <c r="Q1668"/>
      <c r="R1668"/>
      <c r="S1668"/>
      <c r="T1668"/>
      <c r="U1668"/>
      <c r="V1668"/>
      <c r="W1668"/>
    </row>
    <row r="1669" spans="1:28">
      <c r="A1669" s="161">
        <f>'Reported burning'!A1669</f>
        <v>0</v>
      </c>
      <c r="B1669" s="161">
        <f>'Reported burning'!B1669</f>
        <v>0</v>
      </c>
      <c r="C1669" s="161">
        <f>'Reported burning'!C1669</f>
        <v>0</v>
      </c>
      <c r="D1669" s="161">
        <f>'Reported burning'!D1669</f>
        <v>0</v>
      </c>
      <c r="E1669" s="161">
        <f>'Reported burning'!E1669</f>
        <v>0</v>
      </c>
      <c r="F1669" s="161">
        <f>'Reported burning'!F1669</f>
        <v>0</v>
      </c>
      <c r="G1669" s="161">
        <f>'Reported burning'!G1669</f>
        <v>0</v>
      </c>
      <c r="H1669" s="161">
        <f>'Reported burning'!H1669</f>
        <v>0</v>
      </c>
      <c r="I1669" s="4"/>
      <c r="J1669"/>
      <c r="K1669"/>
      <c r="L1669"/>
      <c r="M1669"/>
      <c r="N1669"/>
      <c r="O1669"/>
      <c r="P1669"/>
      <c r="Q1669"/>
      <c r="R1669"/>
      <c r="S1669"/>
      <c r="T1669"/>
      <c r="U1669"/>
      <c r="V1669"/>
      <c r="W1669"/>
    </row>
    <row r="1670" spans="1:28">
      <c r="A1670" s="161">
        <f>'Reported burning'!A1670</f>
        <v>0</v>
      </c>
      <c r="B1670" s="161">
        <f>'Reported burning'!B1670</f>
        <v>0</v>
      </c>
      <c r="C1670" s="161">
        <f>'Reported burning'!C1670</f>
        <v>0</v>
      </c>
      <c r="D1670" s="161">
        <f>'Reported burning'!D1670</f>
        <v>0</v>
      </c>
      <c r="E1670" s="161">
        <f>'Reported burning'!E1670</f>
        <v>0</v>
      </c>
      <c r="F1670" s="161">
        <f>'Reported burning'!F1670</f>
        <v>0</v>
      </c>
      <c r="G1670" s="161">
        <f>'Reported burning'!G1670</f>
        <v>0</v>
      </c>
      <c r="H1670" s="161">
        <f>'Reported burning'!H1670</f>
        <v>0</v>
      </c>
      <c r="I1670" s="4"/>
      <c r="J1670"/>
      <c r="K1670"/>
      <c r="L1670"/>
      <c r="M1670"/>
      <c r="N1670"/>
      <c r="O1670"/>
      <c r="P1670"/>
      <c r="Q1670"/>
      <c r="R1670"/>
      <c r="S1670"/>
      <c r="T1670"/>
      <c r="U1670"/>
      <c r="V1670"/>
      <c r="W1670"/>
    </row>
    <row r="1671" spans="1:28">
      <c r="A1671" s="161">
        <f>'Reported burning'!A1671</f>
        <v>0</v>
      </c>
      <c r="B1671" s="161">
        <f>'Reported burning'!B1671</f>
        <v>0</v>
      </c>
      <c r="C1671" s="161">
        <f>'Reported burning'!C1671</f>
        <v>0</v>
      </c>
      <c r="D1671" s="161">
        <f>'Reported burning'!D1671</f>
        <v>0</v>
      </c>
      <c r="E1671" s="161">
        <f>'Reported burning'!E1671</f>
        <v>0</v>
      </c>
      <c r="F1671" s="161">
        <f>'Reported burning'!F1671</f>
        <v>0</v>
      </c>
      <c r="G1671" s="161">
        <f>'Reported burning'!G1671</f>
        <v>0</v>
      </c>
      <c r="H1671" s="161">
        <f>'Reported burning'!H1671</f>
        <v>0</v>
      </c>
      <c r="I1671" s="4"/>
      <c r="J1671"/>
      <c r="K1671"/>
      <c r="L1671"/>
      <c r="M1671"/>
      <c r="N1671"/>
      <c r="O1671"/>
      <c r="P1671"/>
      <c r="Q1671"/>
      <c r="R1671"/>
      <c r="S1671"/>
      <c r="T1671"/>
      <c r="U1671"/>
      <c r="V1671"/>
      <c r="W1671"/>
    </row>
    <row r="1672" spans="1:28">
      <c r="A1672" s="161">
        <f>'Reported burning'!A1672</f>
        <v>0</v>
      </c>
      <c r="B1672" s="161">
        <f>'Reported burning'!B1672</f>
        <v>0</v>
      </c>
      <c r="C1672" s="161">
        <f>'Reported burning'!C1672</f>
        <v>0</v>
      </c>
      <c r="D1672" s="161">
        <f>'Reported burning'!D1672</f>
        <v>0</v>
      </c>
      <c r="E1672" s="161">
        <f>'Reported burning'!E1672</f>
        <v>0</v>
      </c>
      <c r="F1672" s="161">
        <f>'Reported burning'!F1672</f>
        <v>0</v>
      </c>
      <c r="G1672" s="161">
        <f>'Reported burning'!G1672</f>
        <v>0</v>
      </c>
      <c r="H1672" s="161">
        <f>'Reported burning'!H1672</f>
        <v>0</v>
      </c>
      <c r="I1672" s="4"/>
      <c r="J1672"/>
      <c r="K1672"/>
      <c r="L1672"/>
      <c r="M1672"/>
      <c r="N1672"/>
      <c r="O1672"/>
      <c r="P1672"/>
      <c r="Q1672"/>
      <c r="R1672"/>
      <c r="S1672"/>
      <c r="T1672"/>
      <c r="U1672"/>
      <c r="V1672"/>
      <c r="W1672"/>
    </row>
    <row r="1673" spans="1:28">
      <c r="A1673" s="161">
        <f>'Reported burning'!A1673</f>
        <v>0</v>
      </c>
      <c r="B1673" s="161">
        <f>'Reported burning'!B1673</f>
        <v>0</v>
      </c>
      <c r="C1673" s="161">
        <f>'Reported burning'!C1673</f>
        <v>0</v>
      </c>
      <c r="D1673" s="161">
        <f>'Reported burning'!D1673</f>
        <v>0</v>
      </c>
      <c r="E1673" s="161">
        <f>'Reported burning'!E1673</f>
        <v>0</v>
      </c>
      <c r="F1673" s="161">
        <f>'Reported burning'!F1673</f>
        <v>0</v>
      </c>
      <c r="G1673" s="161">
        <f>'Reported burning'!G1673</f>
        <v>0</v>
      </c>
      <c r="H1673" s="161">
        <f>'Reported burning'!H1673</f>
        <v>0</v>
      </c>
      <c r="I1673" s="4"/>
      <c r="J1673"/>
      <c r="K1673"/>
      <c r="L1673"/>
      <c r="M1673"/>
      <c r="N1673"/>
      <c r="O1673"/>
      <c r="P1673"/>
      <c r="Q1673"/>
      <c r="R1673"/>
      <c r="S1673"/>
      <c r="T1673"/>
      <c r="U1673"/>
      <c r="V1673"/>
      <c r="W1673"/>
    </row>
    <row r="1674" spans="1:28">
      <c r="A1674" s="161">
        <f>'Reported burning'!A1674</f>
        <v>0</v>
      </c>
      <c r="B1674" s="161">
        <f>'Reported burning'!B1674</f>
        <v>0</v>
      </c>
      <c r="C1674" s="161">
        <f>'Reported burning'!C1674</f>
        <v>0</v>
      </c>
      <c r="D1674" s="161">
        <f>'Reported burning'!D1674</f>
        <v>0</v>
      </c>
      <c r="E1674" s="161">
        <f>'Reported burning'!E1674</f>
        <v>0</v>
      </c>
      <c r="F1674" s="161">
        <f>'Reported burning'!F1674</f>
        <v>0</v>
      </c>
      <c r="G1674" s="161">
        <f>'Reported burning'!G1674</f>
        <v>0</v>
      </c>
      <c r="H1674" s="161">
        <f>'Reported burning'!H1674</f>
        <v>0</v>
      </c>
      <c r="I1674" s="4"/>
      <c r="J1674"/>
      <c r="K1674"/>
      <c r="L1674"/>
      <c r="M1674"/>
      <c r="N1674"/>
      <c r="O1674"/>
      <c r="P1674"/>
      <c r="Q1674"/>
      <c r="R1674"/>
      <c r="S1674"/>
      <c r="T1674"/>
      <c r="U1674"/>
      <c r="V1674"/>
      <c r="W1674"/>
    </row>
    <row r="1675" spans="1:28">
      <c r="A1675" s="161">
        <f>'Reported burning'!A1675</f>
        <v>0</v>
      </c>
      <c r="B1675" s="161">
        <f>'Reported burning'!B1675</f>
        <v>0</v>
      </c>
      <c r="C1675" s="161">
        <f>'Reported burning'!C1675</f>
        <v>0</v>
      </c>
      <c r="D1675" s="161">
        <f>'Reported burning'!D1675</f>
        <v>0</v>
      </c>
      <c r="E1675" s="161">
        <f>'Reported burning'!E1675</f>
        <v>0</v>
      </c>
      <c r="F1675" s="161">
        <f>'Reported burning'!F1675</f>
        <v>0</v>
      </c>
      <c r="G1675" s="161">
        <f>'Reported burning'!G1675</f>
        <v>0</v>
      </c>
      <c r="H1675" s="161">
        <f>'Reported burning'!H1675</f>
        <v>0</v>
      </c>
      <c r="I1675" s="4"/>
      <c r="J1675"/>
      <c r="K1675"/>
      <c r="L1675"/>
      <c r="M1675"/>
      <c r="N1675"/>
      <c r="O1675"/>
      <c r="P1675"/>
      <c r="Q1675"/>
      <c r="R1675"/>
      <c r="S1675"/>
      <c r="T1675"/>
      <c r="U1675"/>
      <c r="V1675"/>
      <c r="W1675"/>
    </row>
    <row r="1676" spans="1:28">
      <c r="A1676" s="161">
        <f>'Reported burning'!A1676</f>
        <v>0</v>
      </c>
      <c r="B1676" s="161">
        <f>'Reported burning'!B1676</f>
        <v>0</v>
      </c>
      <c r="C1676" s="161">
        <f>'Reported burning'!C1676</f>
        <v>0</v>
      </c>
      <c r="D1676" s="161">
        <f>'Reported burning'!D1676</f>
        <v>0</v>
      </c>
      <c r="E1676" s="161">
        <f>'Reported burning'!E1676</f>
        <v>0</v>
      </c>
      <c r="F1676" s="161">
        <f>'Reported burning'!F1676</f>
        <v>0</v>
      </c>
      <c r="G1676" s="161">
        <f>'Reported burning'!G1676</f>
        <v>0</v>
      </c>
      <c r="H1676" s="161">
        <f>'Reported burning'!H1676</f>
        <v>0</v>
      </c>
      <c r="I1676" s="4"/>
      <c r="J1676"/>
      <c r="K1676"/>
      <c r="L1676"/>
      <c r="M1676"/>
      <c r="N1676"/>
      <c r="O1676"/>
      <c r="P1676"/>
      <c r="Q1676"/>
      <c r="R1676"/>
      <c r="S1676"/>
      <c r="T1676"/>
      <c r="U1676"/>
      <c r="V1676"/>
      <c r="W1676"/>
    </row>
    <row r="1677" spans="1:28">
      <c r="A1677" s="161">
        <f>'Reported burning'!A1677</f>
        <v>0</v>
      </c>
      <c r="B1677" s="161">
        <f>'Reported burning'!B1677</f>
        <v>0</v>
      </c>
      <c r="C1677" s="161">
        <f>'Reported burning'!C1677</f>
        <v>0</v>
      </c>
      <c r="D1677" s="161">
        <f>'Reported burning'!D1677</f>
        <v>0</v>
      </c>
      <c r="E1677" s="161">
        <f>'Reported burning'!E1677</f>
        <v>0</v>
      </c>
      <c r="F1677" s="161">
        <f>'Reported burning'!F1677</f>
        <v>0</v>
      </c>
      <c r="G1677" s="161">
        <f>'Reported burning'!G1677</f>
        <v>0</v>
      </c>
      <c r="H1677" s="161">
        <f>'Reported burning'!H1677</f>
        <v>0</v>
      </c>
      <c r="I1677" s="4"/>
      <c r="J1677"/>
      <c r="K1677"/>
      <c r="L1677"/>
      <c r="M1677"/>
      <c r="N1677"/>
      <c r="O1677"/>
      <c r="P1677"/>
      <c r="Q1677"/>
      <c r="R1677"/>
      <c r="S1677"/>
      <c r="T1677"/>
      <c r="U1677"/>
      <c r="V1677"/>
      <c r="W1677"/>
    </row>
    <row r="1678" spans="1:28">
      <c r="A1678" s="161">
        <f>'Reported burning'!A1678</f>
        <v>0</v>
      </c>
      <c r="B1678" s="161">
        <f>'Reported burning'!B1678</f>
        <v>0</v>
      </c>
      <c r="C1678" s="161">
        <f>'Reported burning'!C1678</f>
        <v>0</v>
      </c>
      <c r="D1678" s="161">
        <f>'Reported burning'!D1678</f>
        <v>0</v>
      </c>
      <c r="E1678" s="161">
        <f>'Reported burning'!E1678</f>
        <v>0</v>
      </c>
      <c r="F1678" s="161">
        <f>'Reported burning'!F1678</f>
        <v>0</v>
      </c>
      <c r="G1678" s="161">
        <f>'Reported burning'!G1678</f>
        <v>0</v>
      </c>
      <c r="H1678" s="161">
        <f>'Reported burning'!H1678</f>
        <v>0</v>
      </c>
      <c r="I1678" s="4"/>
      <c r="J1678"/>
      <c r="K1678"/>
      <c r="L1678"/>
      <c r="M1678"/>
      <c r="N1678"/>
      <c r="O1678"/>
      <c r="P1678"/>
      <c r="Q1678"/>
      <c r="R1678"/>
      <c r="S1678"/>
      <c r="T1678"/>
      <c r="U1678"/>
      <c r="V1678"/>
      <c r="W1678"/>
    </row>
    <row r="1679" spans="1:28">
      <c r="A1679" s="161">
        <f>'Reported burning'!A1679</f>
        <v>0</v>
      </c>
      <c r="B1679" s="161">
        <f>'Reported burning'!B1679</f>
        <v>0</v>
      </c>
      <c r="C1679" s="161">
        <f>'Reported burning'!C1679</f>
        <v>0</v>
      </c>
      <c r="D1679" s="161">
        <f>'Reported burning'!D1679</f>
        <v>0</v>
      </c>
      <c r="E1679" s="161">
        <f>'Reported burning'!E1679</f>
        <v>0</v>
      </c>
      <c r="F1679" s="161">
        <f>'Reported burning'!F1679</f>
        <v>0</v>
      </c>
      <c r="G1679" s="161">
        <f>'Reported burning'!G1679</f>
        <v>0</v>
      </c>
      <c r="H1679" s="161">
        <f>'Reported burning'!H1679</f>
        <v>0</v>
      </c>
      <c r="I1679" s="4"/>
      <c r="J1679"/>
      <c r="K1679"/>
      <c r="L1679"/>
      <c r="M1679"/>
      <c r="N1679"/>
      <c r="O1679"/>
      <c r="P1679"/>
      <c r="Q1679"/>
      <c r="R1679"/>
      <c r="S1679"/>
      <c r="T1679"/>
      <c r="U1679"/>
      <c r="V1679"/>
      <c r="W1679"/>
    </row>
    <row r="1680" spans="1:28">
      <c r="A1680" s="161">
        <f>'Reported burning'!A1680</f>
        <v>0</v>
      </c>
      <c r="B1680" s="161">
        <f>'Reported burning'!B1680</f>
        <v>0</v>
      </c>
      <c r="C1680" s="161">
        <f>'Reported burning'!C1680</f>
        <v>0</v>
      </c>
      <c r="D1680" s="161">
        <f>'Reported burning'!D1680</f>
        <v>0</v>
      </c>
      <c r="E1680" s="161">
        <f>'Reported burning'!E1680</f>
        <v>0</v>
      </c>
      <c r="F1680" s="161">
        <f>'Reported burning'!F1680</f>
        <v>0</v>
      </c>
      <c r="G1680" s="161">
        <f>'Reported burning'!G1680</f>
        <v>0</v>
      </c>
      <c r="H1680" s="161">
        <f>'Reported burning'!H1680</f>
        <v>0</v>
      </c>
      <c r="I1680" s="4"/>
      <c r="J1680"/>
      <c r="K1680"/>
      <c r="L1680"/>
      <c r="M1680"/>
      <c r="N1680"/>
      <c r="O1680"/>
      <c r="P1680"/>
      <c r="Q1680"/>
      <c r="R1680"/>
      <c r="S1680"/>
      <c r="T1680"/>
      <c r="U1680"/>
      <c r="V1680"/>
      <c r="W1680"/>
    </row>
    <row r="1681" spans="1:23">
      <c r="A1681" s="161">
        <f>'Reported burning'!A1681</f>
        <v>0</v>
      </c>
      <c r="B1681" s="161">
        <f>'Reported burning'!B1681</f>
        <v>0</v>
      </c>
      <c r="C1681" s="161">
        <f>'Reported burning'!C1681</f>
        <v>0</v>
      </c>
      <c r="D1681" s="161">
        <f>'Reported burning'!D1681</f>
        <v>0</v>
      </c>
      <c r="E1681" s="161">
        <f>'Reported burning'!E1681</f>
        <v>0</v>
      </c>
      <c r="F1681" s="161">
        <f>'Reported burning'!F1681</f>
        <v>0</v>
      </c>
      <c r="G1681" s="161">
        <f>'Reported burning'!G1681</f>
        <v>0</v>
      </c>
      <c r="H1681" s="161">
        <f>'Reported burning'!H1681</f>
        <v>0</v>
      </c>
      <c r="I1681" s="4"/>
      <c r="J1681"/>
      <c r="K1681"/>
      <c r="L1681"/>
      <c r="M1681"/>
      <c r="N1681"/>
      <c r="O1681"/>
      <c r="P1681"/>
      <c r="Q1681"/>
      <c r="R1681"/>
      <c r="S1681"/>
      <c r="T1681"/>
      <c r="U1681"/>
      <c r="V1681"/>
      <c r="W1681"/>
    </row>
    <row r="1682" spans="1:23">
      <c r="A1682" s="161">
        <f>'Reported burning'!A1682</f>
        <v>0</v>
      </c>
      <c r="B1682" s="161">
        <f>'Reported burning'!B1682</f>
        <v>0</v>
      </c>
      <c r="C1682" s="161">
        <f>'Reported burning'!C1682</f>
        <v>0</v>
      </c>
      <c r="D1682" s="161">
        <f>'Reported burning'!D1682</f>
        <v>0</v>
      </c>
      <c r="E1682" s="161">
        <f>'Reported burning'!E1682</f>
        <v>0</v>
      </c>
      <c r="F1682" s="161">
        <f>'Reported burning'!F1682</f>
        <v>0</v>
      </c>
      <c r="G1682" s="161">
        <f>'Reported burning'!G1682</f>
        <v>0</v>
      </c>
      <c r="H1682" s="161">
        <f>'Reported burning'!H1682</f>
        <v>0</v>
      </c>
      <c r="I1682" s="4"/>
      <c r="J1682"/>
      <c r="K1682"/>
      <c r="L1682"/>
      <c r="M1682"/>
      <c r="N1682"/>
      <c r="O1682"/>
      <c r="P1682"/>
      <c r="Q1682"/>
      <c r="R1682"/>
      <c r="S1682"/>
      <c r="T1682"/>
      <c r="U1682"/>
      <c r="V1682"/>
      <c r="W1682"/>
    </row>
    <row r="1683" spans="1:23">
      <c r="A1683" s="161">
        <f>'Reported burning'!A1683</f>
        <v>0</v>
      </c>
      <c r="B1683" s="161">
        <f>'Reported burning'!B1683</f>
        <v>0</v>
      </c>
      <c r="C1683" s="161">
        <f>'Reported burning'!C1683</f>
        <v>0</v>
      </c>
      <c r="D1683" s="161">
        <f>'Reported burning'!D1683</f>
        <v>0</v>
      </c>
      <c r="E1683" s="161">
        <f>'Reported burning'!E1683</f>
        <v>0</v>
      </c>
      <c r="F1683" s="161">
        <f>'Reported burning'!F1683</f>
        <v>0</v>
      </c>
      <c r="G1683" s="161">
        <f>'Reported burning'!G1683</f>
        <v>0</v>
      </c>
      <c r="H1683" s="161">
        <f>'Reported burning'!H1683</f>
        <v>0</v>
      </c>
      <c r="I1683" s="4"/>
      <c r="J1683"/>
      <c r="K1683"/>
      <c r="L1683"/>
      <c r="M1683"/>
      <c r="N1683"/>
      <c r="O1683"/>
      <c r="P1683"/>
      <c r="Q1683"/>
      <c r="R1683"/>
      <c r="S1683"/>
      <c r="T1683"/>
      <c r="U1683"/>
      <c r="V1683"/>
      <c r="W1683"/>
    </row>
    <row r="1684" spans="1:23">
      <c r="A1684" s="161">
        <f>'Reported burning'!A1684</f>
        <v>0</v>
      </c>
      <c r="B1684" s="161">
        <f>'Reported burning'!B1684</f>
        <v>0</v>
      </c>
      <c r="C1684" s="161">
        <f>'Reported burning'!C1684</f>
        <v>0</v>
      </c>
      <c r="D1684" s="161">
        <f>'Reported burning'!D1684</f>
        <v>0</v>
      </c>
      <c r="E1684" s="161">
        <f>'Reported burning'!E1684</f>
        <v>0</v>
      </c>
      <c r="F1684" s="161">
        <f>'Reported burning'!F1684</f>
        <v>0</v>
      </c>
      <c r="G1684" s="161">
        <f>'Reported burning'!G1684</f>
        <v>0</v>
      </c>
      <c r="H1684" s="161">
        <f>'Reported burning'!H1684</f>
        <v>0</v>
      </c>
      <c r="I1684" s="4"/>
      <c r="J1684"/>
      <c r="K1684"/>
      <c r="L1684"/>
      <c r="M1684"/>
      <c r="N1684"/>
      <c r="O1684"/>
      <c r="P1684"/>
      <c r="Q1684"/>
      <c r="R1684"/>
      <c r="S1684"/>
      <c r="T1684"/>
      <c r="U1684"/>
      <c r="V1684"/>
      <c r="W1684"/>
    </row>
    <row r="1685" spans="1:23">
      <c r="A1685" s="161">
        <f>'Reported burning'!A1685</f>
        <v>0</v>
      </c>
      <c r="B1685" s="161">
        <f>'Reported burning'!B1685</f>
        <v>0</v>
      </c>
      <c r="C1685" s="161">
        <f>'Reported burning'!C1685</f>
        <v>0</v>
      </c>
      <c r="D1685" s="161">
        <f>'Reported burning'!D1685</f>
        <v>0</v>
      </c>
      <c r="E1685" s="161">
        <f>'Reported burning'!E1685</f>
        <v>0</v>
      </c>
      <c r="F1685" s="161">
        <f>'Reported burning'!F1685</f>
        <v>0</v>
      </c>
      <c r="G1685" s="161">
        <f>'Reported burning'!G1685</f>
        <v>0</v>
      </c>
      <c r="H1685" s="161">
        <f>'Reported burning'!H1685</f>
        <v>0</v>
      </c>
      <c r="I1685" s="4"/>
      <c r="J1685"/>
      <c r="K1685"/>
      <c r="L1685"/>
      <c r="M1685"/>
      <c r="N1685"/>
      <c r="O1685"/>
      <c r="P1685"/>
      <c r="Q1685"/>
      <c r="R1685"/>
      <c r="S1685"/>
      <c r="T1685"/>
      <c r="U1685"/>
      <c r="V1685"/>
      <c r="W1685"/>
    </row>
    <row r="1686" spans="1:23">
      <c r="A1686" s="161">
        <f>'Reported burning'!A1686</f>
        <v>0</v>
      </c>
      <c r="B1686" s="161">
        <f>'Reported burning'!B1686</f>
        <v>0</v>
      </c>
      <c r="C1686" s="161">
        <f>'Reported burning'!C1686</f>
        <v>0</v>
      </c>
      <c r="D1686" s="161">
        <f>'Reported burning'!D1686</f>
        <v>0</v>
      </c>
      <c r="E1686" s="161">
        <f>'Reported burning'!E1686</f>
        <v>0</v>
      </c>
      <c r="F1686" s="161">
        <f>'Reported burning'!F1686</f>
        <v>0</v>
      </c>
      <c r="G1686" s="161">
        <f>'Reported burning'!G1686</f>
        <v>0</v>
      </c>
      <c r="H1686" s="161">
        <f>'Reported burning'!H1686</f>
        <v>0</v>
      </c>
      <c r="I1686" s="4"/>
      <c r="J1686"/>
      <c r="K1686"/>
      <c r="L1686"/>
      <c r="M1686"/>
      <c r="N1686"/>
      <c r="O1686"/>
      <c r="P1686"/>
      <c r="Q1686"/>
      <c r="R1686"/>
      <c r="S1686"/>
      <c r="T1686"/>
      <c r="U1686"/>
      <c r="V1686"/>
      <c r="W1686"/>
    </row>
    <row r="1687" spans="1:23">
      <c r="A1687" s="161">
        <f>'Reported burning'!A1687</f>
        <v>0</v>
      </c>
      <c r="B1687" s="161">
        <f>'Reported burning'!B1687</f>
        <v>0</v>
      </c>
      <c r="C1687" s="161">
        <f>'Reported burning'!C1687</f>
        <v>0</v>
      </c>
      <c r="D1687" s="161">
        <f>'Reported burning'!D1687</f>
        <v>0</v>
      </c>
      <c r="E1687" s="161">
        <f>'Reported burning'!E1687</f>
        <v>0</v>
      </c>
      <c r="F1687" s="161">
        <f>'Reported burning'!F1687</f>
        <v>0</v>
      </c>
      <c r="G1687" s="161">
        <f>'Reported burning'!G1687</f>
        <v>0</v>
      </c>
      <c r="H1687" s="161">
        <f>'Reported burning'!H1687</f>
        <v>0</v>
      </c>
      <c r="I1687" s="4"/>
      <c r="J1687"/>
      <c r="K1687"/>
      <c r="L1687"/>
      <c r="M1687"/>
      <c r="N1687"/>
      <c r="O1687"/>
      <c r="P1687"/>
      <c r="Q1687"/>
      <c r="R1687"/>
      <c r="S1687"/>
      <c r="T1687"/>
      <c r="U1687"/>
      <c r="V1687"/>
      <c r="W1687"/>
    </row>
    <row r="1688" spans="1:23">
      <c r="A1688" s="161">
        <f>'Reported burning'!A1688</f>
        <v>0</v>
      </c>
      <c r="B1688" s="161">
        <f>'Reported burning'!B1688</f>
        <v>0</v>
      </c>
      <c r="C1688" s="161">
        <f>'Reported burning'!C1688</f>
        <v>0</v>
      </c>
      <c r="D1688" s="161">
        <f>'Reported burning'!D1688</f>
        <v>0</v>
      </c>
      <c r="E1688" s="161">
        <f>'Reported burning'!E1688</f>
        <v>0</v>
      </c>
      <c r="F1688" s="161">
        <f>'Reported burning'!F1688</f>
        <v>0</v>
      </c>
      <c r="G1688" s="161">
        <f>'Reported burning'!G1688</f>
        <v>0</v>
      </c>
      <c r="H1688" s="161">
        <f>'Reported burning'!H1688</f>
        <v>0</v>
      </c>
      <c r="I1688" s="4"/>
      <c r="J1688"/>
      <c r="K1688"/>
      <c r="L1688"/>
      <c r="M1688"/>
      <c r="N1688"/>
      <c r="O1688"/>
      <c r="P1688"/>
      <c r="Q1688"/>
      <c r="R1688"/>
      <c r="S1688"/>
      <c r="T1688"/>
      <c r="U1688"/>
      <c r="V1688"/>
      <c r="W1688"/>
    </row>
    <row r="1689" spans="1:23">
      <c r="A1689" s="161">
        <f>'Reported burning'!A1689</f>
        <v>0</v>
      </c>
      <c r="B1689" s="161">
        <f>'Reported burning'!B1689</f>
        <v>0</v>
      </c>
      <c r="C1689" s="161">
        <f>'Reported burning'!C1689</f>
        <v>0</v>
      </c>
      <c r="D1689" s="161">
        <f>'Reported burning'!D1689</f>
        <v>0</v>
      </c>
      <c r="E1689" s="161">
        <f>'Reported burning'!E1689</f>
        <v>0</v>
      </c>
      <c r="F1689" s="161">
        <f>'Reported burning'!F1689</f>
        <v>0</v>
      </c>
      <c r="G1689" s="161">
        <f>'Reported burning'!G1689</f>
        <v>0</v>
      </c>
      <c r="H1689" s="161">
        <f>'Reported burning'!H1689</f>
        <v>0</v>
      </c>
      <c r="I1689" s="4"/>
      <c r="J1689"/>
      <c r="K1689"/>
      <c r="L1689"/>
      <c r="M1689"/>
      <c r="N1689"/>
      <c r="O1689"/>
      <c r="P1689"/>
      <c r="Q1689"/>
      <c r="R1689"/>
      <c r="S1689"/>
      <c r="T1689"/>
      <c r="U1689"/>
      <c r="V1689"/>
      <c r="W1689"/>
    </row>
    <row r="1690" spans="1:23">
      <c r="A1690" s="161">
        <f>'Reported burning'!A1690</f>
        <v>0</v>
      </c>
      <c r="B1690" s="161">
        <f>'Reported burning'!B1690</f>
        <v>0</v>
      </c>
      <c r="C1690" s="161">
        <f>'Reported burning'!C1690</f>
        <v>0</v>
      </c>
      <c r="D1690" s="161">
        <f>'Reported burning'!D1690</f>
        <v>0</v>
      </c>
      <c r="E1690" s="161">
        <f>'Reported burning'!E1690</f>
        <v>0</v>
      </c>
      <c r="F1690" s="161">
        <f>'Reported burning'!F1690</f>
        <v>0</v>
      </c>
      <c r="G1690" s="161">
        <f>'Reported burning'!G1690</f>
        <v>0</v>
      </c>
      <c r="H1690" s="161">
        <f>'Reported burning'!H1690</f>
        <v>0</v>
      </c>
      <c r="I1690" s="4"/>
      <c r="J1690"/>
      <c r="K1690"/>
      <c r="L1690"/>
      <c r="M1690"/>
      <c r="N1690"/>
      <c r="O1690"/>
      <c r="P1690"/>
      <c r="Q1690"/>
      <c r="R1690"/>
      <c r="S1690"/>
      <c r="T1690"/>
      <c r="U1690"/>
      <c r="V1690"/>
      <c r="W1690"/>
    </row>
    <row r="1691" spans="1:23">
      <c r="A1691" s="161">
        <f>'Reported burning'!A1691</f>
        <v>0</v>
      </c>
      <c r="B1691" s="161">
        <f>'Reported burning'!B1691</f>
        <v>0</v>
      </c>
      <c r="C1691" s="161">
        <f>'Reported burning'!C1691</f>
        <v>0</v>
      </c>
      <c r="D1691" s="161">
        <f>'Reported burning'!D1691</f>
        <v>0</v>
      </c>
      <c r="E1691" s="161">
        <f>'Reported burning'!E1691</f>
        <v>0</v>
      </c>
      <c r="F1691" s="161">
        <f>'Reported burning'!F1691</f>
        <v>0</v>
      </c>
      <c r="G1691" s="161">
        <f>'Reported burning'!G1691</f>
        <v>0</v>
      </c>
      <c r="H1691" s="161">
        <f>'Reported burning'!H1691</f>
        <v>0</v>
      </c>
      <c r="I1691" s="4"/>
      <c r="J1691"/>
      <c r="K1691"/>
      <c r="L1691"/>
      <c r="M1691"/>
      <c r="N1691"/>
      <c r="O1691"/>
      <c r="P1691"/>
      <c r="Q1691"/>
      <c r="R1691"/>
      <c r="S1691"/>
      <c r="T1691"/>
      <c r="U1691"/>
      <c r="V1691"/>
      <c r="W1691"/>
    </row>
    <row r="1692" spans="1:23">
      <c r="A1692" s="161">
        <f>'Reported burning'!A1692</f>
        <v>0</v>
      </c>
      <c r="B1692" s="161">
        <f>'Reported burning'!B1692</f>
        <v>0</v>
      </c>
      <c r="C1692" s="161">
        <f>'Reported burning'!C1692</f>
        <v>0</v>
      </c>
      <c r="D1692" s="161">
        <f>'Reported burning'!D1692</f>
        <v>0</v>
      </c>
      <c r="E1692" s="161">
        <f>'Reported burning'!E1692</f>
        <v>0</v>
      </c>
      <c r="F1692" s="161">
        <f>'Reported burning'!F1692</f>
        <v>0</v>
      </c>
      <c r="G1692" s="161">
        <f>'Reported burning'!G1692</f>
        <v>0</v>
      </c>
      <c r="H1692" s="161">
        <f>'Reported burning'!H1692</f>
        <v>0</v>
      </c>
      <c r="I1692" s="4"/>
      <c r="J1692"/>
      <c r="K1692"/>
      <c r="L1692"/>
      <c r="M1692"/>
      <c r="N1692"/>
      <c r="O1692"/>
      <c r="P1692"/>
      <c r="Q1692"/>
      <c r="R1692"/>
      <c r="S1692"/>
      <c r="T1692"/>
      <c r="U1692"/>
      <c r="V1692"/>
      <c r="W1692"/>
    </row>
    <row r="1693" spans="1:23">
      <c r="A1693" s="161">
        <f>'Reported burning'!A1693</f>
        <v>0</v>
      </c>
      <c r="B1693" s="161">
        <f>'Reported burning'!B1693</f>
        <v>0</v>
      </c>
      <c r="C1693" s="161">
        <f>'Reported burning'!C1693</f>
        <v>0</v>
      </c>
      <c r="D1693" s="161">
        <f>'Reported burning'!D1693</f>
        <v>0</v>
      </c>
      <c r="E1693" s="161">
        <f>'Reported burning'!E1693</f>
        <v>0</v>
      </c>
      <c r="F1693" s="161">
        <f>'Reported burning'!F1693</f>
        <v>0</v>
      </c>
      <c r="G1693" s="161">
        <f>'Reported burning'!G1693</f>
        <v>0</v>
      </c>
      <c r="H1693" s="161">
        <f>'Reported burning'!H1693</f>
        <v>0</v>
      </c>
      <c r="I1693" s="4"/>
      <c r="J1693"/>
      <c r="K1693"/>
      <c r="L1693"/>
      <c r="M1693"/>
      <c r="N1693"/>
      <c r="O1693"/>
      <c r="P1693"/>
      <c r="Q1693"/>
      <c r="R1693"/>
      <c r="S1693"/>
      <c r="T1693"/>
      <c r="U1693"/>
      <c r="V1693"/>
      <c r="W1693"/>
    </row>
    <row r="1694" spans="1:23">
      <c r="A1694" s="161">
        <f>'Reported burning'!A1694</f>
        <v>0</v>
      </c>
      <c r="B1694" s="161">
        <f>'Reported burning'!B1694</f>
        <v>0</v>
      </c>
      <c r="C1694" s="161">
        <f>'Reported burning'!C1694</f>
        <v>0</v>
      </c>
      <c r="D1694" s="161">
        <f>'Reported burning'!D1694</f>
        <v>0</v>
      </c>
      <c r="E1694" s="161">
        <f>'Reported burning'!E1694</f>
        <v>0</v>
      </c>
      <c r="F1694" s="161">
        <f>'Reported burning'!F1694</f>
        <v>0</v>
      </c>
      <c r="G1694" s="161">
        <f>'Reported burning'!G1694</f>
        <v>0</v>
      </c>
      <c r="H1694" s="161">
        <f>'Reported burning'!H1694</f>
        <v>0</v>
      </c>
      <c r="I1694" s="4"/>
      <c r="J1694"/>
      <c r="K1694"/>
      <c r="L1694"/>
      <c r="M1694"/>
      <c r="N1694"/>
      <c r="O1694"/>
      <c r="P1694"/>
      <c r="Q1694"/>
      <c r="R1694"/>
      <c r="S1694"/>
      <c r="T1694"/>
      <c r="U1694"/>
      <c r="V1694"/>
      <c r="W1694"/>
    </row>
    <row r="1695" spans="1:23">
      <c r="A1695" s="161">
        <f>'Reported burning'!A1695</f>
        <v>0</v>
      </c>
      <c r="B1695" s="161">
        <f>'Reported burning'!B1695</f>
        <v>0</v>
      </c>
      <c r="C1695" s="161">
        <f>'Reported burning'!C1695</f>
        <v>0</v>
      </c>
      <c r="D1695" s="161">
        <f>'Reported burning'!D1695</f>
        <v>0</v>
      </c>
      <c r="E1695" s="161">
        <f>'Reported burning'!E1695</f>
        <v>0</v>
      </c>
      <c r="F1695" s="161">
        <f>'Reported burning'!F1695</f>
        <v>0</v>
      </c>
      <c r="G1695" s="161">
        <f>'Reported burning'!G1695</f>
        <v>0</v>
      </c>
      <c r="H1695" s="161">
        <f>'Reported burning'!H1695</f>
        <v>0</v>
      </c>
      <c r="I1695" s="4"/>
      <c r="J1695"/>
      <c r="K1695"/>
      <c r="L1695"/>
      <c r="M1695"/>
      <c r="N1695"/>
      <c r="O1695"/>
      <c r="P1695"/>
      <c r="Q1695"/>
      <c r="R1695"/>
      <c r="S1695"/>
      <c r="T1695"/>
      <c r="U1695"/>
      <c r="V1695"/>
      <c r="W1695"/>
    </row>
    <row r="1696" spans="1:23">
      <c r="A1696" s="161">
        <f>'Reported burning'!A1696</f>
        <v>0</v>
      </c>
      <c r="B1696" s="161">
        <f>'Reported burning'!B1696</f>
        <v>0</v>
      </c>
      <c r="C1696" s="161">
        <f>'Reported burning'!C1696</f>
        <v>0</v>
      </c>
      <c r="D1696" s="161">
        <f>'Reported burning'!D1696</f>
        <v>0</v>
      </c>
      <c r="E1696" s="161">
        <f>'Reported burning'!E1696</f>
        <v>0</v>
      </c>
      <c r="F1696" s="161">
        <f>'Reported burning'!F1696</f>
        <v>0</v>
      </c>
      <c r="G1696" s="161">
        <f>'Reported burning'!G1696</f>
        <v>0</v>
      </c>
      <c r="H1696" s="161">
        <f>'Reported burning'!H1696</f>
        <v>0</v>
      </c>
      <c r="I1696" s="4"/>
      <c r="J1696"/>
      <c r="K1696"/>
      <c r="L1696"/>
      <c r="M1696"/>
      <c r="N1696"/>
      <c r="O1696"/>
      <c r="P1696"/>
      <c r="Q1696"/>
      <c r="R1696"/>
      <c r="S1696"/>
      <c r="T1696"/>
      <c r="U1696"/>
      <c r="V1696"/>
      <c r="W1696"/>
    </row>
    <row r="1697" spans="1:23">
      <c r="A1697" s="161">
        <f>'Reported burning'!A1697</f>
        <v>0</v>
      </c>
      <c r="B1697" s="161">
        <f>'Reported burning'!B1697</f>
        <v>0</v>
      </c>
      <c r="C1697" s="161">
        <f>'Reported burning'!C1697</f>
        <v>0</v>
      </c>
      <c r="D1697" s="161">
        <f>'Reported burning'!D1697</f>
        <v>0</v>
      </c>
      <c r="E1697" s="161">
        <f>'Reported burning'!E1697</f>
        <v>0</v>
      </c>
      <c r="F1697" s="161">
        <f>'Reported burning'!F1697</f>
        <v>0</v>
      </c>
      <c r="G1697" s="161">
        <f>'Reported burning'!G1697</f>
        <v>0</v>
      </c>
      <c r="H1697" s="161">
        <f>'Reported burning'!H1697</f>
        <v>0</v>
      </c>
      <c r="I1697" s="4"/>
      <c r="J1697"/>
      <c r="K1697"/>
      <c r="L1697"/>
      <c r="M1697"/>
      <c r="N1697"/>
      <c r="O1697"/>
      <c r="P1697"/>
      <c r="Q1697"/>
      <c r="R1697"/>
      <c r="S1697"/>
      <c r="T1697"/>
      <c r="U1697"/>
      <c r="V1697"/>
      <c r="W1697"/>
    </row>
    <row r="1698" spans="1:23">
      <c r="A1698" s="161">
        <f>'Reported burning'!A1698</f>
        <v>0</v>
      </c>
      <c r="B1698" s="161">
        <f>'Reported burning'!B1698</f>
        <v>0</v>
      </c>
      <c r="C1698" s="161">
        <f>'Reported burning'!C1698</f>
        <v>0</v>
      </c>
      <c r="D1698" s="161">
        <f>'Reported burning'!D1698</f>
        <v>0</v>
      </c>
      <c r="E1698" s="161">
        <f>'Reported burning'!E1698</f>
        <v>0</v>
      </c>
      <c r="F1698" s="161">
        <f>'Reported burning'!F1698</f>
        <v>0</v>
      </c>
      <c r="G1698" s="161">
        <f>'Reported burning'!G1698</f>
        <v>0</v>
      </c>
      <c r="H1698" s="161">
        <f>'Reported burning'!H1698</f>
        <v>0</v>
      </c>
      <c r="I1698" s="4"/>
      <c r="J1698"/>
      <c r="K1698"/>
      <c r="L1698"/>
      <c r="M1698"/>
      <c r="N1698"/>
      <c r="O1698"/>
      <c r="P1698"/>
      <c r="Q1698"/>
      <c r="R1698"/>
      <c r="S1698"/>
      <c r="T1698"/>
      <c r="U1698"/>
      <c r="V1698"/>
      <c r="W1698"/>
    </row>
    <row r="1699" spans="1:23">
      <c r="A1699" s="161">
        <f>'Reported burning'!A1699</f>
        <v>0</v>
      </c>
      <c r="B1699" s="161">
        <f>'Reported burning'!B1699</f>
        <v>0</v>
      </c>
      <c r="C1699" s="161">
        <f>'Reported burning'!C1699</f>
        <v>0</v>
      </c>
      <c r="D1699" s="161">
        <f>'Reported burning'!D1699</f>
        <v>0</v>
      </c>
      <c r="E1699" s="161">
        <f>'Reported burning'!E1699</f>
        <v>0</v>
      </c>
      <c r="F1699" s="161">
        <f>'Reported burning'!F1699</f>
        <v>0</v>
      </c>
      <c r="G1699" s="161">
        <f>'Reported burning'!G1699</f>
        <v>0</v>
      </c>
      <c r="H1699" s="161">
        <f>'Reported burning'!H1699</f>
        <v>0</v>
      </c>
      <c r="I1699" s="4"/>
      <c r="J1699"/>
      <c r="K1699"/>
      <c r="L1699"/>
      <c r="M1699"/>
      <c r="N1699"/>
      <c r="O1699"/>
      <c r="P1699"/>
      <c r="Q1699"/>
      <c r="R1699"/>
      <c r="S1699"/>
      <c r="T1699"/>
      <c r="U1699"/>
      <c r="V1699"/>
      <c r="W1699"/>
    </row>
    <row r="1700" spans="1:23">
      <c r="A1700" s="161">
        <f>'Reported burning'!A1700</f>
        <v>0</v>
      </c>
      <c r="B1700" s="161">
        <f>'Reported burning'!B1700</f>
        <v>0</v>
      </c>
      <c r="C1700" s="161">
        <f>'Reported burning'!C1700</f>
        <v>0</v>
      </c>
      <c r="D1700" s="161">
        <f>'Reported burning'!D1700</f>
        <v>0</v>
      </c>
      <c r="E1700" s="161">
        <f>'Reported burning'!E1700</f>
        <v>0</v>
      </c>
      <c r="F1700" s="161">
        <f>'Reported burning'!F1700</f>
        <v>0</v>
      </c>
      <c r="G1700" s="161">
        <f>'Reported burning'!G1700</f>
        <v>0</v>
      </c>
      <c r="H1700" s="161">
        <f>'Reported burning'!H1700</f>
        <v>0</v>
      </c>
      <c r="I1700" s="4"/>
      <c r="J1700"/>
      <c r="K1700"/>
      <c r="L1700"/>
      <c r="M1700"/>
      <c r="N1700"/>
      <c r="O1700"/>
      <c r="P1700"/>
      <c r="Q1700"/>
      <c r="R1700"/>
      <c r="S1700"/>
      <c r="T1700"/>
      <c r="U1700"/>
      <c r="V1700"/>
      <c r="W1700"/>
    </row>
    <row r="1701" spans="1:23">
      <c r="A1701" s="161">
        <f>'Reported burning'!A1701</f>
        <v>0</v>
      </c>
      <c r="B1701" s="161">
        <f>'Reported burning'!B1701</f>
        <v>0</v>
      </c>
      <c r="C1701" s="161">
        <f>'Reported burning'!C1701</f>
        <v>0</v>
      </c>
      <c r="D1701" s="161">
        <f>'Reported burning'!D1701</f>
        <v>0</v>
      </c>
      <c r="E1701" s="161">
        <f>'Reported burning'!E1701</f>
        <v>0</v>
      </c>
      <c r="F1701" s="161">
        <f>'Reported burning'!F1701</f>
        <v>0</v>
      </c>
      <c r="G1701" s="161">
        <f>'Reported burning'!G1701</f>
        <v>0</v>
      </c>
      <c r="H1701" s="161">
        <f>'Reported burning'!H1701</f>
        <v>0</v>
      </c>
      <c r="I1701" s="4"/>
      <c r="J1701"/>
      <c r="K1701"/>
      <c r="L1701"/>
      <c r="M1701"/>
      <c r="N1701"/>
      <c r="O1701"/>
      <c r="P1701"/>
      <c r="Q1701"/>
      <c r="R1701"/>
      <c r="S1701"/>
      <c r="T1701"/>
      <c r="U1701"/>
      <c r="V1701"/>
      <c r="W1701"/>
    </row>
    <row r="1702" spans="1:23">
      <c r="A1702" s="161">
        <f>'Reported burning'!A1702</f>
        <v>0</v>
      </c>
      <c r="B1702" s="161">
        <f>'Reported burning'!B1702</f>
        <v>0</v>
      </c>
      <c r="C1702" s="161">
        <f>'Reported burning'!C1702</f>
        <v>0</v>
      </c>
      <c r="D1702" s="161">
        <f>'Reported burning'!D1702</f>
        <v>0</v>
      </c>
      <c r="E1702" s="161">
        <f>'Reported burning'!E1702</f>
        <v>0</v>
      </c>
      <c r="F1702" s="161">
        <f>'Reported burning'!F1702</f>
        <v>0</v>
      </c>
      <c r="G1702" s="161">
        <f>'Reported burning'!G1702</f>
        <v>0</v>
      </c>
      <c r="H1702" s="161">
        <f>'Reported burning'!H1702</f>
        <v>0</v>
      </c>
      <c r="I1702" s="4"/>
      <c r="J1702"/>
      <c r="K1702"/>
      <c r="L1702"/>
      <c r="M1702"/>
      <c r="N1702"/>
      <c r="O1702"/>
      <c r="P1702"/>
      <c r="Q1702"/>
      <c r="R1702"/>
      <c r="S1702"/>
      <c r="T1702"/>
      <c r="U1702"/>
      <c r="V1702"/>
      <c r="W1702"/>
    </row>
    <row r="1703" spans="1:23">
      <c r="A1703" s="161">
        <f>'Reported burning'!A1703</f>
        <v>0</v>
      </c>
      <c r="B1703" s="161">
        <f>'Reported burning'!B1703</f>
        <v>0</v>
      </c>
      <c r="C1703" s="161">
        <f>'Reported burning'!C1703</f>
        <v>0</v>
      </c>
      <c r="D1703" s="161">
        <f>'Reported burning'!D1703</f>
        <v>0</v>
      </c>
      <c r="E1703" s="161">
        <f>'Reported burning'!E1703</f>
        <v>0</v>
      </c>
      <c r="F1703" s="161">
        <f>'Reported burning'!F1703</f>
        <v>0</v>
      </c>
      <c r="G1703" s="161">
        <f>'Reported burning'!G1703</f>
        <v>0</v>
      </c>
      <c r="H1703" s="161">
        <f>'Reported burning'!H1703</f>
        <v>0</v>
      </c>
      <c r="I1703" s="4"/>
      <c r="J1703"/>
      <c r="K1703"/>
      <c r="L1703"/>
      <c r="M1703"/>
      <c r="N1703"/>
      <c r="O1703"/>
      <c r="P1703"/>
      <c r="Q1703"/>
      <c r="R1703"/>
      <c r="S1703"/>
      <c r="T1703"/>
      <c r="U1703"/>
      <c r="V1703"/>
      <c r="W1703"/>
    </row>
    <row r="1704" spans="1:23">
      <c r="A1704" s="161">
        <f>'Reported burning'!A1704</f>
        <v>0</v>
      </c>
      <c r="B1704" s="161">
        <f>'Reported burning'!B1704</f>
        <v>0</v>
      </c>
      <c r="C1704" s="161">
        <f>'Reported burning'!C1704</f>
        <v>0</v>
      </c>
      <c r="D1704" s="161">
        <f>'Reported burning'!D1704</f>
        <v>0</v>
      </c>
      <c r="E1704" s="161">
        <f>'Reported burning'!E1704</f>
        <v>0</v>
      </c>
      <c r="F1704" s="161">
        <f>'Reported burning'!F1704</f>
        <v>0</v>
      </c>
      <c r="G1704" s="161">
        <f>'Reported burning'!G1704</f>
        <v>0</v>
      </c>
      <c r="H1704" s="161">
        <f>'Reported burning'!H1704</f>
        <v>0</v>
      </c>
      <c r="I1704" s="4"/>
      <c r="J1704"/>
      <c r="K1704"/>
      <c r="L1704"/>
      <c r="M1704"/>
      <c r="N1704"/>
      <c r="O1704"/>
      <c r="P1704"/>
      <c r="Q1704"/>
      <c r="R1704"/>
      <c r="S1704"/>
      <c r="T1704"/>
      <c r="U1704"/>
      <c r="V1704"/>
      <c r="W1704"/>
    </row>
    <row r="1705" spans="1:23">
      <c r="A1705" s="161">
        <f>'Reported burning'!A1705</f>
        <v>0</v>
      </c>
      <c r="B1705" s="161">
        <f>'Reported burning'!B1705</f>
        <v>0</v>
      </c>
      <c r="C1705" s="161">
        <f>'Reported burning'!C1705</f>
        <v>0</v>
      </c>
      <c r="D1705" s="161">
        <f>'Reported burning'!D1705</f>
        <v>0</v>
      </c>
      <c r="E1705" s="161">
        <f>'Reported burning'!E1705</f>
        <v>0</v>
      </c>
      <c r="F1705" s="161">
        <f>'Reported burning'!F1705</f>
        <v>0</v>
      </c>
      <c r="G1705" s="161">
        <f>'Reported burning'!G1705</f>
        <v>0</v>
      </c>
      <c r="H1705" s="161">
        <f>'Reported burning'!H1705</f>
        <v>0</v>
      </c>
      <c r="I1705" s="4"/>
      <c r="J1705"/>
      <c r="K1705"/>
      <c r="L1705"/>
      <c r="M1705"/>
      <c r="N1705"/>
      <c r="O1705"/>
      <c r="P1705"/>
      <c r="Q1705"/>
      <c r="R1705"/>
      <c r="S1705"/>
      <c r="T1705"/>
      <c r="U1705"/>
      <c r="V1705"/>
      <c r="W1705"/>
    </row>
    <row r="1706" spans="1:23">
      <c r="A1706" s="161">
        <f>'Reported burning'!A1706</f>
        <v>0</v>
      </c>
      <c r="B1706" s="161">
        <f>'Reported burning'!B1706</f>
        <v>0</v>
      </c>
      <c r="C1706" s="161">
        <f>'Reported burning'!C1706</f>
        <v>0</v>
      </c>
      <c r="D1706" s="161">
        <f>'Reported burning'!D1706</f>
        <v>0</v>
      </c>
      <c r="E1706" s="161">
        <f>'Reported burning'!E1706</f>
        <v>0</v>
      </c>
      <c r="F1706" s="161">
        <f>'Reported burning'!F1706</f>
        <v>0</v>
      </c>
      <c r="G1706" s="161">
        <f>'Reported burning'!G1706</f>
        <v>0</v>
      </c>
      <c r="H1706" s="161">
        <f>'Reported burning'!H1706</f>
        <v>0</v>
      </c>
      <c r="I1706" s="4"/>
      <c r="J1706"/>
      <c r="K1706"/>
      <c r="L1706"/>
      <c r="M1706"/>
      <c r="N1706"/>
      <c r="O1706"/>
      <c r="P1706"/>
      <c r="Q1706"/>
      <c r="R1706"/>
      <c r="S1706"/>
      <c r="T1706"/>
      <c r="U1706"/>
      <c r="V1706"/>
      <c r="W1706"/>
    </row>
    <row r="1707" spans="1:23">
      <c r="A1707" s="161">
        <f>'Reported burning'!A1707</f>
        <v>0</v>
      </c>
      <c r="B1707" s="161">
        <f>'Reported burning'!B1707</f>
        <v>0</v>
      </c>
      <c r="C1707" s="161">
        <f>'Reported burning'!C1707</f>
        <v>0</v>
      </c>
      <c r="D1707" s="161">
        <f>'Reported burning'!D1707</f>
        <v>0</v>
      </c>
      <c r="E1707" s="161">
        <f>'Reported burning'!E1707</f>
        <v>0</v>
      </c>
      <c r="F1707" s="161">
        <f>'Reported burning'!F1707</f>
        <v>0</v>
      </c>
      <c r="G1707" s="161">
        <f>'Reported burning'!G1707</f>
        <v>0</v>
      </c>
      <c r="H1707" s="161">
        <f>'Reported burning'!H1707</f>
        <v>0</v>
      </c>
      <c r="I1707" s="4"/>
      <c r="J1707"/>
      <c r="K1707"/>
      <c r="L1707"/>
      <c r="M1707"/>
      <c r="N1707"/>
      <c r="O1707"/>
      <c r="P1707"/>
      <c r="Q1707"/>
      <c r="R1707"/>
      <c r="S1707"/>
      <c r="T1707"/>
      <c r="U1707"/>
      <c r="V1707"/>
      <c r="W1707"/>
    </row>
    <row r="1708" spans="1:23">
      <c r="A1708" s="161">
        <f>'Reported burning'!A1708</f>
        <v>0</v>
      </c>
      <c r="B1708" s="161">
        <f>'Reported burning'!B1708</f>
        <v>0</v>
      </c>
      <c r="C1708" s="161">
        <f>'Reported burning'!C1708</f>
        <v>0</v>
      </c>
      <c r="D1708" s="161">
        <f>'Reported burning'!D1708</f>
        <v>0</v>
      </c>
      <c r="E1708" s="161">
        <f>'Reported burning'!E1708</f>
        <v>0</v>
      </c>
      <c r="F1708" s="161">
        <f>'Reported burning'!F1708</f>
        <v>0</v>
      </c>
      <c r="G1708" s="161">
        <f>'Reported burning'!G1708</f>
        <v>0</v>
      </c>
      <c r="H1708" s="161">
        <f>'Reported burning'!H1708</f>
        <v>0</v>
      </c>
      <c r="I1708" s="4"/>
      <c r="J1708"/>
      <c r="K1708"/>
      <c r="L1708"/>
      <c r="M1708"/>
      <c r="N1708"/>
      <c r="O1708"/>
      <c r="P1708"/>
      <c r="Q1708"/>
      <c r="R1708"/>
      <c r="S1708"/>
      <c r="T1708"/>
      <c r="U1708"/>
      <c r="V1708"/>
      <c r="W1708"/>
    </row>
    <row r="1709" spans="1:23">
      <c r="A1709" s="161">
        <f>'Reported burning'!A1709</f>
        <v>0</v>
      </c>
      <c r="B1709" s="161">
        <f>'Reported burning'!B1709</f>
        <v>0</v>
      </c>
      <c r="C1709" s="161">
        <f>'Reported burning'!C1709</f>
        <v>0</v>
      </c>
      <c r="D1709" s="161">
        <f>'Reported burning'!D1709</f>
        <v>0</v>
      </c>
      <c r="E1709" s="161">
        <f>'Reported burning'!E1709</f>
        <v>0</v>
      </c>
      <c r="F1709" s="161">
        <f>'Reported burning'!F1709</f>
        <v>0</v>
      </c>
      <c r="G1709" s="161">
        <f>'Reported burning'!G1709</f>
        <v>0</v>
      </c>
      <c r="H1709" s="161">
        <f>'Reported burning'!H1709</f>
        <v>0</v>
      </c>
      <c r="I1709" s="4"/>
      <c r="J1709"/>
      <c r="K1709"/>
      <c r="L1709"/>
      <c r="M1709"/>
      <c r="N1709"/>
      <c r="O1709"/>
      <c r="P1709"/>
      <c r="Q1709"/>
      <c r="R1709"/>
      <c r="S1709"/>
      <c r="T1709"/>
      <c r="U1709"/>
      <c r="V1709"/>
      <c r="W1709"/>
    </row>
    <row r="1710" spans="1:23">
      <c r="A1710" s="161">
        <f>'Reported burning'!A1710</f>
        <v>0</v>
      </c>
      <c r="B1710" s="161">
        <f>'Reported burning'!B1710</f>
        <v>0</v>
      </c>
      <c r="C1710" s="161">
        <f>'Reported burning'!C1710</f>
        <v>0</v>
      </c>
      <c r="D1710" s="161">
        <f>'Reported burning'!D1710</f>
        <v>0</v>
      </c>
      <c r="E1710" s="161">
        <f>'Reported burning'!E1710</f>
        <v>0</v>
      </c>
      <c r="F1710" s="161">
        <f>'Reported burning'!F1710</f>
        <v>0</v>
      </c>
      <c r="G1710" s="161">
        <f>'Reported burning'!G1710</f>
        <v>0</v>
      </c>
      <c r="H1710" s="161">
        <f>'Reported burning'!H1710</f>
        <v>0</v>
      </c>
      <c r="I1710" s="4"/>
      <c r="J1710"/>
      <c r="K1710"/>
      <c r="L1710"/>
      <c r="M1710"/>
      <c r="N1710"/>
      <c r="O1710"/>
      <c r="P1710"/>
      <c r="Q1710"/>
      <c r="R1710"/>
      <c r="S1710"/>
      <c r="T1710"/>
      <c r="U1710"/>
      <c r="V1710"/>
      <c r="W1710"/>
    </row>
    <row r="1711" spans="1:23">
      <c r="A1711" s="161">
        <f>'Reported burning'!A1711</f>
        <v>0</v>
      </c>
      <c r="B1711" s="161">
        <f>'Reported burning'!B1711</f>
        <v>0</v>
      </c>
      <c r="C1711" s="161">
        <f>'Reported burning'!C1711</f>
        <v>0</v>
      </c>
      <c r="D1711" s="161">
        <f>'Reported burning'!D1711</f>
        <v>0</v>
      </c>
      <c r="E1711" s="161">
        <f>'Reported burning'!E1711</f>
        <v>0</v>
      </c>
      <c r="F1711" s="161">
        <f>'Reported burning'!F1711</f>
        <v>0</v>
      </c>
      <c r="G1711" s="161">
        <f>'Reported burning'!G1711</f>
        <v>0</v>
      </c>
      <c r="H1711" s="161">
        <f>'Reported burning'!H1711</f>
        <v>0</v>
      </c>
      <c r="I1711" s="4"/>
      <c r="J1711"/>
      <c r="K1711"/>
      <c r="L1711"/>
      <c r="M1711"/>
      <c r="N1711"/>
      <c r="O1711"/>
      <c r="P1711"/>
      <c r="Q1711"/>
      <c r="R1711"/>
      <c r="S1711"/>
      <c r="T1711"/>
      <c r="U1711"/>
      <c r="V1711"/>
      <c r="W1711"/>
    </row>
    <row r="1712" spans="1:23">
      <c r="A1712" s="161">
        <f>'Reported burning'!A1712</f>
        <v>0</v>
      </c>
      <c r="B1712" s="161">
        <f>'Reported burning'!B1712</f>
        <v>0</v>
      </c>
      <c r="C1712" s="161">
        <f>'Reported burning'!C1712</f>
        <v>0</v>
      </c>
      <c r="D1712" s="161">
        <f>'Reported burning'!D1712</f>
        <v>0</v>
      </c>
      <c r="E1712" s="161">
        <f>'Reported burning'!E1712</f>
        <v>0</v>
      </c>
      <c r="F1712" s="161">
        <f>'Reported burning'!F1712</f>
        <v>0</v>
      </c>
      <c r="G1712" s="161">
        <f>'Reported burning'!G1712</f>
        <v>0</v>
      </c>
      <c r="H1712" s="161">
        <f>'Reported burning'!H1712</f>
        <v>0</v>
      </c>
      <c r="I1712" s="4"/>
      <c r="J1712"/>
      <c r="K1712"/>
      <c r="L1712"/>
      <c r="M1712"/>
      <c r="N1712"/>
      <c r="O1712"/>
      <c r="P1712"/>
      <c r="Q1712"/>
      <c r="R1712"/>
      <c r="S1712"/>
      <c r="T1712"/>
      <c r="U1712"/>
      <c r="V1712"/>
      <c r="W1712"/>
    </row>
    <row r="1713" spans="1:23">
      <c r="A1713" s="161">
        <f>'Reported burning'!A1713</f>
        <v>0</v>
      </c>
      <c r="B1713" s="161">
        <f>'Reported burning'!B1713</f>
        <v>0</v>
      </c>
      <c r="C1713" s="161">
        <f>'Reported burning'!C1713</f>
        <v>0</v>
      </c>
      <c r="D1713" s="161">
        <f>'Reported burning'!D1713</f>
        <v>0</v>
      </c>
      <c r="E1713" s="161">
        <f>'Reported burning'!E1713</f>
        <v>0</v>
      </c>
      <c r="F1713" s="161">
        <f>'Reported burning'!F1713</f>
        <v>0</v>
      </c>
      <c r="G1713" s="161">
        <f>'Reported burning'!G1713</f>
        <v>0</v>
      </c>
      <c r="H1713" s="161">
        <f>'Reported burning'!H1713</f>
        <v>0</v>
      </c>
      <c r="I1713" s="4"/>
      <c r="J1713"/>
      <c r="K1713"/>
      <c r="L1713"/>
      <c r="M1713"/>
      <c r="N1713"/>
      <c r="O1713"/>
      <c r="P1713"/>
      <c r="Q1713"/>
      <c r="R1713"/>
      <c r="S1713"/>
      <c r="T1713"/>
      <c r="U1713"/>
      <c r="V1713"/>
      <c r="W1713"/>
    </row>
    <row r="1714" spans="1:23">
      <c r="A1714" s="161">
        <f>'Reported burning'!A1714</f>
        <v>0</v>
      </c>
      <c r="B1714" s="161">
        <f>'Reported burning'!B1714</f>
        <v>0</v>
      </c>
      <c r="C1714" s="161">
        <f>'Reported burning'!C1714</f>
        <v>0</v>
      </c>
      <c r="D1714" s="161">
        <f>'Reported burning'!D1714</f>
        <v>0</v>
      </c>
      <c r="E1714" s="161">
        <f>'Reported burning'!E1714</f>
        <v>0</v>
      </c>
      <c r="F1714" s="161">
        <f>'Reported burning'!F1714</f>
        <v>0</v>
      </c>
      <c r="G1714" s="161">
        <f>'Reported burning'!G1714</f>
        <v>0</v>
      </c>
      <c r="H1714" s="161">
        <f>'Reported burning'!H1714</f>
        <v>0</v>
      </c>
      <c r="I1714" s="4"/>
      <c r="J1714"/>
      <c r="K1714"/>
      <c r="L1714"/>
      <c r="M1714"/>
      <c r="N1714"/>
      <c r="O1714"/>
      <c r="P1714"/>
      <c r="Q1714"/>
      <c r="R1714"/>
      <c r="S1714"/>
      <c r="T1714"/>
      <c r="U1714"/>
      <c r="V1714"/>
      <c r="W1714"/>
    </row>
    <row r="1715" spans="1:23">
      <c r="A1715" s="161">
        <f>'Reported burning'!A1715</f>
        <v>0</v>
      </c>
      <c r="B1715" s="161">
        <f>'Reported burning'!B1715</f>
        <v>0</v>
      </c>
      <c r="C1715" s="161">
        <f>'Reported burning'!C1715</f>
        <v>0</v>
      </c>
      <c r="D1715" s="161">
        <f>'Reported burning'!D1715</f>
        <v>0</v>
      </c>
      <c r="E1715" s="161">
        <f>'Reported burning'!E1715</f>
        <v>0</v>
      </c>
      <c r="F1715" s="161">
        <f>'Reported burning'!F1715</f>
        <v>0</v>
      </c>
      <c r="G1715" s="161">
        <f>'Reported burning'!G1715</f>
        <v>0</v>
      </c>
      <c r="H1715" s="161">
        <f>'Reported burning'!H1715</f>
        <v>0</v>
      </c>
      <c r="I1715" s="4"/>
      <c r="J1715"/>
      <c r="K1715"/>
      <c r="L1715"/>
      <c r="M1715"/>
      <c r="N1715"/>
      <c r="O1715"/>
      <c r="P1715"/>
      <c r="Q1715"/>
      <c r="R1715"/>
      <c r="S1715"/>
      <c r="T1715"/>
      <c r="U1715"/>
      <c r="V1715"/>
      <c r="W1715"/>
    </row>
    <row r="1716" spans="1:23">
      <c r="A1716" s="161">
        <f>'Reported burning'!A1716</f>
        <v>0</v>
      </c>
      <c r="B1716" s="161">
        <f>'Reported burning'!B1716</f>
        <v>0</v>
      </c>
      <c r="C1716" s="161">
        <f>'Reported burning'!C1716</f>
        <v>0</v>
      </c>
      <c r="D1716" s="161">
        <f>'Reported burning'!D1716</f>
        <v>0</v>
      </c>
      <c r="E1716" s="161">
        <f>'Reported burning'!E1716</f>
        <v>0</v>
      </c>
      <c r="F1716" s="161">
        <f>'Reported burning'!F1716</f>
        <v>0</v>
      </c>
      <c r="G1716" s="161">
        <f>'Reported burning'!G1716</f>
        <v>0</v>
      </c>
      <c r="H1716" s="161">
        <f>'Reported burning'!H1716</f>
        <v>0</v>
      </c>
      <c r="I1716" s="4"/>
      <c r="J1716"/>
      <c r="K1716"/>
      <c r="L1716"/>
      <c r="M1716"/>
      <c r="N1716"/>
      <c r="O1716"/>
      <c r="P1716"/>
      <c r="Q1716"/>
      <c r="R1716"/>
      <c r="S1716"/>
      <c r="T1716"/>
      <c r="U1716"/>
      <c r="V1716"/>
      <c r="W1716"/>
    </row>
    <row r="1717" spans="1:23">
      <c r="A1717" s="161">
        <f>'Reported burning'!A1717</f>
        <v>0</v>
      </c>
      <c r="B1717" s="161">
        <f>'Reported burning'!B1717</f>
        <v>0</v>
      </c>
      <c r="C1717" s="161">
        <f>'Reported burning'!C1717</f>
        <v>0</v>
      </c>
      <c r="D1717" s="161">
        <f>'Reported burning'!D1717</f>
        <v>0</v>
      </c>
      <c r="E1717" s="161">
        <f>'Reported burning'!E1717</f>
        <v>0</v>
      </c>
      <c r="F1717" s="161">
        <f>'Reported burning'!F1717</f>
        <v>0</v>
      </c>
      <c r="G1717" s="161">
        <f>'Reported burning'!G1717</f>
        <v>0</v>
      </c>
      <c r="H1717" s="161">
        <f>'Reported burning'!H1717</f>
        <v>0</v>
      </c>
      <c r="I1717" s="4"/>
      <c r="J1717"/>
      <c r="K1717"/>
      <c r="L1717"/>
      <c r="M1717"/>
      <c r="N1717"/>
      <c r="O1717"/>
      <c r="P1717"/>
      <c r="Q1717"/>
      <c r="R1717"/>
      <c r="S1717"/>
      <c r="T1717"/>
      <c r="U1717"/>
      <c r="V1717"/>
      <c r="W1717"/>
    </row>
    <row r="1718" spans="1:23">
      <c r="A1718" s="161">
        <f>'Reported burning'!A1718</f>
        <v>0</v>
      </c>
      <c r="B1718" s="161">
        <f>'Reported burning'!B1718</f>
        <v>0</v>
      </c>
      <c r="C1718" s="161">
        <f>'Reported burning'!C1718</f>
        <v>0</v>
      </c>
      <c r="D1718" s="161">
        <f>'Reported burning'!D1718</f>
        <v>0</v>
      </c>
      <c r="E1718" s="161">
        <f>'Reported burning'!E1718</f>
        <v>0</v>
      </c>
      <c r="F1718" s="161">
        <f>'Reported burning'!F1718</f>
        <v>0</v>
      </c>
      <c r="G1718" s="161">
        <f>'Reported burning'!G1718</f>
        <v>0</v>
      </c>
      <c r="H1718" s="161">
        <f>'Reported burning'!H1718</f>
        <v>0</v>
      </c>
      <c r="I1718" s="4"/>
      <c r="J1718"/>
      <c r="K1718"/>
      <c r="L1718"/>
      <c r="M1718"/>
      <c r="N1718"/>
      <c r="O1718"/>
      <c r="P1718"/>
      <c r="Q1718"/>
      <c r="R1718"/>
      <c r="S1718"/>
      <c r="T1718"/>
      <c r="U1718"/>
      <c r="V1718"/>
      <c r="W1718"/>
    </row>
    <row r="1719" spans="1:23">
      <c r="A1719" s="161">
        <f>'Reported burning'!A1719</f>
        <v>0</v>
      </c>
      <c r="B1719" s="161">
        <f>'Reported burning'!B1719</f>
        <v>0</v>
      </c>
      <c r="C1719" s="161">
        <f>'Reported burning'!C1719</f>
        <v>0</v>
      </c>
      <c r="D1719" s="161">
        <f>'Reported burning'!D1719</f>
        <v>0</v>
      </c>
      <c r="E1719" s="161">
        <f>'Reported burning'!E1719</f>
        <v>0</v>
      </c>
      <c r="F1719" s="161">
        <f>'Reported burning'!F1719</f>
        <v>0</v>
      </c>
      <c r="G1719" s="161">
        <f>'Reported burning'!G1719</f>
        <v>0</v>
      </c>
      <c r="H1719" s="161">
        <f>'Reported burning'!H1719</f>
        <v>0</v>
      </c>
      <c r="I1719" s="4"/>
      <c r="J1719"/>
      <c r="K1719"/>
      <c r="L1719"/>
      <c r="M1719"/>
      <c r="N1719"/>
      <c r="O1719"/>
      <c r="P1719"/>
      <c r="Q1719"/>
      <c r="R1719"/>
      <c r="S1719"/>
      <c r="T1719"/>
      <c r="U1719"/>
      <c r="V1719"/>
      <c r="W1719"/>
    </row>
    <row r="1720" spans="1:23">
      <c r="A1720" s="161">
        <f>'Reported burning'!A1720</f>
        <v>0</v>
      </c>
      <c r="B1720" s="161">
        <f>'Reported burning'!B1720</f>
        <v>0</v>
      </c>
      <c r="C1720" s="161">
        <f>'Reported burning'!C1720</f>
        <v>0</v>
      </c>
      <c r="D1720" s="161">
        <f>'Reported burning'!D1720</f>
        <v>0</v>
      </c>
      <c r="E1720" s="161">
        <f>'Reported burning'!E1720</f>
        <v>0</v>
      </c>
      <c r="F1720" s="161">
        <f>'Reported burning'!F1720</f>
        <v>0</v>
      </c>
      <c r="G1720" s="161">
        <f>'Reported burning'!G1720</f>
        <v>0</v>
      </c>
      <c r="H1720" s="161">
        <f>'Reported burning'!H1720</f>
        <v>0</v>
      </c>
      <c r="I1720" s="4"/>
      <c r="J1720"/>
      <c r="K1720"/>
      <c r="L1720"/>
      <c r="M1720"/>
      <c r="N1720"/>
      <c r="O1720"/>
      <c r="P1720"/>
      <c r="Q1720"/>
      <c r="R1720"/>
      <c r="S1720"/>
      <c r="T1720"/>
      <c r="U1720"/>
      <c r="V1720"/>
      <c r="W1720"/>
    </row>
    <row r="1721" spans="1:23">
      <c r="A1721" s="161">
        <f>'Reported burning'!A1721</f>
        <v>0</v>
      </c>
      <c r="B1721" s="161">
        <f>'Reported burning'!B1721</f>
        <v>0</v>
      </c>
      <c r="C1721" s="161">
        <f>'Reported burning'!C1721</f>
        <v>0</v>
      </c>
      <c r="D1721" s="161">
        <f>'Reported burning'!D1721</f>
        <v>0</v>
      </c>
      <c r="E1721" s="161">
        <f>'Reported burning'!E1721</f>
        <v>0</v>
      </c>
      <c r="F1721" s="161">
        <f>'Reported burning'!F1721</f>
        <v>0</v>
      </c>
      <c r="G1721" s="161">
        <f>'Reported burning'!G1721</f>
        <v>0</v>
      </c>
      <c r="H1721" s="161">
        <f>'Reported burning'!H1721</f>
        <v>0</v>
      </c>
      <c r="I1721" s="4"/>
      <c r="J1721"/>
      <c r="K1721"/>
      <c r="L1721"/>
      <c r="M1721"/>
      <c r="N1721"/>
      <c r="O1721"/>
      <c r="P1721"/>
      <c r="Q1721"/>
      <c r="R1721"/>
      <c r="S1721"/>
      <c r="T1721"/>
      <c r="U1721"/>
      <c r="V1721"/>
      <c r="W1721"/>
    </row>
    <row r="1722" spans="1:23">
      <c r="A1722" s="161">
        <f>'Reported burning'!A1722</f>
        <v>0</v>
      </c>
      <c r="B1722" s="161">
        <f>'Reported burning'!B1722</f>
        <v>0</v>
      </c>
      <c r="C1722" s="161">
        <f>'Reported burning'!C1722</f>
        <v>0</v>
      </c>
      <c r="D1722" s="161">
        <f>'Reported burning'!D1722</f>
        <v>0</v>
      </c>
      <c r="E1722" s="161">
        <f>'Reported burning'!E1722</f>
        <v>0</v>
      </c>
      <c r="F1722" s="161">
        <f>'Reported burning'!F1722</f>
        <v>0</v>
      </c>
      <c r="G1722" s="161">
        <f>'Reported burning'!G1722</f>
        <v>0</v>
      </c>
      <c r="H1722" s="161">
        <f>'Reported burning'!H1722</f>
        <v>0</v>
      </c>
      <c r="I1722" s="4"/>
      <c r="J1722"/>
      <c r="K1722"/>
      <c r="L1722"/>
      <c r="M1722"/>
      <c r="N1722"/>
      <c r="O1722"/>
      <c r="P1722"/>
      <c r="Q1722"/>
      <c r="R1722"/>
      <c r="S1722"/>
      <c r="T1722"/>
      <c r="U1722"/>
      <c r="V1722"/>
      <c r="W1722"/>
    </row>
    <row r="1723" spans="1:23">
      <c r="A1723" s="161">
        <f>'Reported burning'!A1723</f>
        <v>0</v>
      </c>
      <c r="B1723" s="161">
        <f>'Reported burning'!B1723</f>
        <v>0</v>
      </c>
      <c r="C1723" s="161">
        <f>'Reported burning'!C1723</f>
        <v>0</v>
      </c>
      <c r="D1723" s="161">
        <f>'Reported burning'!D1723</f>
        <v>0</v>
      </c>
      <c r="E1723" s="161">
        <f>'Reported burning'!E1723</f>
        <v>0</v>
      </c>
      <c r="F1723" s="161">
        <f>'Reported burning'!F1723</f>
        <v>0</v>
      </c>
      <c r="G1723" s="161">
        <f>'Reported burning'!G1723</f>
        <v>0</v>
      </c>
      <c r="H1723" s="161">
        <f>'Reported burning'!H1723</f>
        <v>0</v>
      </c>
      <c r="I1723" s="4"/>
      <c r="J1723"/>
      <c r="K1723"/>
      <c r="L1723"/>
      <c r="M1723"/>
      <c r="N1723"/>
      <c r="O1723"/>
      <c r="P1723"/>
      <c r="Q1723"/>
      <c r="R1723"/>
      <c r="S1723"/>
      <c r="T1723"/>
      <c r="U1723"/>
      <c r="V1723"/>
      <c r="W1723"/>
    </row>
    <row r="1724" spans="1:23">
      <c r="A1724" s="161">
        <f>'Reported burning'!A1724</f>
        <v>0</v>
      </c>
      <c r="B1724" s="161">
        <f>'Reported burning'!B1724</f>
        <v>0</v>
      </c>
      <c r="C1724" s="161">
        <f>'Reported burning'!C1724</f>
        <v>0</v>
      </c>
      <c r="D1724" s="161">
        <f>'Reported burning'!D1724</f>
        <v>0</v>
      </c>
      <c r="E1724" s="161">
        <f>'Reported burning'!E1724</f>
        <v>0</v>
      </c>
      <c r="F1724" s="161">
        <f>'Reported burning'!F1724</f>
        <v>0</v>
      </c>
      <c r="G1724" s="161">
        <f>'Reported burning'!G1724</f>
        <v>0</v>
      </c>
      <c r="H1724" s="161">
        <f>'Reported burning'!H1724</f>
        <v>0</v>
      </c>
      <c r="I1724" s="4"/>
      <c r="J1724"/>
      <c r="K1724"/>
      <c r="L1724"/>
      <c r="M1724"/>
      <c r="N1724"/>
      <c r="O1724"/>
      <c r="P1724"/>
      <c r="Q1724"/>
      <c r="R1724"/>
      <c r="S1724"/>
      <c r="T1724"/>
      <c r="U1724"/>
      <c r="V1724"/>
      <c r="W1724"/>
    </row>
    <row r="1725" spans="1:23">
      <c r="A1725" s="161">
        <f>'Reported burning'!A1725</f>
        <v>0</v>
      </c>
      <c r="B1725" s="161">
        <f>'Reported burning'!B1725</f>
        <v>0</v>
      </c>
      <c r="C1725" s="161">
        <f>'Reported burning'!C1725</f>
        <v>0</v>
      </c>
      <c r="D1725" s="161">
        <f>'Reported burning'!D1725</f>
        <v>0</v>
      </c>
      <c r="E1725" s="161">
        <f>'Reported burning'!E1725</f>
        <v>0</v>
      </c>
      <c r="F1725" s="161">
        <f>'Reported burning'!F1725</f>
        <v>0</v>
      </c>
      <c r="G1725" s="161">
        <f>'Reported burning'!G1725</f>
        <v>0</v>
      </c>
      <c r="H1725" s="161">
        <f>'Reported burning'!H1725</f>
        <v>0</v>
      </c>
      <c r="I1725" s="4"/>
      <c r="J1725"/>
      <c r="K1725"/>
      <c r="L1725"/>
      <c r="M1725"/>
      <c r="N1725"/>
      <c r="O1725"/>
      <c r="P1725"/>
      <c r="Q1725"/>
      <c r="R1725"/>
      <c r="S1725"/>
      <c r="T1725"/>
      <c r="U1725"/>
      <c r="V1725"/>
      <c r="W1725"/>
    </row>
    <row r="1726" spans="1:23">
      <c r="A1726" s="161">
        <f>'Reported burning'!A1726</f>
        <v>0</v>
      </c>
      <c r="B1726" s="161">
        <f>'Reported burning'!B1726</f>
        <v>0</v>
      </c>
      <c r="C1726" s="161">
        <f>'Reported burning'!C1726</f>
        <v>0</v>
      </c>
      <c r="D1726" s="161">
        <f>'Reported burning'!D1726</f>
        <v>0</v>
      </c>
      <c r="E1726" s="161">
        <f>'Reported burning'!E1726</f>
        <v>0</v>
      </c>
      <c r="F1726" s="161">
        <f>'Reported burning'!F1726</f>
        <v>0</v>
      </c>
      <c r="G1726" s="161">
        <f>'Reported burning'!G1726</f>
        <v>0</v>
      </c>
      <c r="H1726" s="161">
        <f>'Reported burning'!H1726</f>
        <v>0</v>
      </c>
      <c r="I1726" s="4"/>
      <c r="J1726"/>
      <c r="K1726"/>
      <c r="L1726"/>
      <c r="M1726"/>
      <c r="N1726"/>
      <c r="O1726"/>
      <c r="P1726"/>
      <c r="Q1726"/>
      <c r="R1726"/>
      <c r="S1726"/>
      <c r="T1726"/>
      <c r="U1726"/>
      <c r="V1726"/>
      <c r="W1726"/>
    </row>
    <row r="1727" spans="1:23">
      <c r="A1727" s="161">
        <f>'Reported burning'!A1727</f>
        <v>0</v>
      </c>
      <c r="B1727" s="161">
        <f>'Reported burning'!B1727</f>
        <v>0</v>
      </c>
      <c r="C1727" s="161">
        <f>'Reported burning'!C1727</f>
        <v>0</v>
      </c>
      <c r="D1727" s="161">
        <f>'Reported burning'!D1727</f>
        <v>0</v>
      </c>
      <c r="E1727" s="161">
        <f>'Reported burning'!E1727</f>
        <v>0</v>
      </c>
      <c r="F1727" s="161">
        <f>'Reported burning'!F1727</f>
        <v>0</v>
      </c>
      <c r="G1727" s="161">
        <f>'Reported burning'!G1727</f>
        <v>0</v>
      </c>
      <c r="H1727" s="161">
        <f>'Reported burning'!H1727</f>
        <v>0</v>
      </c>
      <c r="I1727" s="4"/>
      <c r="J1727"/>
      <c r="K1727"/>
      <c r="L1727"/>
      <c r="M1727"/>
      <c r="N1727"/>
      <c r="O1727"/>
      <c r="P1727"/>
      <c r="Q1727"/>
      <c r="R1727"/>
      <c r="S1727"/>
      <c r="T1727"/>
      <c r="U1727"/>
      <c r="V1727"/>
      <c r="W1727"/>
    </row>
    <row r="1728" spans="1:23">
      <c r="A1728" s="161">
        <f>'Reported burning'!A1728</f>
        <v>0</v>
      </c>
      <c r="B1728" s="161">
        <f>'Reported burning'!B1728</f>
        <v>0</v>
      </c>
      <c r="C1728" s="161">
        <f>'Reported burning'!C1728</f>
        <v>0</v>
      </c>
      <c r="D1728" s="161">
        <f>'Reported burning'!D1728</f>
        <v>0</v>
      </c>
      <c r="E1728" s="161">
        <f>'Reported burning'!E1728</f>
        <v>0</v>
      </c>
      <c r="F1728" s="161">
        <f>'Reported burning'!F1728</f>
        <v>0</v>
      </c>
      <c r="G1728" s="161">
        <f>'Reported burning'!G1728</f>
        <v>0</v>
      </c>
      <c r="H1728" s="161">
        <f>'Reported burning'!H1728</f>
        <v>0</v>
      </c>
      <c r="I1728" s="4"/>
      <c r="J1728"/>
      <c r="K1728"/>
      <c r="L1728"/>
      <c r="M1728"/>
      <c r="N1728"/>
      <c r="O1728"/>
      <c r="P1728"/>
      <c r="Q1728"/>
      <c r="R1728"/>
      <c r="S1728"/>
      <c r="T1728"/>
      <c r="U1728"/>
      <c r="V1728"/>
      <c r="W1728"/>
    </row>
    <row r="1729" spans="1:23">
      <c r="A1729" s="161">
        <f>'Reported burning'!A1729</f>
        <v>0</v>
      </c>
      <c r="B1729" s="161">
        <f>'Reported burning'!B1729</f>
        <v>0</v>
      </c>
      <c r="C1729" s="161">
        <f>'Reported burning'!C1729</f>
        <v>0</v>
      </c>
      <c r="D1729" s="161">
        <f>'Reported burning'!D1729</f>
        <v>0</v>
      </c>
      <c r="E1729" s="161">
        <f>'Reported burning'!E1729</f>
        <v>0</v>
      </c>
      <c r="F1729" s="161">
        <f>'Reported burning'!F1729</f>
        <v>0</v>
      </c>
      <c r="G1729" s="161">
        <f>'Reported burning'!G1729</f>
        <v>0</v>
      </c>
      <c r="H1729" s="161">
        <f>'Reported burning'!H1729</f>
        <v>0</v>
      </c>
      <c r="I1729" s="4"/>
      <c r="J1729"/>
      <c r="K1729"/>
      <c r="L1729"/>
      <c r="M1729"/>
      <c r="N1729"/>
      <c r="O1729"/>
      <c r="P1729"/>
      <c r="Q1729"/>
      <c r="R1729"/>
      <c r="S1729"/>
      <c r="T1729"/>
      <c r="U1729"/>
      <c r="V1729"/>
      <c r="W1729"/>
    </row>
    <row r="1730" spans="1:23">
      <c r="A1730" s="161">
        <f>'Reported burning'!A1730</f>
        <v>0</v>
      </c>
      <c r="B1730" s="161">
        <f>'Reported burning'!B1730</f>
        <v>0</v>
      </c>
      <c r="C1730" s="161">
        <f>'Reported burning'!C1730</f>
        <v>0</v>
      </c>
      <c r="D1730" s="161">
        <f>'Reported burning'!D1730</f>
        <v>0</v>
      </c>
      <c r="E1730" s="161">
        <f>'Reported burning'!E1730</f>
        <v>0</v>
      </c>
      <c r="F1730" s="161">
        <f>'Reported burning'!F1730</f>
        <v>0</v>
      </c>
      <c r="G1730" s="161">
        <f>'Reported burning'!G1730</f>
        <v>0</v>
      </c>
      <c r="H1730" s="161">
        <f>'Reported burning'!H1730</f>
        <v>0</v>
      </c>
      <c r="I1730" s="4"/>
      <c r="J1730"/>
      <c r="K1730"/>
      <c r="L1730"/>
      <c r="M1730"/>
      <c r="N1730"/>
      <c r="O1730"/>
      <c r="P1730"/>
      <c r="Q1730"/>
      <c r="R1730"/>
      <c r="S1730"/>
      <c r="T1730"/>
      <c r="U1730"/>
      <c r="V1730"/>
      <c r="W1730"/>
    </row>
    <row r="1731" spans="1:23">
      <c r="A1731" s="161">
        <f>'Reported burning'!A1731</f>
        <v>0</v>
      </c>
      <c r="B1731" s="161">
        <f>'Reported burning'!B1731</f>
        <v>0</v>
      </c>
      <c r="C1731" s="161">
        <f>'Reported burning'!C1731</f>
        <v>0</v>
      </c>
      <c r="D1731" s="161">
        <f>'Reported burning'!D1731</f>
        <v>0</v>
      </c>
      <c r="E1731" s="161">
        <f>'Reported burning'!E1731</f>
        <v>0</v>
      </c>
      <c r="F1731" s="161">
        <f>'Reported burning'!F1731</f>
        <v>0</v>
      </c>
      <c r="G1731" s="161">
        <f>'Reported burning'!G1731</f>
        <v>0</v>
      </c>
      <c r="H1731" s="161">
        <f>'Reported burning'!H1731</f>
        <v>0</v>
      </c>
      <c r="I1731" s="4"/>
      <c r="J1731"/>
      <c r="K1731"/>
      <c r="L1731"/>
      <c r="M1731"/>
      <c r="N1731"/>
      <c r="O1731"/>
      <c r="P1731"/>
      <c r="Q1731"/>
      <c r="R1731"/>
      <c r="S1731"/>
      <c r="T1731"/>
      <c r="U1731"/>
      <c r="V1731"/>
      <c r="W1731"/>
    </row>
    <row r="1732" spans="1:23">
      <c r="A1732" s="161">
        <f>'Reported burning'!A1732</f>
        <v>0</v>
      </c>
      <c r="B1732" s="161">
        <f>'Reported burning'!B1732</f>
        <v>0</v>
      </c>
      <c r="C1732" s="161">
        <f>'Reported burning'!C1732</f>
        <v>0</v>
      </c>
      <c r="D1732" s="161">
        <f>'Reported burning'!D1732</f>
        <v>0</v>
      </c>
      <c r="E1732" s="161">
        <f>'Reported burning'!E1732</f>
        <v>0</v>
      </c>
      <c r="F1732" s="161">
        <f>'Reported burning'!F1732</f>
        <v>0</v>
      </c>
      <c r="G1732" s="161">
        <f>'Reported burning'!G1732</f>
        <v>0</v>
      </c>
      <c r="H1732" s="161">
        <f>'Reported burning'!H1732</f>
        <v>0</v>
      </c>
      <c r="I1732" s="4"/>
      <c r="J1732"/>
      <c r="K1732"/>
      <c r="L1732"/>
      <c r="M1732"/>
      <c r="N1732"/>
      <c r="O1732"/>
      <c r="P1732"/>
      <c r="Q1732"/>
      <c r="R1732"/>
      <c r="S1732"/>
      <c r="T1732"/>
      <c r="U1732"/>
      <c r="V1732"/>
      <c r="W1732"/>
    </row>
    <row r="1733" spans="1:23">
      <c r="A1733" s="161">
        <f>'Reported burning'!A1733</f>
        <v>0</v>
      </c>
      <c r="B1733" s="161">
        <f>'Reported burning'!B1733</f>
        <v>0</v>
      </c>
      <c r="C1733" s="161">
        <f>'Reported burning'!C1733</f>
        <v>0</v>
      </c>
      <c r="D1733" s="161">
        <f>'Reported burning'!D1733</f>
        <v>0</v>
      </c>
      <c r="E1733" s="161">
        <f>'Reported burning'!E1733</f>
        <v>0</v>
      </c>
      <c r="F1733" s="161">
        <f>'Reported burning'!F1733</f>
        <v>0</v>
      </c>
      <c r="G1733" s="161">
        <f>'Reported burning'!G1733</f>
        <v>0</v>
      </c>
      <c r="H1733" s="161">
        <f>'Reported burning'!H1733</f>
        <v>0</v>
      </c>
      <c r="I1733" s="4"/>
      <c r="J1733"/>
      <c r="K1733"/>
      <c r="L1733"/>
      <c r="M1733"/>
      <c r="N1733"/>
      <c r="O1733"/>
      <c r="P1733"/>
      <c r="Q1733"/>
      <c r="R1733"/>
      <c r="S1733"/>
      <c r="T1733"/>
      <c r="U1733"/>
      <c r="V1733"/>
      <c r="W1733"/>
    </row>
    <row r="1734" spans="1:23">
      <c r="A1734" s="161">
        <f>'Reported burning'!A1734</f>
        <v>0</v>
      </c>
      <c r="B1734" s="161">
        <f>'Reported burning'!B1734</f>
        <v>0</v>
      </c>
      <c r="C1734" s="161">
        <f>'Reported burning'!C1734</f>
        <v>0</v>
      </c>
      <c r="D1734" s="161">
        <f>'Reported burning'!D1734</f>
        <v>0</v>
      </c>
      <c r="E1734" s="161">
        <f>'Reported burning'!E1734</f>
        <v>0</v>
      </c>
      <c r="F1734" s="161">
        <f>'Reported burning'!F1734</f>
        <v>0</v>
      </c>
      <c r="G1734" s="161">
        <f>'Reported burning'!G1734</f>
        <v>0</v>
      </c>
      <c r="H1734" s="161">
        <f>'Reported burning'!H1734</f>
        <v>0</v>
      </c>
      <c r="I1734" s="4"/>
      <c r="J1734"/>
      <c r="K1734"/>
      <c r="L1734"/>
      <c r="M1734"/>
      <c r="N1734"/>
      <c r="O1734"/>
      <c r="P1734"/>
      <c r="Q1734"/>
      <c r="R1734"/>
      <c r="S1734"/>
      <c r="T1734"/>
      <c r="U1734"/>
      <c r="V1734"/>
      <c r="W1734"/>
    </row>
    <row r="1735" spans="1:23">
      <c r="A1735" s="161">
        <f>'Reported burning'!A1735</f>
        <v>0</v>
      </c>
      <c r="B1735" s="161">
        <f>'Reported burning'!B1735</f>
        <v>0</v>
      </c>
      <c r="C1735" s="161">
        <f>'Reported burning'!C1735</f>
        <v>0</v>
      </c>
      <c r="D1735" s="161">
        <f>'Reported burning'!D1735</f>
        <v>0</v>
      </c>
      <c r="E1735" s="161">
        <f>'Reported burning'!E1735</f>
        <v>0</v>
      </c>
      <c r="F1735" s="161">
        <f>'Reported burning'!F1735</f>
        <v>0</v>
      </c>
      <c r="G1735" s="161">
        <f>'Reported burning'!G1735</f>
        <v>0</v>
      </c>
      <c r="H1735" s="161">
        <f>'Reported burning'!H1735</f>
        <v>0</v>
      </c>
      <c r="I1735" s="4"/>
      <c r="J1735"/>
      <c r="K1735"/>
      <c r="L1735"/>
      <c r="M1735"/>
      <c r="N1735"/>
      <c r="O1735"/>
      <c r="P1735"/>
      <c r="Q1735"/>
      <c r="R1735"/>
      <c r="S1735"/>
      <c r="T1735"/>
      <c r="U1735"/>
      <c r="V1735"/>
      <c r="W1735"/>
    </row>
    <row r="1736" spans="1:23">
      <c r="A1736" s="161">
        <f>'Reported burning'!A1736</f>
        <v>0</v>
      </c>
      <c r="B1736" s="161">
        <f>'Reported burning'!B1736</f>
        <v>0</v>
      </c>
      <c r="C1736" s="161">
        <f>'Reported burning'!C1736</f>
        <v>0</v>
      </c>
      <c r="D1736" s="161">
        <f>'Reported burning'!D1736</f>
        <v>0</v>
      </c>
      <c r="E1736" s="161">
        <f>'Reported burning'!E1736</f>
        <v>0</v>
      </c>
      <c r="F1736" s="161">
        <f>'Reported burning'!F1736</f>
        <v>0</v>
      </c>
      <c r="G1736" s="161">
        <f>'Reported burning'!G1736</f>
        <v>0</v>
      </c>
      <c r="H1736" s="161">
        <f>'Reported burning'!H1736</f>
        <v>0</v>
      </c>
      <c r="I1736" s="4"/>
      <c r="J1736"/>
      <c r="K1736"/>
      <c r="L1736"/>
      <c r="M1736"/>
      <c r="N1736"/>
      <c r="O1736"/>
      <c r="P1736"/>
      <c r="Q1736"/>
      <c r="R1736"/>
      <c r="S1736"/>
      <c r="T1736"/>
      <c r="U1736"/>
      <c r="V1736"/>
      <c r="W1736"/>
    </row>
    <row r="1737" spans="1:23">
      <c r="A1737" s="161">
        <f>'Reported burning'!A1737</f>
        <v>0</v>
      </c>
      <c r="B1737" s="161">
        <f>'Reported burning'!B1737</f>
        <v>0</v>
      </c>
      <c r="C1737" s="161">
        <f>'Reported burning'!C1737</f>
        <v>0</v>
      </c>
      <c r="D1737" s="161">
        <f>'Reported burning'!D1737</f>
        <v>0</v>
      </c>
      <c r="E1737" s="161">
        <f>'Reported burning'!E1737</f>
        <v>0</v>
      </c>
      <c r="F1737" s="161">
        <f>'Reported burning'!F1737</f>
        <v>0</v>
      </c>
      <c r="G1737" s="161">
        <f>'Reported burning'!G1737</f>
        <v>0</v>
      </c>
      <c r="H1737" s="161">
        <f>'Reported burning'!H1737</f>
        <v>0</v>
      </c>
      <c r="I1737" s="4"/>
      <c r="J1737"/>
      <c r="K1737"/>
      <c r="L1737"/>
      <c r="M1737"/>
      <c r="N1737"/>
      <c r="O1737"/>
      <c r="P1737"/>
      <c r="Q1737"/>
      <c r="R1737"/>
      <c r="S1737"/>
      <c r="T1737"/>
      <c r="U1737"/>
      <c r="V1737"/>
      <c r="W1737"/>
    </row>
    <row r="1738" spans="1:23">
      <c r="A1738" s="161">
        <f>'Reported burning'!A1738</f>
        <v>0</v>
      </c>
      <c r="B1738" s="161">
        <f>'Reported burning'!B1738</f>
        <v>0</v>
      </c>
      <c r="C1738" s="161">
        <f>'Reported burning'!C1738</f>
        <v>0</v>
      </c>
      <c r="D1738" s="161">
        <f>'Reported burning'!D1738</f>
        <v>0</v>
      </c>
      <c r="E1738" s="161">
        <f>'Reported burning'!E1738</f>
        <v>0</v>
      </c>
      <c r="F1738" s="161">
        <f>'Reported burning'!F1738</f>
        <v>0</v>
      </c>
      <c r="G1738" s="161">
        <f>'Reported burning'!G1738</f>
        <v>0</v>
      </c>
      <c r="H1738" s="161">
        <f>'Reported burning'!H1738</f>
        <v>0</v>
      </c>
      <c r="I1738" s="4"/>
      <c r="J1738"/>
      <c r="K1738"/>
      <c r="L1738"/>
      <c r="M1738"/>
      <c r="N1738"/>
      <c r="O1738"/>
      <c r="P1738"/>
      <c r="Q1738"/>
      <c r="R1738"/>
      <c r="S1738"/>
      <c r="T1738"/>
      <c r="U1738"/>
      <c r="V1738"/>
      <c r="W1738"/>
    </row>
    <row r="1739" spans="1:23">
      <c r="A1739" s="161">
        <f>'Reported burning'!A1739</f>
        <v>0</v>
      </c>
      <c r="B1739" s="161">
        <f>'Reported burning'!B1739</f>
        <v>0</v>
      </c>
      <c r="C1739" s="161">
        <f>'Reported burning'!C1739</f>
        <v>0</v>
      </c>
      <c r="D1739" s="161">
        <f>'Reported burning'!D1739</f>
        <v>0</v>
      </c>
      <c r="E1739" s="161">
        <f>'Reported burning'!E1739</f>
        <v>0</v>
      </c>
      <c r="F1739" s="161">
        <f>'Reported burning'!F1739</f>
        <v>0</v>
      </c>
      <c r="G1739" s="161">
        <f>'Reported burning'!G1739</f>
        <v>0</v>
      </c>
      <c r="H1739" s="161">
        <f>'Reported burning'!H1739</f>
        <v>0</v>
      </c>
      <c r="I1739" s="4"/>
      <c r="J1739"/>
      <c r="K1739"/>
      <c r="L1739"/>
      <c r="M1739"/>
      <c r="N1739"/>
      <c r="O1739"/>
      <c r="P1739"/>
      <c r="Q1739"/>
      <c r="R1739"/>
      <c r="S1739"/>
      <c r="T1739"/>
      <c r="U1739"/>
      <c r="V1739"/>
      <c r="W1739"/>
    </row>
    <row r="1740" spans="1:23">
      <c r="A1740" s="161">
        <f>'Reported burning'!A1740</f>
        <v>0</v>
      </c>
      <c r="B1740" s="161">
        <f>'Reported burning'!B1740</f>
        <v>0</v>
      </c>
      <c r="C1740" s="161">
        <f>'Reported burning'!C1740</f>
        <v>0</v>
      </c>
      <c r="D1740" s="161">
        <f>'Reported burning'!D1740</f>
        <v>0</v>
      </c>
      <c r="E1740" s="161">
        <f>'Reported burning'!E1740</f>
        <v>0</v>
      </c>
      <c r="F1740" s="161">
        <f>'Reported burning'!F1740</f>
        <v>0</v>
      </c>
      <c r="G1740" s="161">
        <f>'Reported burning'!G1740</f>
        <v>0</v>
      </c>
      <c r="H1740" s="161">
        <f>'Reported burning'!H1740</f>
        <v>0</v>
      </c>
      <c r="I1740" s="4"/>
      <c r="J1740"/>
      <c r="K1740"/>
      <c r="L1740"/>
      <c r="M1740"/>
      <c r="N1740"/>
      <c r="O1740"/>
      <c r="P1740"/>
      <c r="Q1740"/>
      <c r="R1740"/>
      <c r="S1740"/>
      <c r="T1740"/>
      <c r="U1740"/>
      <c r="V1740"/>
      <c r="W1740"/>
    </row>
    <row r="1741" spans="1:23">
      <c r="A1741" s="161">
        <f>'Reported burning'!A1741</f>
        <v>0</v>
      </c>
      <c r="B1741" s="161">
        <f>'Reported burning'!B1741</f>
        <v>0</v>
      </c>
      <c r="C1741" s="161">
        <f>'Reported burning'!C1741</f>
        <v>0</v>
      </c>
      <c r="D1741" s="161">
        <f>'Reported burning'!D1741</f>
        <v>0</v>
      </c>
      <c r="E1741" s="161">
        <f>'Reported burning'!E1741</f>
        <v>0</v>
      </c>
      <c r="F1741" s="161">
        <f>'Reported burning'!F1741</f>
        <v>0</v>
      </c>
      <c r="G1741" s="161">
        <f>'Reported burning'!G1741</f>
        <v>0</v>
      </c>
      <c r="H1741" s="161">
        <f>'Reported burning'!H1741</f>
        <v>0</v>
      </c>
      <c r="I1741" s="4"/>
      <c r="J1741"/>
      <c r="K1741"/>
      <c r="L1741"/>
      <c r="M1741"/>
      <c r="N1741"/>
      <c r="O1741"/>
      <c r="P1741"/>
      <c r="Q1741"/>
      <c r="R1741"/>
      <c r="S1741"/>
      <c r="T1741"/>
      <c r="U1741"/>
      <c r="V1741"/>
      <c r="W1741"/>
    </row>
    <row r="1742" spans="1:23">
      <c r="A1742" s="161">
        <f>'Reported burning'!A1742</f>
        <v>0</v>
      </c>
      <c r="B1742" s="161">
        <f>'Reported burning'!B1742</f>
        <v>0</v>
      </c>
      <c r="C1742" s="161">
        <f>'Reported burning'!C1742</f>
        <v>0</v>
      </c>
      <c r="D1742" s="161">
        <f>'Reported burning'!D1742</f>
        <v>0</v>
      </c>
      <c r="E1742" s="161">
        <f>'Reported burning'!E1742</f>
        <v>0</v>
      </c>
      <c r="F1742" s="161">
        <f>'Reported burning'!F1742</f>
        <v>0</v>
      </c>
      <c r="G1742" s="161">
        <f>'Reported burning'!G1742</f>
        <v>0</v>
      </c>
      <c r="H1742" s="161">
        <f>'Reported burning'!H1742</f>
        <v>0</v>
      </c>
      <c r="I1742" s="4"/>
      <c r="J1742"/>
      <c r="K1742"/>
      <c r="L1742"/>
      <c r="M1742"/>
      <c r="N1742"/>
      <c r="O1742"/>
      <c r="P1742"/>
      <c r="Q1742"/>
      <c r="R1742"/>
      <c r="S1742"/>
      <c r="T1742"/>
      <c r="U1742"/>
      <c r="V1742"/>
      <c r="W1742"/>
    </row>
    <row r="1743" spans="1:23">
      <c r="A1743" s="161">
        <f>'Reported burning'!A1743</f>
        <v>0</v>
      </c>
      <c r="B1743" s="161">
        <f>'Reported burning'!B1743</f>
        <v>0</v>
      </c>
      <c r="C1743" s="161">
        <f>'Reported burning'!C1743</f>
        <v>0</v>
      </c>
      <c r="D1743" s="161">
        <f>'Reported burning'!D1743</f>
        <v>0</v>
      </c>
      <c r="E1743" s="161">
        <f>'Reported burning'!E1743</f>
        <v>0</v>
      </c>
      <c r="F1743" s="161">
        <f>'Reported burning'!F1743</f>
        <v>0</v>
      </c>
      <c r="G1743" s="161">
        <f>'Reported burning'!G1743</f>
        <v>0</v>
      </c>
      <c r="H1743" s="161">
        <f>'Reported burning'!H1743</f>
        <v>0</v>
      </c>
      <c r="I1743" s="4"/>
      <c r="J1743"/>
      <c r="K1743"/>
      <c r="L1743"/>
      <c r="M1743"/>
      <c r="N1743"/>
      <c r="O1743"/>
      <c r="P1743"/>
      <c r="Q1743"/>
      <c r="R1743"/>
      <c r="S1743"/>
      <c r="T1743"/>
      <c r="U1743"/>
      <c r="V1743"/>
      <c r="W1743"/>
    </row>
    <row r="1744" spans="1:23">
      <c r="A1744" s="161">
        <f>'Reported burning'!A1744</f>
        <v>0</v>
      </c>
      <c r="B1744" s="161">
        <f>'Reported burning'!B1744</f>
        <v>0</v>
      </c>
      <c r="C1744" s="161">
        <f>'Reported burning'!C1744</f>
        <v>0</v>
      </c>
      <c r="D1744" s="161">
        <f>'Reported burning'!D1744</f>
        <v>0</v>
      </c>
      <c r="E1744" s="161">
        <f>'Reported burning'!E1744</f>
        <v>0</v>
      </c>
      <c r="F1744" s="161">
        <f>'Reported burning'!F1744</f>
        <v>0</v>
      </c>
      <c r="G1744" s="161">
        <f>'Reported burning'!G1744</f>
        <v>0</v>
      </c>
      <c r="H1744" s="161">
        <f>'Reported burning'!H1744</f>
        <v>0</v>
      </c>
      <c r="I1744" s="4"/>
      <c r="J1744"/>
      <c r="K1744"/>
      <c r="L1744"/>
      <c r="M1744"/>
      <c r="N1744"/>
      <c r="O1744"/>
      <c r="P1744"/>
      <c r="Q1744"/>
      <c r="R1744"/>
      <c r="S1744"/>
      <c r="T1744"/>
      <c r="U1744"/>
      <c r="V1744"/>
      <c r="W1744"/>
    </row>
    <row r="1745" spans="1:23">
      <c r="A1745" s="161">
        <f>'Reported burning'!A1745</f>
        <v>0</v>
      </c>
      <c r="B1745" s="161">
        <f>'Reported burning'!B1745</f>
        <v>0</v>
      </c>
      <c r="C1745" s="161">
        <f>'Reported burning'!C1745</f>
        <v>0</v>
      </c>
      <c r="D1745" s="161">
        <f>'Reported burning'!D1745</f>
        <v>0</v>
      </c>
      <c r="E1745" s="161">
        <f>'Reported burning'!E1745</f>
        <v>0</v>
      </c>
      <c r="F1745" s="161">
        <f>'Reported burning'!F1745</f>
        <v>0</v>
      </c>
      <c r="G1745" s="161">
        <f>'Reported burning'!G1745</f>
        <v>0</v>
      </c>
      <c r="H1745" s="161">
        <f>'Reported burning'!H1745</f>
        <v>0</v>
      </c>
      <c r="I1745" s="4"/>
      <c r="J1745"/>
      <c r="K1745"/>
      <c r="L1745"/>
      <c r="M1745"/>
      <c r="N1745"/>
      <c r="O1745"/>
      <c r="P1745"/>
      <c r="Q1745"/>
      <c r="R1745"/>
      <c r="S1745"/>
      <c r="T1745"/>
      <c r="U1745"/>
      <c r="V1745"/>
      <c r="W1745"/>
    </row>
    <row r="1746" spans="1:23">
      <c r="A1746" s="161">
        <f>'Reported burning'!A1746</f>
        <v>0</v>
      </c>
      <c r="B1746" s="161">
        <f>'Reported burning'!B1746</f>
        <v>0</v>
      </c>
      <c r="C1746" s="161">
        <f>'Reported burning'!C1746</f>
        <v>0</v>
      </c>
      <c r="D1746" s="161">
        <f>'Reported burning'!D1746</f>
        <v>0</v>
      </c>
      <c r="E1746" s="161">
        <f>'Reported burning'!E1746</f>
        <v>0</v>
      </c>
      <c r="F1746" s="161">
        <f>'Reported burning'!F1746</f>
        <v>0</v>
      </c>
      <c r="G1746" s="161">
        <f>'Reported burning'!G1746</f>
        <v>0</v>
      </c>
      <c r="H1746" s="161">
        <f>'Reported burning'!H1746</f>
        <v>0</v>
      </c>
      <c r="I1746" s="4"/>
      <c r="J1746"/>
      <c r="K1746"/>
      <c r="L1746"/>
      <c r="M1746"/>
      <c r="N1746"/>
      <c r="O1746"/>
      <c r="P1746"/>
      <c r="Q1746"/>
      <c r="R1746"/>
      <c r="S1746"/>
      <c r="T1746"/>
      <c r="U1746"/>
      <c r="V1746"/>
      <c r="W1746"/>
    </row>
    <row r="1747" spans="1:23">
      <c r="A1747" s="161">
        <f>'Reported burning'!A1747</f>
        <v>0</v>
      </c>
      <c r="B1747" s="161">
        <f>'Reported burning'!B1747</f>
        <v>0</v>
      </c>
      <c r="C1747" s="161">
        <f>'Reported burning'!C1747</f>
        <v>0</v>
      </c>
      <c r="D1747" s="161">
        <f>'Reported burning'!D1747</f>
        <v>0</v>
      </c>
      <c r="E1747" s="161">
        <f>'Reported burning'!E1747</f>
        <v>0</v>
      </c>
      <c r="F1747" s="161">
        <f>'Reported burning'!F1747</f>
        <v>0</v>
      </c>
      <c r="G1747" s="161">
        <f>'Reported burning'!G1747</f>
        <v>0</v>
      </c>
      <c r="H1747" s="161">
        <f>'Reported burning'!H1747</f>
        <v>0</v>
      </c>
      <c r="I1747" s="4"/>
      <c r="J1747"/>
      <c r="K1747"/>
      <c r="L1747"/>
      <c r="M1747"/>
      <c r="N1747"/>
      <c r="O1747"/>
      <c r="P1747"/>
      <c r="Q1747"/>
      <c r="R1747"/>
      <c r="S1747"/>
      <c r="T1747"/>
      <c r="U1747"/>
      <c r="V1747"/>
      <c r="W1747"/>
    </row>
    <row r="1748" spans="1:23">
      <c r="A1748" s="161">
        <f>'Reported burning'!A1748</f>
        <v>0</v>
      </c>
      <c r="B1748" s="161">
        <f>'Reported burning'!B1748</f>
        <v>0</v>
      </c>
      <c r="C1748" s="161">
        <f>'Reported burning'!C1748</f>
        <v>0</v>
      </c>
      <c r="D1748" s="161">
        <f>'Reported burning'!D1748</f>
        <v>0</v>
      </c>
      <c r="E1748" s="161">
        <f>'Reported burning'!E1748</f>
        <v>0</v>
      </c>
      <c r="F1748" s="161">
        <f>'Reported burning'!F1748</f>
        <v>0</v>
      </c>
      <c r="G1748" s="161">
        <f>'Reported burning'!G1748</f>
        <v>0</v>
      </c>
      <c r="H1748" s="161">
        <f>'Reported burning'!H1748</f>
        <v>0</v>
      </c>
      <c r="I1748" s="4"/>
      <c r="J1748"/>
      <c r="K1748"/>
      <c r="L1748"/>
      <c r="M1748"/>
      <c r="N1748"/>
      <c r="O1748"/>
      <c r="P1748"/>
      <c r="Q1748"/>
      <c r="R1748"/>
      <c r="S1748"/>
      <c r="T1748"/>
      <c r="U1748"/>
      <c r="V1748"/>
      <c r="W1748"/>
    </row>
    <row r="1749" spans="1:23">
      <c r="A1749" s="161">
        <f>'Reported burning'!A1749</f>
        <v>0</v>
      </c>
      <c r="B1749" s="161">
        <f>'Reported burning'!B1749</f>
        <v>0</v>
      </c>
      <c r="C1749" s="161">
        <f>'Reported burning'!C1749</f>
        <v>0</v>
      </c>
      <c r="D1749" s="161">
        <f>'Reported burning'!D1749</f>
        <v>0</v>
      </c>
      <c r="E1749" s="161">
        <f>'Reported burning'!E1749</f>
        <v>0</v>
      </c>
      <c r="F1749" s="161">
        <f>'Reported burning'!F1749</f>
        <v>0</v>
      </c>
      <c r="G1749" s="161">
        <f>'Reported burning'!G1749</f>
        <v>0</v>
      </c>
      <c r="H1749" s="161">
        <f>'Reported burning'!H1749</f>
        <v>0</v>
      </c>
      <c r="I1749" s="4"/>
      <c r="J1749"/>
      <c r="K1749"/>
      <c r="L1749"/>
      <c r="M1749"/>
      <c r="N1749"/>
      <c r="O1749"/>
      <c r="P1749"/>
      <c r="Q1749"/>
      <c r="R1749"/>
      <c r="S1749"/>
      <c r="T1749"/>
      <c r="U1749"/>
      <c r="V1749"/>
      <c r="W1749"/>
    </row>
    <row r="1750" spans="1:23">
      <c r="A1750" s="161">
        <f>'Reported burning'!A1750</f>
        <v>0</v>
      </c>
      <c r="B1750" s="161">
        <f>'Reported burning'!B1750</f>
        <v>0</v>
      </c>
      <c r="C1750" s="161">
        <f>'Reported burning'!C1750</f>
        <v>0</v>
      </c>
      <c r="D1750" s="161">
        <f>'Reported burning'!D1750</f>
        <v>0</v>
      </c>
      <c r="E1750" s="161">
        <f>'Reported burning'!E1750</f>
        <v>0</v>
      </c>
      <c r="F1750" s="161">
        <f>'Reported burning'!F1750</f>
        <v>0</v>
      </c>
      <c r="G1750" s="161">
        <f>'Reported burning'!G1750</f>
        <v>0</v>
      </c>
      <c r="H1750" s="161">
        <f>'Reported burning'!H1750</f>
        <v>0</v>
      </c>
      <c r="I1750" s="4"/>
      <c r="J1750"/>
      <c r="K1750"/>
      <c r="L1750"/>
      <c r="M1750"/>
      <c r="N1750"/>
      <c r="O1750"/>
      <c r="P1750"/>
      <c r="Q1750"/>
      <c r="R1750"/>
      <c r="S1750"/>
      <c r="T1750"/>
      <c r="U1750"/>
      <c r="V1750"/>
      <c r="W1750"/>
    </row>
    <row r="1751" spans="1:23">
      <c r="A1751" s="161">
        <f>'Reported burning'!A1751</f>
        <v>0</v>
      </c>
      <c r="B1751" s="161">
        <f>'Reported burning'!B1751</f>
        <v>0</v>
      </c>
      <c r="C1751" s="161">
        <f>'Reported burning'!C1751</f>
        <v>0</v>
      </c>
      <c r="D1751" s="161">
        <f>'Reported burning'!D1751</f>
        <v>0</v>
      </c>
      <c r="E1751" s="161">
        <f>'Reported burning'!E1751</f>
        <v>0</v>
      </c>
      <c r="F1751" s="161">
        <f>'Reported burning'!F1751</f>
        <v>0</v>
      </c>
      <c r="G1751" s="161">
        <f>'Reported burning'!G1751</f>
        <v>0</v>
      </c>
      <c r="H1751" s="161">
        <f>'Reported burning'!H1751</f>
        <v>0</v>
      </c>
      <c r="I1751" s="4"/>
      <c r="J1751"/>
      <c r="K1751"/>
      <c r="L1751"/>
      <c r="M1751"/>
      <c r="N1751"/>
      <c r="O1751"/>
      <c r="P1751"/>
      <c r="Q1751"/>
      <c r="R1751"/>
      <c r="S1751"/>
      <c r="T1751"/>
      <c r="U1751"/>
      <c r="V1751"/>
      <c r="W1751"/>
    </row>
    <row r="1752" spans="1:23">
      <c r="A1752" s="161">
        <f>'Reported burning'!A1752</f>
        <v>0</v>
      </c>
      <c r="B1752" s="161">
        <f>'Reported burning'!B1752</f>
        <v>0</v>
      </c>
      <c r="C1752" s="161">
        <f>'Reported burning'!C1752</f>
        <v>0</v>
      </c>
      <c r="D1752" s="161">
        <f>'Reported burning'!D1752</f>
        <v>0</v>
      </c>
      <c r="E1752" s="161">
        <f>'Reported burning'!E1752</f>
        <v>0</v>
      </c>
      <c r="F1752" s="161">
        <f>'Reported burning'!F1752</f>
        <v>0</v>
      </c>
      <c r="G1752" s="161">
        <f>'Reported burning'!G1752</f>
        <v>0</v>
      </c>
      <c r="H1752" s="161">
        <f>'Reported burning'!H1752</f>
        <v>0</v>
      </c>
      <c r="I1752" s="4"/>
      <c r="J1752"/>
      <c r="K1752"/>
      <c r="L1752"/>
      <c r="M1752"/>
      <c r="N1752"/>
      <c r="O1752"/>
      <c r="P1752"/>
      <c r="Q1752"/>
      <c r="R1752"/>
      <c r="S1752"/>
      <c r="T1752"/>
      <c r="U1752"/>
      <c r="V1752"/>
      <c r="W1752"/>
    </row>
    <row r="1753" spans="1:23">
      <c r="A1753" s="161">
        <f>'Reported burning'!A1753</f>
        <v>0</v>
      </c>
      <c r="B1753" s="161">
        <f>'Reported burning'!B1753</f>
        <v>0</v>
      </c>
      <c r="C1753" s="161">
        <f>'Reported burning'!C1753</f>
        <v>0</v>
      </c>
      <c r="D1753" s="161">
        <f>'Reported burning'!D1753</f>
        <v>0</v>
      </c>
      <c r="E1753" s="161">
        <f>'Reported burning'!E1753</f>
        <v>0</v>
      </c>
      <c r="F1753" s="161">
        <f>'Reported burning'!F1753</f>
        <v>0</v>
      </c>
      <c r="G1753" s="161">
        <f>'Reported burning'!G1753</f>
        <v>0</v>
      </c>
      <c r="H1753" s="161">
        <f>'Reported burning'!H1753</f>
        <v>0</v>
      </c>
      <c r="I1753" s="4"/>
      <c r="J1753"/>
      <c r="K1753"/>
      <c r="L1753"/>
      <c r="M1753"/>
      <c r="N1753"/>
      <c r="O1753"/>
      <c r="P1753"/>
      <c r="Q1753"/>
      <c r="R1753"/>
      <c r="S1753"/>
      <c r="T1753"/>
      <c r="U1753"/>
      <c r="V1753"/>
      <c r="W1753"/>
    </row>
    <row r="1754" spans="1:23">
      <c r="A1754" s="161">
        <f>'Reported burning'!A1754</f>
        <v>0</v>
      </c>
      <c r="B1754" s="161">
        <f>'Reported burning'!B1754</f>
        <v>0</v>
      </c>
      <c r="C1754" s="161">
        <f>'Reported burning'!C1754</f>
        <v>0</v>
      </c>
      <c r="D1754" s="161">
        <f>'Reported burning'!D1754</f>
        <v>0</v>
      </c>
      <c r="E1754" s="161">
        <f>'Reported burning'!E1754</f>
        <v>0</v>
      </c>
      <c r="F1754" s="161">
        <f>'Reported burning'!F1754</f>
        <v>0</v>
      </c>
      <c r="G1754" s="161">
        <f>'Reported burning'!G1754</f>
        <v>0</v>
      </c>
      <c r="H1754" s="161">
        <f>'Reported burning'!H1754</f>
        <v>0</v>
      </c>
      <c r="I1754" s="4"/>
      <c r="J1754"/>
      <c r="K1754"/>
      <c r="L1754"/>
      <c r="M1754"/>
      <c r="N1754"/>
      <c r="O1754"/>
      <c r="P1754"/>
      <c r="Q1754"/>
      <c r="R1754"/>
      <c r="S1754"/>
      <c r="T1754"/>
      <c r="U1754"/>
      <c r="V1754"/>
      <c r="W1754"/>
    </row>
    <row r="1755" spans="1:23">
      <c r="A1755" s="161">
        <f>'Reported burning'!A1755</f>
        <v>0</v>
      </c>
      <c r="B1755" s="161">
        <f>'Reported burning'!B1755</f>
        <v>0</v>
      </c>
      <c r="C1755" s="161">
        <f>'Reported burning'!C1755</f>
        <v>0</v>
      </c>
      <c r="D1755" s="161">
        <f>'Reported burning'!D1755</f>
        <v>0</v>
      </c>
      <c r="E1755" s="161">
        <f>'Reported burning'!E1755</f>
        <v>0</v>
      </c>
      <c r="F1755" s="161">
        <f>'Reported burning'!F1755</f>
        <v>0</v>
      </c>
      <c r="G1755" s="161">
        <f>'Reported burning'!G1755</f>
        <v>0</v>
      </c>
      <c r="H1755" s="161">
        <f>'Reported burning'!H1755</f>
        <v>0</v>
      </c>
      <c r="I1755" s="4"/>
      <c r="J1755"/>
      <c r="K1755"/>
      <c r="L1755"/>
      <c r="M1755"/>
      <c r="N1755"/>
      <c r="O1755"/>
      <c r="P1755"/>
      <c r="Q1755"/>
      <c r="R1755"/>
      <c r="S1755"/>
      <c r="T1755"/>
      <c r="U1755"/>
      <c r="V1755"/>
      <c r="W1755"/>
    </row>
    <row r="1756" spans="1:23">
      <c r="A1756" s="161">
        <f>'Reported burning'!A1756</f>
        <v>0</v>
      </c>
      <c r="B1756" s="161">
        <f>'Reported burning'!B1756</f>
        <v>0</v>
      </c>
      <c r="C1756" s="161">
        <f>'Reported burning'!C1756</f>
        <v>0</v>
      </c>
      <c r="D1756" s="161">
        <f>'Reported burning'!D1756</f>
        <v>0</v>
      </c>
      <c r="E1756" s="161">
        <f>'Reported burning'!E1756</f>
        <v>0</v>
      </c>
      <c r="F1756" s="161">
        <f>'Reported burning'!F1756</f>
        <v>0</v>
      </c>
      <c r="G1756" s="161">
        <f>'Reported burning'!G1756</f>
        <v>0</v>
      </c>
      <c r="H1756" s="161">
        <f>'Reported burning'!H1756</f>
        <v>0</v>
      </c>
      <c r="I1756" s="4"/>
      <c r="J1756"/>
      <c r="K1756"/>
      <c r="L1756"/>
      <c r="M1756"/>
      <c r="N1756"/>
      <c r="O1756"/>
      <c r="P1756"/>
      <c r="Q1756"/>
      <c r="R1756"/>
      <c r="S1756"/>
      <c r="T1756"/>
      <c r="U1756"/>
      <c r="V1756"/>
      <c r="W1756"/>
    </row>
    <row r="1757" spans="1:23">
      <c r="A1757" s="161">
        <f>'Reported burning'!A1757</f>
        <v>0</v>
      </c>
      <c r="B1757" s="161">
        <f>'Reported burning'!B1757</f>
        <v>0</v>
      </c>
      <c r="C1757" s="161">
        <f>'Reported burning'!C1757</f>
        <v>0</v>
      </c>
      <c r="D1757" s="161">
        <f>'Reported burning'!D1757</f>
        <v>0</v>
      </c>
      <c r="E1757" s="161">
        <f>'Reported burning'!E1757</f>
        <v>0</v>
      </c>
      <c r="F1757" s="161">
        <f>'Reported burning'!F1757</f>
        <v>0</v>
      </c>
      <c r="G1757" s="161">
        <f>'Reported burning'!G1757</f>
        <v>0</v>
      </c>
      <c r="H1757" s="161">
        <f>'Reported burning'!H1757</f>
        <v>0</v>
      </c>
      <c r="I1757" s="4"/>
      <c r="J1757"/>
      <c r="K1757"/>
      <c r="L1757"/>
      <c r="M1757"/>
      <c r="N1757"/>
      <c r="O1757"/>
      <c r="P1757"/>
      <c r="Q1757"/>
      <c r="R1757"/>
      <c r="S1757"/>
      <c r="T1757"/>
      <c r="U1757"/>
      <c r="V1757"/>
      <c r="W1757"/>
    </row>
    <row r="1758" spans="1:23">
      <c r="A1758" s="161">
        <f>'Reported burning'!A1758</f>
        <v>0</v>
      </c>
      <c r="B1758" s="161">
        <f>'Reported burning'!B1758</f>
        <v>0</v>
      </c>
      <c r="C1758" s="161">
        <f>'Reported burning'!C1758</f>
        <v>0</v>
      </c>
      <c r="D1758" s="161">
        <f>'Reported burning'!D1758</f>
        <v>0</v>
      </c>
      <c r="E1758" s="161">
        <f>'Reported burning'!E1758</f>
        <v>0</v>
      </c>
      <c r="F1758" s="161">
        <f>'Reported burning'!F1758</f>
        <v>0</v>
      </c>
      <c r="G1758" s="161">
        <f>'Reported burning'!G1758</f>
        <v>0</v>
      </c>
      <c r="H1758" s="161">
        <f>'Reported burning'!H1758</f>
        <v>0</v>
      </c>
      <c r="I1758" s="4"/>
      <c r="J1758"/>
      <c r="K1758"/>
      <c r="L1758"/>
      <c r="M1758"/>
      <c r="N1758"/>
      <c r="O1758"/>
      <c r="P1758"/>
      <c r="Q1758"/>
      <c r="R1758"/>
      <c r="S1758"/>
      <c r="T1758"/>
      <c r="U1758"/>
      <c r="V1758"/>
      <c r="W1758"/>
    </row>
    <row r="1759" spans="1:23">
      <c r="A1759" s="161">
        <f>'Reported burning'!A1759</f>
        <v>0</v>
      </c>
      <c r="B1759" s="161">
        <f>'Reported burning'!B1759</f>
        <v>0</v>
      </c>
      <c r="C1759" s="161">
        <f>'Reported burning'!C1759</f>
        <v>0</v>
      </c>
      <c r="D1759" s="161">
        <f>'Reported burning'!D1759</f>
        <v>0</v>
      </c>
      <c r="E1759" s="161">
        <f>'Reported burning'!E1759</f>
        <v>0</v>
      </c>
      <c r="F1759" s="161">
        <f>'Reported burning'!F1759</f>
        <v>0</v>
      </c>
      <c r="G1759" s="161">
        <f>'Reported burning'!G1759</f>
        <v>0</v>
      </c>
      <c r="H1759" s="161">
        <f>'Reported burning'!H1759</f>
        <v>0</v>
      </c>
      <c r="I1759" s="4"/>
      <c r="J1759"/>
      <c r="K1759"/>
      <c r="L1759"/>
      <c r="M1759"/>
      <c r="N1759"/>
      <c r="O1759"/>
      <c r="P1759"/>
      <c r="Q1759"/>
      <c r="R1759"/>
      <c r="S1759"/>
      <c r="T1759"/>
      <c r="U1759"/>
      <c r="V1759"/>
      <c r="W1759"/>
    </row>
    <row r="1760" spans="1:23">
      <c r="A1760" s="161">
        <f>'Reported burning'!A1760</f>
        <v>0</v>
      </c>
      <c r="B1760" s="161">
        <f>'Reported burning'!B1760</f>
        <v>0</v>
      </c>
      <c r="C1760" s="161">
        <f>'Reported burning'!C1760</f>
        <v>0</v>
      </c>
      <c r="D1760" s="161">
        <f>'Reported burning'!D1760</f>
        <v>0</v>
      </c>
      <c r="E1760" s="161">
        <f>'Reported burning'!E1760</f>
        <v>0</v>
      </c>
      <c r="F1760" s="161">
        <f>'Reported burning'!F1760</f>
        <v>0</v>
      </c>
      <c r="G1760" s="161">
        <f>'Reported burning'!G1760</f>
        <v>0</v>
      </c>
      <c r="H1760" s="161">
        <f>'Reported burning'!H1760</f>
        <v>0</v>
      </c>
      <c r="I1760" s="4"/>
      <c r="J1760"/>
      <c r="K1760"/>
      <c r="L1760"/>
      <c r="M1760"/>
      <c r="N1760"/>
      <c r="O1760"/>
      <c r="P1760"/>
      <c r="Q1760"/>
      <c r="R1760"/>
      <c r="S1760"/>
      <c r="T1760"/>
      <c r="U1760"/>
      <c r="V1760"/>
      <c r="W1760"/>
    </row>
    <row r="1761" spans="1:23">
      <c r="A1761" s="161">
        <f>'Reported burning'!A1761</f>
        <v>0</v>
      </c>
      <c r="B1761" s="161">
        <f>'Reported burning'!B1761</f>
        <v>0</v>
      </c>
      <c r="C1761" s="161">
        <f>'Reported burning'!C1761</f>
        <v>0</v>
      </c>
      <c r="D1761" s="161">
        <f>'Reported burning'!D1761</f>
        <v>0</v>
      </c>
      <c r="E1761" s="161">
        <f>'Reported burning'!E1761</f>
        <v>0</v>
      </c>
      <c r="F1761" s="161">
        <f>'Reported burning'!F1761</f>
        <v>0</v>
      </c>
      <c r="G1761" s="161">
        <f>'Reported burning'!G1761</f>
        <v>0</v>
      </c>
      <c r="H1761" s="161">
        <f>'Reported burning'!H1761</f>
        <v>0</v>
      </c>
      <c r="I1761" s="4"/>
      <c r="J1761"/>
      <c r="K1761"/>
      <c r="L1761"/>
      <c r="M1761"/>
      <c r="N1761"/>
      <c r="O1761"/>
      <c r="P1761"/>
      <c r="Q1761"/>
      <c r="R1761"/>
      <c r="S1761"/>
      <c r="T1761"/>
      <c r="U1761"/>
      <c r="V1761"/>
      <c r="W1761"/>
    </row>
    <row r="1762" spans="1:23">
      <c r="A1762" s="161">
        <f>'Reported burning'!A1762</f>
        <v>0</v>
      </c>
      <c r="B1762" s="161">
        <f>'Reported burning'!B1762</f>
        <v>0</v>
      </c>
      <c r="C1762" s="161">
        <f>'Reported burning'!C1762</f>
        <v>0</v>
      </c>
      <c r="D1762" s="161">
        <f>'Reported burning'!D1762</f>
        <v>0</v>
      </c>
      <c r="E1762" s="161">
        <f>'Reported burning'!E1762</f>
        <v>0</v>
      </c>
      <c r="F1762" s="161">
        <f>'Reported burning'!F1762</f>
        <v>0</v>
      </c>
      <c r="G1762" s="161">
        <f>'Reported burning'!G1762</f>
        <v>0</v>
      </c>
      <c r="H1762" s="161">
        <f>'Reported burning'!H1762</f>
        <v>0</v>
      </c>
      <c r="I1762" s="4"/>
      <c r="J1762"/>
      <c r="K1762"/>
      <c r="L1762"/>
      <c r="M1762"/>
      <c r="N1762"/>
      <c r="O1762"/>
      <c r="P1762"/>
      <c r="Q1762"/>
      <c r="R1762"/>
      <c r="S1762"/>
      <c r="T1762"/>
      <c r="U1762"/>
      <c r="V1762"/>
      <c r="W1762"/>
    </row>
    <row r="1763" spans="1:23">
      <c r="A1763" s="161">
        <f>'Reported burning'!A1763</f>
        <v>0</v>
      </c>
      <c r="B1763" s="161">
        <f>'Reported burning'!B1763</f>
        <v>0</v>
      </c>
      <c r="C1763" s="161">
        <f>'Reported burning'!C1763</f>
        <v>0</v>
      </c>
      <c r="D1763" s="161">
        <f>'Reported burning'!D1763</f>
        <v>0</v>
      </c>
      <c r="E1763" s="161">
        <f>'Reported burning'!E1763</f>
        <v>0</v>
      </c>
      <c r="F1763" s="161">
        <f>'Reported burning'!F1763</f>
        <v>0</v>
      </c>
      <c r="G1763" s="161">
        <f>'Reported burning'!G1763</f>
        <v>0</v>
      </c>
      <c r="H1763" s="161">
        <f>'Reported burning'!H1763</f>
        <v>0</v>
      </c>
      <c r="I1763" s="4"/>
      <c r="J1763"/>
      <c r="K1763"/>
      <c r="L1763"/>
      <c r="M1763"/>
      <c r="N1763"/>
      <c r="O1763"/>
      <c r="P1763"/>
      <c r="Q1763"/>
      <c r="R1763"/>
      <c r="S1763"/>
      <c r="T1763"/>
      <c r="U1763"/>
      <c r="V1763"/>
      <c r="W1763"/>
    </row>
    <row r="1764" spans="1:23">
      <c r="A1764" s="161">
        <f>'Reported burning'!A1764</f>
        <v>0</v>
      </c>
      <c r="B1764" s="161">
        <f>'Reported burning'!B1764</f>
        <v>0</v>
      </c>
      <c r="C1764" s="161">
        <f>'Reported burning'!C1764</f>
        <v>0</v>
      </c>
      <c r="D1764" s="161">
        <f>'Reported burning'!D1764</f>
        <v>0</v>
      </c>
      <c r="E1764" s="161">
        <f>'Reported burning'!E1764</f>
        <v>0</v>
      </c>
      <c r="F1764" s="161">
        <f>'Reported burning'!F1764</f>
        <v>0</v>
      </c>
      <c r="G1764" s="161">
        <f>'Reported burning'!G1764</f>
        <v>0</v>
      </c>
      <c r="H1764" s="161">
        <f>'Reported burning'!H1764</f>
        <v>0</v>
      </c>
      <c r="I1764" s="4"/>
      <c r="J1764"/>
      <c r="K1764"/>
      <c r="L1764"/>
      <c r="M1764"/>
      <c r="N1764"/>
      <c r="O1764"/>
      <c r="P1764"/>
      <c r="Q1764"/>
      <c r="R1764"/>
      <c r="S1764"/>
      <c r="T1764"/>
      <c r="U1764"/>
      <c r="V1764"/>
      <c r="W1764"/>
    </row>
    <row r="1765" spans="1:23">
      <c r="A1765" s="161">
        <f>'Reported burning'!A1765</f>
        <v>0</v>
      </c>
      <c r="B1765" s="161">
        <f>'Reported burning'!B1765</f>
        <v>0</v>
      </c>
      <c r="C1765" s="161">
        <f>'Reported burning'!C1765</f>
        <v>0</v>
      </c>
      <c r="D1765" s="161">
        <f>'Reported burning'!D1765</f>
        <v>0</v>
      </c>
      <c r="E1765" s="161">
        <f>'Reported burning'!E1765</f>
        <v>0</v>
      </c>
      <c r="F1765" s="161">
        <f>'Reported burning'!F1765</f>
        <v>0</v>
      </c>
      <c r="G1765" s="161">
        <f>'Reported burning'!G1765</f>
        <v>0</v>
      </c>
      <c r="H1765" s="161">
        <f>'Reported burning'!H1765</f>
        <v>0</v>
      </c>
      <c r="I1765" s="4"/>
      <c r="J1765"/>
      <c r="K1765"/>
      <c r="L1765"/>
      <c r="M1765"/>
      <c r="N1765"/>
      <c r="O1765"/>
      <c r="P1765"/>
      <c r="Q1765"/>
      <c r="R1765"/>
      <c r="S1765"/>
      <c r="T1765"/>
      <c r="U1765"/>
      <c r="V1765"/>
      <c r="W1765"/>
    </row>
    <row r="1766" spans="1:23">
      <c r="A1766" s="161">
        <f>'Reported burning'!A1766</f>
        <v>0</v>
      </c>
      <c r="B1766" s="161">
        <f>'Reported burning'!B1766</f>
        <v>0</v>
      </c>
      <c r="C1766" s="161">
        <f>'Reported burning'!C1766</f>
        <v>0</v>
      </c>
      <c r="D1766" s="161">
        <f>'Reported burning'!D1766</f>
        <v>0</v>
      </c>
      <c r="E1766" s="161">
        <f>'Reported burning'!E1766</f>
        <v>0</v>
      </c>
      <c r="F1766" s="161">
        <f>'Reported burning'!F1766</f>
        <v>0</v>
      </c>
      <c r="G1766" s="161">
        <f>'Reported burning'!G1766</f>
        <v>0</v>
      </c>
      <c r="H1766" s="161">
        <f>'Reported burning'!H1766</f>
        <v>0</v>
      </c>
      <c r="I1766" s="4"/>
      <c r="J1766"/>
      <c r="K1766"/>
      <c r="L1766"/>
      <c r="M1766"/>
      <c r="N1766"/>
      <c r="O1766"/>
      <c r="P1766"/>
      <c r="Q1766"/>
      <c r="R1766"/>
      <c r="S1766"/>
      <c r="T1766"/>
      <c r="U1766"/>
      <c r="V1766"/>
      <c r="W1766"/>
    </row>
    <row r="1767" spans="1:23">
      <c r="A1767" s="161">
        <f>'Reported burning'!A1767</f>
        <v>0</v>
      </c>
      <c r="B1767" s="161">
        <f>'Reported burning'!B1767</f>
        <v>0</v>
      </c>
      <c r="C1767" s="161">
        <f>'Reported burning'!C1767</f>
        <v>0</v>
      </c>
      <c r="D1767" s="161">
        <f>'Reported burning'!D1767</f>
        <v>0</v>
      </c>
      <c r="E1767" s="161">
        <f>'Reported burning'!E1767</f>
        <v>0</v>
      </c>
      <c r="F1767" s="161">
        <f>'Reported burning'!F1767</f>
        <v>0</v>
      </c>
      <c r="G1767" s="161">
        <f>'Reported burning'!G1767</f>
        <v>0</v>
      </c>
      <c r="H1767" s="161">
        <f>'Reported burning'!H1767</f>
        <v>0</v>
      </c>
      <c r="I1767" s="4"/>
      <c r="J1767"/>
      <c r="K1767"/>
      <c r="L1767"/>
      <c r="M1767"/>
      <c r="N1767"/>
      <c r="O1767"/>
      <c r="P1767"/>
      <c r="Q1767"/>
      <c r="R1767"/>
      <c r="S1767"/>
      <c r="T1767"/>
      <c r="U1767"/>
      <c r="V1767"/>
      <c r="W1767"/>
    </row>
    <row r="1768" spans="1:23">
      <c r="A1768" s="161">
        <f>'Reported burning'!A1768</f>
        <v>0</v>
      </c>
      <c r="B1768" s="161">
        <f>'Reported burning'!B1768</f>
        <v>0</v>
      </c>
      <c r="C1768" s="161">
        <f>'Reported burning'!C1768</f>
        <v>0</v>
      </c>
      <c r="D1768" s="161">
        <f>'Reported burning'!D1768</f>
        <v>0</v>
      </c>
      <c r="E1768" s="161">
        <f>'Reported burning'!E1768</f>
        <v>0</v>
      </c>
      <c r="F1768" s="161">
        <f>'Reported burning'!F1768</f>
        <v>0</v>
      </c>
      <c r="G1768" s="161">
        <f>'Reported burning'!G1768</f>
        <v>0</v>
      </c>
      <c r="H1768" s="161">
        <f>'Reported burning'!H1768</f>
        <v>0</v>
      </c>
      <c r="I1768" s="4"/>
      <c r="J1768"/>
      <c r="K1768"/>
      <c r="L1768"/>
      <c r="M1768"/>
      <c r="N1768"/>
      <c r="O1768"/>
      <c r="P1768"/>
      <c r="Q1768"/>
      <c r="R1768"/>
      <c r="S1768"/>
      <c r="T1768"/>
      <c r="U1768"/>
      <c r="V1768"/>
      <c r="W1768"/>
    </row>
    <row r="1769" spans="1:23">
      <c r="A1769" s="161">
        <f>'Reported burning'!A1769</f>
        <v>0</v>
      </c>
      <c r="B1769" s="161">
        <f>'Reported burning'!B1769</f>
        <v>0</v>
      </c>
      <c r="C1769" s="161">
        <f>'Reported burning'!C1769</f>
        <v>0</v>
      </c>
      <c r="D1769" s="161">
        <f>'Reported burning'!D1769</f>
        <v>0</v>
      </c>
      <c r="E1769" s="161">
        <f>'Reported burning'!E1769</f>
        <v>0</v>
      </c>
      <c r="F1769" s="161">
        <f>'Reported burning'!F1769</f>
        <v>0</v>
      </c>
      <c r="G1769" s="161">
        <f>'Reported burning'!G1769</f>
        <v>0</v>
      </c>
      <c r="H1769" s="161">
        <f>'Reported burning'!H1769</f>
        <v>0</v>
      </c>
      <c r="I1769" s="4"/>
      <c r="J1769"/>
      <c r="K1769"/>
      <c r="L1769"/>
      <c r="M1769"/>
      <c r="N1769"/>
      <c r="O1769"/>
      <c r="P1769"/>
      <c r="Q1769"/>
      <c r="R1769"/>
      <c r="S1769"/>
      <c r="T1769"/>
      <c r="U1769"/>
      <c r="V1769"/>
      <c r="W1769"/>
    </row>
    <row r="1770" spans="1:23">
      <c r="A1770" s="161">
        <f>'Reported burning'!A1770</f>
        <v>0</v>
      </c>
      <c r="B1770" s="161">
        <f>'Reported burning'!B1770</f>
        <v>0</v>
      </c>
      <c r="C1770" s="161">
        <f>'Reported burning'!C1770</f>
        <v>0</v>
      </c>
      <c r="D1770" s="161">
        <f>'Reported burning'!D1770</f>
        <v>0</v>
      </c>
      <c r="E1770" s="161">
        <f>'Reported burning'!E1770</f>
        <v>0</v>
      </c>
      <c r="F1770" s="161">
        <f>'Reported burning'!F1770</f>
        <v>0</v>
      </c>
      <c r="G1770" s="161">
        <f>'Reported burning'!G1770</f>
        <v>0</v>
      </c>
      <c r="H1770" s="161">
        <f>'Reported burning'!H1770</f>
        <v>0</v>
      </c>
      <c r="I1770" s="4"/>
      <c r="J1770"/>
      <c r="K1770"/>
      <c r="L1770"/>
      <c r="M1770"/>
      <c r="N1770"/>
      <c r="O1770"/>
      <c r="P1770"/>
      <c r="Q1770"/>
      <c r="R1770"/>
      <c r="S1770"/>
      <c r="T1770"/>
      <c r="U1770"/>
      <c r="V1770"/>
      <c r="W1770"/>
    </row>
    <row r="1771" spans="1:23">
      <c r="A1771" s="161">
        <f>'Reported burning'!A1771</f>
        <v>0</v>
      </c>
      <c r="B1771" s="161">
        <f>'Reported burning'!B1771</f>
        <v>0</v>
      </c>
      <c r="C1771" s="161">
        <f>'Reported burning'!C1771</f>
        <v>0</v>
      </c>
      <c r="D1771" s="161">
        <f>'Reported burning'!D1771</f>
        <v>0</v>
      </c>
      <c r="E1771" s="161">
        <f>'Reported burning'!E1771</f>
        <v>0</v>
      </c>
      <c r="F1771" s="161">
        <f>'Reported burning'!F1771</f>
        <v>0</v>
      </c>
      <c r="G1771" s="161">
        <f>'Reported burning'!G1771</f>
        <v>0</v>
      </c>
      <c r="H1771" s="161">
        <f>'Reported burning'!H1771</f>
        <v>0</v>
      </c>
      <c r="I1771" s="4"/>
      <c r="J1771"/>
      <c r="K1771"/>
      <c r="L1771"/>
      <c r="M1771"/>
      <c r="N1771"/>
      <c r="O1771"/>
      <c r="P1771"/>
      <c r="Q1771"/>
      <c r="R1771"/>
      <c r="S1771"/>
      <c r="T1771"/>
      <c r="U1771"/>
      <c r="V1771"/>
      <c r="W1771"/>
    </row>
    <row r="1772" spans="1:23">
      <c r="A1772" s="161">
        <f>'Reported burning'!A1772</f>
        <v>0</v>
      </c>
      <c r="B1772" s="161">
        <f>'Reported burning'!B1772</f>
        <v>0</v>
      </c>
      <c r="C1772" s="161">
        <f>'Reported burning'!C1772</f>
        <v>0</v>
      </c>
      <c r="D1772" s="161">
        <f>'Reported burning'!D1772</f>
        <v>0</v>
      </c>
      <c r="E1772" s="161">
        <f>'Reported burning'!E1772</f>
        <v>0</v>
      </c>
      <c r="F1772" s="161">
        <f>'Reported burning'!F1772</f>
        <v>0</v>
      </c>
      <c r="G1772" s="161">
        <f>'Reported burning'!G1772</f>
        <v>0</v>
      </c>
      <c r="H1772" s="161">
        <f>'Reported burning'!H1772</f>
        <v>0</v>
      </c>
      <c r="I1772" s="4"/>
      <c r="J1772"/>
      <c r="K1772"/>
      <c r="L1772"/>
      <c r="M1772"/>
      <c r="N1772"/>
      <c r="O1772"/>
      <c r="P1772"/>
      <c r="Q1772"/>
      <c r="R1772"/>
      <c r="S1772"/>
      <c r="T1772"/>
      <c r="U1772"/>
      <c r="V1772"/>
      <c r="W1772"/>
    </row>
    <row r="1773" spans="1:23">
      <c r="A1773" s="161">
        <f>'Reported burning'!A1773</f>
        <v>0</v>
      </c>
      <c r="B1773" s="161">
        <f>'Reported burning'!B1773</f>
        <v>0</v>
      </c>
      <c r="C1773" s="161">
        <f>'Reported burning'!C1773</f>
        <v>0</v>
      </c>
      <c r="D1773" s="161">
        <f>'Reported burning'!D1773</f>
        <v>0</v>
      </c>
      <c r="E1773" s="161">
        <f>'Reported burning'!E1773</f>
        <v>0</v>
      </c>
      <c r="F1773" s="161">
        <f>'Reported burning'!F1773</f>
        <v>0</v>
      </c>
      <c r="G1773" s="161">
        <f>'Reported burning'!G1773</f>
        <v>0</v>
      </c>
      <c r="H1773" s="161">
        <f>'Reported burning'!H1773</f>
        <v>0</v>
      </c>
      <c r="I1773" s="4"/>
      <c r="J1773"/>
      <c r="K1773"/>
      <c r="L1773"/>
      <c r="M1773"/>
      <c r="N1773"/>
      <c r="O1773"/>
      <c r="P1773"/>
      <c r="Q1773"/>
      <c r="R1773"/>
      <c r="S1773"/>
      <c r="T1773"/>
      <c r="U1773"/>
      <c r="V1773"/>
      <c r="W1773"/>
    </row>
    <row r="1774" spans="1:23">
      <c r="A1774" s="161">
        <f>'Reported burning'!A1774</f>
        <v>0</v>
      </c>
      <c r="B1774" s="161">
        <f>'Reported burning'!B1774</f>
        <v>0</v>
      </c>
      <c r="C1774" s="161">
        <f>'Reported burning'!C1774</f>
        <v>0</v>
      </c>
      <c r="D1774" s="161">
        <f>'Reported burning'!D1774</f>
        <v>0</v>
      </c>
      <c r="E1774" s="161">
        <f>'Reported burning'!E1774</f>
        <v>0</v>
      </c>
      <c r="F1774" s="161">
        <f>'Reported burning'!F1774</f>
        <v>0</v>
      </c>
      <c r="G1774" s="161">
        <f>'Reported burning'!G1774</f>
        <v>0</v>
      </c>
      <c r="H1774" s="161">
        <f>'Reported burning'!H1774</f>
        <v>0</v>
      </c>
      <c r="I1774" s="4"/>
      <c r="J1774"/>
      <c r="K1774"/>
      <c r="L1774"/>
      <c r="M1774"/>
      <c r="N1774"/>
      <c r="O1774"/>
      <c r="P1774"/>
      <c r="Q1774"/>
      <c r="R1774"/>
      <c r="S1774"/>
      <c r="T1774"/>
      <c r="U1774"/>
      <c r="V1774"/>
      <c r="W1774"/>
    </row>
    <row r="1775" spans="1:23">
      <c r="A1775" s="161">
        <f>'Reported burning'!A1775</f>
        <v>0</v>
      </c>
      <c r="B1775" s="161">
        <f>'Reported burning'!B1775</f>
        <v>0</v>
      </c>
      <c r="C1775" s="161">
        <f>'Reported burning'!C1775</f>
        <v>0</v>
      </c>
      <c r="D1775" s="161">
        <f>'Reported burning'!D1775</f>
        <v>0</v>
      </c>
      <c r="E1775" s="161">
        <f>'Reported burning'!E1775</f>
        <v>0</v>
      </c>
      <c r="F1775" s="161">
        <f>'Reported burning'!F1775</f>
        <v>0</v>
      </c>
      <c r="G1775" s="161">
        <f>'Reported burning'!G1775</f>
        <v>0</v>
      </c>
      <c r="H1775" s="161">
        <f>'Reported burning'!H1775</f>
        <v>0</v>
      </c>
      <c r="I1775" s="4"/>
      <c r="J1775"/>
      <c r="K1775"/>
      <c r="L1775"/>
      <c r="M1775"/>
      <c r="N1775"/>
      <c r="O1775"/>
      <c r="P1775"/>
      <c r="Q1775"/>
      <c r="R1775"/>
      <c r="S1775"/>
      <c r="T1775"/>
      <c r="U1775"/>
      <c r="V1775"/>
      <c r="W1775"/>
    </row>
    <row r="1776" spans="1:23">
      <c r="A1776" s="161">
        <f>'Reported burning'!A1776</f>
        <v>0</v>
      </c>
      <c r="B1776" s="161">
        <f>'Reported burning'!B1776</f>
        <v>0</v>
      </c>
      <c r="C1776" s="161">
        <f>'Reported burning'!C1776</f>
        <v>0</v>
      </c>
      <c r="D1776" s="161">
        <f>'Reported burning'!D1776</f>
        <v>0</v>
      </c>
      <c r="E1776" s="161">
        <f>'Reported burning'!E1776</f>
        <v>0</v>
      </c>
      <c r="F1776" s="161">
        <f>'Reported burning'!F1776</f>
        <v>0</v>
      </c>
      <c r="G1776" s="161">
        <f>'Reported burning'!G1776</f>
        <v>0</v>
      </c>
      <c r="H1776" s="161">
        <f>'Reported burning'!H1776</f>
        <v>0</v>
      </c>
      <c r="I1776" s="4"/>
      <c r="J1776"/>
      <c r="K1776"/>
      <c r="L1776"/>
      <c r="M1776"/>
      <c r="N1776"/>
      <c r="O1776"/>
      <c r="P1776"/>
      <c r="Q1776"/>
      <c r="R1776"/>
      <c r="S1776"/>
      <c r="T1776"/>
      <c r="U1776"/>
      <c r="V1776"/>
      <c r="W1776"/>
    </row>
    <row r="1777" spans="1:23">
      <c r="A1777" s="161">
        <f>'Reported burning'!A1777</f>
        <v>0</v>
      </c>
      <c r="B1777" s="161">
        <f>'Reported burning'!B1777</f>
        <v>0</v>
      </c>
      <c r="C1777" s="161">
        <f>'Reported burning'!C1777</f>
        <v>0</v>
      </c>
      <c r="D1777" s="161">
        <f>'Reported burning'!D1777</f>
        <v>0</v>
      </c>
      <c r="E1777" s="161">
        <f>'Reported burning'!E1777</f>
        <v>0</v>
      </c>
      <c r="F1777" s="161">
        <f>'Reported burning'!F1777</f>
        <v>0</v>
      </c>
      <c r="G1777" s="161">
        <f>'Reported burning'!G1777</f>
        <v>0</v>
      </c>
      <c r="H1777" s="161">
        <f>'Reported burning'!H1777</f>
        <v>0</v>
      </c>
      <c r="I1777" s="4"/>
      <c r="J1777"/>
      <c r="K1777"/>
      <c r="L1777"/>
      <c r="M1777"/>
      <c r="N1777"/>
      <c r="O1777"/>
      <c r="P1777"/>
      <c r="Q1777"/>
      <c r="R1777"/>
      <c r="S1777"/>
      <c r="T1777"/>
      <c r="U1777"/>
      <c r="V1777"/>
      <c r="W1777"/>
    </row>
    <row r="1778" spans="1:23">
      <c r="A1778" s="161">
        <f>'Reported burning'!A1778</f>
        <v>0</v>
      </c>
      <c r="B1778" s="161">
        <f>'Reported burning'!B1778</f>
        <v>0</v>
      </c>
      <c r="C1778" s="161">
        <f>'Reported burning'!C1778</f>
        <v>0</v>
      </c>
      <c r="D1778" s="161">
        <f>'Reported burning'!D1778</f>
        <v>0</v>
      </c>
      <c r="E1778" s="161">
        <f>'Reported burning'!E1778</f>
        <v>0</v>
      </c>
      <c r="F1778" s="161">
        <f>'Reported burning'!F1778</f>
        <v>0</v>
      </c>
      <c r="G1778" s="161">
        <f>'Reported burning'!G1778</f>
        <v>0</v>
      </c>
      <c r="H1778" s="161">
        <f>'Reported burning'!H1778</f>
        <v>0</v>
      </c>
      <c r="I1778" s="4"/>
      <c r="J1778"/>
      <c r="K1778"/>
      <c r="L1778"/>
      <c r="M1778"/>
      <c r="N1778"/>
      <c r="O1778"/>
      <c r="P1778"/>
      <c r="Q1778"/>
      <c r="R1778"/>
      <c r="S1778"/>
      <c r="T1778"/>
      <c r="U1778"/>
      <c r="V1778"/>
      <c r="W1778"/>
    </row>
    <row r="1779" spans="1:23">
      <c r="A1779" s="161">
        <f>'Reported burning'!A1779</f>
        <v>0</v>
      </c>
      <c r="B1779" s="161">
        <f>'Reported burning'!B1779</f>
        <v>0</v>
      </c>
      <c r="C1779" s="161">
        <f>'Reported burning'!C1779</f>
        <v>0</v>
      </c>
      <c r="D1779" s="161">
        <f>'Reported burning'!D1779</f>
        <v>0</v>
      </c>
      <c r="E1779" s="161">
        <f>'Reported burning'!E1779</f>
        <v>0</v>
      </c>
      <c r="F1779" s="161">
        <f>'Reported burning'!F1779</f>
        <v>0</v>
      </c>
      <c r="G1779" s="161">
        <f>'Reported burning'!G1779</f>
        <v>0</v>
      </c>
      <c r="H1779" s="161">
        <f>'Reported burning'!H1779</f>
        <v>0</v>
      </c>
      <c r="I1779" s="4"/>
      <c r="J1779"/>
      <c r="K1779"/>
      <c r="L1779"/>
      <c r="M1779"/>
      <c r="N1779"/>
      <c r="O1779"/>
      <c r="P1779"/>
      <c r="Q1779"/>
      <c r="R1779"/>
      <c r="S1779"/>
      <c r="T1779"/>
      <c r="U1779"/>
      <c r="V1779"/>
      <c r="W1779"/>
    </row>
    <row r="1780" spans="1:23">
      <c r="A1780" s="161">
        <f>'Reported burning'!A1780</f>
        <v>0</v>
      </c>
      <c r="B1780" s="161">
        <f>'Reported burning'!B1780</f>
        <v>0</v>
      </c>
      <c r="C1780" s="161">
        <f>'Reported burning'!C1780</f>
        <v>0</v>
      </c>
      <c r="D1780" s="161">
        <f>'Reported burning'!D1780</f>
        <v>0</v>
      </c>
      <c r="E1780" s="161">
        <f>'Reported burning'!E1780</f>
        <v>0</v>
      </c>
      <c r="F1780" s="161">
        <f>'Reported burning'!F1780</f>
        <v>0</v>
      </c>
      <c r="G1780" s="161">
        <f>'Reported burning'!G1780</f>
        <v>0</v>
      </c>
      <c r="H1780" s="161">
        <f>'Reported burning'!H1780</f>
        <v>0</v>
      </c>
      <c r="I1780" s="4"/>
      <c r="J1780"/>
      <c r="K1780"/>
      <c r="L1780"/>
      <c r="M1780"/>
      <c r="N1780"/>
      <c r="O1780"/>
      <c r="P1780"/>
      <c r="Q1780"/>
      <c r="R1780"/>
      <c r="S1780"/>
      <c r="T1780"/>
      <c r="U1780"/>
      <c r="V1780"/>
      <c r="W1780"/>
    </row>
    <row r="1781" spans="1:23">
      <c r="A1781" s="161">
        <f>'Reported burning'!A1781</f>
        <v>0</v>
      </c>
      <c r="B1781" s="161">
        <f>'Reported burning'!B1781</f>
        <v>0</v>
      </c>
      <c r="C1781" s="161">
        <f>'Reported burning'!C1781</f>
        <v>0</v>
      </c>
      <c r="D1781" s="161">
        <f>'Reported burning'!D1781</f>
        <v>0</v>
      </c>
      <c r="E1781" s="161">
        <f>'Reported burning'!E1781</f>
        <v>0</v>
      </c>
      <c r="F1781" s="161">
        <f>'Reported burning'!F1781</f>
        <v>0</v>
      </c>
      <c r="G1781" s="161">
        <f>'Reported burning'!G1781</f>
        <v>0</v>
      </c>
      <c r="H1781" s="161">
        <f>'Reported burning'!H1781</f>
        <v>0</v>
      </c>
      <c r="I1781" s="4"/>
      <c r="J1781"/>
      <c r="K1781"/>
      <c r="L1781"/>
      <c r="M1781"/>
      <c r="N1781"/>
      <c r="O1781"/>
      <c r="P1781"/>
      <c r="Q1781"/>
      <c r="R1781"/>
      <c r="S1781"/>
      <c r="T1781"/>
      <c r="U1781"/>
      <c r="V1781"/>
      <c r="W1781"/>
    </row>
    <row r="1782" spans="1:23">
      <c r="A1782" s="161">
        <f>'Reported burning'!A1782</f>
        <v>0</v>
      </c>
      <c r="B1782" s="161">
        <f>'Reported burning'!B1782</f>
        <v>0</v>
      </c>
      <c r="C1782" s="161">
        <f>'Reported burning'!C1782</f>
        <v>0</v>
      </c>
      <c r="D1782" s="161">
        <f>'Reported burning'!D1782</f>
        <v>0</v>
      </c>
      <c r="E1782" s="161">
        <f>'Reported burning'!E1782</f>
        <v>0</v>
      </c>
      <c r="F1782" s="161">
        <f>'Reported burning'!F1782</f>
        <v>0</v>
      </c>
      <c r="G1782" s="161">
        <f>'Reported burning'!G1782</f>
        <v>0</v>
      </c>
      <c r="H1782" s="161">
        <f>'Reported burning'!H1782</f>
        <v>0</v>
      </c>
      <c r="I1782" s="4"/>
      <c r="J1782"/>
      <c r="K1782"/>
      <c r="L1782"/>
      <c r="M1782"/>
      <c r="N1782"/>
      <c r="O1782"/>
      <c r="P1782"/>
      <c r="Q1782"/>
      <c r="R1782"/>
      <c r="S1782"/>
      <c r="T1782"/>
      <c r="U1782"/>
      <c r="V1782"/>
      <c r="W1782"/>
    </row>
    <row r="1783" spans="1:23">
      <c r="A1783" s="161">
        <f>'Reported burning'!A1783</f>
        <v>0</v>
      </c>
      <c r="B1783" s="161">
        <f>'Reported burning'!B1783</f>
        <v>0</v>
      </c>
      <c r="C1783" s="161">
        <f>'Reported burning'!C1783</f>
        <v>0</v>
      </c>
      <c r="D1783" s="161">
        <f>'Reported burning'!D1783</f>
        <v>0</v>
      </c>
      <c r="E1783" s="161">
        <f>'Reported burning'!E1783</f>
        <v>0</v>
      </c>
      <c r="F1783" s="161">
        <f>'Reported burning'!F1783</f>
        <v>0</v>
      </c>
      <c r="G1783" s="161">
        <f>'Reported burning'!G1783</f>
        <v>0</v>
      </c>
      <c r="H1783" s="161">
        <f>'Reported burning'!H1783</f>
        <v>0</v>
      </c>
      <c r="I1783" s="4"/>
      <c r="J1783"/>
      <c r="K1783"/>
      <c r="L1783"/>
      <c r="M1783"/>
      <c r="N1783"/>
      <c r="O1783"/>
      <c r="P1783"/>
      <c r="Q1783"/>
      <c r="R1783"/>
      <c r="S1783"/>
      <c r="T1783"/>
      <c r="U1783"/>
      <c r="V1783"/>
      <c r="W1783"/>
    </row>
    <row r="1784" spans="1:23">
      <c r="A1784" s="161">
        <f>'Reported burning'!A1784</f>
        <v>0</v>
      </c>
      <c r="B1784" s="161">
        <f>'Reported burning'!B1784</f>
        <v>0</v>
      </c>
      <c r="C1784" s="161">
        <f>'Reported burning'!C1784</f>
        <v>0</v>
      </c>
      <c r="D1784" s="161">
        <f>'Reported burning'!D1784</f>
        <v>0</v>
      </c>
      <c r="E1784" s="161">
        <f>'Reported burning'!E1784</f>
        <v>0</v>
      </c>
      <c r="F1784" s="161">
        <f>'Reported burning'!F1784</f>
        <v>0</v>
      </c>
      <c r="G1784" s="161">
        <f>'Reported burning'!G1784</f>
        <v>0</v>
      </c>
      <c r="H1784" s="161">
        <f>'Reported burning'!H1784</f>
        <v>0</v>
      </c>
      <c r="I1784" s="4"/>
      <c r="J1784"/>
      <c r="K1784"/>
      <c r="L1784"/>
      <c r="M1784"/>
      <c r="N1784"/>
      <c r="O1784"/>
      <c r="P1784"/>
      <c r="Q1784"/>
      <c r="R1784"/>
      <c r="S1784"/>
      <c r="T1784"/>
      <c r="U1784"/>
      <c r="V1784"/>
      <c r="W1784"/>
    </row>
    <row r="1785" spans="1:23">
      <c r="A1785" s="161">
        <f>'Reported burning'!A1785</f>
        <v>0</v>
      </c>
      <c r="B1785" s="161">
        <f>'Reported burning'!B1785</f>
        <v>0</v>
      </c>
      <c r="C1785" s="161">
        <f>'Reported burning'!C1785</f>
        <v>0</v>
      </c>
      <c r="D1785" s="161">
        <f>'Reported burning'!D1785</f>
        <v>0</v>
      </c>
      <c r="E1785" s="161">
        <f>'Reported burning'!E1785</f>
        <v>0</v>
      </c>
      <c r="F1785" s="161">
        <f>'Reported burning'!F1785</f>
        <v>0</v>
      </c>
      <c r="G1785" s="161">
        <f>'Reported burning'!G1785</f>
        <v>0</v>
      </c>
      <c r="H1785" s="161">
        <f>'Reported burning'!H1785</f>
        <v>0</v>
      </c>
      <c r="I1785" s="4"/>
      <c r="J1785"/>
      <c r="K1785"/>
      <c r="L1785"/>
      <c r="M1785"/>
      <c r="N1785"/>
      <c r="O1785"/>
      <c r="P1785"/>
      <c r="Q1785"/>
      <c r="R1785"/>
      <c r="S1785"/>
      <c r="T1785"/>
      <c r="U1785"/>
      <c r="V1785"/>
      <c r="W1785"/>
    </row>
    <row r="1786" spans="1:23">
      <c r="A1786" s="161">
        <f>'Reported burning'!A1786</f>
        <v>0</v>
      </c>
      <c r="B1786" s="161">
        <f>'Reported burning'!B1786</f>
        <v>0</v>
      </c>
      <c r="C1786" s="161">
        <f>'Reported burning'!C1786</f>
        <v>0</v>
      </c>
      <c r="D1786" s="161">
        <f>'Reported burning'!D1786</f>
        <v>0</v>
      </c>
      <c r="E1786" s="161">
        <f>'Reported burning'!E1786</f>
        <v>0</v>
      </c>
      <c r="F1786" s="161">
        <f>'Reported burning'!F1786</f>
        <v>0</v>
      </c>
      <c r="G1786" s="161">
        <f>'Reported burning'!G1786</f>
        <v>0</v>
      </c>
      <c r="H1786" s="161">
        <f>'Reported burning'!H1786</f>
        <v>0</v>
      </c>
      <c r="I1786" s="4"/>
      <c r="J1786"/>
      <c r="K1786"/>
      <c r="L1786"/>
      <c r="M1786"/>
      <c r="N1786"/>
      <c r="O1786"/>
      <c r="P1786"/>
      <c r="Q1786"/>
      <c r="R1786"/>
      <c r="S1786"/>
      <c r="T1786"/>
      <c r="U1786"/>
      <c r="V1786"/>
      <c r="W1786"/>
    </row>
    <row r="1787" spans="1:23">
      <c r="A1787" s="161">
        <f>'Reported burning'!A1787</f>
        <v>0</v>
      </c>
      <c r="B1787" s="161">
        <f>'Reported burning'!B1787</f>
        <v>0</v>
      </c>
      <c r="C1787" s="161">
        <f>'Reported burning'!C1787</f>
        <v>0</v>
      </c>
      <c r="D1787" s="161">
        <f>'Reported burning'!D1787</f>
        <v>0</v>
      </c>
      <c r="E1787" s="161">
        <f>'Reported burning'!E1787</f>
        <v>0</v>
      </c>
      <c r="F1787" s="161">
        <f>'Reported burning'!F1787</f>
        <v>0</v>
      </c>
      <c r="G1787" s="161">
        <f>'Reported burning'!G1787</f>
        <v>0</v>
      </c>
      <c r="H1787" s="161">
        <f>'Reported burning'!H1787</f>
        <v>0</v>
      </c>
      <c r="I1787" s="4"/>
      <c r="J1787"/>
      <c r="K1787"/>
      <c r="L1787"/>
      <c r="M1787"/>
      <c r="N1787"/>
      <c r="O1787"/>
      <c r="P1787"/>
      <c r="Q1787"/>
      <c r="R1787"/>
      <c r="S1787"/>
      <c r="T1787"/>
      <c r="U1787"/>
      <c r="V1787"/>
      <c r="W1787"/>
    </row>
    <row r="1788" spans="1:23">
      <c r="A1788" s="161">
        <f>'Reported burning'!A1788</f>
        <v>0</v>
      </c>
      <c r="B1788" s="161">
        <f>'Reported burning'!B1788</f>
        <v>0</v>
      </c>
      <c r="C1788" s="161">
        <f>'Reported burning'!C1788</f>
        <v>0</v>
      </c>
      <c r="D1788" s="161">
        <f>'Reported burning'!D1788</f>
        <v>0</v>
      </c>
      <c r="E1788" s="161">
        <f>'Reported burning'!E1788</f>
        <v>0</v>
      </c>
      <c r="F1788" s="161">
        <f>'Reported burning'!F1788</f>
        <v>0</v>
      </c>
      <c r="G1788" s="161">
        <f>'Reported burning'!G1788</f>
        <v>0</v>
      </c>
      <c r="H1788" s="161">
        <f>'Reported burning'!H1788</f>
        <v>0</v>
      </c>
      <c r="I1788" s="4"/>
      <c r="J1788"/>
      <c r="K1788"/>
      <c r="L1788"/>
      <c r="M1788"/>
      <c r="N1788"/>
      <c r="O1788"/>
      <c r="P1788"/>
      <c r="Q1788"/>
      <c r="R1788"/>
      <c r="S1788"/>
      <c r="T1788"/>
      <c r="U1788"/>
      <c r="V1788"/>
      <c r="W1788"/>
    </row>
    <row r="1789" spans="1:23">
      <c r="A1789" s="161">
        <f>'Reported burning'!A1789</f>
        <v>0</v>
      </c>
      <c r="B1789" s="161">
        <f>'Reported burning'!B1789</f>
        <v>0</v>
      </c>
      <c r="C1789" s="161">
        <f>'Reported burning'!C1789</f>
        <v>0</v>
      </c>
      <c r="D1789" s="161">
        <f>'Reported burning'!D1789</f>
        <v>0</v>
      </c>
      <c r="E1789" s="161">
        <f>'Reported burning'!E1789</f>
        <v>0</v>
      </c>
      <c r="F1789" s="161">
        <f>'Reported burning'!F1789</f>
        <v>0</v>
      </c>
      <c r="G1789" s="161">
        <f>'Reported burning'!G1789</f>
        <v>0</v>
      </c>
      <c r="H1789" s="161">
        <f>'Reported burning'!H1789</f>
        <v>0</v>
      </c>
      <c r="I1789" s="4"/>
      <c r="J1789"/>
      <c r="K1789"/>
      <c r="L1789"/>
      <c r="M1789"/>
      <c r="N1789"/>
      <c r="O1789"/>
      <c r="P1789"/>
      <c r="Q1789"/>
      <c r="R1789"/>
      <c r="S1789"/>
      <c r="T1789"/>
      <c r="U1789"/>
      <c r="V1789"/>
      <c r="W1789"/>
    </row>
    <row r="1790" spans="1:23">
      <c r="A1790" s="161">
        <f>'Reported burning'!A1790</f>
        <v>0</v>
      </c>
      <c r="B1790" s="161">
        <f>'Reported burning'!B1790</f>
        <v>0</v>
      </c>
      <c r="C1790" s="161">
        <f>'Reported burning'!C1790</f>
        <v>0</v>
      </c>
      <c r="D1790" s="161">
        <f>'Reported burning'!D1790</f>
        <v>0</v>
      </c>
      <c r="E1790" s="161">
        <f>'Reported burning'!E1790</f>
        <v>0</v>
      </c>
      <c r="F1790" s="161">
        <f>'Reported burning'!F1790</f>
        <v>0</v>
      </c>
      <c r="G1790" s="161">
        <f>'Reported burning'!G1790</f>
        <v>0</v>
      </c>
      <c r="H1790" s="161">
        <f>'Reported burning'!H1790</f>
        <v>0</v>
      </c>
      <c r="I1790" s="4"/>
      <c r="J1790"/>
      <c r="K1790"/>
      <c r="L1790"/>
      <c r="M1790"/>
      <c r="N1790"/>
      <c r="O1790"/>
      <c r="P1790"/>
      <c r="Q1790"/>
      <c r="R1790"/>
      <c r="S1790"/>
      <c r="T1790"/>
      <c r="U1790"/>
      <c r="V1790"/>
      <c r="W1790"/>
    </row>
    <row r="1791" spans="1:23">
      <c r="A1791" s="161">
        <f>'Reported burning'!A1791</f>
        <v>0</v>
      </c>
      <c r="B1791" s="161">
        <f>'Reported burning'!B1791</f>
        <v>0</v>
      </c>
      <c r="C1791" s="161">
        <f>'Reported burning'!C1791</f>
        <v>0</v>
      </c>
      <c r="D1791" s="161">
        <f>'Reported burning'!D1791</f>
        <v>0</v>
      </c>
      <c r="E1791" s="161">
        <f>'Reported burning'!E1791</f>
        <v>0</v>
      </c>
      <c r="F1791" s="161">
        <f>'Reported burning'!F1791</f>
        <v>0</v>
      </c>
      <c r="G1791" s="161">
        <f>'Reported burning'!G1791</f>
        <v>0</v>
      </c>
      <c r="H1791" s="161">
        <f>'Reported burning'!H1791</f>
        <v>0</v>
      </c>
      <c r="I1791" s="4"/>
      <c r="J1791"/>
      <c r="K1791"/>
      <c r="L1791"/>
      <c r="M1791"/>
      <c r="N1791"/>
      <c r="O1791"/>
      <c r="P1791"/>
      <c r="Q1791"/>
      <c r="R1791"/>
      <c r="S1791"/>
      <c r="T1791"/>
      <c r="U1791"/>
      <c r="V1791"/>
      <c r="W1791"/>
    </row>
    <row r="1792" spans="1:23">
      <c r="A1792" s="161">
        <f>'Reported burning'!A1792</f>
        <v>0</v>
      </c>
      <c r="B1792" s="161">
        <f>'Reported burning'!B1792</f>
        <v>0</v>
      </c>
      <c r="C1792" s="161">
        <f>'Reported burning'!C1792</f>
        <v>0</v>
      </c>
      <c r="D1792" s="161">
        <f>'Reported burning'!D1792</f>
        <v>0</v>
      </c>
      <c r="E1792" s="161">
        <f>'Reported burning'!E1792</f>
        <v>0</v>
      </c>
      <c r="F1792" s="161">
        <f>'Reported burning'!F1792</f>
        <v>0</v>
      </c>
      <c r="G1792" s="161">
        <f>'Reported burning'!G1792</f>
        <v>0</v>
      </c>
      <c r="H1792" s="161">
        <f>'Reported burning'!H1792</f>
        <v>0</v>
      </c>
      <c r="I1792" s="4"/>
      <c r="J1792"/>
      <c r="K1792"/>
      <c r="L1792"/>
      <c r="M1792"/>
      <c r="N1792"/>
      <c r="O1792"/>
      <c r="P1792"/>
      <c r="Q1792"/>
      <c r="R1792"/>
      <c r="S1792"/>
      <c r="T1792"/>
      <c r="U1792"/>
      <c r="V1792"/>
      <c r="W1792"/>
    </row>
    <row r="1793" spans="1:23">
      <c r="A1793" s="161">
        <f>'Reported burning'!A1793</f>
        <v>0</v>
      </c>
      <c r="B1793" s="161">
        <f>'Reported burning'!B1793</f>
        <v>0</v>
      </c>
      <c r="C1793" s="161">
        <f>'Reported burning'!C1793</f>
        <v>0</v>
      </c>
      <c r="D1793" s="161">
        <f>'Reported burning'!D1793</f>
        <v>0</v>
      </c>
      <c r="E1793" s="161">
        <f>'Reported burning'!E1793</f>
        <v>0</v>
      </c>
      <c r="F1793" s="161">
        <f>'Reported burning'!F1793</f>
        <v>0</v>
      </c>
      <c r="G1793" s="161">
        <f>'Reported burning'!G1793</f>
        <v>0</v>
      </c>
      <c r="H1793" s="161">
        <f>'Reported burning'!H1793</f>
        <v>0</v>
      </c>
      <c r="I1793" s="4"/>
      <c r="J1793"/>
      <c r="K1793"/>
      <c r="L1793"/>
      <c r="M1793"/>
      <c r="N1793"/>
      <c r="O1793"/>
      <c r="P1793"/>
      <c r="Q1793"/>
      <c r="R1793"/>
      <c r="S1793"/>
      <c r="T1793"/>
      <c r="U1793"/>
      <c r="V1793"/>
      <c r="W1793"/>
    </row>
    <row r="1794" spans="1:23">
      <c r="A1794" s="161">
        <f>'Reported burning'!A1794</f>
        <v>0</v>
      </c>
      <c r="B1794" s="161">
        <f>'Reported burning'!B1794</f>
        <v>0</v>
      </c>
      <c r="C1794" s="161">
        <f>'Reported burning'!C1794</f>
        <v>0</v>
      </c>
      <c r="D1794" s="161">
        <f>'Reported burning'!D1794</f>
        <v>0</v>
      </c>
      <c r="E1794" s="161">
        <f>'Reported burning'!E1794</f>
        <v>0</v>
      </c>
      <c r="F1794" s="161">
        <f>'Reported burning'!F1794</f>
        <v>0</v>
      </c>
      <c r="G1794" s="161">
        <f>'Reported burning'!G1794</f>
        <v>0</v>
      </c>
      <c r="H1794" s="161">
        <f>'Reported burning'!H1794</f>
        <v>0</v>
      </c>
      <c r="I1794" s="4"/>
      <c r="J1794"/>
      <c r="K1794"/>
      <c r="L1794"/>
      <c r="M1794"/>
      <c r="N1794"/>
      <c r="O1794"/>
      <c r="P1794"/>
      <c r="Q1794"/>
      <c r="R1794"/>
      <c r="S1794"/>
      <c r="T1794"/>
      <c r="U1794"/>
      <c r="V1794"/>
      <c r="W1794"/>
    </row>
    <row r="1795" spans="1:23">
      <c r="A1795" s="161">
        <f>'Reported burning'!A1795</f>
        <v>0</v>
      </c>
      <c r="B1795" s="161">
        <f>'Reported burning'!B1795</f>
        <v>0</v>
      </c>
      <c r="C1795" s="161">
        <f>'Reported burning'!C1795</f>
        <v>0</v>
      </c>
      <c r="D1795" s="161">
        <f>'Reported burning'!D1795</f>
        <v>0</v>
      </c>
      <c r="E1795" s="161">
        <f>'Reported burning'!E1795</f>
        <v>0</v>
      </c>
      <c r="F1795" s="161">
        <f>'Reported burning'!F1795</f>
        <v>0</v>
      </c>
      <c r="G1795" s="161">
        <f>'Reported burning'!G1795</f>
        <v>0</v>
      </c>
      <c r="H1795" s="161">
        <f>'Reported burning'!H1795</f>
        <v>0</v>
      </c>
      <c r="I1795" s="4"/>
      <c r="J1795"/>
      <c r="K1795"/>
      <c r="L1795"/>
      <c r="M1795"/>
      <c r="N1795"/>
      <c r="O1795"/>
      <c r="P1795"/>
      <c r="Q1795"/>
      <c r="R1795"/>
      <c r="S1795"/>
      <c r="T1795"/>
      <c r="U1795"/>
      <c r="V1795"/>
      <c r="W1795"/>
    </row>
    <row r="1796" spans="1:23">
      <c r="A1796" s="161">
        <f>'Reported burning'!A1796</f>
        <v>0</v>
      </c>
      <c r="B1796" s="161">
        <f>'Reported burning'!B1796</f>
        <v>0</v>
      </c>
      <c r="C1796" s="161">
        <f>'Reported burning'!C1796</f>
        <v>0</v>
      </c>
      <c r="D1796" s="161">
        <f>'Reported burning'!D1796</f>
        <v>0</v>
      </c>
      <c r="E1796" s="161">
        <f>'Reported burning'!E1796</f>
        <v>0</v>
      </c>
      <c r="F1796" s="161">
        <f>'Reported burning'!F1796</f>
        <v>0</v>
      </c>
      <c r="G1796" s="161">
        <f>'Reported burning'!G1796</f>
        <v>0</v>
      </c>
      <c r="H1796" s="161">
        <f>'Reported burning'!H1796</f>
        <v>0</v>
      </c>
      <c r="I1796" s="4"/>
      <c r="J1796"/>
      <c r="K1796"/>
      <c r="L1796"/>
      <c r="M1796"/>
      <c r="N1796"/>
      <c r="O1796"/>
      <c r="P1796"/>
      <c r="Q1796"/>
      <c r="R1796"/>
      <c r="S1796"/>
      <c r="T1796"/>
      <c r="U1796"/>
      <c r="V1796"/>
      <c r="W1796"/>
    </row>
    <row r="1797" spans="1:23">
      <c r="A1797" s="161">
        <f>'Reported burning'!A1797</f>
        <v>0</v>
      </c>
      <c r="B1797" s="161">
        <f>'Reported burning'!B1797</f>
        <v>0</v>
      </c>
      <c r="C1797" s="161">
        <f>'Reported burning'!C1797</f>
        <v>0</v>
      </c>
      <c r="D1797" s="161">
        <f>'Reported burning'!D1797</f>
        <v>0</v>
      </c>
      <c r="E1797" s="161">
        <f>'Reported burning'!E1797</f>
        <v>0</v>
      </c>
      <c r="F1797" s="161">
        <f>'Reported burning'!F1797</f>
        <v>0</v>
      </c>
      <c r="G1797" s="161">
        <f>'Reported burning'!G1797</f>
        <v>0</v>
      </c>
      <c r="H1797" s="161">
        <f>'Reported burning'!H1797</f>
        <v>0</v>
      </c>
      <c r="I1797" s="4"/>
      <c r="J1797"/>
      <c r="K1797"/>
      <c r="L1797"/>
      <c r="M1797"/>
      <c r="N1797"/>
      <c r="O1797"/>
      <c r="P1797"/>
      <c r="Q1797"/>
      <c r="R1797"/>
      <c r="S1797"/>
      <c r="T1797"/>
      <c r="U1797"/>
      <c r="V1797"/>
      <c r="W1797"/>
    </row>
    <row r="1798" spans="1:23">
      <c r="A1798" s="161">
        <f>'Reported burning'!A1798</f>
        <v>0</v>
      </c>
      <c r="B1798" s="161">
        <f>'Reported burning'!B1798</f>
        <v>0</v>
      </c>
      <c r="C1798" s="161">
        <f>'Reported burning'!C1798</f>
        <v>0</v>
      </c>
      <c r="D1798" s="161">
        <f>'Reported burning'!D1798</f>
        <v>0</v>
      </c>
      <c r="E1798" s="161">
        <f>'Reported burning'!E1798</f>
        <v>0</v>
      </c>
      <c r="F1798" s="161">
        <f>'Reported burning'!F1798</f>
        <v>0</v>
      </c>
      <c r="G1798" s="161">
        <f>'Reported burning'!G1798</f>
        <v>0</v>
      </c>
      <c r="H1798" s="161">
        <f>'Reported burning'!H1798</f>
        <v>0</v>
      </c>
      <c r="I1798" s="4"/>
      <c r="J1798"/>
      <c r="K1798"/>
      <c r="L1798"/>
      <c r="M1798"/>
      <c r="N1798"/>
      <c r="O1798"/>
      <c r="P1798"/>
      <c r="Q1798"/>
      <c r="R1798"/>
      <c r="S1798"/>
      <c r="T1798"/>
      <c r="U1798"/>
      <c r="V1798"/>
      <c r="W1798"/>
    </row>
    <row r="1799" spans="1:23">
      <c r="A1799" s="161">
        <f>'Reported burning'!A1799</f>
        <v>0</v>
      </c>
      <c r="B1799" s="161">
        <f>'Reported burning'!B1799</f>
        <v>0</v>
      </c>
      <c r="C1799" s="161">
        <f>'Reported burning'!C1799</f>
        <v>0</v>
      </c>
      <c r="D1799" s="161">
        <f>'Reported burning'!D1799</f>
        <v>0</v>
      </c>
      <c r="E1799" s="161">
        <f>'Reported burning'!E1799</f>
        <v>0</v>
      </c>
      <c r="F1799" s="161">
        <f>'Reported burning'!F1799</f>
        <v>0</v>
      </c>
      <c r="G1799" s="161">
        <f>'Reported burning'!G1799</f>
        <v>0</v>
      </c>
      <c r="H1799" s="161">
        <f>'Reported burning'!H1799</f>
        <v>0</v>
      </c>
      <c r="I1799" s="4"/>
      <c r="J1799"/>
      <c r="K1799"/>
      <c r="L1799"/>
      <c r="M1799"/>
      <c r="N1799"/>
      <c r="O1799"/>
      <c r="P1799"/>
      <c r="Q1799"/>
      <c r="R1799"/>
      <c r="S1799"/>
      <c r="T1799"/>
      <c r="U1799"/>
      <c r="V1799"/>
      <c r="W1799"/>
    </row>
    <row r="1800" spans="1:23">
      <c r="A1800" s="161">
        <f>'Reported burning'!A1800</f>
        <v>0</v>
      </c>
      <c r="B1800" s="161">
        <f>'Reported burning'!B1800</f>
        <v>0</v>
      </c>
      <c r="C1800" s="161">
        <f>'Reported burning'!C1800</f>
        <v>0</v>
      </c>
      <c r="D1800" s="161">
        <f>'Reported burning'!D1800</f>
        <v>0</v>
      </c>
      <c r="E1800" s="161">
        <f>'Reported burning'!E1800</f>
        <v>0</v>
      </c>
      <c r="F1800" s="161">
        <f>'Reported burning'!F1800</f>
        <v>0</v>
      </c>
      <c r="G1800" s="161">
        <f>'Reported burning'!G1800</f>
        <v>0</v>
      </c>
      <c r="H1800" s="161">
        <f>'Reported burning'!H1800</f>
        <v>0</v>
      </c>
      <c r="I1800" s="4"/>
      <c r="J1800"/>
      <c r="K1800"/>
      <c r="L1800"/>
      <c r="M1800"/>
      <c r="N1800"/>
      <c r="O1800"/>
      <c r="P1800"/>
      <c r="Q1800"/>
      <c r="R1800"/>
      <c r="S1800"/>
      <c r="T1800"/>
      <c r="U1800"/>
      <c r="V1800"/>
      <c r="W1800"/>
    </row>
    <row r="1801" spans="1:23">
      <c r="A1801" s="161">
        <f>'Reported burning'!A1801</f>
        <v>0</v>
      </c>
      <c r="B1801" s="161">
        <f>'Reported burning'!B1801</f>
        <v>0</v>
      </c>
      <c r="C1801" s="161">
        <f>'Reported burning'!C1801</f>
        <v>0</v>
      </c>
      <c r="D1801" s="161">
        <f>'Reported burning'!D1801</f>
        <v>0</v>
      </c>
      <c r="E1801" s="161">
        <f>'Reported burning'!E1801</f>
        <v>0</v>
      </c>
      <c r="F1801" s="161">
        <f>'Reported burning'!F1801</f>
        <v>0</v>
      </c>
      <c r="G1801" s="161">
        <f>'Reported burning'!G1801</f>
        <v>0</v>
      </c>
      <c r="H1801" s="161">
        <f>'Reported burning'!H1801</f>
        <v>0</v>
      </c>
      <c r="I1801" s="4"/>
      <c r="J1801"/>
      <c r="K1801"/>
      <c r="L1801"/>
      <c r="M1801"/>
      <c r="N1801"/>
      <c r="O1801"/>
      <c r="P1801"/>
      <c r="Q1801"/>
      <c r="R1801"/>
      <c r="S1801"/>
      <c r="T1801"/>
      <c r="U1801"/>
      <c r="V1801"/>
      <c r="W1801"/>
    </row>
    <row r="1802" spans="1:23">
      <c r="A1802" s="161">
        <f>'Reported burning'!A1802</f>
        <v>0</v>
      </c>
      <c r="B1802" s="161">
        <f>'Reported burning'!B1802</f>
        <v>0</v>
      </c>
      <c r="C1802" s="161">
        <f>'Reported burning'!C1802</f>
        <v>0</v>
      </c>
      <c r="D1802" s="161">
        <f>'Reported burning'!D1802</f>
        <v>0</v>
      </c>
      <c r="E1802" s="161">
        <f>'Reported burning'!E1802</f>
        <v>0</v>
      </c>
      <c r="F1802" s="161">
        <f>'Reported burning'!F1802</f>
        <v>0</v>
      </c>
      <c r="G1802" s="161">
        <f>'Reported burning'!G1802</f>
        <v>0</v>
      </c>
      <c r="H1802" s="161">
        <f>'Reported burning'!H1802</f>
        <v>0</v>
      </c>
      <c r="I1802" s="4"/>
      <c r="J1802"/>
      <c r="K1802"/>
      <c r="L1802"/>
      <c r="M1802"/>
      <c r="N1802"/>
      <c r="O1802"/>
      <c r="P1802"/>
      <c r="Q1802"/>
      <c r="R1802"/>
      <c r="S1802"/>
      <c r="T1802"/>
      <c r="U1802"/>
      <c r="V1802"/>
      <c r="W1802"/>
    </row>
    <row r="1803" spans="1:23">
      <c r="A1803" s="161">
        <f>'Reported burning'!A1803</f>
        <v>0</v>
      </c>
      <c r="B1803" s="161">
        <f>'Reported burning'!B1803</f>
        <v>0</v>
      </c>
      <c r="C1803" s="161">
        <f>'Reported burning'!C1803</f>
        <v>0</v>
      </c>
      <c r="D1803" s="161">
        <f>'Reported burning'!D1803</f>
        <v>0</v>
      </c>
      <c r="E1803" s="161">
        <f>'Reported burning'!E1803</f>
        <v>0</v>
      </c>
      <c r="F1803" s="161">
        <f>'Reported burning'!F1803</f>
        <v>0</v>
      </c>
      <c r="G1803" s="161">
        <f>'Reported burning'!G1803</f>
        <v>0</v>
      </c>
      <c r="H1803" s="161">
        <f>'Reported burning'!H1803</f>
        <v>0</v>
      </c>
      <c r="I1803" s="4"/>
      <c r="J1803"/>
      <c r="K1803"/>
      <c r="L1803"/>
      <c r="M1803"/>
      <c r="N1803"/>
      <c r="O1803"/>
      <c r="P1803"/>
      <c r="Q1803"/>
      <c r="R1803"/>
      <c r="S1803"/>
      <c r="T1803"/>
      <c r="U1803"/>
      <c r="V1803"/>
      <c r="W1803"/>
    </row>
    <row r="1804" spans="1:23">
      <c r="A1804" s="161">
        <f>'Reported burning'!A1804</f>
        <v>0</v>
      </c>
      <c r="B1804" s="161">
        <f>'Reported burning'!B1804</f>
        <v>0</v>
      </c>
      <c r="C1804" s="161">
        <f>'Reported burning'!C1804</f>
        <v>0</v>
      </c>
      <c r="D1804" s="161">
        <f>'Reported burning'!D1804</f>
        <v>0</v>
      </c>
      <c r="E1804" s="161">
        <f>'Reported burning'!E1804</f>
        <v>0</v>
      </c>
      <c r="F1804" s="161">
        <f>'Reported burning'!F1804</f>
        <v>0</v>
      </c>
      <c r="G1804" s="161">
        <f>'Reported burning'!G1804</f>
        <v>0</v>
      </c>
      <c r="H1804" s="161">
        <f>'Reported burning'!H1804</f>
        <v>0</v>
      </c>
      <c r="I1804" s="4"/>
      <c r="J1804"/>
      <c r="K1804"/>
      <c r="L1804"/>
      <c r="M1804"/>
      <c r="N1804"/>
      <c r="O1804"/>
      <c r="P1804"/>
      <c r="Q1804"/>
      <c r="R1804"/>
      <c r="S1804"/>
      <c r="T1804"/>
      <c r="U1804"/>
      <c r="V1804"/>
      <c r="W1804"/>
    </row>
    <row r="1805" spans="1:23">
      <c r="A1805" s="161">
        <f>'Reported burning'!A1805</f>
        <v>0</v>
      </c>
      <c r="B1805" s="161">
        <f>'Reported burning'!B1805</f>
        <v>0</v>
      </c>
      <c r="C1805" s="161">
        <f>'Reported burning'!C1805</f>
        <v>0</v>
      </c>
      <c r="D1805" s="161">
        <f>'Reported burning'!D1805</f>
        <v>0</v>
      </c>
      <c r="E1805" s="161">
        <f>'Reported burning'!E1805</f>
        <v>0</v>
      </c>
      <c r="F1805" s="161">
        <f>'Reported burning'!F1805</f>
        <v>0</v>
      </c>
      <c r="G1805" s="161">
        <f>'Reported burning'!G1805</f>
        <v>0</v>
      </c>
      <c r="H1805" s="161">
        <f>'Reported burning'!H1805</f>
        <v>0</v>
      </c>
      <c r="I1805" s="4"/>
      <c r="J1805"/>
      <c r="K1805"/>
      <c r="L1805"/>
      <c r="M1805"/>
      <c r="N1805"/>
      <c r="O1805"/>
      <c r="P1805"/>
      <c r="Q1805"/>
      <c r="R1805"/>
      <c r="S1805"/>
      <c r="T1805"/>
      <c r="U1805"/>
      <c r="V1805"/>
      <c r="W1805"/>
    </row>
  </sheetData>
  <phoneticPr fontId="6" type="noConversion"/>
  <conditionalFormatting sqref="AA238:AB238 AB241">
    <cfRule type="duplicateValues" dxfId="163" priority="36"/>
    <cfRule type="duplicateValues" dxfId="162" priority="37"/>
  </conditionalFormatting>
  <conditionalFormatting sqref="AB231 AB233">
    <cfRule type="duplicateValues" dxfId="161" priority="34"/>
    <cfRule type="duplicateValues" dxfId="160" priority="35"/>
  </conditionalFormatting>
  <conditionalFormatting sqref="AB237">
    <cfRule type="duplicateValues" dxfId="159" priority="32"/>
    <cfRule type="duplicateValues" dxfId="158" priority="33"/>
  </conditionalFormatting>
  <conditionalFormatting sqref="AA239:AB239">
    <cfRule type="duplicateValues" dxfId="157" priority="30"/>
    <cfRule type="duplicateValues" dxfId="156" priority="31"/>
  </conditionalFormatting>
  <conditionalFormatting sqref="AA240">
    <cfRule type="duplicateValues" dxfId="155" priority="26"/>
    <cfRule type="duplicateValues" dxfId="154" priority="27"/>
  </conditionalFormatting>
  <conditionalFormatting sqref="AA241">
    <cfRule type="duplicateValues" dxfId="153" priority="24"/>
    <cfRule type="duplicateValues" dxfId="152" priority="25"/>
  </conditionalFormatting>
  <conditionalFormatting sqref="AA242">
    <cfRule type="duplicateValues" dxfId="151" priority="22"/>
    <cfRule type="duplicateValues" dxfId="150" priority="23"/>
  </conditionalFormatting>
  <conditionalFormatting sqref="AB235:AB236">
    <cfRule type="duplicateValues" dxfId="149" priority="20"/>
    <cfRule type="duplicateValues" dxfId="148" priority="21"/>
  </conditionalFormatting>
  <conditionalFormatting sqref="AB240">
    <cfRule type="duplicateValues" dxfId="147" priority="18"/>
    <cfRule type="duplicateValues" dxfId="146" priority="19"/>
  </conditionalFormatting>
  <conditionalFormatting sqref="AB242">
    <cfRule type="duplicateValues" dxfId="145" priority="16"/>
    <cfRule type="duplicateValues" dxfId="144" priority="17"/>
  </conditionalFormatting>
  <conditionalFormatting sqref="AB234">
    <cfRule type="duplicateValues" dxfId="143" priority="5"/>
    <cfRule type="duplicateValues" dxfId="142" priority="6"/>
  </conditionalFormatting>
  <conditionalFormatting sqref="AB232">
    <cfRule type="duplicateValues" dxfId="141" priority="3"/>
    <cfRule type="duplicateValues" dxfId="140" priority="4"/>
  </conditionalFormatting>
  <dataValidations xWindow="1632" yWindow="536" count="6">
    <dataValidation type="whole" allowBlank="1" showInputMessage="1" showErrorMessage="1" prompt="Integer: leave blank if all study years" sqref="I908:I1048576 I795:I906 J1663:J1666 I595:I778 I1:I542" xr:uid="{44BCFA16-E4FF-4DD8-A16E-C774E4872836}">
      <formula1>1900</formula1>
      <formula2>2020</formula2>
    </dataValidation>
    <dataValidation allowBlank="1" showInputMessage="1" showErrorMessage="1" prompt="Case study ID + .1, .2 etc for each direct fire creation PCB associated with the case study" sqref="B1806:B1048576 B1" xr:uid="{2880189A-7147-4804-9C2C-2A2473A6A0CD}"/>
    <dataValidation type="textLength" allowBlank="1" showInputMessage="1" showErrorMessage="1" sqref="AA799:AA800" xr:uid="{D686AA90-7BA4-463D-802C-28CFCCE7DF1B}">
      <formula1>2</formula1>
      <formula2>20</formula2>
    </dataValidation>
    <dataValidation allowBlank="1" showInputMessage="1" showErrorMessage="1" prompt="The same as Case study ID in Record Info" sqref="A1515:A1048576 B907:I907 B1515:H1805 AA907:AB907 W1105:Z1110 L1180:W1180 V1102:V1110 U1105:U1110 L1315:V1318 J1315:J1318 J1180 J1102:J1110 L1102:T1110 A1514:H1514 B908:H1513 A1:A1513 B2:H906" xr:uid="{17AA178F-4754-4BE2-9EC5-55FBA7DF8BF7}"/>
    <dataValidation type="decimal" allowBlank="1" showInputMessage="1" showErrorMessage="1" prompt="Float_x000a_" sqref="AA859:AB862 J877:J907 N875:P876 T875:Z877 X878:Z882 T879:W880 T878:V878 S877 S879 S881:V883 W883:Z883 S884:Z884 W890 W886:Z888 W891:Z895 L875:L912 W897 S885:V906 R875:R912 W898:Z902 W904 J912 U907 V907:V912 T907:T912 S907 P908:P912 M877:Q907 M908:N912 W905:Z906 X907:Z911 Q912 S912 U912 L859:Z874" xr:uid="{3B57A34E-4C32-4B12-893C-FD52A40661E2}">
      <formula1>0</formula1>
      <formula2>999999999</formula2>
    </dataValidation>
    <dataValidation type="decimal" allowBlank="1" showInputMessage="1" showErrorMessage="1" prompt="Float" sqref="J961 L1100:W1101 L961:V961 L1112:W1113 L1161:W1167 X1112 L1186:Z1189 L1190:AB1196 L1197:Z1199 J1216:J1226 M1207:S1207 L1201:S1201 N1200:S1200 N1202:S1206 M1205 M1203 L1200 U1200:Z1207 AA1208:AA1212 M1208:Z1214 J1208:J1214 L1202:L1214 L1216:Z1226 AC1270:AC1281 J1186:J1199 J1161:J1167 J1112:J1113 J1100:J1101 J968 L968:V968 J1455:V1455 J1475:V1483 J1488:V1488 J1503:W1505 J1514:X1514 J1560:V1570 J1580:V1580 J1578:V1578 J1591:W1591 J1583:W1583 J1589:W1589 J1594:W1594 J1598:W1608 J1613:W1615 J1635:V1635 J1658:V1660 I543:I594" xr:uid="{B3C6C6A5-74F8-4A7D-8965-C5F3C42A7810}">
      <formula1>0</formula1>
      <formula2>9999</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1632" yWindow="536" count="15">
        <x14:dataValidation type="list" allowBlank="1" showInputMessage="1" showErrorMessage="1" prompt="One of: Human Deliberate, Human Accidental, Human Escaped, Lightning, Other Natural, Unknown" xr:uid="{77BAA449-F600-4FAA-A409-378EF4E05B84}">
          <x14:formula1>
            <xm:f>'IGNORE Lookups'!$E$3:$E$8</xm:f>
          </x14:formula1>
          <xm:sqref>C1806:C1048576 C1</xm:sqref>
        </x14:dataValidation>
        <x14:dataValidation type="list" allowBlank="1" showInputMessage="1" showErrorMessage="1" xr:uid="{A80DA6D3-F1ED-4EE0-A729-6AB920157E33}">
          <x14:formula1>
            <xm:f>'IGNORE Lookups'!$I$2:$I$14</xm:f>
          </x14:formula1>
          <xm:sqref>X853:Y853 X885:Y885 X889:Y890 X896:Y897 X903:Y904 X912:Y931 X936:Y939 X941:Y974 X1041:Y1044 X1059:Y1069 X1083:Y1099 X1102:Y1104 X1111:Y1111 X1667:Y1048576 Y1128:Z1132 X1136:Y1137 X1133:Y1134 X1149:Y1149 X1151:Y1160 X1168:Y1175 X1227:Y1231 X1248:Y1248 X1245:Y1245 X1251:Y1253 X1256:Y1265 X1270:Y1281 X1289:Y1296 X1332:Y1334 X1356:Y1361 X1364:Y1365 X1370:Y1380 X1382:Y1395 X1401:Y1412 X1462:Y1463 X1468:Y1474 X1496:Y1496 X1546:Y1546 X1550:Y1550 X1577:Y1577 X1588:Y1588 X1582:Y1586 X1590:Y1590 X1592:Y1592 X1646:Y1652 X1656:Y1656 X1661:Y1662 X1114:Y1117 X1:Y151 X155:Y812</xm:sqref>
        </x14:dataValidation>
        <x14:dataValidation type="list" allowBlank="1" showInputMessage="1" showErrorMessage="1" xr:uid="{EADF027C-B889-438A-81FA-F5D4AA23CB7F}">
          <x14:formula1>
            <xm:f>'IGNORE Lookups'!$J$3:$J$7</xm:f>
          </x14:formula1>
          <xm:sqref>Z853:Z858 Z885 Z889:Z890 Z896:Z897 Z903:Z904 Z912:Z931 Z936:Z939 Z941:Z974 Z1041:Z1044 Z1059:Z1069 Z1083:Z1099 Z1102:Z1104 Z1111 Z1667:Z1048576 AA1128:AA1132 Z1136:Z1137 Z1133:Z1134 Z1149:AA1149 Z1151:AA1160 Z1168:Z1175 Z1227:Z1231 Z1248 Z1245 Z1251:Z1253 Z1256:Z1265 Z1364:Z1365 Z1370:Z1380 Z1382:Z1395 Z1401:Z1412 Z1462:Z1463 Z1468:Z1474 Z1546 Z1550 Z1557 Z1577 Z1588 Z1582:Z1586 Z1590 Z1592 Z1646:Z1652 Z1114:Z1117 Z1:Z151 Z155:Z812</xm:sqref>
        </x14:dataValidation>
        <x14:dataValidation type="list" allowBlank="1" showInputMessage="1" showErrorMessage="1" prompt="Presence or absence" xr:uid="{606FCF66-415C-41B1-B1BE-9964B4191819}">
          <x14:formula1>
            <xm:f>'IGNORE Lookups'!$H$2:$H$3</xm:f>
          </x14:formula1>
          <xm:sqref>H1 H1806:H1048576</xm:sqref>
        </x14:dataValidation>
        <x14:dataValidation type="list" allowBlank="1" showInputMessage="1" showErrorMessage="1" xr:uid="{62876A7A-7519-4CDA-8C59-D1191D159B01}">
          <x14:formula1>
            <xm:f>'IGNORE Lookups'!$G$3:$G$10</xm:f>
          </x14:formula1>
          <xm:sqref>K1621:U1645 F1806:G1048576 L1215:Z1215 F1:G1 J1232:J1265 AB1215 L1232:Z1241 L1242:V1244 X1242:Z1244 L1245:W1250 L1251:V1255 X1246:Z1247 X1249:Z1250 L1256:U1265 W1252 W1254:Z1255 W1616:Z1620 L1267:V1267 X1266:Z1269 W1268:W1310 Z1270:Z1346 L1270:V1314 X1282:Y1288 L1319:V1319 X1297:Y1310 W1311:Y1319 L1320:Y1331 X1335:Y1346 J1319:J1331 J1282:J1314 J1267 J1215 AA1663:AA1664 L1227:U1228 X1503:AA1505 Y1514:Z1514 W1515:Z1538 X1539:Z1539 J1515:V1541 W1540:Z1540 X1541:Z1545 W1547:Z1547 J1542:W1546 J1548:Z1549 L1550 P1550 N1550 R1550:T1550 V1550:W1550 W1551:Z1554 W1556:Z1556 J1555:Z1555 W1558:Z1558 J1557:Y1557 J1559:Z1559 W1560:Z1570 J1571:Z1576 W1578:Z1578 W1580:Z1580 J1579:Z1579 K1577:V1577 X1587:Z1587 X1589:Z1589 X1591:Z1591 J1581:Z1581 X1593:Z1594 J1582:W1582 J1584:W1588 J1590:W1590 J1592:V1593 W1592 J1595:Z1615 J1616:U1620 V1256:W1256 W1266 V1621:AA1621 J1622:J1630 J1632:J1640 J1642:J1646 O1229:S1231 V1618:V1620 V1622:Z1645 K1647:O1647 Q1647:W1647 S1646:W1646 K1646:Q1646 J1648:W1648 K1649:O1650 Q1649:W1650 J1651:W1652 J1655:V1662 J1653:Z1653 W1654:W1662 Z1654:Z1662 X1654:Y1655 X1657:Y1660 K1663:Z1666 J1227:J1230 T1229:T1230 U1229:W1231 L1229:M1231</xm:sqref>
        </x14:dataValidation>
        <x14:dataValidation type="list" allowBlank="1" showInputMessage="1" showErrorMessage="1" xr:uid="{B23DF0E5-ABEB-42C2-BC5E-21D1A72B6E20}">
          <x14:formula1>
            <xm:f>'IGNORE Lookups'!$I$3:$I$14</xm:f>
          </x14:formula1>
          <xm:sqref>X854:Y858</xm:sqref>
        </x14:dataValidation>
        <x14:dataValidation type="list" allowBlank="1" showInputMessage="1" showErrorMessage="1" prompt="Existing categories include: crop field preparation, crop residue removal, forest clearance, pasture maintenance, habitat maintenance, pyrome management, pest mangagement, arson._x000a_" xr:uid="{249DF0AD-B9B4-441F-A568-82E4EFD04841}">
          <x14:formula1>
            <xm:f>'IGNORE Lookups'!$F$3:$F$23</xm:f>
          </x14:formula1>
          <xm:sqref>D1806:D1048576 D1</xm:sqref>
        </x14:dataValidation>
        <x14:dataValidation type="list" allowBlank="1" showInputMessage="1" showErrorMessage="1" xr:uid="{02EB0620-5B89-4C11-9299-DE7D7509325E}">
          <x14:formula1>
            <xm:f>'IGNORE Lookups'!$G$3:$G$11</xm:f>
          </x14:formula1>
          <xm:sqref>W913:W918 W921:W938 AA933 X932:Z935 X940:Z940 T913:T938 W941:W942 L941:S946 U913:V939 T941:T942 T944:T960 L947:P950 N962:N963 L952:N952 O951:O960 P952:P957 Q1099:W1099 L959:N959 N954:N957 L951:M951 L953:M958 L960:M960 L962:M967 Q951:S951 Q953:S953 Q958:S958 P959 S947:S950 S952 S954:S957 S959 V964 V958:V959 U941:U960 V941:V946 V951:V952 O962:U967 W944:W974 N965:N966 L969:M974 J1111 N969:U970 N972:N973 O971:U974 L975:L1069 N975:N1069 P975:P1069 R975:V980 X975:Z1040 L1070:S1098 M981:M1069 O981:O1069 W982:W996 W1042 W1029:W1039 W1014:W1027 W998:W1012 T981:V1058 S981:S1041 W1044 S1043 X1045:Z1058 S1045:S1069 T1059:W1060 W1061:W1066 Q981:R1069 T1061:V1069 X1070:Z1082 T1070:T1082 U1070:W1098 J969:J1098 L1111:W1111 X1100:Z1101 Y1111:Y1113 L1118:V1160 Z1112:Z1113 AB1112:AB1113 X1113 O1114:V1114 L1115:W1115 K1490:O1502 W1118:Z1127 J1118:J1160 W1128:X1132 X1143:Z1148 Q1497:Y1502 W1134:W1149 J1114:J1115 J941:J960 J962:J967 M1114 J913:J939 L913:S939 W1475:Z1483 J1484:V1486 X1484:Z1486 W1485 W1488:Z1488 J1487:Z1487 J1489:N1489 P1489:P1502 R1489:Z1489 X1490:Z1495 Z1496:Z1502 Q1490:W1496 J1490:J1494 J1496:J1502 L1116:V1116 L1099:O1099 P960:S960</xm:sqref>
        </x14:dataValidation>
        <x14:dataValidation type="list" allowBlank="1" showInputMessage="1" showErrorMessage="1" prompt="Should be included in AFTs listed in land use record_x000a_" xr:uid="{7EF252FD-BAFF-477B-8C5F-96D534AF02C8}">
          <x14:formula1>
            <xm:f>'IGNORE Lookups'!$C$23:$C$41</xm:f>
          </x14:formula1>
          <xm:sqref>E1806:E1048576 E1</xm:sqref>
        </x14:dataValidation>
        <x14:dataValidation type="list" allowBlank="1" showInputMessage="1" showErrorMessage="1" prompt="Existing categories include: crop field preparation, crop residue removal, forest clearance, pasture maintenance, habitat maintenance, pyrome management, pest mangagement, arson._x000a_" xr:uid="{22208C4B-57F6-4D41-8171-C2E009E60465}">
          <x14:formula1>
            <xm:f>'IGNORE Lookups'!$F$3:$F$27</xm:f>
          </x14:formula1>
          <xm:sqref>X1138:Z1142 L1197:Z1199 L1202:L1214 J1208:J1214 M1208:Z1214 AA1208:AA1212 U1200:Z1207 L1200 M1203 M1205 N1202:S1206 N1200:S1200 L1201:S1201 M1207:S1207 L1190:AB1196 X1135:Z1135 W1186:Z1189 X1161:Z1167 W1151:W1160 W1150:AA1150 J1190:J1199 J1216:J1226 L1216:Z1226</xm:sqref>
        </x14:dataValidation>
        <x14:dataValidation type="list" allowBlank="1" showInputMessage="1" showErrorMessage="1" xr:uid="{4A73D9D5-4712-4F83-916B-305B43FBC89C}">
          <x14:formula1>
            <xm:f>'IGNORE Lookups'!$F$3:$F$27</xm:f>
          </x14:formula1>
          <xm:sqref>X1368:Z1369 L1357:S1360 X1362:Z1363 U1362:W1365 T1362:T1363 U1357:V1360 L1347:Z1352 W1353:Z1361 L1366:Z1367 L1368:V1399 X1381:Z1381 L1400:Z1400 W1368:W1397 X1396:Z1399 J1347:J1352 J1357:J1360 L1406:Q1412 L1362:S1365 L1405:N1405 R1401:W1412 P1405 L1401:Q1404 AA1434 AA1416 AA1414 AA1423 AA1425 AA1432 K1452:Z1461 J1464:Z1467 K1462:V1463 J1362:J1463</xm:sqref>
        </x14:dataValidation>
        <x14:dataValidation type="list" allowBlank="1" showInputMessage="1" showErrorMessage="1" xr:uid="{6EC831F5-CE44-443E-883A-B397249D2404}">
          <x14:formula1>
            <xm:f>'IGNORE Lookups'!$F$29:$F$44</xm:f>
          </x14:formula1>
          <xm:sqref>M1200 L1114 M1204 N1114 W837:W838 M975:M980 O975:O980 Q975:Q980 N974 N971 N967 N964 Q954:R957 Q952:R952 Q947:R950 N951 N960 N953 P958 Q959:R959 N958 P951 P841:R843 X851:Z852 W853 W849:Z850 M843:O843 M1202 M844:R848 X846:Z848 W841:Z843 X844:Z844 L841:O842 W846:W847 W845:Z845 M835:P840 L843:L848 Q875:Q876 M875:M876 L849:R858 Q908:Q911 O908:O912 M1206 Q1405 O1405 L1117:W1117 L1413:Z1451 Q1489 O1489 O1550 K1550 M1550 Q1550 K1667:R1048576 N1229:N1231 R1646 P1647 P1649:P1650 J1654:V1654 J1117 P1099 K1:K1451 J153:J154 L1:R151 L152:Z154 L155:R834</xm:sqref>
        </x14:dataValidation>
        <x14:dataValidation type="list" allowBlank="1" showInputMessage="1" showErrorMessage="1" xr:uid="{B26A30C8-EB82-40E6-83A7-E7BE45A0CF04}">
          <x14:formula1>
            <xm:f>'IGNORE Lookups'!$G$29:$G$40</xm:f>
          </x14:formula1>
          <xm:sqref>W836 S1667:V1048576 V1257:V1265 V1227:V1228 T1200:T1207 S1181:S1185 U1181:U1185 U1102:U1104 T1083:T1098 S1044 S1042 V969:V974 V965:V967 V960 V953:V957 V947:V950 V962:V963 T939 T943 S875:S876 S878 S880 U908:U911 S908:S911 T1357:T1360 T1364:T1365 U1550 V1616:V1617 T1231 S1:V151 S155:V858</xm:sqref>
        </x14:dataValidation>
        <x14:dataValidation type="list" allowBlank="1" showInputMessage="1" showErrorMessage="1" xr:uid="{999E5E90-F9EB-4941-9A5D-878C99B401B0}">
          <x14:formula1>
            <xm:f>'IGNORE Lookups'!$H$29:$H$35</xm:f>
          </x14:formula1>
          <xm:sqref>X813:Z840 W1398:W1399 W1267 W1253 W1251 W1242:W1244 W1227:W1228 W1181:W1185 W1133 W1667:W1048576 W1114 W1102:W1104 W1067:W1069 W1045:W1058 W1043 W997 W1013 W1028 W1040:W1041 W975:W981 W943 W939 W851:W852 W839:W840 W848 W844 W854:W858 W878 W881:W882 W885 W903 W896 W889 W907:W912 W919:W920 W1462:W1463 J1468:W1474 W1484 W1486 W1511:W1513 W1593 W1257:W1265 W1539 W1541 W1577 W1116 W1:W151 W155:W835</xm:sqref>
        </x14:dataValidation>
        <x14:dataValidation type="list" allowBlank="1" showInputMessage="1" showErrorMessage="1" xr:uid="{22B62566-8B42-4989-AC2F-9DCAB30ABC59}">
          <x14:formula1>
            <xm:f>'IGNORE Lookups'!$E$29:$E$42</xm:f>
          </x14:formula1>
          <xm:sqref>J1116 L1268:V1269 J1361 J1353:J1356 J1332:J1346 J940 J1181:J1185 J1266 J908:J911 L1361:V1361 J1200:J1207 L1266:V1266 V1181:V1185 T1181:T1185 L1181:R1185 J1168:J1179 X1180:Z1185 L1176:Z1179 J1231 L1168:W1175 J1268:J1281 L940:W940 L1332:W1346 L1353:V1356 J1495 J1506:V1513 X1506:Z1513 W1506:W1510 J1547:V1547 K1551:V1554 J1550:J1554 J1556:V1556 J1558:V1558 J1577 J1631 J1621 J1641 J1647 J1649:J1650 J1667:J1048576 J1099 J1:J152 J155:J876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1FBB1-6E7C-4FF9-B911-46F2208C87E0}">
  <dimension ref="A1:O282"/>
  <sheetViews>
    <sheetView zoomScale="55" zoomScaleNormal="55" workbookViewId="0">
      <pane ySplit="1" topLeftCell="A2" activePane="bottomLeft" state="frozen"/>
      <selection activeCell="F1" sqref="F1"/>
      <selection pane="bottomLeft" activeCell="A2" sqref="A2"/>
    </sheetView>
  </sheetViews>
  <sheetFormatPr defaultRowHeight="14.5"/>
  <cols>
    <col min="1" max="1" width="20.26953125" customWidth="1"/>
    <col min="2" max="2" width="25.1796875" customWidth="1"/>
    <col min="3" max="3" width="20.81640625" customWidth="1"/>
    <col min="4" max="4" width="24.81640625" customWidth="1"/>
    <col min="5" max="5" width="21.453125" style="61" customWidth="1"/>
    <col min="6" max="7" width="24.1796875" customWidth="1"/>
    <col min="8" max="8" width="26.1796875" customWidth="1"/>
    <col min="9" max="9" width="69.453125" customWidth="1"/>
    <col min="10" max="10" width="34.7265625" customWidth="1"/>
    <col min="11" max="11" width="70.90625" customWidth="1"/>
    <col min="12" max="12" width="29.81640625" customWidth="1"/>
    <col min="13" max="13" width="73.1796875" customWidth="1"/>
  </cols>
  <sheetData>
    <row r="1" spans="1:13" ht="16" thickBot="1">
      <c r="A1" s="1" t="s">
        <v>2296</v>
      </c>
      <c r="B1" s="2" t="s">
        <v>1155</v>
      </c>
      <c r="C1" s="2" t="s">
        <v>7</v>
      </c>
      <c r="D1" s="2" t="s">
        <v>8</v>
      </c>
      <c r="E1" s="16" t="s">
        <v>2317</v>
      </c>
      <c r="F1" s="2" t="s">
        <v>124</v>
      </c>
      <c r="G1" s="2" t="s">
        <v>1106</v>
      </c>
      <c r="H1" s="2" t="s">
        <v>2464</v>
      </c>
      <c r="I1" s="2" t="s">
        <v>535</v>
      </c>
      <c r="J1" s="2" t="s">
        <v>2474</v>
      </c>
      <c r="K1" s="2" t="s">
        <v>2475</v>
      </c>
      <c r="L1" s="2" t="s">
        <v>2465</v>
      </c>
      <c r="M1" s="3" t="s">
        <v>543</v>
      </c>
    </row>
    <row r="2" spans="1:13" ht="28" customHeight="1">
      <c r="A2" s="7" t="s">
        <v>15</v>
      </c>
      <c r="B2" s="7" t="s">
        <v>40</v>
      </c>
      <c r="C2" s="7" t="s">
        <v>24</v>
      </c>
      <c r="D2" s="7" t="s">
        <v>25</v>
      </c>
      <c r="E2" s="7" t="s">
        <v>45</v>
      </c>
      <c r="F2" s="7" t="s">
        <v>29</v>
      </c>
      <c r="G2" s="7"/>
      <c r="H2" s="7" t="s">
        <v>2308</v>
      </c>
      <c r="I2" s="6" t="s">
        <v>2308</v>
      </c>
      <c r="J2" s="7" t="s">
        <v>2308</v>
      </c>
      <c r="K2" s="7" t="s">
        <v>2308</v>
      </c>
      <c r="L2" s="7" t="s">
        <v>2308</v>
      </c>
      <c r="M2" s="7" t="s">
        <v>2308</v>
      </c>
    </row>
    <row r="3" spans="1:13" ht="28" customHeight="1">
      <c r="A3" s="5" t="s">
        <v>15</v>
      </c>
      <c r="B3" s="5" t="s">
        <v>41</v>
      </c>
      <c r="C3" s="5" t="s">
        <v>24</v>
      </c>
      <c r="D3" s="5" t="s">
        <v>26</v>
      </c>
      <c r="E3" s="5" t="s">
        <v>45</v>
      </c>
      <c r="F3" s="5" t="s">
        <v>29</v>
      </c>
      <c r="G3" s="5"/>
      <c r="H3" s="5" t="s">
        <v>2308</v>
      </c>
      <c r="I3" s="4" t="s">
        <v>2308</v>
      </c>
      <c r="J3" s="5" t="s">
        <v>2308</v>
      </c>
      <c r="K3" s="5" t="s">
        <v>2308</v>
      </c>
      <c r="L3" s="5" t="s">
        <v>2308</v>
      </c>
      <c r="M3" s="5" t="s">
        <v>2308</v>
      </c>
    </row>
    <row r="4" spans="1:13" ht="28" customHeight="1">
      <c r="A4" s="5" t="s">
        <v>15</v>
      </c>
      <c r="B4" s="5" t="s">
        <v>42</v>
      </c>
      <c r="C4" s="5" t="s">
        <v>24</v>
      </c>
      <c r="D4" s="5" t="s">
        <v>27</v>
      </c>
      <c r="E4" s="5" t="s">
        <v>404</v>
      </c>
      <c r="F4" s="5" t="s">
        <v>28</v>
      </c>
      <c r="G4" s="5"/>
      <c r="H4" s="5" t="s">
        <v>2308</v>
      </c>
      <c r="I4" s="4" t="s">
        <v>2308</v>
      </c>
      <c r="J4" s="5" t="s">
        <v>2308</v>
      </c>
      <c r="K4" s="5" t="s">
        <v>2308</v>
      </c>
      <c r="L4" s="5" t="s">
        <v>2308</v>
      </c>
      <c r="M4" s="5" t="s">
        <v>2308</v>
      </c>
    </row>
    <row r="5" spans="1:13" ht="28" customHeight="1">
      <c r="A5" s="5" t="s">
        <v>15</v>
      </c>
      <c r="B5" s="5" t="s">
        <v>43</v>
      </c>
      <c r="C5" s="5" t="s">
        <v>31</v>
      </c>
      <c r="D5" s="5" t="s">
        <v>30</v>
      </c>
      <c r="E5" s="5" t="s">
        <v>45</v>
      </c>
      <c r="F5" s="5" t="s">
        <v>32</v>
      </c>
      <c r="G5" s="5"/>
      <c r="H5" s="5" t="s">
        <v>2308</v>
      </c>
      <c r="I5" s="4" t="s">
        <v>2308</v>
      </c>
      <c r="J5" s="5" t="s">
        <v>2308</v>
      </c>
      <c r="K5" s="5" t="s">
        <v>2308</v>
      </c>
      <c r="L5" s="5" t="s">
        <v>2308</v>
      </c>
      <c r="M5" s="5" t="s">
        <v>2308</v>
      </c>
    </row>
    <row r="6" spans="1:13" ht="28" customHeight="1">
      <c r="A6" s="5" t="s">
        <v>15</v>
      </c>
      <c r="B6" s="5" t="s">
        <v>44</v>
      </c>
      <c r="C6" s="5" t="s">
        <v>24</v>
      </c>
      <c r="D6" s="5" t="s">
        <v>33</v>
      </c>
      <c r="E6" s="10"/>
      <c r="F6" s="5" t="s">
        <v>32</v>
      </c>
      <c r="G6" s="5"/>
      <c r="H6" s="5" t="s">
        <v>2308</v>
      </c>
      <c r="I6" s="4" t="s">
        <v>2308</v>
      </c>
      <c r="J6" s="5" t="s">
        <v>2308</v>
      </c>
      <c r="K6" s="5" t="s">
        <v>2308</v>
      </c>
      <c r="L6" s="5" t="s">
        <v>2308</v>
      </c>
      <c r="M6" s="5" t="s">
        <v>2308</v>
      </c>
    </row>
    <row r="7" spans="1:13" ht="28" customHeight="1">
      <c r="A7" s="5" t="s">
        <v>15</v>
      </c>
      <c r="B7" s="5" t="s">
        <v>60</v>
      </c>
      <c r="C7" s="5" t="s">
        <v>24</v>
      </c>
      <c r="D7" s="5" t="s">
        <v>61</v>
      </c>
      <c r="E7" s="25" t="s">
        <v>116</v>
      </c>
      <c r="F7" s="5" t="s">
        <v>62</v>
      </c>
      <c r="G7" s="5"/>
      <c r="H7" s="5" t="s">
        <v>2308</v>
      </c>
      <c r="I7" s="4" t="s">
        <v>2308</v>
      </c>
      <c r="J7" s="5" t="s">
        <v>2308</v>
      </c>
      <c r="K7" s="5" t="s">
        <v>2308</v>
      </c>
      <c r="L7" s="5" t="s">
        <v>2308</v>
      </c>
      <c r="M7" s="5" t="s">
        <v>2308</v>
      </c>
    </row>
    <row r="8" spans="1:13" ht="28" customHeight="1">
      <c r="A8" s="20" t="s">
        <v>16</v>
      </c>
      <c r="B8" s="20" t="s">
        <v>46</v>
      </c>
      <c r="C8" s="20" t="s">
        <v>24</v>
      </c>
      <c r="D8" s="20" t="s">
        <v>25</v>
      </c>
      <c r="E8" s="5" t="s">
        <v>45</v>
      </c>
      <c r="F8" s="20" t="s">
        <v>29</v>
      </c>
      <c r="G8" s="20"/>
      <c r="H8" s="20" t="s">
        <v>2308</v>
      </c>
      <c r="I8" s="4" t="s">
        <v>2308</v>
      </c>
      <c r="J8" s="20" t="s">
        <v>2308</v>
      </c>
      <c r="K8" s="20" t="s">
        <v>2308</v>
      </c>
      <c r="L8" s="20" t="s">
        <v>2308</v>
      </c>
      <c r="M8" s="20" t="s">
        <v>2308</v>
      </c>
    </row>
    <row r="9" spans="1:13" ht="28" customHeight="1">
      <c r="A9" s="20" t="s">
        <v>17</v>
      </c>
      <c r="B9" s="20" t="s">
        <v>47</v>
      </c>
      <c r="C9" s="20" t="s">
        <v>24</v>
      </c>
      <c r="D9" s="20" t="s">
        <v>27</v>
      </c>
      <c r="E9" s="5" t="s">
        <v>404</v>
      </c>
      <c r="F9" s="20" t="s">
        <v>28</v>
      </c>
      <c r="G9" s="20"/>
      <c r="H9" s="20" t="s">
        <v>2308</v>
      </c>
      <c r="I9" s="4" t="s">
        <v>2308</v>
      </c>
      <c r="J9" s="20" t="s">
        <v>2308</v>
      </c>
      <c r="K9" s="20" t="s">
        <v>2308</v>
      </c>
      <c r="L9" s="20" t="s">
        <v>2308</v>
      </c>
      <c r="M9" s="20" t="s">
        <v>2308</v>
      </c>
    </row>
    <row r="10" spans="1:13" ht="28" customHeight="1">
      <c r="A10" s="20" t="s">
        <v>18</v>
      </c>
      <c r="B10" s="20" t="s">
        <v>51</v>
      </c>
      <c r="C10" s="20" t="s">
        <v>24</v>
      </c>
      <c r="D10" s="20" t="s">
        <v>25</v>
      </c>
      <c r="E10" s="5" t="s">
        <v>45</v>
      </c>
      <c r="F10" s="20" t="s">
        <v>29</v>
      </c>
      <c r="G10" s="20"/>
      <c r="H10" s="20" t="s">
        <v>2308</v>
      </c>
      <c r="I10" s="4" t="s">
        <v>2308</v>
      </c>
      <c r="J10" s="20" t="s">
        <v>2308</v>
      </c>
      <c r="K10" s="20" t="s">
        <v>2308</v>
      </c>
      <c r="L10" s="20" t="s">
        <v>2308</v>
      </c>
      <c r="M10" s="20" t="s">
        <v>2308</v>
      </c>
    </row>
    <row r="11" spans="1:13" ht="40.5" customHeight="1">
      <c r="A11" s="5" t="s">
        <v>19</v>
      </c>
      <c r="B11" s="5" t="s">
        <v>53</v>
      </c>
      <c r="C11" s="5" t="s">
        <v>24</v>
      </c>
      <c r="D11" s="5" t="s">
        <v>25</v>
      </c>
      <c r="E11" s="5" t="s">
        <v>45</v>
      </c>
      <c r="F11" s="5" t="s">
        <v>29</v>
      </c>
      <c r="G11" s="5"/>
      <c r="H11" s="5" t="s">
        <v>2308</v>
      </c>
      <c r="I11" s="4" t="s">
        <v>2308</v>
      </c>
      <c r="J11" s="5" t="s">
        <v>2308</v>
      </c>
      <c r="K11" s="5" t="s">
        <v>2308</v>
      </c>
      <c r="L11" s="5" t="s">
        <v>2308</v>
      </c>
      <c r="M11" s="5" t="s">
        <v>2308</v>
      </c>
    </row>
    <row r="12" spans="1:13" ht="40.5" customHeight="1">
      <c r="A12" s="5" t="s">
        <v>19</v>
      </c>
      <c r="B12" s="5" t="s">
        <v>54</v>
      </c>
      <c r="C12" s="5" t="s">
        <v>24</v>
      </c>
      <c r="D12" s="5" t="s">
        <v>143</v>
      </c>
      <c r="E12" s="5" t="s">
        <v>143</v>
      </c>
      <c r="F12" s="5" t="s">
        <v>55</v>
      </c>
      <c r="G12" s="5"/>
      <c r="H12" s="5" t="s">
        <v>2308</v>
      </c>
      <c r="I12" s="4" t="s">
        <v>2308</v>
      </c>
      <c r="J12" s="5" t="s">
        <v>2308</v>
      </c>
      <c r="K12" s="5" t="s">
        <v>2308</v>
      </c>
      <c r="L12" s="5" t="s">
        <v>2308</v>
      </c>
      <c r="M12" s="5" t="s">
        <v>2308</v>
      </c>
    </row>
    <row r="13" spans="1:13" ht="46" customHeight="1">
      <c r="A13" s="27" t="s">
        <v>71</v>
      </c>
      <c r="B13" s="27" t="s">
        <v>73</v>
      </c>
      <c r="C13" s="27" t="s">
        <v>24</v>
      </c>
      <c r="D13" s="27" t="s">
        <v>27</v>
      </c>
      <c r="E13" s="27" t="s">
        <v>404</v>
      </c>
      <c r="F13" s="27" t="s">
        <v>74</v>
      </c>
      <c r="G13" s="27"/>
      <c r="H13" s="112">
        <v>2</v>
      </c>
      <c r="I13" s="10" t="s">
        <v>125</v>
      </c>
      <c r="J13" s="27" t="s">
        <v>2308</v>
      </c>
      <c r="K13" s="27" t="s">
        <v>2308</v>
      </c>
      <c r="L13" s="27" t="s">
        <v>2308</v>
      </c>
      <c r="M13" s="27" t="s">
        <v>2308</v>
      </c>
    </row>
    <row r="14" spans="1:13" ht="40.5" customHeight="1">
      <c r="A14" s="20" t="s">
        <v>112</v>
      </c>
      <c r="B14" s="20" t="s">
        <v>115</v>
      </c>
      <c r="C14" s="20" t="s">
        <v>24</v>
      </c>
      <c r="D14" s="20" t="s">
        <v>83</v>
      </c>
      <c r="E14" s="20" t="s">
        <v>84</v>
      </c>
      <c r="F14" s="20" t="s">
        <v>28</v>
      </c>
      <c r="G14" s="20"/>
      <c r="H14" s="20" t="s">
        <v>2308</v>
      </c>
      <c r="I14" s="4" t="s">
        <v>2308</v>
      </c>
      <c r="J14" s="20" t="s">
        <v>2308</v>
      </c>
      <c r="K14" s="20" t="s">
        <v>2308</v>
      </c>
      <c r="L14" s="20" t="s">
        <v>2308</v>
      </c>
      <c r="M14" s="20" t="s">
        <v>2308</v>
      </c>
    </row>
    <row r="15" spans="1:13" ht="247" customHeight="1">
      <c r="A15" s="24" t="s">
        <v>129</v>
      </c>
      <c r="B15" s="24" t="s">
        <v>130</v>
      </c>
      <c r="C15" s="24" t="s">
        <v>24</v>
      </c>
      <c r="D15" s="24" t="s">
        <v>27</v>
      </c>
      <c r="E15" s="27" t="s">
        <v>404</v>
      </c>
      <c r="F15" s="24" t="s">
        <v>74</v>
      </c>
      <c r="G15" s="24"/>
      <c r="H15" s="24">
        <v>1</v>
      </c>
      <c r="I15" s="5" t="s">
        <v>2318</v>
      </c>
      <c r="J15" s="24" t="s">
        <v>2308</v>
      </c>
      <c r="K15" s="24" t="s">
        <v>2308</v>
      </c>
      <c r="L15" s="24" t="s">
        <v>2308</v>
      </c>
      <c r="M15" s="24" t="s">
        <v>2308</v>
      </c>
    </row>
    <row r="16" spans="1:13" ht="295.5" customHeight="1">
      <c r="A16" s="24" t="s">
        <v>129</v>
      </c>
      <c r="B16" s="24" t="s">
        <v>131</v>
      </c>
      <c r="C16" s="24" t="s">
        <v>24</v>
      </c>
      <c r="D16" s="24" t="s">
        <v>27</v>
      </c>
      <c r="E16" s="27" t="s">
        <v>404</v>
      </c>
      <c r="F16" s="24" t="s">
        <v>132</v>
      </c>
      <c r="G16" s="24"/>
      <c r="H16" s="24">
        <v>1</v>
      </c>
      <c r="I16" s="5" t="s">
        <v>2319</v>
      </c>
      <c r="J16" s="24" t="s">
        <v>2308</v>
      </c>
      <c r="K16" s="24" t="s">
        <v>2308</v>
      </c>
      <c r="L16" s="24" t="s">
        <v>2308</v>
      </c>
      <c r="M16" s="24" t="s">
        <v>2308</v>
      </c>
    </row>
    <row r="17" spans="1:13" ht="52.5" customHeight="1">
      <c r="A17" s="24" t="s">
        <v>151</v>
      </c>
      <c r="B17" s="24" t="s">
        <v>2332</v>
      </c>
      <c r="C17" s="24" t="s">
        <v>24</v>
      </c>
      <c r="D17" s="24" t="s">
        <v>27</v>
      </c>
      <c r="E17" s="27" t="s">
        <v>404</v>
      </c>
      <c r="F17" s="24" t="s">
        <v>74</v>
      </c>
      <c r="G17" s="24"/>
      <c r="H17" s="24">
        <v>0</v>
      </c>
      <c r="I17" s="5" t="s">
        <v>2336</v>
      </c>
      <c r="J17" s="24"/>
      <c r="K17" s="24"/>
      <c r="L17" s="24"/>
      <c r="M17" s="24"/>
    </row>
    <row r="18" spans="1:13" ht="52.5" customHeight="1">
      <c r="A18" s="24" t="s">
        <v>151</v>
      </c>
      <c r="B18" s="24" t="s">
        <v>2333</v>
      </c>
      <c r="C18" s="24" t="s">
        <v>24</v>
      </c>
      <c r="D18" s="24" t="s">
        <v>1267</v>
      </c>
      <c r="E18" s="27" t="s">
        <v>116</v>
      </c>
      <c r="F18" s="24" t="s">
        <v>74</v>
      </c>
      <c r="G18" s="24"/>
      <c r="H18" s="24">
        <v>0</v>
      </c>
      <c r="I18" s="5" t="s">
        <v>2336</v>
      </c>
      <c r="J18" s="24"/>
      <c r="K18" s="24"/>
      <c r="L18" s="24"/>
      <c r="M18" s="24"/>
    </row>
    <row r="19" spans="1:13" ht="52.5" customHeight="1">
      <c r="A19" s="24" t="s">
        <v>517</v>
      </c>
      <c r="B19" s="24" t="s">
        <v>2341</v>
      </c>
      <c r="C19" s="24" t="s">
        <v>24</v>
      </c>
      <c r="D19" s="24" t="s">
        <v>1267</v>
      </c>
      <c r="E19" s="27" t="s">
        <v>116</v>
      </c>
      <c r="F19" s="24" t="s">
        <v>74</v>
      </c>
      <c r="G19" s="24"/>
      <c r="H19" s="24">
        <v>0</v>
      </c>
      <c r="I19" s="5" t="s">
        <v>2361</v>
      </c>
      <c r="J19" s="24"/>
      <c r="K19" s="24"/>
      <c r="L19" s="24"/>
      <c r="M19" s="24"/>
    </row>
    <row r="20" spans="1:13" ht="52.5" customHeight="1">
      <c r="A20" s="24" t="s">
        <v>517</v>
      </c>
      <c r="B20" s="24" t="s">
        <v>2342</v>
      </c>
      <c r="C20" s="24" t="s">
        <v>24</v>
      </c>
      <c r="D20" s="24" t="s">
        <v>1267</v>
      </c>
      <c r="E20" s="27" t="s">
        <v>116</v>
      </c>
      <c r="F20" s="24" t="s">
        <v>166</v>
      </c>
      <c r="G20" s="24"/>
      <c r="H20" s="24">
        <v>0</v>
      </c>
      <c r="I20" s="5" t="s">
        <v>2361</v>
      </c>
      <c r="J20" s="24"/>
      <c r="K20" s="24"/>
      <c r="L20" s="24"/>
      <c r="M20" s="24"/>
    </row>
    <row r="21" spans="1:13" ht="52.5" customHeight="1">
      <c r="A21" s="24" t="s">
        <v>2347</v>
      </c>
      <c r="B21" s="24" t="s">
        <v>2349</v>
      </c>
      <c r="C21" s="24" t="s">
        <v>24</v>
      </c>
      <c r="D21" s="24" t="s">
        <v>1267</v>
      </c>
      <c r="E21" s="27" t="s">
        <v>116</v>
      </c>
      <c r="F21" s="24" t="s">
        <v>74</v>
      </c>
      <c r="G21" s="24"/>
      <c r="H21" s="24">
        <v>0</v>
      </c>
      <c r="I21" s="5" t="s">
        <v>2361</v>
      </c>
      <c r="J21" s="24"/>
      <c r="K21" s="24"/>
      <c r="L21" s="24"/>
      <c r="M21" s="24"/>
    </row>
    <row r="22" spans="1:13" ht="52.5" customHeight="1">
      <c r="A22" s="24" t="s">
        <v>2347</v>
      </c>
      <c r="B22" s="24" t="s">
        <v>2350</v>
      </c>
      <c r="C22" s="24" t="s">
        <v>24</v>
      </c>
      <c r="D22" s="24" t="s">
        <v>1267</v>
      </c>
      <c r="E22" s="27" t="s">
        <v>116</v>
      </c>
      <c r="F22" s="24" t="s">
        <v>166</v>
      </c>
      <c r="G22" s="24"/>
      <c r="H22" s="24">
        <v>0</v>
      </c>
      <c r="I22" s="5" t="s">
        <v>2361</v>
      </c>
      <c r="J22" s="24"/>
      <c r="K22" s="24"/>
      <c r="L22" s="24"/>
      <c r="M22" s="24"/>
    </row>
    <row r="23" spans="1:13" ht="52.5" customHeight="1">
      <c r="A23" s="24" t="s">
        <v>2348</v>
      </c>
      <c r="B23" s="24" t="s">
        <v>2352</v>
      </c>
      <c r="C23" s="24" t="s">
        <v>24</v>
      </c>
      <c r="D23" s="24" t="s">
        <v>1267</v>
      </c>
      <c r="E23" s="27" t="s">
        <v>116</v>
      </c>
      <c r="F23" s="24" t="s">
        <v>74</v>
      </c>
      <c r="G23" s="24"/>
      <c r="H23" s="24">
        <v>0</v>
      </c>
      <c r="I23" s="5" t="s">
        <v>2361</v>
      </c>
      <c r="J23" s="24"/>
      <c r="K23" s="24"/>
      <c r="L23" s="24"/>
      <c r="M23" s="24"/>
    </row>
    <row r="24" spans="1:13" ht="52.5" customHeight="1">
      <c r="A24" s="24" t="s">
        <v>2348</v>
      </c>
      <c r="B24" s="24" t="s">
        <v>2353</v>
      </c>
      <c r="C24" s="24" t="s">
        <v>24</v>
      </c>
      <c r="D24" s="24" t="s">
        <v>1267</v>
      </c>
      <c r="E24" s="27" t="s">
        <v>116</v>
      </c>
      <c r="F24" s="24" t="s">
        <v>166</v>
      </c>
      <c r="G24" s="24"/>
      <c r="H24" s="24">
        <v>0</v>
      </c>
      <c r="I24" s="5" t="s">
        <v>2361</v>
      </c>
      <c r="J24" s="24"/>
      <c r="K24" s="24"/>
      <c r="L24" s="24"/>
      <c r="M24" s="24"/>
    </row>
    <row r="25" spans="1:13" ht="57.5" customHeight="1">
      <c r="A25" s="20" t="s">
        <v>1118</v>
      </c>
      <c r="B25" s="20" t="s">
        <v>1121</v>
      </c>
      <c r="C25" s="24" t="s">
        <v>1125</v>
      </c>
      <c r="D25" s="20" t="s">
        <v>1125</v>
      </c>
      <c r="E25" s="20" t="s">
        <v>143</v>
      </c>
      <c r="F25" s="20" t="s">
        <v>74</v>
      </c>
      <c r="G25" s="4"/>
      <c r="H25" s="4" t="s">
        <v>2308</v>
      </c>
      <c r="I25" s="4" t="s">
        <v>2308</v>
      </c>
      <c r="J25" s="4" t="s">
        <v>2308</v>
      </c>
      <c r="K25" s="4" t="s">
        <v>2308</v>
      </c>
      <c r="L25" s="4">
        <v>3</v>
      </c>
      <c r="M25" s="5" t="s">
        <v>1126</v>
      </c>
    </row>
    <row r="26" spans="1:13" ht="57.5" customHeight="1">
      <c r="A26" s="20" t="s">
        <v>1137</v>
      </c>
      <c r="B26" s="20" t="s">
        <v>2363</v>
      </c>
      <c r="C26" s="24" t="s">
        <v>24</v>
      </c>
      <c r="D26" s="20" t="s">
        <v>1125</v>
      </c>
      <c r="E26" s="20" t="s">
        <v>1125</v>
      </c>
      <c r="F26" s="20" t="s">
        <v>1125</v>
      </c>
      <c r="G26" s="4"/>
      <c r="H26" s="24">
        <v>0</v>
      </c>
      <c r="I26" s="5" t="s">
        <v>2382</v>
      </c>
      <c r="J26" s="4" t="s">
        <v>2308</v>
      </c>
      <c r="K26" s="4" t="s">
        <v>2308</v>
      </c>
      <c r="L26" s="4" t="s">
        <v>2308</v>
      </c>
      <c r="M26" s="4" t="s">
        <v>2308</v>
      </c>
    </row>
    <row r="27" spans="1:13" ht="57.5" customHeight="1">
      <c r="A27" s="20" t="s">
        <v>1138</v>
      </c>
      <c r="B27" s="20" t="s">
        <v>2365</v>
      </c>
      <c r="C27" s="24" t="s">
        <v>24</v>
      </c>
      <c r="D27" s="20" t="s">
        <v>1125</v>
      </c>
      <c r="E27" s="20" t="s">
        <v>1125</v>
      </c>
      <c r="F27" s="20" t="s">
        <v>1125</v>
      </c>
      <c r="G27" s="4"/>
      <c r="H27" s="24">
        <v>0</v>
      </c>
      <c r="I27" s="5" t="s">
        <v>2382</v>
      </c>
      <c r="J27" s="4" t="s">
        <v>2308</v>
      </c>
      <c r="K27" s="4" t="s">
        <v>2308</v>
      </c>
      <c r="L27" s="4" t="s">
        <v>2308</v>
      </c>
      <c r="M27" s="4" t="s">
        <v>2308</v>
      </c>
    </row>
    <row r="28" spans="1:13" ht="41" customHeight="1">
      <c r="A28" s="20" t="s">
        <v>1145</v>
      </c>
      <c r="B28" s="20" t="s">
        <v>1147</v>
      </c>
      <c r="C28" s="24" t="s">
        <v>24</v>
      </c>
      <c r="D28" s="24" t="s">
        <v>27</v>
      </c>
      <c r="E28" s="20" t="s">
        <v>136</v>
      </c>
      <c r="F28" s="24" t="s">
        <v>132</v>
      </c>
      <c r="G28" s="4"/>
      <c r="H28" s="4">
        <v>2</v>
      </c>
      <c r="I28" s="5" t="s">
        <v>1154</v>
      </c>
      <c r="J28" s="4" t="s">
        <v>2308</v>
      </c>
      <c r="K28" s="4" t="s">
        <v>2308</v>
      </c>
      <c r="L28" s="4" t="s">
        <v>2308</v>
      </c>
      <c r="M28" s="4" t="s">
        <v>2308</v>
      </c>
    </row>
    <row r="29" spans="1:13" ht="43.5" customHeight="1">
      <c r="A29" s="20" t="s">
        <v>1145</v>
      </c>
      <c r="B29" s="20" t="s">
        <v>1149</v>
      </c>
      <c r="C29" s="24" t="s">
        <v>24</v>
      </c>
      <c r="D29" s="24" t="s">
        <v>83</v>
      </c>
      <c r="E29" s="20" t="s">
        <v>136</v>
      </c>
      <c r="F29" s="24" t="s">
        <v>28</v>
      </c>
      <c r="G29" s="4"/>
      <c r="H29" s="4">
        <v>2</v>
      </c>
      <c r="I29" s="5" t="s">
        <v>1154</v>
      </c>
      <c r="J29" s="4" t="s">
        <v>2308</v>
      </c>
      <c r="K29" s="4" t="s">
        <v>2308</v>
      </c>
      <c r="L29" s="4" t="s">
        <v>2308</v>
      </c>
      <c r="M29" s="4" t="s">
        <v>2308</v>
      </c>
    </row>
    <row r="30" spans="1:13" ht="37" customHeight="1">
      <c r="A30" s="20" t="s">
        <v>1165</v>
      </c>
      <c r="B30" s="20" t="s">
        <v>1169</v>
      </c>
      <c r="C30" s="4" t="s">
        <v>1125</v>
      </c>
      <c r="D30" s="4"/>
      <c r="E30" s="5" t="s">
        <v>2682</v>
      </c>
      <c r="F30" s="20" t="s">
        <v>74</v>
      </c>
      <c r="G30" s="4"/>
      <c r="H30" s="4" t="s">
        <v>2308</v>
      </c>
      <c r="I30" s="4" t="s">
        <v>2308</v>
      </c>
      <c r="J30" s="4">
        <v>0</v>
      </c>
      <c r="K30" s="4" t="s">
        <v>1179</v>
      </c>
      <c r="L30" s="4" t="s">
        <v>2308</v>
      </c>
      <c r="M30" s="4" t="s">
        <v>2308</v>
      </c>
    </row>
    <row r="31" spans="1:13" ht="42" customHeight="1">
      <c r="A31" s="20" t="s">
        <v>1165</v>
      </c>
      <c r="B31" s="20" t="s">
        <v>1171</v>
      </c>
      <c r="C31" s="4" t="s">
        <v>1125</v>
      </c>
      <c r="D31" s="4"/>
      <c r="E31" s="5" t="s">
        <v>877</v>
      </c>
      <c r="F31" s="20" t="s">
        <v>74</v>
      </c>
      <c r="G31" s="4"/>
      <c r="H31" s="4" t="s">
        <v>2308</v>
      </c>
      <c r="I31" s="4" t="s">
        <v>2308</v>
      </c>
      <c r="J31" s="4">
        <v>0</v>
      </c>
      <c r="K31" s="4" t="s">
        <v>1179</v>
      </c>
      <c r="L31" s="4" t="s">
        <v>2308</v>
      </c>
      <c r="M31" s="4" t="s">
        <v>2308</v>
      </c>
    </row>
    <row r="32" spans="1:13" ht="38" customHeight="1">
      <c r="A32" s="20" t="s">
        <v>1165</v>
      </c>
      <c r="B32" s="20" t="s">
        <v>1181</v>
      </c>
      <c r="C32" s="4" t="s">
        <v>1125</v>
      </c>
      <c r="D32" s="4"/>
      <c r="E32" s="5" t="s">
        <v>116</v>
      </c>
      <c r="F32" s="20" t="s">
        <v>74</v>
      </c>
      <c r="G32" s="4"/>
      <c r="H32" s="4" t="s">
        <v>2308</v>
      </c>
      <c r="I32" s="4" t="s">
        <v>2308</v>
      </c>
      <c r="J32" s="4">
        <v>0</v>
      </c>
      <c r="K32" s="4" t="s">
        <v>1179</v>
      </c>
      <c r="L32" s="4" t="s">
        <v>2308</v>
      </c>
      <c r="M32" s="4" t="s">
        <v>2308</v>
      </c>
    </row>
    <row r="33" spans="1:13" ht="64" customHeight="1">
      <c r="A33" s="20" t="s">
        <v>1199</v>
      </c>
      <c r="B33" s="20" t="s">
        <v>1203</v>
      </c>
      <c r="C33" s="12" t="s">
        <v>1125</v>
      </c>
      <c r="D33" s="4" t="s">
        <v>149</v>
      </c>
      <c r="E33" s="20" t="s">
        <v>45</v>
      </c>
      <c r="F33" s="20" t="s">
        <v>74</v>
      </c>
      <c r="G33" s="4"/>
      <c r="H33" s="4">
        <v>0</v>
      </c>
      <c r="I33" s="5" t="s">
        <v>1207</v>
      </c>
      <c r="J33" s="4" t="s">
        <v>2308</v>
      </c>
      <c r="K33" s="4" t="s">
        <v>2308</v>
      </c>
      <c r="L33" s="4">
        <v>1</v>
      </c>
      <c r="M33" s="5" t="s">
        <v>2477</v>
      </c>
    </row>
    <row r="34" spans="1:13" ht="86.5" customHeight="1">
      <c r="A34" s="20" t="s">
        <v>1199</v>
      </c>
      <c r="B34" s="20" t="s">
        <v>1204</v>
      </c>
      <c r="C34" s="12" t="s">
        <v>1125</v>
      </c>
      <c r="D34" s="4" t="s">
        <v>1125</v>
      </c>
      <c r="E34" s="20" t="s">
        <v>3243</v>
      </c>
      <c r="F34" s="20" t="s">
        <v>74</v>
      </c>
      <c r="G34" s="4">
        <v>1998</v>
      </c>
      <c r="H34" s="4" t="s">
        <v>2308</v>
      </c>
      <c r="I34" s="5" t="s">
        <v>2308</v>
      </c>
      <c r="J34" s="4" t="s">
        <v>2308</v>
      </c>
      <c r="K34" s="4" t="s">
        <v>2308</v>
      </c>
      <c r="L34" s="4">
        <v>2</v>
      </c>
      <c r="M34" s="5" t="s">
        <v>2476</v>
      </c>
    </row>
    <row r="35" spans="1:13" ht="85.5" customHeight="1">
      <c r="A35" s="4" t="s">
        <v>1199</v>
      </c>
      <c r="B35" s="4" t="s">
        <v>1205</v>
      </c>
      <c r="C35" s="4" t="s">
        <v>1125</v>
      </c>
      <c r="D35" s="4" t="s">
        <v>1125</v>
      </c>
      <c r="E35" s="20" t="s">
        <v>3243</v>
      </c>
      <c r="F35" s="20" t="s">
        <v>74</v>
      </c>
      <c r="G35" s="4">
        <v>1999</v>
      </c>
      <c r="H35" s="4" t="s">
        <v>2308</v>
      </c>
      <c r="I35" s="4" t="s">
        <v>2308</v>
      </c>
      <c r="J35" s="4" t="s">
        <v>2308</v>
      </c>
      <c r="K35" s="4" t="s">
        <v>2308</v>
      </c>
      <c r="L35" s="4">
        <v>3</v>
      </c>
      <c r="M35" s="5" t="s">
        <v>1211</v>
      </c>
    </row>
    <row r="36" spans="1:13" ht="119.5" customHeight="1">
      <c r="A36" s="20" t="s">
        <v>1254</v>
      </c>
      <c r="B36" s="20" t="s">
        <v>1255</v>
      </c>
      <c r="C36" s="20" t="s">
        <v>24</v>
      </c>
      <c r="D36" s="20" t="s">
        <v>1264</v>
      </c>
      <c r="E36" s="20" t="s">
        <v>5065</v>
      </c>
      <c r="F36" s="4" t="s">
        <v>55</v>
      </c>
      <c r="G36" s="4"/>
      <c r="H36" s="4">
        <v>2</v>
      </c>
      <c r="I36" s="5" t="s">
        <v>2320</v>
      </c>
      <c r="J36" s="4" t="s">
        <v>2308</v>
      </c>
      <c r="K36" s="4" t="s">
        <v>2308</v>
      </c>
      <c r="L36" s="4" t="s">
        <v>2308</v>
      </c>
      <c r="M36" s="4" t="s">
        <v>2308</v>
      </c>
    </row>
    <row r="37" spans="1:13" ht="68" customHeight="1">
      <c r="A37" s="20" t="s">
        <v>1262</v>
      </c>
      <c r="B37" s="20" t="s">
        <v>1263</v>
      </c>
      <c r="C37" s="20" t="s">
        <v>24</v>
      </c>
      <c r="D37" s="20" t="s">
        <v>1264</v>
      </c>
      <c r="E37" s="20" t="s">
        <v>143</v>
      </c>
      <c r="F37" s="4" t="s">
        <v>55</v>
      </c>
      <c r="G37" s="4"/>
      <c r="H37" s="4">
        <v>3</v>
      </c>
      <c r="I37" s="5" t="s">
        <v>2600</v>
      </c>
      <c r="J37" s="4">
        <v>3</v>
      </c>
      <c r="K37" s="5" t="s">
        <v>1269</v>
      </c>
      <c r="L37" s="4" t="s">
        <v>2308</v>
      </c>
      <c r="M37" s="4" t="s">
        <v>2308</v>
      </c>
    </row>
    <row r="38" spans="1:13" ht="55" customHeight="1">
      <c r="A38" s="20" t="s">
        <v>2479</v>
      </c>
      <c r="B38" s="20" t="s">
        <v>2486</v>
      </c>
      <c r="C38" s="12" t="s">
        <v>24</v>
      </c>
      <c r="D38" s="12" t="s">
        <v>27</v>
      </c>
      <c r="E38" s="20" t="s">
        <v>136</v>
      </c>
      <c r="F38" s="20" t="s">
        <v>74</v>
      </c>
      <c r="G38" s="4"/>
      <c r="H38" s="4">
        <v>1</v>
      </c>
      <c r="I38" s="5" t="s">
        <v>2492</v>
      </c>
      <c r="J38" s="4" t="s">
        <v>2308</v>
      </c>
      <c r="K38" s="4" t="s">
        <v>2308</v>
      </c>
      <c r="L38" s="4" t="s">
        <v>2308</v>
      </c>
      <c r="M38" s="4" t="s">
        <v>2308</v>
      </c>
    </row>
    <row r="39" spans="1:13" ht="48.5" customHeight="1">
      <c r="A39" s="20" t="s">
        <v>2482</v>
      </c>
      <c r="B39" s="20" t="s">
        <v>2493</v>
      </c>
      <c r="C39" s="12" t="s">
        <v>24</v>
      </c>
      <c r="D39" s="12" t="s">
        <v>27</v>
      </c>
      <c r="E39" s="20" t="s">
        <v>136</v>
      </c>
      <c r="F39" s="20" t="s">
        <v>74</v>
      </c>
      <c r="G39" s="4"/>
      <c r="H39" s="4">
        <v>1</v>
      </c>
      <c r="I39" s="5" t="s">
        <v>2492</v>
      </c>
      <c r="J39" s="4" t="s">
        <v>2308</v>
      </c>
      <c r="K39" s="4" t="s">
        <v>2308</v>
      </c>
      <c r="L39" s="4" t="s">
        <v>2308</v>
      </c>
      <c r="M39" s="4" t="s">
        <v>2308</v>
      </c>
    </row>
    <row r="40" spans="1:13" ht="42.5" customHeight="1">
      <c r="A40" s="4" t="s">
        <v>2583</v>
      </c>
      <c r="B40" s="12" t="s">
        <v>2587</v>
      </c>
      <c r="C40" s="24" t="s">
        <v>24</v>
      </c>
      <c r="D40" s="12" t="s">
        <v>27</v>
      </c>
      <c r="E40" s="20" t="s">
        <v>136</v>
      </c>
      <c r="F40" s="12" t="s">
        <v>167</v>
      </c>
      <c r="G40" s="4">
        <v>2002</v>
      </c>
      <c r="H40" s="12">
        <v>1</v>
      </c>
      <c r="I40" s="20" t="s">
        <v>2598</v>
      </c>
      <c r="J40" s="4" t="s">
        <v>2308</v>
      </c>
      <c r="K40" s="4" t="s">
        <v>2308</v>
      </c>
      <c r="L40" s="4" t="s">
        <v>2308</v>
      </c>
      <c r="M40" s="4" t="s">
        <v>2308</v>
      </c>
    </row>
    <row r="41" spans="1:13" ht="45" customHeight="1">
      <c r="A41" s="4" t="s">
        <v>2583</v>
      </c>
      <c r="B41" s="12" t="s">
        <v>2588</v>
      </c>
      <c r="C41" s="24" t="s">
        <v>24</v>
      </c>
      <c r="D41" s="12" t="s">
        <v>27</v>
      </c>
      <c r="E41" s="20" t="s">
        <v>404</v>
      </c>
      <c r="F41" s="12" t="s">
        <v>28</v>
      </c>
      <c r="G41" s="4">
        <v>2002</v>
      </c>
      <c r="H41" s="12">
        <v>2</v>
      </c>
      <c r="I41" s="20" t="s">
        <v>2599</v>
      </c>
      <c r="J41" s="4" t="s">
        <v>2308</v>
      </c>
      <c r="K41" s="4" t="s">
        <v>2308</v>
      </c>
      <c r="L41" s="4" t="s">
        <v>2308</v>
      </c>
      <c r="M41" s="4" t="s">
        <v>2308</v>
      </c>
    </row>
    <row r="42" spans="1:13" ht="29">
      <c r="A42" s="4" t="s">
        <v>2590</v>
      </c>
      <c r="B42" s="12" t="s">
        <v>2591</v>
      </c>
      <c r="C42" s="24" t="s">
        <v>24</v>
      </c>
      <c r="D42" s="12" t="s">
        <v>27</v>
      </c>
      <c r="E42" s="20" t="s">
        <v>136</v>
      </c>
      <c r="F42" s="12" t="s">
        <v>167</v>
      </c>
      <c r="G42" s="4">
        <v>1997</v>
      </c>
      <c r="H42" s="12">
        <v>1</v>
      </c>
      <c r="I42" s="20" t="s">
        <v>2598</v>
      </c>
      <c r="J42" s="4" t="s">
        <v>2308</v>
      </c>
      <c r="K42" s="4" t="s">
        <v>2308</v>
      </c>
      <c r="L42" s="4" t="s">
        <v>2308</v>
      </c>
      <c r="M42" s="4" t="s">
        <v>2308</v>
      </c>
    </row>
    <row r="43" spans="1:13" ht="29">
      <c r="A43" s="4" t="s">
        <v>2590</v>
      </c>
      <c r="B43" s="12" t="s">
        <v>2592</v>
      </c>
      <c r="C43" s="24" t="s">
        <v>24</v>
      </c>
      <c r="D43" s="12" t="s">
        <v>27</v>
      </c>
      <c r="E43" s="20" t="s">
        <v>136</v>
      </c>
      <c r="F43" s="12" t="s">
        <v>167</v>
      </c>
      <c r="G43" s="4">
        <v>1992</v>
      </c>
      <c r="H43" s="12">
        <v>1</v>
      </c>
      <c r="I43" s="20" t="s">
        <v>2598</v>
      </c>
      <c r="J43" s="4" t="s">
        <v>2308</v>
      </c>
      <c r="K43" s="4" t="s">
        <v>2308</v>
      </c>
      <c r="L43" s="4" t="s">
        <v>2308</v>
      </c>
      <c r="M43" s="4" t="s">
        <v>2308</v>
      </c>
    </row>
    <row r="44" spans="1:13" ht="29">
      <c r="A44" s="4" t="s">
        <v>2590</v>
      </c>
      <c r="B44" s="12" t="s">
        <v>2593</v>
      </c>
      <c r="C44" s="24" t="s">
        <v>24</v>
      </c>
      <c r="D44" s="12" t="s">
        <v>27</v>
      </c>
      <c r="E44" s="20" t="s">
        <v>136</v>
      </c>
      <c r="F44" s="12" t="s">
        <v>167</v>
      </c>
      <c r="G44" s="4">
        <v>1987</v>
      </c>
      <c r="H44" s="12">
        <v>1</v>
      </c>
      <c r="I44" s="20" t="s">
        <v>2598</v>
      </c>
      <c r="J44" s="4" t="s">
        <v>2308</v>
      </c>
      <c r="K44" s="4" t="s">
        <v>2308</v>
      </c>
      <c r="L44" s="4" t="s">
        <v>2308</v>
      </c>
      <c r="M44" s="4" t="s">
        <v>2308</v>
      </c>
    </row>
    <row r="45" spans="1:13" ht="29">
      <c r="A45" s="4" t="s">
        <v>2590</v>
      </c>
      <c r="B45" s="12" t="s">
        <v>2594</v>
      </c>
      <c r="C45" s="24" t="s">
        <v>24</v>
      </c>
      <c r="D45" s="12" t="s">
        <v>27</v>
      </c>
      <c r="E45" s="20" t="s">
        <v>136</v>
      </c>
      <c r="F45" s="12" t="s">
        <v>167</v>
      </c>
      <c r="G45" s="4">
        <v>1982</v>
      </c>
      <c r="H45" s="12">
        <v>1</v>
      </c>
      <c r="I45" s="20" t="s">
        <v>2598</v>
      </c>
      <c r="J45" s="4" t="s">
        <v>2308</v>
      </c>
      <c r="K45" s="4" t="s">
        <v>2308</v>
      </c>
      <c r="L45" s="4" t="s">
        <v>2308</v>
      </c>
      <c r="M45" s="4" t="s">
        <v>2308</v>
      </c>
    </row>
    <row r="46" spans="1:13" ht="29">
      <c r="A46" s="4" t="s">
        <v>2590</v>
      </c>
      <c r="B46" s="12" t="s">
        <v>2595</v>
      </c>
      <c r="C46" s="24" t="s">
        <v>24</v>
      </c>
      <c r="D46" s="12" t="s">
        <v>27</v>
      </c>
      <c r="E46" s="20" t="s">
        <v>136</v>
      </c>
      <c r="F46" s="12" t="s">
        <v>167</v>
      </c>
      <c r="G46" s="4">
        <v>1977</v>
      </c>
      <c r="H46" s="12">
        <v>1</v>
      </c>
      <c r="I46" s="20" t="s">
        <v>2598</v>
      </c>
      <c r="J46" s="4" t="s">
        <v>2308</v>
      </c>
      <c r="K46" s="4" t="s">
        <v>2308</v>
      </c>
      <c r="L46" s="4" t="s">
        <v>2308</v>
      </c>
      <c r="M46" s="4" t="s">
        <v>2308</v>
      </c>
    </row>
    <row r="47" spans="1:13" ht="51" customHeight="1">
      <c r="A47" s="4" t="s">
        <v>2596</v>
      </c>
      <c r="B47" s="12" t="s">
        <v>2604</v>
      </c>
      <c r="C47" s="24" t="s">
        <v>24</v>
      </c>
      <c r="D47" s="12" t="s">
        <v>27</v>
      </c>
      <c r="E47" s="20" t="s">
        <v>404</v>
      </c>
      <c r="F47" s="12" t="s">
        <v>28</v>
      </c>
      <c r="G47" s="4"/>
      <c r="H47" s="12">
        <v>2</v>
      </c>
      <c r="I47" s="20" t="s">
        <v>2599</v>
      </c>
      <c r="J47" s="4" t="s">
        <v>2308</v>
      </c>
      <c r="K47" s="4" t="s">
        <v>2308</v>
      </c>
      <c r="L47" s="4" t="s">
        <v>2308</v>
      </c>
      <c r="M47" s="4" t="s">
        <v>2308</v>
      </c>
    </row>
    <row r="48" spans="1:13" ht="51" customHeight="1">
      <c r="A48" s="12" t="s">
        <v>2741</v>
      </c>
      <c r="B48" s="12" t="s">
        <v>2753</v>
      </c>
      <c r="C48" s="24" t="s">
        <v>24</v>
      </c>
      <c r="D48" s="12" t="s">
        <v>27</v>
      </c>
      <c r="E48" s="20" t="s">
        <v>136</v>
      </c>
      <c r="F48" s="12" t="s">
        <v>74</v>
      </c>
      <c r="G48" s="4"/>
      <c r="H48" s="12">
        <v>2</v>
      </c>
      <c r="I48" s="20" t="s">
        <v>2773</v>
      </c>
      <c r="J48" s="12" t="s">
        <v>2308</v>
      </c>
      <c r="K48" s="12" t="s">
        <v>2308</v>
      </c>
      <c r="L48" s="12" t="s">
        <v>2308</v>
      </c>
      <c r="M48" s="4"/>
    </row>
    <row r="49" spans="1:13" ht="51" customHeight="1">
      <c r="A49" s="12" t="s">
        <v>2741</v>
      </c>
      <c r="B49" s="12" t="s">
        <v>2760</v>
      </c>
      <c r="C49" s="24" t="s">
        <v>24</v>
      </c>
      <c r="D49" s="12" t="s">
        <v>27</v>
      </c>
      <c r="E49" s="20" t="s">
        <v>136</v>
      </c>
      <c r="F49" s="12" t="s">
        <v>166</v>
      </c>
      <c r="G49" s="4"/>
      <c r="H49" s="12">
        <v>2</v>
      </c>
      <c r="I49" s="20" t="s">
        <v>2773</v>
      </c>
      <c r="J49" s="12" t="s">
        <v>2308</v>
      </c>
      <c r="K49" s="12" t="s">
        <v>2308</v>
      </c>
      <c r="L49" s="12" t="s">
        <v>2308</v>
      </c>
      <c r="M49" s="4"/>
    </row>
    <row r="50" spans="1:13" ht="64" customHeight="1">
      <c r="A50" s="12" t="s">
        <v>2741</v>
      </c>
      <c r="B50" s="12" t="s">
        <v>2776</v>
      </c>
      <c r="C50" s="4" t="s">
        <v>1125</v>
      </c>
      <c r="D50" s="4" t="s">
        <v>1125</v>
      </c>
      <c r="E50" s="10" t="s">
        <v>1125</v>
      </c>
      <c r="F50" s="4" t="s">
        <v>1125</v>
      </c>
      <c r="G50" s="4"/>
      <c r="H50" s="12" t="s">
        <v>2308</v>
      </c>
      <c r="I50" s="12" t="s">
        <v>2308</v>
      </c>
      <c r="J50" s="12" t="s">
        <v>2308</v>
      </c>
      <c r="K50" s="12" t="s">
        <v>2308</v>
      </c>
      <c r="L50" s="4">
        <v>1</v>
      </c>
      <c r="M50" s="5" t="s">
        <v>2777</v>
      </c>
    </row>
    <row r="51" spans="1:13" ht="68.5" customHeight="1">
      <c r="A51" s="12" t="s">
        <v>2742</v>
      </c>
      <c r="B51" s="12" t="s">
        <v>2749</v>
      </c>
      <c r="C51" s="4" t="s">
        <v>1125</v>
      </c>
      <c r="D51" s="4" t="s">
        <v>1125</v>
      </c>
      <c r="E51" s="5" t="s">
        <v>3243</v>
      </c>
      <c r="F51" s="4" t="s">
        <v>1125</v>
      </c>
      <c r="G51" s="4"/>
      <c r="H51" s="12" t="s">
        <v>2308</v>
      </c>
      <c r="I51" s="12" t="s">
        <v>2308</v>
      </c>
      <c r="J51" s="12" t="s">
        <v>2308</v>
      </c>
      <c r="K51" s="12" t="s">
        <v>2308</v>
      </c>
      <c r="L51" s="4">
        <v>2</v>
      </c>
      <c r="M51" s="5" t="s">
        <v>2778</v>
      </c>
    </row>
    <row r="52" spans="1:13" ht="59" customHeight="1">
      <c r="A52" s="12" t="s">
        <v>2914</v>
      </c>
      <c r="B52" s="12" t="s">
        <v>2916</v>
      </c>
      <c r="C52" s="4" t="s">
        <v>24</v>
      </c>
      <c r="D52" s="4" t="s">
        <v>27</v>
      </c>
      <c r="E52" s="5" t="s">
        <v>136</v>
      </c>
      <c r="F52" s="4" t="s">
        <v>166</v>
      </c>
      <c r="G52" s="4"/>
      <c r="H52" s="4">
        <v>2</v>
      </c>
      <c r="I52" s="5" t="s">
        <v>2917</v>
      </c>
      <c r="J52" s="12" t="s">
        <v>2308</v>
      </c>
      <c r="K52" s="12" t="s">
        <v>2308</v>
      </c>
      <c r="L52" s="12" t="s">
        <v>2308</v>
      </c>
      <c r="M52" s="12" t="s">
        <v>2308</v>
      </c>
    </row>
    <row r="53" spans="1:13" ht="67" customHeight="1">
      <c r="A53" s="12" t="s">
        <v>2919</v>
      </c>
      <c r="B53" s="12" t="s">
        <v>2927</v>
      </c>
      <c r="C53" s="4" t="s">
        <v>24</v>
      </c>
      <c r="D53" s="4" t="s">
        <v>1125</v>
      </c>
      <c r="E53" s="5" t="s">
        <v>877</v>
      </c>
      <c r="F53" s="5" t="s">
        <v>2695</v>
      </c>
      <c r="G53" s="4"/>
      <c r="H53" s="4">
        <v>0</v>
      </c>
      <c r="I53" s="61" t="s">
        <v>2953</v>
      </c>
      <c r="J53" s="12" t="s">
        <v>2308</v>
      </c>
      <c r="K53" s="12" t="s">
        <v>2308</v>
      </c>
      <c r="L53" s="4">
        <v>1</v>
      </c>
      <c r="M53" s="5" t="s">
        <v>2952</v>
      </c>
    </row>
    <row r="54" spans="1:13" ht="99.5" customHeight="1">
      <c r="A54" s="12" t="s">
        <v>2919</v>
      </c>
      <c r="B54" s="12" t="s">
        <v>2930</v>
      </c>
      <c r="C54" s="4" t="s">
        <v>24</v>
      </c>
      <c r="D54" s="4" t="s">
        <v>27</v>
      </c>
      <c r="E54" s="5" t="s">
        <v>136</v>
      </c>
      <c r="F54" s="4" t="s">
        <v>166</v>
      </c>
      <c r="G54" s="4"/>
      <c r="H54" s="4">
        <v>1</v>
      </c>
      <c r="I54" s="5" t="s">
        <v>2954</v>
      </c>
      <c r="J54" s="12" t="s">
        <v>2308</v>
      </c>
      <c r="K54" s="12" t="s">
        <v>2308</v>
      </c>
      <c r="L54" s="4">
        <v>1</v>
      </c>
      <c r="M54" s="5" t="s">
        <v>2952</v>
      </c>
    </row>
    <row r="55" spans="1:13" ht="62" customHeight="1">
      <c r="A55" s="12" t="s">
        <v>2920</v>
      </c>
      <c r="B55" s="12" t="s">
        <v>2928</v>
      </c>
      <c r="C55" s="4" t="s">
        <v>24</v>
      </c>
      <c r="D55" s="4" t="s">
        <v>1125</v>
      </c>
      <c r="E55" s="5" t="s">
        <v>877</v>
      </c>
      <c r="F55" s="5" t="s">
        <v>2695</v>
      </c>
      <c r="G55" s="4"/>
      <c r="H55" s="4">
        <v>0</v>
      </c>
      <c r="I55" s="61" t="s">
        <v>2953</v>
      </c>
      <c r="J55" s="12" t="s">
        <v>2308</v>
      </c>
      <c r="K55" s="12" t="s">
        <v>2308</v>
      </c>
      <c r="L55" s="4">
        <v>1</v>
      </c>
      <c r="M55" s="5" t="s">
        <v>2952</v>
      </c>
    </row>
    <row r="56" spans="1:13" ht="76.5" customHeight="1">
      <c r="A56" s="12" t="s">
        <v>2920</v>
      </c>
      <c r="B56" s="12" t="s">
        <v>2940</v>
      </c>
      <c r="C56" s="4" t="s">
        <v>24</v>
      </c>
      <c r="D56" s="4" t="s">
        <v>27</v>
      </c>
      <c r="E56" s="5" t="s">
        <v>136</v>
      </c>
      <c r="F56" s="4" t="s">
        <v>166</v>
      </c>
      <c r="G56" s="4"/>
      <c r="H56" s="4">
        <v>1</v>
      </c>
      <c r="I56" s="5" t="s">
        <v>2954</v>
      </c>
      <c r="J56" s="12" t="s">
        <v>2308</v>
      </c>
      <c r="K56" s="12" t="s">
        <v>2308</v>
      </c>
      <c r="L56" s="4">
        <v>1</v>
      </c>
      <c r="M56" s="5" t="s">
        <v>2952</v>
      </c>
    </row>
    <row r="57" spans="1:13" ht="68.5" customHeight="1">
      <c r="A57" s="12" t="s">
        <v>2921</v>
      </c>
      <c r="B57" s="12" t="s">
        <v>2929</v>
      </c>
      <c r="C57" s="4" t="s">
        <v>24</v>
      </c>
      <c r="D57" s="4" t="s">
        <v>1125</v>
      </c>
      <c r="E57" s="5" t="s">
        <v>877</v>
      </c>
      <c r="F57" s="5" t="s">
        <v>2695</v>
      </c>
      <c r="G57" s="4"/>
      <c r="H57" s="4">
        <v>0</v>
      </c>
      <c r="I57" s="61" t="s">
        <v>2953</v>
      </c>
      <c r="J57" s="12" t="s">
        <v>2308</v>
      </c>
      <c r="K57" s="12" t="s">
        <v>2308</v>
      </c>
      <c r="L57" s="4">
        <v>1</v>
      </c>
      <c r="M57" s="5" t="s">
        <v>2952</v>
      </c>
    </row>
    <row r="58" spans="1:13" ht="95.5" customHeight="1">
      <c r="A58" s="12" t="s">
        <v>2921</v>
      </c>
      <c r="B58" s="12" t="s">
        <v>2946</v>
      </c>
      <c r="C58" s="4" t="s">
        <v>24</v>
      </c>
      <c r="D58" s="4" t="s">
        <v>27</v>
      </c>
      <c r="E58" s="5" t="s">
        <v>136</v>
      </c>
      <c r="F58" s="4" t="s">
        <v>166</v>
      </c>
      <c r="G58" s="4"/>
      <c r="H58" s="4">
        <v>1</v>
      </c>
      <c r="I58" s="5" t="s">
        <v>2954</v>
      </c>
      <c r="J58" s="12" t="s">
        <v>2308</v>
      </c>
      <c r="K58" s="12" t="s">
        <v>2308</v>
      </c>
      <c r="L58" s="4">
        <v>1</v>
      </c>
      <c r="M58" s="5" t="s">
        <v>2952</v>
      </c>
    </row>
    <row r="59" spans="1:13" ht="116.5" customHeight="1">
      <c r="A59" s="12" t="s">
        <v>2957</v>
      </c>
      <c r="B59" s="12" t="s">
        <v>2961</v>
      </c>
      <c r="C59" s="4" t="s">
        <v>24</v>
      </c>
      <c r="D59" s="4" t="s">
        <v>150</v>
      </c>
      <c r="E59" s="5" t="s">
        <v>143</v>
      </c>
      <c r="F59" s="5" t="s">
        <v>2695</v>
      </c>
      <c r="G59" s="4"/>
      <c r="H59" s="4">
        <v>3</v>
      </c>
      <c r="I59" s="5" t="s">
        <v>2963</v>
      </c>
      <c r="J59" s="12" t="s">
        <v>2308</v>
      </c>
      <c r="K59" s="12" t="s">
        <v>2308</v>
      </c>
      <c r="L59" s="4">
        <v>2</v>
      </c>
      <c r="M59" s="5" t="s">
        <v>2963</v>
      </c>
    </row>
    <row r="60" spans="1:13" ht="95.5" customHeight="1">
      <c r="A60" s="12" t="s">
        <v>2987</v>
      </c>
      <c r="B60" s="12" t="s">
        <v>2991</v>
      </c>
      <c r="C60" s="4" t="s">
        <v>24</v>
      </c>
      <c r="D60" s="4" t="s">
        <v>27</v>
      </c>
      <c r="E60" s="5" t="s">
        <v>136</v>
      </c>
      <c r="F60" s="4" t="s">
        <v>166</v>
      </c>
      <c r="G60" s="4"/>
      <c r="H60" s="12">
        <v>1</v>
      </c>
      <c r="I60" s="5" t="s">
        <v>3017</v>
      </c>
      <c r="J60" s="4">
        <v>2</v>
      </c>
      <c r="K60" s="5" t="s">
        <v>3016</v>
      </c>
      <c r="L60" s="12" t="s">
        <v>2308</v>
      </c>
      <c r="M60" s="12" t="s">
        <v>2308</v>
      </c>
    </row>
    <row r="61" spans="1:13" ht="66.5" customHeight="1">
      <c r="A61" s="12" t="s">
        <v>2987</v>
      </c>
      <c r="B61" s="12" t="s">
        <v>2993</v>
      </c>
      <c r="C61" s="24" t="s">
        <v>24</v>
      </c>
      <c r="D61" s="4" t="s">
        <v>1151</v>
      </c>
      <c r="E61" s="5" t="s">
        <v>116</v>
      </c>
      <c r="F61" s="5" t="s">
        <v>2695</v>
      </c>
      <c r="G61" s="4"/>
      <c r="H61" s="12">
        <v>2</v>
      </c>
      <c r="I61" s="20" t="s">
        <v>3013</v>
      </c>
      <c r="J61" s="4">
        <v>2</v>
      </c>
      <c r="K61" s="5" t="s">
        <v>3016</v>
      </c>
      <c r="L61" s="12" t="s">
        <v>2308</v>
      </c>
      <c r="M61" s="12" t="s">
        <v>2308</v>
      </c>
    </row>
    <row r="62" spans="1:13" ht="63" customHeight="1">
      <c r="A62" s="12" t="s">
        <v>2987</v>
      </c>
      <c r="B62" s="12" t="s">
        <v>2995</v>
      </c>
      <c r="C62" s="24" t="s">
        <v>24</v>
      </c>
      <c r="D62" s="4" t="s">
        <v>1125</v>
      </c>
      <c r="E62" s="5" t="s">
        <v>116</v>
      </c>
      <c r="F62" s="5" t="s">
        <v>2695</v>
      </c>
      <c r="G62" s="4"/>
      <c r="H62" s="12" t="s">
        <v>2308</v>
      </c>
      <c r="I62" s="12" t="s">
        <v>2308</v>
      </c>
      <c r="J62" s="4">
        <v>2</v>
      </c>
      <c r="K62" s="5" t="s">
        <v>3016</v>
      </c>
      <c r="L62" s="12" t="s">
        <v>2308</v>
      </c>
      <c r="M62" s="12" t="s">
        <v>2308</v>
      </c>
    </row>
    <row r="63" spans="1:13" ht="31.5" customHeight="1">
      <c r="A63" s="12" t="s">
        <v>3021</v>
      </c>
      <c r="B63" s="12" t="s">
        <v>3022</v>
      </c>
      <c r="C63" s="24" t="s">
        <v>24</v>
      </c>
      <c r="D63" s="4" t="s">
        <v>27</v>
      </c>
      <c r="E63" s="5" t="s">
        <v>136</v>
      </c>
      <c r="F63" s="5" t="s">
        <v>2695</v>
      </c>
      <c r="G63" s="4"/>
      <c r="H63" s="4">
        <v>1</v>
      </c>
      <c r="I63" s="5" t="s">
        <v>3045</v>
      </c>
      <c r="J63" s="4">
        <v>2</v>
      </c>
      <c r="K63" s="5" t="s">
        <v>3046</v>
      </c>
      <c r="L63" s="12" t="s">
        <v>2308</v>
      </c>
      <c r="M63" s="12" t="s">
        <v>2308</v>
      </c>
    </row>
    <row r="64" spans="1:13" ht="41" customHeight="1">
      <c r="A64" s="12" t="s">
        <v>3021</v>
      </c>
      <c r="B64" s="12" t="s">
        <v>3023</v>
      </c>
      <c r="C64" s="24" t="s">
        <v>24</v>
      </c>
      <c r="D64" s="4" t="s">
        <v>27</v>
      </c>
      <c r="E64" s="5" t="s">
        <v>136</v>
      </c>
      <c r="F64" s="5" t="s">
        <v>166</v>
      </c>
      <c r="G64" s="4"/>
      <c r="H64" s="4">
        <v>1</v>
      </c>
      <c r="I64" s="5" t="s">
        <v>3045</v>
      </c>
      <c r="J64" s="4">
        <v>2</v>
      </c>
      <c r="K64" s="5" t="s">
        <v>3046</v>
      </c>
      <c r="L64" s="12" t="s">
        <v>2308</v>
      </c>
      <c r="M64" s="12" t="s">
        <v>2308</v>
      </c>
    </row>
    <row r="65" spans="1:13" ht="45" customHeight="1">
      <c r="A65" s="12" t="s">
        <v>3021</v>
      </c>
      <c r="B65" s="12" t="s">
        <v>3024</v>
      </c>
      <c r="C65" s="24" t="s">
        <v>24</v>
      </c>
      <c r="D65" s="4" t="s">
        <v>61</v>
      </c>
      <c r="E65" s="5" t="s">
        <v>2682</v>
      </c>
      <c r="F65" s="5" t="s">
        <v>2695</v>
      </c>
      <c r="G65" s="4"/>
      <c r="H65" s="12" t="s">
        <v>2308</v>
      </c>
      <c r="I65" s="12" t="s">
        <v>2308</v>
      </c>
      <c r="J65" s="4">
        <v>2</v>
      </c>
      <c r="K65" s="5" t="s">
        <v>3049</v>
      </c>
      <c r="L65" s="12" t="s">
        <v>2308</v>
      </c>
      <c r="M65" s="12" t="s">
        <v>2308</v>
      </c>
    </row>
    <row r="66" spans="1:13" ht="44" customHeight="1">
      <c r="A66" s="12" t="s">
        <v>3028</v>
      </c>
      <c r="B66" s="12" t="s">
        <v>3029</v>
      </c>
      <c r="C66" s="24" t="s">
        <v>24</v>
      </c>
      <c r="D66" s="4" t="s">
        <v>27</v>
      </c>
      <c r="E66" s="5" t="s">
        <v>136</v>
      </c>
      <c r="F66" s="4" t="s">
        <v>166</v>
      </c>
      <c r="G66" s="4"/>
      <c r="H66" s="4">
        <v>1</v>
      </c>
      <c r="I66" s="5" t="s">
        <v>3062</v>
      </c>
      <c r="J66" s="4">
        <v>1</v>
      </c>
      <c r="K66" s="5" t="s">
        <v>3067</v>
      </c>
      <c r="L66" s="12" t="s">
        <v>2308</v>
      </c>
      <c r="M66" s="12" t="s">
        <v>2308</v>
      </c>
    </row>
    <row r="67" spans="1:13" ht="50.5" customHeight="1">
      <c r="A67" s="12" t="s">
        <v>3028</v>
      </c>
      <c r="B67" s="12" t="s">
        <v>3054</v>
      </c>
      <c r="C67" s="24" t="s">
        <v>24</v>
      </c>
      <c r="D67" s="4" t="s">
        <v>2693</v>
      </c>
      <c r="E67" s="5" t="s">
        <v>45</v>
      </c>
      <c r="F67" s="4" t="s">
        <v>29</v>
      </c>
      <c r="G67" s="4"/>
      <c r="H67" s="4">
        <v>0</v>
      </c>
      <c r="I67" s="5" t="s">
        <v>3066</v>
      </c>
      <c r="J67" s="4">
        <v>1</v>
      </c>
      <c r="K67" s="5" t="s">
        <v>3067</v>
      </c>
      <c r="L67" s="12" t="s">
        <v>2308</v>
      </c>
      <c r="M67" s="12" t="s">
        <v>2308</v>
      </c>
    </row>
    <row r="68" spans="1:13" ht="34.5" customHeight="1">
      <c r="A68" s="12" t="s">
        <v>3077</v>
      </c>
      <c r="B68" s="12" t="s">
        <v>3082</v>
      </c>
      <c r="C68" s="24" t="s">
        <v>24</v>
      </c>
      <c r="D68" s="4" t="s">
        <v>2693</v>
      </c>
      <c r="E68" s="5" t="s">
        <v>45</v>
      </c>
      <c r="F68" s="5" t="s">
        <v>2695</v>
      </c>
      <c r="G68" s="4"/>
      <c r="H68" s="4">
        <v>1</v>
      </c>
      <c r="I68" s="5" t="s">
        <v>3129</v>
      </c>
      <c r="J68" s="4">
        <v>2</v>
      </c>
      <c r="K68" s="5" t="s">
        <v>3130</v>
      </c>
      <c r="L68" s="12" t="s">
        <v>2308</v>
      </c>
      <c r="M68" s="12" t="s">
        <v>2308</v>
      </c>
    </row>
    <row r="69" spans="1:13" ht="34" customHeight="1">
      <c r="A69" s="12" t="s">
        <v>3077</v>
      </c>
      <c r="B69" s="12" t="s">
        <v>3083</v>
      </c>
      <c r="C69" s="24" t="s">
        <v>24</v>
      </c>
      <c r="D69" s="4" t="s">
        <v>2693</v>
      </c>
      <c r="E69" s="5" t="s">
        <v>45</v>
      </c>
      <c r="F69" s="5" t="s">
        <v>29</v>
      </c>
      <c r="G69" s="4"/>
      <c r="H69" s="4">
        <v>1</v>
      </c>
      <c r="I69" s="5" t="s">
        <v>3129</v>
      </c>
      <c r="J69" s="4">
        <v>2</v>
      </c>
      <c r="K69" s="5" t="s">
        <v>3130</v>
      </c>
      <c r="L69" s="12" t="s">
        <v>2308</v>
      </c>
      <c r="M69" s="12" t="s">
        <v>2308</v>
      </c>
    </row>
    <row r="70" spans="1:13" ht="29">
      <c r="A70" s="12" t="s">
        <v>3077</v>
      </c>
      <c r="B70" s="12" t="s">
        <v>3084</v>
      </c>
      <c r="C70" s="24" t="s">
        <v>24</v>
      </c>
      <c r="D70" s="4" t="s">
        <v>2693</v>
      </c>
      <c r="E70" s="5" t="s">
        <v>45</v>
      </c>
      <c r="F70" s="5" t="s">
        <v>55</v>
      </c>
      <c r="G70" s="4"/>
      <c r="H70" s="4">
        <v>1</v>
      </c>
      <c r="I70" s="5" t="s">
        <v>3129</v>
      </c>
      <c r="J70" s="4">
        <v>2</v>
      </c>
      <c r="K70" s="5" t="s">
        <v>3130</v>
      </c>
      <c r="L70" s="12" t="s">
        <v>2308</v>
      </c>
      <c r="M70" s="12" t="s">
        <v>2308</v>
      </c>
    </row>
    <row r="71" spans="1:13" ht="29">
      <c r="A71" s="12" t="s">
        <v>3078</v>
      </c>
      <c r="B71" s="12" t="s">
        <v>3098</v>
      </c>
      <c r="C71" s="24" t="s">
        <v>24</v>
      </c>
      <c r="D71" s="4" t="s">
        <v>2693</v>
      </c>
      <c r="E71" s="5" t="s">
        <v>45</v>
      </c>
      <c r="F71" s="5" t="s">
        <v>2695</v>
      </c>
      <c r="G71" s="4"/>
      <c r="H71" s="4">
        <v>1</v>
      </c>
      <c r="I71" s="5" t="s">
        <v>3129</v>
      </c>
      <c r="J71" s="4">
        <v>2</v>
      </c>
      <c r="K71" s="5" t="s">
        <v>3130</v>
      </c>
      <c r="L71" s="12" t="s">
        <v>2308</v>
      </c>
      <c r="M71" s="12" t="s">
        <v>2308</v>
      </c>
    </row>
    <row r="72" spans="1:13" ht="29">
      <c r="A72" s="12" t="s">
        <v>3078</v>
      </c>
      <c r="B72" s="12" t="s">
        <v>3099</v>
      </c>
      <c r="C72" s="24" t="s">
        <v>24</v>
      </c>
      <c r="D72" s="4" t="s">
        <v>2693</v>
      </c>
      <c r="E72" s="5" t="s">
        <v>45</v>
      </c>
      <c r="F72" s="5" t="s">
        <v>29</v>
      </c>
      <c r="G72" s="4"/>
      <c r="H72" s="4">
        <v>1</v>
      </c>
      <c r="I72" s="5" t="s">
        <v>3129</v>
      </c>
      <c r="J72" s="4">
        <v>2</v>
      </c>
      <c r="K72" s="5" t="s">
        <v>3130</v>
      </c>
      <c r="L72" s="12" t="s">
        <v>2308</v>
      </c>
      <c r="M72" s="12" t="s">
        <v>2308</v>
      </c>
    </row>
    <row r="73" spans="1:13" ht="44.5" customHeight="1">
      <c r="A73" s="12" t="s">
        <v>3078</v>
      </c>
      <c r="B73" s="12" t="s">
        <v>3100</v>
      </c>
      <c r="C73" s="24" t="s">
        <v>24</v>
      </c>
      <c r="D73" s="4" t="s">
        <v>2693</v>
      </c>
      <c r="E73" s="5" t="s">
        <v>45</v>
      </c>
      <c r="F73" s="5" t="s">
        <v>55</v>
      </c>
      <c r="G73" s="4"/>
      <c r="H73" s="4">
        <v>1</v>
      </c>
      <c r="I73" s="5" t="s">
        <v>3129</v>
      </c>
      <c r="J73" s="4">
        <v>2</v>
      </c>
      <c r="K73" s="5" t="s">
        <v>3130</v>
      </c>
      <c r="L73" s="12" t="s">
        <v>2308</v>
      </c>
      <c r="M73" s="12" t="s">
        <v>2308</v>
      </c>
    </row>
    <row r="74" spans="1:13" ht="80" customHeight="1">
      <c r="A74" s="12" t="s">
        <v>3163</v>
      </c>
      <c r="B74" s="12" t="s">
        <v>3172</v>
      </c>
      <c r="C74" s="4" t="s">
        <v>24</v>
      </c>
      <c r="D74" s="4" t="s">
        <v>27</v>
      </c>
      <c r="E74" s="5" t="s">
        <v>136</v>
      </c>
      <c r="F74" s="4" t="s">
        <v>166</v>
      </c>
      <c r="G74" s="4"/>
      <c r="H74" s="4">
        <v>2</v>
      </c>
      <c r="I74" s="5" t="s">
        <v>3238</v>
      </c>
      <c r="J74" s="4" t="s">
        <v>2308</v>
      </c>
      <c r="K74" s="4" t="s">
        <v>2308</v>
      </c>
      <c r="L74" s="4">
        <v>0</v>
      </c>
      <c r="M74" s="5" t="s">
        <v>3248</v>
      </c>
    </row>
    <row r="75" spans="1:13" ht="79" customHeight="1">
      <c r="A75" s="12" t="s">
        <v>3163</v>
      </c>
      <c r="B75" s="12" t="s">
        <v>3181</v>
      </c>
      <c r="C75" s="4" t="s">
        <v>24</v>
      </c>
      <c r="D75" s="4" t="s">
        <v>2693</v>
      </c>
      <c r="E75" s="5" t="s">
        <v>136</v>
      </c>
      <c r="F75" s="5" t="s">
        <v>2695</v>
      </c>
      <c r="G75" s="4"/>
      <c r="H75" s="4">
        <v>2</v>
      </c>
      <c r="I75" s="5" t="s">
        <v>3238</v>
      </c>
      <c r="J75" s="4">
        <v>2</v>
      </c>
      <c r="K75" s="5" t="s">
        <v>3239</v>
      </c>
      <c r="L75" s="4">
        <v>0</v>
      </c>
      <c r="M75" s="5" t="s">
        <v>3248</v>
      </c>
    </row>
    <row r="76" spans="1:13" ht="79" customHeight="1">
      <c r="A76" s="12" t="s">
        <v>3163</v>
      </c>
      <c r="B76" s="12" t="s">
        <v>3182</v>
      </c>
      <c r="C76" s="4" t="s">
        <v>24</v>
      </c>
      <c r="D76" s="4" t="s">
        <v>1125</v>
      </c>
      <c r="E76" s="5" t="s">
        <v>3243</v>
      </c>
      <c r="F76" s="5" t="s">
        <v>2308</v>
      </c>
      <c r="G76" s="4"/>
      <c r="H76" s="4" t="s">
        <v>2308</v>
      </c>
      <c r="I76" s="4" t="s">
        <v>2308</v>
      </c>
      <c r="J76" s="4" t="s">
        <v>2308</v>
      </c>
      <c r="K76" s="4" t="s">
        <v>2308</v>
      </c>
      <c r="L76" s="4">
        <v>0</v>
      </c>
      <c r="M76" s="12" t="s">
        <v>3247</v>
      </c>
    </row>
    <row r="77" spans="1:13" ht="83" customHeight="1">
      <c r="A77" s="12" t="s">
        <v>3164</v>
      </c>
      <c r="B77" s="12" t="s">
        <v>3173</v>
      </c>
      <c r="C77" s="4" t="s">
        <v>24</v>
      </c>
      <c r="D77" s="4" t="s">
        <v>27</v>
      </c>
      <c r="E77" s="5" t="s">
        <v>136</v>
      </c>
      <c r="F77" s="4" t="s">
        <v>166</v>
      </c>
      <c r="G77" s="4"/>
      <c r="H77" s="4">
        <v>2</v>
      </c>
      <c r="I77" s="5" t="s">
        <v>3238</v>
      </c>
      <c r="J77" s="4" t="s">
        <v>2308</v>
      </c>
      <c r="K77" s="4" t="s">
        <v>2308</v>
      </c>
      <c r="L77" s="4">
        <v>0</v>
      </c>
      <c r="M77" s="5" t="s">
        <v>3248</v>
      </c>
    </row>
    <row r="78" spans="1:13" ht="85" customHeight="1">
      <c r="A78" s="12" t="s">
        <v>3164</v>
      </c>
      <c r="B78" s="12" t="s">
        <v>3198</v>
      </c>
      <c r="C78" s="4" t="s">
        <v>24</v>
      </c>
      <c r="D78" s="4" t="s">
        <v>2693</v>
      </c>
      <c r="E78" s="5" t="s">
        <v>136</v>
      </c>
      <c r="F78" s="5" t="s">
        <v>2695</v>
      </c>
      <c r="G78" s="4"/>
      <c r="H78" s="4">
        <v>2</v>
      </c>
      <c r="I78" s="5" t="s">
        <v>3238</v>
      </c>
      <c r="J78" s="4">
        <v>2</v>
      </c>
      <c r="K78" s="5" t="s">
        <v>3239</v>
      </c>
      <c r="L78" s="4">
        <v>0</v>
      </c>
      <c r="M78" s="5" t="s">
        <v>3248</v>
      </c>
    </row>
    <row r="79" spans="1:13" ht="85" customHeight="1">
      <c r="A79" s="12" t="s">
        <v>3164</v>
      </c>
      <c r="B79" s="12" t="s">
        <v>3199</v>
      </c>
      <c r="C79" s="4" t="s">
        <v>24</v>
      </c>
      <c r="D79" s="4" t="s">
        <v>1125</v>
      </c>
      <c r="E79" s="5" t="s">
        <v>3243</v>
      </c>
      <c r="F79" s="5" t="s">
        <v>2308</v>
      </c>
      <c r="G79" s="4"/>
      <c r="H79" s="4" t="s">
        <v>2308</v>
      </c>
      <c r="I79" s="4" t="s">
        <v>2308</v>
      </c>
      <c r="J79" s="4" t="s">
        <v>2308</v>
      </c>
      <c r="K79" s="4" t="s">
        <v>2308</v>
      </c>
      <c r="L79" s="4">
        <v>0</v>
      </c>
      <c r="M79" s="12" t="s">
        <v>3247</v>
      </c>
    </row>
    <row r="80" spans="1:13" ht="82" customHeight="1">
      <c r="A80" s="12" t="s">
        <v>3165</v>
      </c>
      <c r="B80" s="12" t="s">
        <v>3174</v>
      </c>
      <c r="C80" s="4" t="s">
        <v>24</v>
      </c>
      <c r="D80" s="4" t="s">
        <v>27</v>
      </c>
      <c r="E80" s="5" t="s">
        <v>136</v>
      </c>
      <c r="F80" s="4" t="s">
        <v>166</v>
      </c>
      <c r="G80" s="4"/>
      <c r="H80" s="4">
        <v>2</v>
      </c>
      <c r="I80" s="5" t="s">
        <v>3238</v>
      </c>
      <c r="J80" s="4" t="s">
        <v>2308</v>
      </c>
      <c r="K80" s="4" t="s">
        <v>2308</v>
      </c>
      <c r="L80" s="4">
        <v>0</v>
      </c>
      <c r="M80" s="160" t="s">
        <v>3249</v>
      </c>
    </row>
    <row r="81" spans="1:13" ht="87.5" customHeight="1">
      <c r="A81" s="12" t="s">
        <v>3165</v>
      </c>
      <c r="B81" s="12" t="s">
        <v>3177</v>
      </c>
      <c r="C81" s="4" t="s">
        <v>1125</v>
      </c>
      <c r="D81" s="4" t="s">
        <v>1125</v>
      </c>
      <c r="E81" s="5" t="s">
        <v>3243</v>
      </c>
      <c r="F81" s="4" t="s">
        <v>2308</v>
      </c>
      <c r="G81" s="4"/>
      <c r="H81" s="4" t="s">
        <v>2308</v>
      </c>
      <c r="I81" s="4" t="s">
        <v>2308</v>
      </c>
      <c r="J81" s="4">
        <v>2</v>
      </c>
      <c r="K81" s="5" t="s">
        <v>3244</v>
      </c>
      <c r="L81" s="4">
        <v>2</v>
      </c>
      <c r="M81" s="5" t="s">
        <v>3245</v>
      </c>
    </row>
    <row r="82" spans="1:13" ht="115" customHeight="1">
      <c r="A82" s="12" t="s">
        <v>3166</v>
      </c>
      <c r="B82" s="12" t="s">
        <v>3175</v>
      </c>
      <c r="C82" s="4" t="s">
        <v>24</v>
      </c>
      <c r="D82" s="4" t="s">
        <v>1264</v>
      </c>
      <c r="E82" s="5" t="s">
        <v>116</v>
      </c>
      <c r="F82" s="5" t="s">
        <v>2695</v>
      </c>
      <c r="G82" s="4"/>
      <c r="H82" s="4">
        <v>2</v>
      </c>
      <c r="I82" s="5" t="s">
        <v>3240</v>
      </c>
      <c r="J82" s="4">
        <v>2</v>
      </c>
      <c r="K82" s="5" t="s">
        <v>3240</v>
      </c>
      <c r="L82" s="4" t="s">
        <v>2308</v>
      </c>
      <c r="M82" s="4" t="s">
        <v>2308</v>
      </c>
    </row>
    <row r="83" spans="1:13" ht="114" customHeight="1">
      <c r="A83" s="12" t="s">
        <v>3166</v>
      </c>
      <c r="B83" s="12" t="s">
        <v>3225</v>
      </c>
      <c r="C83" s="4" t="s">
        <v>24</v>
      </c>
      <c r="D83" s="4" t="s">
        <v>27</v>
      </c>
      <c r="E83" s="5" t="s">
        <v>136</v>
      </c>
      <c r="F83" s="4" t="s">
        <v>166</v>
      </c>
      <c r="G83" s="4"/>
      <c r="H83" s="4">
        <v>2</v>
      </c>
      <c r="I83" s="5" t="s">
        <v>3246</v>
      </c>
      <c r="J83" s="4" t="s">
        <v>2308</v>
      </c>
      <c r="K83" s="4" t="s">
        <v>2308</v>
      </c>
      <c r="L83" s="4">
        <v>2</v>
      </c>
      <c r="M83" s="5" t="s">
        <v>3241</v>
      </c>
    </row>
    <row r="84" spans="1:13" ht="70.5" customHeight="1">
      <c r="A84" s="12" t="s">
        <v>3166</v>
      </c>
      <c r="B84" s="12" t="s">
        <v>3226</v>
      </c>
      <c r="C84" s="4" t="s">
        <v>24</v>
      </c>
      <c r="D84" s="4" t="s">
        <v>1125</v>
      </c>
      <c r="E84" s="5" t="s">
        <v>3243</v>
      </c>
      <c r="F84" s="4" t="s">
        <v>2308</v>
      </c>
      <c r="G84" s="4"/>
      <c r="H84" s="4" t="s">
        <v>2308</v>
      </c>
      <c r="I84" s="4" t="s">
        <v>2308</v>
      </c>
      <c r="J84" s="4" t="s">
        <v>2308</v>
      </c>
      <c r="K84" s="4" t="s">
        <v>2308</v>
      </c>
      <c r="L84" s="4">
        <v>2</v>
      </c>
      <c r="M84" s="5" t="s">
        <v>3242</v>
      </c>
    </row>
    <row r="85" spans="1:13" ht="142.5" customHeight="1">
      <c r="A85" s="12" t="s">
        <v>3320</v>
      </c>
      <c r="B85" s="12" t="s">
        <v>3325</v>
      </c>
      <c r="C85" s="4" t="s">
        <v>24</v>
      </c>
      <c r="D85" s="4" t="s">
        <v>1267</v>
      </c>
      <c r="E85" s="5" t="s">
        <v>116</v>
      </c>
      <c r="F85" s="4" t="s">
        <v>55</v>
      </c>
      <c r="G85" s="4"/>
      <c r="H85" s="4">
        <v>2</v>
      </c>
      <c r="I85" s="5" t="s">
        <v>3329</v>
      </c>
      <c r="J85" s="4">
        <v>2</v>
      </c>
      <c r="K85" s="5" t="s">
        <v>3329</v>
      </c>
      <c r="L85" s="4" t="s">
        <v>2308</v>
      </c>
      <c r="M85" s="4" t="s">
        <v>2308</v>
      </c>
    </row>
    <row r="86" spans="1:13" ht="141.5" customHeight="1">
      <c r="A86" s="12" t="s">
        <v>3320</v>
      </c>
      <c r="B86" s="12" t="s">
        <v>3327</v>
      </c>
      <c r="C86" s="4" t="s">
        <v>24</v>
      </c>
      <c r="D86" s="4" t="s">
        <v>1267</v>
      </c>
      <c r="E86" s="5" t="s">
        <v>116</v>
      </c>
      <c r="F86" s="5" t="s">
        <v>2695</v>
      </c>
      <c r="G86" s="4"/>
      <c r="H86" s="4">
        <v>2</v>
      </c>
      <c r="I86" s="5" t="s">
        <v>3329</v>
      </c>
      <c r="J86" s="4">
        <v>2</v>
      </c>
      <c r="K86" s="5" t="s">
        <v>3329</v>
      </c>
      <c r="L86" s="4" t="s">
        <v>2308</v>
      </c>
      <c r="M86" s="4" t="s">
        <v>2308</v>
      </c>
    </row>
    <row r="87" spans="1:13" ht="70" customHeight="1">
      <c r="A87" s="24" t="s">
        <v>3331</v>
      </c>
      <c r="B87" s="24" t="s">
        <v>3342</v>
      </c>
      <c r="C87" s="4" t="s">
        <v>24</v>
      </c>
      <c r="D87" s="4" t="s">
        <v>2693</v>
      </c>
      <c r="E87" s="5" t="s">
        <v>5065</v>
      </c>
      <c r="F87" s="4" t="s">
        <v>55</v>
      </c>
      <c r="G87" s="4"/>
      <c r="H87" s="4">
        <v>0</v>
      </c>
      <c r="I87" s="5" t="s">
        <v>3364</v>
      </c>
      <c r="J87" s="4">
        <v>1</v>
      </c>
      <c r="K87" s="4" t="s">
        <v>3365</v>
      </c>
      <c r="L87" s="4" t="s">
        <v>2308</v>
      </c>
      <c r="M87" s="4" t="s">
        <v>2308</v>
      </c>
    </row>
    <row r="88" spans="1:13" ht="70" customHeight="1">
      <c r="A88" s="24" t="s">
        <v>3331</v>
      </c>
      <c r="B88" s="24" t="s">
        <v>3343</v>
      </c>
      <c r="C88" s="4" t="s">
        <v>24</v>
      </c>
      <c r="D88" s="4" t="s">
        <v>2693</v>
      </c>
      <c r="E88" s="5" t="s">
        <v>5065</v>
      </c>
      <c r="F88" s="5" t="s">
        <v>2695</v>
      </c>
      <c r="G88" s="4"/>
      <c r="H88" s="4">
        <v>0</v>
      </c>
      <c r="I88" s="5" t="s">
        <v>3364</v>
      </c>
      <c r="J88" s="4">
        <v>1</v>
      </c>
      <c r="K88" s="4" t="s">
        <v>3365</v>
      </c>
      <c r="L88" s="4" t="s">
        <v>2308</v>
      </c>
      <c r="M88" s="4" t="s">
        <v>2308</v>
      </c>
    </row>
    <row r="89" spans="1:13" ht="70" customHeight="1">
      <c r="A89" s="24" t="s">
        <v>3336</v>
      </c>
      <c r="B89" s="24" t="s">
        <v>3345</v>
      </c>
      <c r="C89" s="4" t="s">
        <v>24</v>
      </c>
      <c r="D89" s="4" t="s">
        <v>2693</v>
      </c>
      <c r="E89" s="5" t="s">
        <v>5065</v>
      </c>
      <c r="F89" s="4" t="s">
        <v>55</v>
      </c>
      <c r="G89" s="4"/>
      <c r="H89" s="4">
        <v>0</v>
      </c>
      <c r="I89" s="5" t="s">
        <v>3364</v>
      </c>
      <c r="J89" s="4">
        <v>1</v>
      </c>
      <c r="K89" s="4" t="s">
        <v>3365</v>
      </c>
      <c r="L89" s="4" t="s">
        <v>2308</v>
      </c>
      <c r="M89" s="4" t="s">
        <v>2308</v>
      </c>
    </row>
    <row r="90" spans="1:13" ht="70" customHeight="1">
      <c r="A90" s="24" t="s">
        <v>3336</v>
      </c>
      <c r="B90" s="24" t="s">
        <v>3346</v>
      </c>
      <c r="C90" s="4" t="s">
        <v>24</v>
      </c>
      <c r="D90" s="4" t="s">
        <v>2693</v>
      </c>
      <c r="E90" s="5" t="s">
        <v>5065</v>
      </c>
      <c r="F90" s="5" t="s">
        <v>2695</v>
      </c>
      <c r="G90" s="4"/>
      <c r="H90" s="4">
        <v>0</v>
      </c>
      <c r="I90" s="5" t="s">
        <v>3364</v>
      </c>
      <c r="J90" s="4">
        <v>1</v>
      </c>
      <c r="K90" s="4" t="s">
        <v>3365</v>
      </c>
      <c r="L90" s="4" t="s">
        <v>2308</v>
      </c>
      <c r="M90" s="4" t="s">
        <v>2308</v>
      </c>
    </row>
    <row r="91" spans="1:13" ht="70" customHeight="1">
      <c r="A91" s="24" t="s">
        <v>3337</v>
      </c>
      <c r="B91" s="24" t="s">
        <v>3347</v>
      </c>
      <c r="C91" s="4" t="s">
        <v>24</v>
      </c>
      <c r="D91" s="4" t="s">
        <v>2693</v>
      </c>
      <c r="E91" s="5" t="s">
        <v>5065</v>
      </c>
      <c r="F91" s="4" t="s">
        <v>55</v>
      </c>
      <c r="G91" s="4"/>
      <c r="H91" s="4">
        <v>0</v>
      </c>
      <c r="I91" s="5" t="s">
        <v>3364</v>
      </c>
      <c r="J91" s="4">
        <v>1</v>
      </c>
      <c r="K91" s="4" t="s">
        <v>3365</v>
      </c>
      <c r="L91" s="4" t="s">
        <v>2308</v>
      </c>
      <c r="M91" s="4" t="s">
        <v>2308</v>
      </c>
    </row>
    <row r="92" spans="1:13" ht="70" customHeight="1">
      <c r="A92" s="24" t="s">
        <v>3337</v>
      </c>
      <c r="B92" s="24" t="s">
        <v>3348</v>
      </c>
      <c r="C92" s="4" t="s">
        <v>24</v>
      </c>
      <c r="D92" s="4" t="s">
        <v>2693</v>
      </c>
      <c r="E92" s="5" t="s">
        <v>5065</v>
      </c>
      <c r="F92" s="5" t="s">
        <v>2695</v>
      </c>
      <c r="G92" s="4"/>
      <c r="H92" s="4">
        <v>0</v>
      </c>
      <c r="I92" s="5" t="s">
        <v>3364</v>
      </c>
      <c r="J92" s="4">
        <v>1</v>
      </c>
      <c r="K92" s="4" t="s">
        <v>3365</v>
      </c>
      <c r="L92" s="4" t="s">
        <v>2308</v>
      </c>
      <c r="M92" s="4" t="s">
        <v>2308</v>
      </c>
    </row>
    <row r="93" spans="1:13" ht="36.5" customHeight="1">
      <c r="A93" s="24" t="s">
        <v>3339</v>
      </c>
      <c r="B93" s="24" t="s">
        <v>3351</v>
      </c>
      <c r="C93" s="4" t="s">
        <v>24</v>
      </c>
      <c r="D93" s="4" t="s">
        <v>2693</v>
      </c>
      <c r="E93" s="5" t="s">
        <v>5065</v>
      </c>
      <c r="F93" s="4" t="s">
        <v>55</v>
      </c>
      <c r="G93" s="4"/>
      <c r="H93" s="4">
        <v>2</v>
      </c>
      <c r="I93" s="5" t="s">
        <v>3366</v>
      </c>
      <c r="J93" s="4">
        <v>0</v>
      </c>
      <c r="K93" s="5" t="s">
        <v>3363</v>
      </c>
      <c r="L93" s="4" t="s">
        <v>2308</v>
      </c>
      <c r="M93" s="4" t="s">
        <v>2308</v>
      </c>
    </row>
    <row r="94" spans="1:13" ht="36.5" customHeight="1">
      <c r="A94" s="24" t="s">
        <v>3340</v>
      </c>
      <c r="B94" s="24" t="s">
        <v>3354</v>
      </c>
      <c r="C94" s="4" t="s">
        <v>24</v>
      </c>
      <c r="D94" s="4" t="s">
        <v>2693</v>
      </c>
      <c r="E94" s="5" t="s">
        <v>5065</v>
      </c>
      <c r="F94" s="4" t="s">
        <v>55</v>
      </c>
      <c r="G94" s="4"/>
      <c r="H94" s="4">
        <v>2</v>
      </c>
      <c r="I94" s="5" t="s">
        <v>3366</v>
      </c>
      <c r="J94" s="4">
        <v>0</v>
      </c>
      <c r="K94" s="5" t="s">
        <v>3363</v>
      </c>
      <c r="L94" s="4" t="s">
        <v>2308</v>
      </c>
      <c r="M94" s="4" t="s">
        <v>2308</v>
      </c>
    </row>
    <row r="95" spans="1:13" ht="36.5" customHeight="1">
      <c r="A95" s="24" t="s">
        <v>3341</v>
      </c>
      <c r="B95" s="24" t="s">
        <v>3355</v>
      </c>
      <c r="C95" s="4" t="s">
        <v>24</v>
      </c>
      <c r="D95" s="4" t="s">
        <v>2693</v>
      </c>
      <c r="E95" s="5" t="s">
        <v>5065</v>
      </c>
      <c r="F95" s="4" t="s">
        <v>55</v>
      </c>
      <c r="G95" s="4"/>
      <c r="H95" s="4">
        <v>2</v>
      </c>
      <c r="I95" s="5" t="s">
        <v>3366</v>
      </c>
      <c r="J95" s="4">
        <v>0</v>
      </c>
      <c r="K95" s="5" t="s">
        <v>3363</v>
      </c>
      <c r="L95" s="4" t="s">
        <v>2308</v>
      </c>
      <c r="M95" s="4" t="s">
        <v>2308</v>
      </c>
    </row>
    <row r="96" spans="1:13" ht="36.5" customHeight="1">
      <c r="A96" s="24" t="s">
        <v>3331</v>
      </c>
      <c r="B96" s="24" t="s">
        <v>3356</v>
      </c>
      <c r="C96" s="4" t="s">
        <v>24</v>
      </c>
      <c r="D96" s="4" t="s">
        <v>150</v>
      </c>
      <c r="E96" s="5" t="s">
        <v>143</v>
      </c>
      <c r="F96" s="4" t="s">
        <v>55</v>
      </c>
      <c r="G96" s="4"/>
      <c r="H96" s="4">
        <v>1</v>
      </c>
      <c r="I96" s="5" t="s">
        <v>3367</v>
      </c>
      <c r="J96" s="4"/>
      <c r="K96" s="4"/>
      <c r="L96" s="4" t="s">
        <v>2308</v>
      </c>
      <c r="M96" s="4" t="s">
        <v>2308</v>
      </c>
    </row>
    <row r="97" spans="1:13" ht="36.5" customHeight="1">
      <c r="A97" s="24" t="s">
        <v>3331</v>
      </c>
      <c r="B97" s="24" t="s">
        <v>3357</v>
      </c>
      <c r="C97" s="4" t="s">
        <v>24</v>
      </c>
      <c r="D97" s="4" t="s">
        <v>150</v>
      </c>
      <c r="E97" s="5" t="s">
        <v>143</v>
      </c>
      <c r="F97" s="5" t="s">
        <v>2695</v>
      </c>
      <c r="G97" s="4"/>
      <c r="H97" s="4">
        <v>1</v>
      </c>
      <c r="I97" s="5" t="s">
        <v>3367</v>
      </c>
      <c r="J97" s="4">
        <v>1</v>
      </c>
      <c r="K97" s="5" t="s">
        <v>3367</v>
      </c>
      <c r="L97" s="4" t="s">
        <v>2308</v>
      </c>
      <c r="M97" s="4" t="s">
        <v>2308</v>
      </c>
    </row>
    <row r="98" spans="1:13" ht="36.5" customHeight="1">
      <c r="A98" s="24" t="s">
        <v>3336</v>
      </c>
      <c r="B98" s="24" t="s">
        <v>3358</v>
      </c>
      <c r="C98" s="4" t="s">
        <v>24</v>
      </c>
      <c r="D98" s="4" t="s">
        <v>150</v>
      </c>
      <c r="E98" s="5" t="s">
        <v>143</v>
      </c>
      <c r="F98" s="4" t="s">
        <v>55</v>
      </c>
      <c r="G98" s="4"/>
      <c r="H98" s="4">
        <v>1</v>
      </c>
      <c r="I98" s="5" t="s">
        <v>3367</v>
      </c>
      <c r="J98" s="4">
        <v>1</v>
      </c>
      <c r="K98" s="5" t="s">
        <v>3367</v>
      </c>
      <c r="L98" s="4" t="s">
        <v>2308</v>
      </c>
      <c r="M98" s="4" t="s">
        <v>2308</v>
      </c>
    </row>
    <row r="99" spans="1:13" ht="36.5" customHeight="1">
      <c r="A99" s="24" t="s">
        <v>3336</v>
      </c>
      <c r="B99" s="24" t="s">
        <v>3359</v>
      </c>
      <c r="C99" s="4" t="s">
        <v>24</v>
      </c>
      <c r="D99" s="4" t="s">
        <v>150</v>
      </c>
      <c r="E99" s="5" t="s">
        <v>143</v>
      </c>
      <c r="F99" s="5" t="s">
        <v>2695</v>
      </c>
      <c r="G99" s="4"/>
      <c r="H99" s="4">
        <v>1</v>
      </c>
      <c r="I99" s="5" t="s">
        <v>3367</v>
      </c>
      <c r="J99" s="4">
        <v>1</v>
      </c>
      <c r="K99" s="5" t="s">
        <v>3367</v>
      </c>
      <c r="L99" s="4" t="s">
        <v>2308</v>
      </c>
      <c r="M99" s="4" t="s">
        <v>2308</v>
      </c>
    </row>
    <row r="100" spans="1:13" ht="36.5" customHeight="1">
      <c r="A100" s="24" t="s">
        <v>3337</v>
      </c>
      <c r="B100" s="24" t="s">
        <v>3360</v>
      </c>
      <c r="C100" s="4" t="s">
        <v>24</v>
      </c>
      <c r="D100" s="4" t="s">
        <v>150</v>
      </c>
      <c r="E100" s="5" t="s">
        <v>143</v>
      </c>
      <c r="F100" s="4" t="s">
        <v>55</v>
      </c>
      <c r="G100" s="4"/>
      <c r="H100" s="4">
        <v>1</v>
      </c>
      <c r="I100" s="5" t="s">
        <v>3367</v>
      </c>
      <c r="J100" s="4">
        <v>1</v>
      </c>
      <c r="K100" s="5" t="s">
        <v>3367</v>
      </c>
      <c r="L100" s="4" t="s">
        <v>2308</v>
      </c>
      <c r="M100" s="4" t="s">
        <v>2308</v>
      </c>
    </row>
    <row r="101" spans="1:13" ht="36.5" customHeight="1">
      <c r="A101" s="24" t="s">
        <v>3337</v>
      </c>
      <c r="B101" s="24" t="s">
        <v>3361</v>
      </c>
      <c r="C101" s="4" t="s">
        <v>24</v>
      </c>
      <c r="D101" s="4" t="s">
        <v>150</v>
      </c>
      <c r="E101" s="5" t="s">
        <v>143</v>
      </c>
      <c r="F101" s="5" t="s">
        <v>2695</v>
      </c>
      <c r="G101" s="4"/>
      <c r="H101" s="4">
        <v>1</v>
      </c>
      <c r="I101" s="5" t="s">
        <v>3367</v>
      </c>
      <c r="J101" s="4">
        <v>1</v>
      </c>
      <c r="K101" s="5" t="s">
        <v>3367</v>
      </c>
      <c r="L101" s="4" t="s">
        <v>2308</v>
      </c>
      <c r="M101" s="4" t="s">
        <v>2308</v>
      </c>
    </row>
    <row r="102" spans="1:13" ht="52.5" customHeight="1">
      <c r="A102" s="24" t="s">
        <v>3427</v>
      </c>
      <c r="B102" s="4" t="s">
        <v>3438</v>
      </c>
      <c r="C102" s="4" t="s">
        <v>24</v>
      </c>
      <c r="D102" s="4" t="s">
        <v>2837</v>
      </c>
      <c r="E102" s="5" t="s">
        <v>5065</v>
      </c>
      <c r="F102" s="5" t="s">
        <v>2695</v>
      </c>
      <c r="G102" s="4">
        <v>1968</v>
      </c>
      <c r="H102" s="4">
        <v>2</v>
      </c>
      <c r="I102" s="5" t="s">
        <v>3449</v>
      </c>
      <c r="J102" s="4" t="s">
        <v>2308</v>
      </c>
      <c r="K102" s="4" t="s">
        <v>2308</v>
      </c>
      <c r="L102" s="4" t="s">
        <v>2308</v>
      </c>
      <c r="M102" s="4" t="s">
        <v>2308</v>
      </c>
    </row>
    <row r="103" spans="1:13" ht="52.5" customHeight="1">
      <c r="A103" s="24" t="s">
        <v>3428</v>
      </c>
      <c r="B103" s="4" t="s">
        <v>3439</v>
      </c>
      <c r="C103" s="4" t="s">
        <v>24</v>
      </c>
      <c r="D103" s="4" t="s">
        <v>2837</v>
      </c>
      <c r="E103" s="5" t="s">
        <v>5065</v>
      </c>
      <c r="F103" s="5" t="s">
        <v>2695</v>
      </c>
      <c r="G103" s="4">
        <v>1968</v>
      </c>
      <c r="H103" s="4">
        <v>2</v>
      </c>
      <c r="I103" s="5" t="s">
        <v>3449</v>
      </c>
      <c r="J103" s="4" t="s">
        <v>2308</v>
      </c>
      <c r="K103" s="4" t="s">
        <v>2308</v>
      </c>
      <c r="L103" s="4" t="s">
        <v>2308</v>
      </c>
      <c r="M103" s="4" t="s">
        <v>2308</v>
      </c>
    </row>
    <row r="104" spans="1:13" ht="52.5" customHeight="1">
      <c r="A104" s="24" t="s">
        <v>3432</v>
      </c>
      <c r="B104" s="4" t="s">
        <v>3440</v>
      </c>
      <c r="C104" s="4" t="s">
        <v>24</v>
      </c>
      <c r="D104" s="4" t="s">
        <v>2837</v>
      </c>
      <c r="E104" s="5" t="s">
        <v>5065</v>
      </c>
      <c r="F104" s="5" t="s">
        <v>2695</v>
      </c>
      <c r="G104" s="4">
        <v>1968</v>
      </c>
      <c r="H104" s="4">
        <v>2</v>
      </c>
      <c r="I104" s="5" t="s">
        <v>3449</v>
      </c>
      <c r="J104" s="4" t="s">
        <v>2308</v>
      </c>
      <c r="K104" s="4" t="s">
        <v>2308</v>
      </c>
      <c r="L104" s="4" t="s">
        <v>2308</v>
      </c>
      <c r="M104" s="4" t="s">
        <v>2308</v>
      </c>
    </row>
    <row r="105" spans="1:13" ht="111" customHeight="1">
      <c r="A105" s="4" t="s">
        <v>3462</v>
      </c>
      <c r="B105" s="4" t="s">
        <v>3467</v>
      </c>
      <c r="C105" s="4" t="s">
        <v>24</v>
      </c>
      <c r="D105" s="4" t="s">
        <v>1267</v>
      </c>
      <c r="E105" s="5" t="s">
        <v>116</v>
      </c>
      <c r="F105" s="5" t="s">
        <v>2695</v>
      </c>
      <c r="G105" s="4"/>
      <c r="H105" s="4">
        <v>2</v>
      </c>
      <c r="I105" s="5" t="s">
        <v>3471</v>
      </c>
      <c r="J105" s="4">
        <v>2</v>
      </c>
      <c r="K105" s="4" t="s">
        <v>3466</v>
      </c>
      <c r="L105" s="4" t="s">
        <v>2308</v>
      </c>
      <c r="M105" s="4" t="s">
        <v>2308</v>
      </c>
    </row>
    <row r="106" spans="1:13" ht="80" customHeight="1">
      <c r="A106" s="12" t="s">
        <v>3475</v>
      </c>
      <c r="B106" s="12" t="s">
        <v>3478</v>
      </c>
      <c r="C106" s="4" t="s">
        <v>24</v>
      </c>
      <c r="D106" s="4" t="s">
        <v>1267</v>
      </c>
      <c r="E106" s="5" t="s">
        <v>116</v>
      </c>
      <c r="F106" s="5" t="s">
        <v>2695</v>
      </c>
      <c r="G106" s="4">
        <v>1953</v>
      </c>
      <c r="H106" s="4">
        <v>2</v>
      </c>
      <c r="I106" s="5" t="s">
        <v>3489</v>
      </c>
      <c r="J106" s="4">
        <v>2</v>
      </c>
      <c r="K106" s="5" t="s">
        <v>3490</v>
      </c>
      <c r="L106" s="4" t="s">
        <v>2308</v>
      </c>
      <c r="M106" s="4" t="s">
        <v>2308</v>
      </c>
    </row>
    <row r="107" spans="1:13" ht="193.5" customHeight="1">
      <c r="A107" s="12" t="s">
        <v>3494</v>
      </c>
      <c r="B107" s="12" t="s">
        <v>3496</v>
      </c>
      <c r="C107" s="4" t="s">
        <v>24</v>
      </c>
      <c r="D107" s="4" t="s">
        <v>1125</v>
      </c>
      <c r="E107" s="5" t="s">
        <v>116</v>
      </c>
      <c r="F107" s="5" t="s">
        <v>2695</v>
      </c>
      <c r="G107" s="39"/>
      <c r="H107" s="39">
        <v>2</v>
      </c>
      <c r="I107" s="61" t="s">
        <v>3506</v>
      </c>
      <c r="J107" s="39">
        <v>2</v>
      </c>
      <c r="K107" s="61" t="s">
        <v>3506</v>
      </c>
      <c r="L107" s="39" t="s">
        <v>2308</v>
      </c>
      <c r="M107" s="39" t="s">
        <v>2308</v>
      </c>
    </row>
    <row r="108" spans="1:13" ht="61.5" customHeight="1">
      <c r="A108" s="12" t="s">
        <v>3509</v>
      </c>
      <c r="B108" s="12" t="s">
        <v>3514</v>
      </c>
      <c r="C108" s="4" t="s">
        <v>24</v>
      </c>
      <c r="D108" s="4" t="s">
        <v>27</v>
      </c>
      <c r="E108" s="5" t="s">
        <v>136</v>
      </c>
      <c r="F108" s="4" t="s">
        <v>166</v>
      </c>
      <c r="G108" s="4"/>
      <c r="H108" s="4">
        <v>2</v>
      </c>
      <c r="I108" s="5" t="s">
        <v>3522</v>
      </c>
      <c r="J108" s="4" t="s">
        <v>2308</v>
      </c>
      <c r="K108" s="4" t="s">
        <v>2308</v>
      </c>
      <c r="L108" s="4" t="s">
        <v>2308</v>
      </c>
      <c r="M108" s="4" t="s">
        <v>2308</v>
      </c>
    </row>
    <row r="109" spans="1:13" ht="61.5" customHeight="1">
      <c r="A109" s="12" t="s">
        <v>3509</v>
      </c>
      <c r="B109" s="12" t="s">
        <v>3516</v>
      </c>
      <c r="C109" s="4" t="s">
        <v>24</v>
      </c>
      <c r="D109" s="4" t="s">
        <v>3525</v>
      </c>
      <c r="E109" s="5" t="s">
        <v>877</v>
      </c>
      <c r="F109" s="4" t="s">
        <v>166</v>
      </c>
      <c r="G109" s="4"/>
      <c r="H109" s="4">
        <v>0</v>
      </c>
      <c r="I109" s="5" t="s">
        <v>3523</v>
      </c>
      <c r="J109" s="4" t="s">
        <v>2308</v>
      </c>
      <c r="K109" s="4" t="s">
        <v>2308</v>
      </c>
      <c r="L109" s="4" t="s">
        <v>2308</v>
      </c>
      <c r="M109" s="4" t="s">
        <v>2308</v>
      </c>
    </row>
    <row r="110" spans="1:13" ht="61.5" customHeight="1">
      <c r="A110" s="12" t="s">
        <v>3509</v>
      </c>
      <c r="B110" s="12" t="s">
        <v>3518</v>
      </c>
      <c r="C110" s="4" t="s">
        <v>24</v>
      </c>
      <c r="D110" s="4" t="s">
        <v>3529</v>
      </c>
      <c r="E110" s="5" t="s">
        <v>116</v>
      </c>
      <c r="F110" s="4" t="s">
        <v>74</v>
      </c>
      <c r="G110" s="4"/>
      <c r="H110" s="4">
        <v>0</v>
      </c>
      <c r="I110" s="5" t="s">
        <v>3535</v>
      </c>
      <c r="J110" s="4" t="s">
        <v>2308</v>
      </c>
      <c r="K110" s="4" t="s">
        <v>2308</v>
      </c>
      <c r="L110" s="4" t="s">
        <v>2308</v>
      </c>
      <c r="M110" s="4" t="s">
        <v>2308</v>
      </c>
    </row>
    <row r="111" spans="1:13" ht="151" customHeight="1">
      <c r="A111" s="24" t="s">
        <v>3540</v>
      </c>
      <c r="B111" s="4" t="s">
        <v>3546</v>
      </c>
      <c r="C111" s="4" t="s">
        <v>1125</v>
      </c>
      <c r="D111" s="4" t="s">
        <v>1125</v>
      </c>
      <c r="E111" s="61" t="s">
        <v>3243</v>
      </c>
      <c r="F111" s="4" t="s">
        <v>2308</v>
      </c>
      <c r="G111" s="4"/>
      <c r="H111" s="4" t="s">
        <v>2308</v>
      </c>
      <c r="I111" s="4" t="s">
        <v>2308</v>
      </c>
      <c r="J111" s="4" t="s">
        <v>2308</v>
      </c>
      <c r="K111" s="4" t="s">
        <v>2308</v>
      </c>
      <c r="L111" s="4">
        <v>1</v>
      </c>
      <c r="M111" s="5" t="s">
        <v>3549</v>
      </c>
    </row>
    <row r="112" spans="1:13" ht="109" customHeight="1">
      <c r="A112" s="24" t="s">
        <v>3540</v>
      </c>
      <c r="B112" s="4" t="s">
        <v>3547</v>
      </c>
      <c r="C112" s="4" t="s">
        <v>1125</v>
      </c>
      <c r="D112" s="4" t="s">
        <v>1125</v>
      </c>
      <c r="E112" s="5" t="s">
        <v>404</v>
      </c>
      <c r="F112" s="4" t="s">
        <v>28</v>
      </c>
      <c r="G112" s="4">
        <v>2009</v>
      </c>
      <c r="H112" s="23">
        <v>0</v>
      </c>
      <c r="I112" s="171" t="s">
        <v>3554</v>
      </c>
      <c r="J112" s="4">
        <v>0</v>
      </c>
      <c r="K112" s="171" t="s">
        <v>3554</v>
      </c>
      <c r="L112" s="13">
        <v>0</v>
      </c>
      <c r="M112" s="99" t="s">
        <v>3577</v>
      </c>
    </row>
    <row r="113" spans="1:13" ht="109" customHeight="1">
      <c r="A113" s="24" t="s">
        <v>3540</v>
      </c>
      <c r="B113" s="4" t="s">
        <v>3548</v>
      </c>
      <c r="C113" s="4" t="s">
        <v>1125</v>
      </c>
      <c r="D113" s="4" t="s">
        <v>1125</v>
      </c>
      <c r="E113" s="5" t="s">
        <v>403</v>
      </c>
      <c r="F113" s="4" t="s">
        <v>28</v>
      </c>
      <c r="G113" s="4">
        <v>2009</v>
      </c>
      <c r="H113" s="23">
        <v>0</v>
      </c>
      <c r="I113" s="171" t="s">
        <v>3554</v>
      </c>
      <c r="J113" s="4">
        <v>0</v>
      </c>
      <c r="K113" s="171" t="s">
        <v>3554</v>
      </c>
      <c r="L113" s="13">
        <v>0</v>
      </c>
      <c r="M113" s="99" t="s">
        <v>3577</v>
      </c>
    </row>
    <row r="114" spans="1:13" ht="109" customHeight="1">
      <c r="A114" s="24" t="s">
        <v>3540</v>
      </c>
      <c r="B114" s="4" t="s">
        <v>3551</v>
      </c>
      <c r="C114" s="4" t="s">
        <v>1125</v>
      </c>
      <c r="D114" s="4" t="s">
        <v>1125</v>
      </c>
      <c r="E114" s="5" t="s">
        <v>45</v>
      </c>
      <c r="F114" s="4" t="s">
        <v>29</v>
      </c>
      <c r="G114" s="4">
        <v>2009</v>
      </c>
      <c r="H114" s="23">
        <v>0</v>
      </c>
      <c r="I114" s="171" t="s">
        <v>3554</v>
      </c>
      <c r="J114" s="4">
        <v>0</v>
      </c>
      <c r="K114" s="171" t="s">
        <v>3554</v>
      </c>
      <c r="L114" s="13">
        <v>0</v>
      </c>
      <c r="M114" s="99" t="s">
        <v>3577</v>
      </c>
    </row>
    <row r="115" spans="1:13" ht="109" customHeight="1">
      <c r="A115" s="24" t="s">
        <v>3540</v>
      </c>
      <c r="B115" s="4" t="s">
        <v>3552</v>
      </c>
      <c r="C115" s="4" t="s">
        <v>1125</v>
      </c>
      <c r="D115" s="4" t="s">
        <v>1125</v>
      </c>
      <c r="E115" s="5" t="s">
        <v>404</v>
      </c>
      <c r="F115" s="4" t="s">
        <v>28</v>
      </c>
      <c r="G115" s="4">
        <v>2010</v>
      </c>
      <c r="H115" s="23">
        <v>0</v>
      </c>
      <c r="I115" s="171" t="s">
        <v>3556</v>
      </c>
      <c r="J115" s="4">
        <v>0</v>
      </c>
      <c r="K115" s="171" t="s">
        <v>3556</v>
      </c>
      <c r="L115" s="13">
        <v>0</v>
      </c>
      <c r="M115" s="99" t="s">
        <v>3577</v>
      </c>
    </row>
    <row r="116" spans="1:13" ht="109" customHeight="1">
      <c r="A116" s="24" t="s">
        <v>3540</v>
      </c>
      <c r="B116" s="4" t="s">
        <v>3553</v>
      </c>
      <c r="C116" s="4" t="s">
        <v>1125</v>
      </c>
      <c r="D116" s="4" t="s">
        <v>1125</v>
      </c>
      <c r="E116" s="5" t="s">
        <v>403</v>
      </c>
      <c r="F116" s="4" t="s">
        <v>28</v>
      </c>
      <c r="G116" s="4">
        <v>2010</v>
      </c>
      <c r="H116" s="23">
        <v>0</v>
      </c>
      <c r="I116" s="171" t="s">
        <v>3556</v>
      </c>
      <c r="J116" s="4">
        <v>0</v>
      </c>
      <c r="K116" s="171" t="s">
        <v>3556</v>
      </c>
      <c r="L116" s="13">
        <v>0</v>
      </c>
      <c r="M116" s="99" t="s">
        <v>3577</v>
      </c>
    </row>
    <row r="117" spans="1:13" ht="109" customHeight="1">
      <c r="A117" s="24" t="s">
        <v>3540</v>
      </c>
      <c r="B117" s="4" t="s">
        <v>3555</v>
      </c>
      <c r="C117" s="4" t="s">
        <v>1125</v>
      </c>
      <c r="D117" s="4" t="s">
        <v>1125</v>
      </c>
      <c r="E117" s="5" t="s">
        <v>45</v>
      </c>
      <c r="F117" s="4" t="s">
        <v>29</v>
      </c>
      <c r="G117" s="4">
        <v>2010</v>
      </c>
      <c r="H117" s="23">
        <v>0</v>
      </c>
      <c r="I117" s="171" t="s">
        <v>3556</v>
      </c>
      <c r="J117" s="4">
        <v>0</v>
      </c>
      <c r="K117" s="171" t="s">
        <v>3556</v>
      </c>
      <c r="L117" s="13">
        <v>0</v>
      </c>
      <c r="M117" s="99" t="s">
        <v>3577</v>
      </c>
    </row>
    <row r="118" spans="1:13" ht="109" customHeight="1">
      <c r="A118" s="24" t="s">
        <v>3540</v>
      </c>
      <c r="B118" s="4" t="s">
        <v>3557</v>
      </c>
      <c r="C118" s="4" t="s">
        <v>1125</v>
      </c>
      <c r="D118" s="4" t="s">
        <v>1125</v>
      </c>
      <c r="E118" s="5" t="s">
        <v>404</v>
      </c>
      <c r="F118" s="4" t="s">
        <v>28</v>
      </c>
      <c r="G118" s="4">
        <v>2011</v>
      </c>
      <c r="H118" s="23">
        <v>1</v>
      </c>
      <c r="I118" s="171" t="s">
        <v>3560</v>
      </c>
      <c r="J118" s="23">
        <v>1</v>
      </c>
      <c r="K118" s="171" t="s">
        <v>3560</v>
      </c>
      <c r="L118" s="13">
        <v>1</v>
      </c>
      <c r="M118" s="99" t="s">
        <v>3573</v>
      </c>
    </row>
    <row r="119" spans="1:13" ht="109" customHeight="1">
      <c r="A119" s="24" t="s">
        <v>3540</v>
      </c>
      <c r="B119" s="4" t="s">
        <v>3558</v>
      </c>
      <c r="C119" s="4" t="s">
        <v>1125</v>
      </c>
      <c r="D119" s="4" t="s">
        <v>1125</v>
      </c>
      <c r="E119" s="5" t="s">
        <v>403</v>
      </c>
      <c r="F119" s="4" t="s">
        <v>28</v>
      </c>
      <c r="G119" s="4">
        <v>2011</v>
      </c>
      <c r="H119" s="23">
        <v>1</v>
      </c>
      <c r="I119" s="171" t="s">
        <v>3560</v>
      </c>
      <c r="J119" s="23">
        <v>1</v>
      </c>
      <c r="K119" s="171" t="s">
        <v>3560</v>
      </c>
      <c r="L119" s="13">
        <v>1</v>
      </c>
      <c r="M119" s="99" t="s">
        <v>3573</v>
      </c>
    </row>
    <row r="120" spans="1:13" ht="109" customHeight="1">
      <c r="A120" s="24" t="s">
        <v>3540</v>
      </c>
      <c r="B120" s="4" t="s">
        <v>3559</v>
      </c>
      <c r="C120" s="4" t="s">
        <v>1125</v>
      </c>
      <c r="D120" s="4" t="s">
        <v>1125</v>
      </c>
      <c r="E120" s="5" t="s">
        <v>45</v>
      </c>
      <c r="F120" s="4" t="s">
        <v>29</v>
      </c>
      <c r="G120" s="4">
        <v>2011</v>
      </c>
      <c r="H120" s="23">
        <v>1</v>
      </c>
      <c r="I120" s="171" t="s">
        <v>3560</v>
      </c>
      <c r="J120" s="23">
        <v>1</v>
      </c>
      <c r="K120" s="171" t="s">
        <v>3560</v>
      </c>
      <c r="L120" s="13">
        <v>1</v>
      </c>
      <c r="M120" s="99" t="s">
        <v>3573</v>
      </c>
    </row>
    <row r="121" spans="1:13" ht="109" customHeight="1">
      <c r="A121" s="24" t="s">
        <v>3540</v>
      </c>
      <c r="B121" s="4" t="s">
        <v>3561</v>
      </c>
      <c r="C121" s="4" t="s">
        <v>1125</v>
      </c>
      <c r="D121" s="4" t="s">
        <v>1125</v>
      </c>
      <c r="E121" s="5" t="s">
        <v>404</v>
      </c>
      <c r="F121" s="4" t="s">
        <v>28</v>
      </c>
      <c r="G121" s="4">
        <v>2012</v>
      </c>
      <c r="H121" s="23">
        <v>1</v>
      </c>
      <c r="I121" s="171" t="s">
        <v>3564</v>
      </c>
      <c r="J121" s="23">
        <v>1</v>
      </c>
      <c r="K121" s="171" t="s">
        <v>3564</v>
      </c>
      <c r="L121" s="13">
        <v>1</v>
      </c>
      <c r="M121" s="99" t="s">
        <v>3572</v>
      </c>
    </row>
    <row r="122" spans="1:13" ht="109" customHeight="1">
      <c r="A122" s="24" t="s">
        <v>3540</v>
      </c>
      <c r="B122" s="4" t="s">
        <v>3562</v>
      </c>
      <c r="C122" s="4" t="s">
        <v>1125</v>
      </c>
      <c r="D122" s="4" t="s">
        <v>1125</v>
      </c>
      <c r="E122" s="5" t="s">
        <v>403</v>
      </c>
      <c r="F122" s="4" t="s">
        <v>28</v>
      </c>
      <c r="G122" s="4">
        <v>2012</v>
      </c>
      <c r="H122" s="23">
        <v>1</v>
      </c>
      <c r="I122" s="171" t="s">
        <v>3564</v>
      </c>
      <c r="J122" s="23">
        <v>1</v>
      </c>
      <c r="K122" s="171" t="s">
        <v>3564</v>
      </c>
      <c r="L122" s="13">
        <v>1</v>
      </c>
      <c r="M122" s="99" t="s">
        <v>3572</v>
      </c>
    </row>
    <row r="123" spans="1:13" ht="109" customHeight="1">
      <c r="A123" s="24" t="s">
        <v>3540</v>
      </c>
      <c r="B123" s="4" t="s">
        <v>3563</v>
      </c>
      <c r="C123" s="4" t="s">
        <v>1125</v>
      </c>
      <c r="D123" s="4" t="s">
        <v>1125</v>
      </c>
      <c r="E123" s="5" t="s">
        <v>45</v>
      </c>
      <c r="F123" s="4" t="s">
        <v>29</v>
      </c>
      <c r="G123" s="4">
        <v>2012</v>
      </c>
      <c r="H123" s="23">
        <v>1</v>
      </c>
      <c r="I123" s="171" t="s">
        <v>3564</v>
      </c>
      <c r="J123" s="23">
        <v>1</v>
      </c>
      <c r="K123" s="171" t="s">
        <v>3564</v>
      </c>
      <c r="L123" s="13">
        <v>1</v>
      </c>
      <c r="M123" s="99" t="s">
        <v>3572</v>
      </c>
    </row>
    <row r="124" spans="1:13" ht="109" customHeight="1">
      <c r="A124" s="24" t="s">
        <v>3540</v>
      </c>
      <c r="B124" s="4" t="s">
        <v>3565</v>
      </c>
      <c r="C124" s="4" t="s">
        <v>1125</v>
      </c>
      <c r="D124" s="4" t="s">
        <v>1125</v>
      </c>
      <c r="E124" s="5" t="s">
        <v>404</v>
      </c>
      <c r="F124" s="4" t="s">
        <v>28</v>
      </c>
      <c r="G124" s="4">
        <v>2013</v>
      </c>
      <c r="H124" s="23">
        <v>1</v>
      </c>
      <c r="I124" s="171" t="s">
        <v>3564</v>
      </c>
      <c r="J124" s="23">
        <v>1</v>
      </c>
      <c r="K124" s="171" t="s">
        <v>3564</v>
      </c>
      <c r="L124" s="13">
        <v>1</v>
      </c>
      <c r="M124" s="99" t="s">
        <v>3574</v>
      </c>
    </row>
    <row r="125" spans="1:13" ht="109" customHeight="1">
      <c r="A125" s="24" t="s">
        <v>3540</v>
      </c>
      <c r="B125" s="4" t="s">
        <v>3566</v>
      </c>
      <c r="C125" s="4" t="s">
        <v>1125</v>
      </c>
      <c r="D125" s="4" t="s">
        <v>1125</v>
      </c>
      <c r="E125" s="5" t="s">
        <v>403</v>
      </c>
      <c r="F125" s="4" t="s">
        <v>28</v>
      </c>
      <c r="G125" s="4">
        <v>2013</v>
      </c>
      <c r="H125" s="23">
        <v>1</v>
      </c>
      <c r="I125" s="171" t="s">
        <v>3564</v>
      </c>
      <c r="J125" s="23">
        <v>1</v>
      </c>
      <c r="K125" s="171" t="s">
        <v>3564</v>
      </c>
      <c r="L125" s="13">
        <v>1</v>
      </c>
      <c r="M125" s="99" t="s">
        <v>3574</v>
      </c>
    </row>
    <row r="126" spans="1:13" ht="109" customHeight="1">
      <c r="A126" s="24" t="s">
        <v>3540</v>
      </c>
      <c r="B126" s="4" t="s">
        <v>3567</v>
      </c>
      <c r="C126" s="4" t="s">
        <v>1125</v>
      </c>
      <c r="D126" s="4" t="s">
        <v>1125</v>
      </c>
      <c r="E126" s="5" t="s">
        <v>45</v>
      </c>
      <c r="F126" s="4" t="s">
        <v>29</v>
      </c>
      <c r="G126" s="4">
        <v>2013</v>
      </c>
      <c r="H126" s="23">
        <v>1</v>
      </c>
      <c r="I126" s="171" t="s">
        <v>3564</v>
      </c>
      <c r="J126" s="23">
        <v>1</v>
      </c>
      <c r="K126" s="171" t="s">
        <v>3564</v>
      </c>
      <c r="L126" s="13">
        <v>1</v>
      </c>
      <c r="M126" s="99" t="s">
        <v>3574</v>
      </c>
    </row>
    <row r="127" spans="1:13" ht="109" customHeight="1">
      <c r="A127" s="24" t="s">
        <v>3540</v>
      </c>
      <c r="B127" s="4" t="s">
        <v>3568</v>
      </c>
      <c r="C127" s="4" t="s">
        <v>1125</v>
      </c>
      <c r="D127" s="4" t="s">
        <v>1125</v>
      </c>
      <c r="E127" s="5" t="s">
        <v>404</v>
      </c>
      <c r="F127" s="4" t="s">
        <v>28</v>
      </c>
      <c r="G127" s="4">
        <v>2014</v>
      </c>
      <c r="H127" s="23">
        <v>1</v>
      </c>
      <c r="I127" s="171" t="s">
        <v>3571</v>
      </c>
      <c r="J127" s="23">
        <v>1</v>
      </c>
      <c r="K127" s="171" t="s">
        <v>3564</v>
      </c>
      <c r="L127" s="13">
        <v>1</v>
      </c>
      <c r="M127" s="99" t="s">
        <v>3575</v>
      </c>
    </row>
    <row r="128" spans="1:13" ht="109" customHeight="1">
      <c r="A128" s="24" t="s">
        <v>3540</v>
      </c>
      <c r="B128" s="4" t="s">
        <v>3569</v>
      </c>
      <c r="C128" s="4" t="s">
        <v>1125</v>
      </c>
      <c r="D128" s="4" t="s">
        <v>1125</v>
      </c>
      <c r="E128" s="5" t="s">
        <v>403</v>
      </c>
      <c r="F128" s="4" t="s">
        <v>28</v>
      </c>
      <c r="G128" s="4">
        <v>2014</v>
      </c>
      <c r="H128" s="23">
        <v>1</v>
      </c>
      <c r="I128" s="171" t="s">
        <v>3564</v>
      </c>
      <c r="J128" s="23">
        <v>1</v>
      </c>
      <c r="K128" s="171" t="s">
        <v>3564</v>
      </c>
      <c r="L128" s="13">
        <v>1</v>
      </c>
      <c r="M128" s="99" t="s">
        <v>3575</v>
      </c>
    </row>
    <row r="129" spans="1:13" ht="109" customHeight="1">
      <c r="A129" s="24" t="s">
        <v>3540</v>
      </c>
      <c r="B129" s="4" t="s">
        <v>3570</v>
      </c>
      <c r="C129" s="4" t="s">
        <v>1125</v>
      </c>
      <c r="D129" s="4" t="s">
        <v>1125</v>
      </c>
      <c r="E129" s="5" t="s">
        <v>45</v>
      </c>
      <c r="F129" s="4" t="s">
        <v>29</v>
      </c>
      <c r="G129" s="4">
        <v>2014</v>
      </c>
      <c r="H129" s="23">
        <v>1</v>
      </c>
      <c r="I129" s="171" t="s">
        <v>3564</v>
      </c>
      <c r="J129" s="23">
        <v>1</v>
      </c>
      <c r="K129" s="171" t="s">
        <v>3564</v>
      </c>
      <c r="L129" s="13">
        <v>1</v>
      </c>
      <c r="M129" s="99" t="s">
        <v>3575</v>
      </c>
    </row>
    <row r="130" spans="1:13" ht="97" customHeight="1">
      <c r="A130" s="24" t="s">
        <v>3541</v>
      </c>
      <c r="B130" s="4" t="s">
        <v>3543</v>
      </c>
      <c r="C130" s="4" t="s">
        <v>1125</v>
      </c>
      <c r="D130" s="4" t="s">
        <v>1125</v>
      </c>
      <c r="E130" s="5" t="s">
        <v>1125</v>
      </c>
      <c r="F130" s="4" t="s">
        <v>2696</v>
      </c>
      <c r="G130" s="4"/>
      <c r="H130" s="4" t="s">
        <v>2308</v>
      </c>
      <c r="I130" s="4" t="s">
        <v>2308</v>
      </c>
      <c r="J130" s="4" t="s">
        <v>2308</v>
      </c>
      <c r="K130" s="4" t="s">
        <v>2308</v>
      </c>
      <c r="L130" s="4">
        <v>3</v>
      </c>
      <c r="M130" s="5" t="s">
        <v>3545</v>
      </c>
    </row>
    <row r="131" spans="1:13" ht="102" customHeight="1">
      <c r="A131" s="24" t="s">
        <v>3541</v>
      </c>
      <c r="B131" s="4" t="s">
        <v>3544</v>
      </c>
      <c r="C131" s="4" t="s">
        <v>1125</v>
      </c>
      <c r="D131" s="4" t="s">
        <v>1125</v>
      </c>
      <c r="E131" s="5" t="s">
        <v>84</v>
      </c>
      <c r="F131" s="4" t="s">
        <v>28</v>
      </c>
      <c r="G131" s="4"/>
      <c r="H131" s="4" t="s">
        <v>2308</v>
      </c>
      <c r="I131" s="4" t="s">
        <v>2308</v>
      </c>
      <c r="J131" s="4" t="s">
        <v>2308</v>
      </c>
      <c r="K131" s="4" t="s">
        <v>2308</v>
      </c>
      <c r="L131" s="4">
        <v>3</v>
      </c>
      <c r="M131" s="5" t="s">
        <v>3545</v>
      </c>
    </row>
    <row r="132" spans="1:13" ht="94" customHeight="1">
      <c r="A132" s="27" t="s">
        <v>3579</v>
      </c>
      <c r="B132" s="5" t="s">
        <v>3582</v>
      </c>
      <c r="C132" s="5" t="s">
        <v>24</v>
      </c>
      <c r="D132" s="5" t="s">
        <v>1125</v>
      </c>
      <c r="E132" s="5" t="s">
        <v>5065</v>
      </c>
      <c r="F132" s="5" t="s">
        <v>2695</v>
      </c>
      <c r="G132" s="4"/>
      <c r="H132" s="4">
        <v>2</v>
      </c>
      <c r="I132" s="5" t="s">
        <v>3596</v>
      </c>
      <c r="J132" s="4">
        <v>2</v>
      </c>
      <c r="K132" s="5" t="s">
        <v>3598</v>
      </c>
      <c r="L132" s="4">
        <v>2</v>
      </c>
      <c r="M132" s="5" t="s">
        <v>3597</v>
      </c>
    </row>
    <row r="133" spans="1:13" ht="60.5" customHeight="1">
      <c r="A133" s="27" t="s">
        <v>3581</v>
      </c>
      <c r="B133" s="5" t="s">
        <v>3622</v>
      </c>
      <c r="C133" s="5" t="s">
        <v>24</v>
      </c>
      <c r="D133" s="5" t="s">
        <v>1125</v>
      </c>
      <c r="E133" s="5" t="s">
        <v>5065</v>
      </c>
      <c r="F133" s="5" t="s">
        <v>2695</v>
      </c>
      <c r="G133" s="4"/>
      <c r="H133" s="4">
        <v>1</v>
      </c>
      <c r="I133" s="5" t="s">
        <v>3624</v>
      </c>
      <c r="J133" s="4">
        <v>1</v>
      </c>
      <c r="K133" s="5" t="s">
        <v>3624</v>
      </c>
      <c r="L133" s="4">
        <v>1</v>
      </c>
      <c r="M133" s="5" t="s">
        <v>3624</v>
      </c>
    </row>
    <row r="134" spans="1:13" ht="30" customHeight="1">
      <c r="A134" s="24" t="s">
        <v>3674</v>
      </c>
      <c r="B134" s="12" t="s">
        <v>3684</v>
      </c>
      <c r="C134" s="5" t="s">
        <v>24</v>
      </c>
      <c r="D134" s="4" t="s">
        <v>27</v>
      </c>
      <c r="E134" s="5" t="s">
        <v>136</v>
      </c>
      <c r="F134" s="4" t="s">
        <v>2308</v>
      </c>
      <c r="G134" s="4"/>
      <c r="H134" s="4">
        <v>2</v>
      </c>
      <c r="I134" s="20" t="s">
        <v>3709</v>
      </c>
      <c r="J134" s="4" t="s">
        <v>2308</v>
      </c>
      <c r="K134" s="4" t="s">
        <v>2308</v>
      </c>
      <c r="L134" s="4" t="s">
        <v>2308</v>
      </c>
      <c r="M134" s="4" t="s">
        <v>2308</v>
      </c>
    </row>
    <row r="135" spans="1:13" ht="30" customHeight="1">
      <c r="A135" s="24" t="s">
        <v>3675</v>
      </c>
      <c r="B135" s="12" t="s">
        <v>3685</v>
      </c>
      <c r="C135" s="5" t="s">
        <v>24</v>
      </c>
      <c r="D135" s="4" t="s">
        <v>27</v>
      </c>
      <c r="E135" s="5" t="s">
        <v>136</v>
      </c>
      <c r="F135" s="4" t="s">
        <v>2308</v>
      </c>
      <c r="G135" s="4"/>
      <c r="H135" s="4">
        <v>2</v>
      </c>
      <c r="I135" s="20" t="s">
        <v>3709</v>
      </c>
      <c r="J135" s="4" t="s">
        <v>2308</v>
      </c>
      <c r="K135" s="4" t="s">
        <v>2308</v>
      </c>
      <c r="L135" s="4" t="s">
        <v>2308</v>
      </c>
      <c r="M135" s="4" t="s">
        <v>2308</v>
      </c>
    </row>
    <row r="136" spans="1:13" ht="30" customHeight="1">
      <c r="A136" s="24" t="s">
        <v>3678</v>
      </c>
      <c r="B136" s="12" t="s">
        <v>3686</v>
      </c>
      <c r="C136" s="5" t="s">
        <v>24</v>
      </c>
      <c r="D136" s="4" t="s">
        <v>27</v>
      </c>
      <c r="E136" s="5" t="s">
        <v>136</v>
      </c>
      <c r="F136" s="4" t="s">
        <v>2308</v>
      </c>
      <c r="G136" s="4"/>
      <c r="H136" s="4">
        <v>2</v>
      </c>
      <c r="I136" s="20" t="s">
        <v>3709</v>
      </c>
      <c r="J136" s="4" t="s">
        <v>2308</v>
      </c>
      <c r="K136" s="4" t="s">
        <v>2308</v>
      </c>
      <c r="L136" s="4" t="s">
        <v>2308</v>
      </c>
      <c r="M136" s="4" t="s">
        <v>2308</v>
      </c>
    </row>
    <row r="137" spans="1:13" ht="33" customHeight="1">
      <c r="A137" s="24" t="s">
        <v>3674</v>
      </c>
      <c r="B137" s="12" t="s">
        <v>3688</v>
      </c>
      <c r="C137" s="5" t="s">
        <v>24</v>
      </c>
      <c r="D137" s="4" t="s">
        <v>1125</v>
      </c>
      <c r="E137" s="5" t="s">
        <v>3243</v>
      </c>
      <c r="F137" s="4" t="s">
        <v>2308</v>
      </c>
      <c r="G137" s="4"/>
      <c r="H137" s="4" t="s">
        <v>2308</v>
      </c>
      <c r="I137" s="4" t="s">
        <v>2308</v>
      </c>
      <c r="J137" s="4">
        <v>2</v>
      </c>
      <c r="K137" s="5" t="s">
        <v>3711</v>
      </c>
      <c r="L137" s="4">
        <v>2</v>
      </c>
      <c r="M137" s="5" t="s">
        <v>3710</v>
      </c>
    </row>
    <row r="138" spans="1:13" ht="33" customHeight="1">
      <c r="A138" s="24" t="s">
        <v>3675</v>
      </c>
      <c r="B138" s="12" t="s">
        <v>3689</v>
      </c>
      <c r="C138" s="5" t="s">
        <v>24</v>
      </c>
      <c r="D138" s="4" t="s">
        <v>1125</v>
      </c>
      <c r="E138" s="5" t="s">
        <v>3243</v>
      </c>
      <c r="F138" s="4" t="s">
        <v>2308</v>
      </c>
      <c r="G138" s="4"/>
      <c r="H138" s="4" t="s">
        <v>2308</v>
      </c>
      <c r="I138" s="4" t="s">
        <v>2308</v>
      </c>
      <c r="J138" s="4">
        <v>2</v>
      </c>
      <c r="K138" s="5" t="s">
        <v>3711</v>
      </c>
      <c r="L138" s="4">
        <v>2</v>
      </c>
      <c r="M138" s="5" t="s">
        <v>3710</v>
      </c>
    </row>
    <row r="139" spans="1:13" ht="33" customHeight="1">
      <c r="A139" s="24" t="s">
        <v>3678</v>
      </c>
      <c r="B139" s="12" t="s">
        <v>3690</v>
      </c>
      <c r="C139" s="5" t="s">
        <v>24</v>
      </c>
      <c r="D139" s="4" t="s">
        <v>1125</v>
      </c>
      <c r="E139" s="5" t="s">
        <v>3243</v>
      </c>
      <c r="F139" s="4" t="s">
        <v>2308</v>
      </c>
      <c r="G139" s="4"/>
      <c r="H139" s="4" t="s">
        <v>2308</v>
      </c>
      <c r="I139" s="4" t="s">
        <v>2308</v>
      </c>
      <c r="J139" s="4">
        <v>2</v>
      </c>
      <c r="K139" s="5" t="s">
        <v>3711</v>
      </c>
      <c r="L139" s="4">
        <v>2</v>
      </c>
      <c r="M139" s="5" t="s">
        <v>3710</v>
      </c>
    </row>
    <row r="140" spans="1:13" ht="83.5" customHeight="1">
      <c r="A140" s="24" t="s">
        <v>3713</v>
      </c>
      <c r="B140" s="12" t="s">
        <v>3718</v>
      </c>
      <c r="C140" s="4" t="s">
        <v>1125</v>
      </c>
      <c r="D140" s="4" t="s">
        <v>1125</v>
      </c>
      <c r="E140" s="5" t="s">
        <v>404</v>
      </c>
      <c r="F140" s="4" t="s">
        <v>2308</v>
      </c>
      <c r="G140" s="4">
        <v>2009</v>
      </c>
      <c r="H140" s="4">
        <v>0</v>
      </c>
      <c r="I140" s="5" t="s">
        <v>3742</v>
      </c>
      <c r="J140" s="4" t="s">
        <v>2308</v>
      </c>
      <c r="K140" s="4" t="s">
        <v>2308</v>
      </c>
      <c r="L140" s="4" t="s">
        <v>2308</v>
      </c>
      <c r="M140" s="4" t="s">
        <v>2308</v>
      </c>
    </row>
    <row r="141" spans="1:13" ht="82" customHeight="1">
      <c r="A141" s="24" t="s">
        <v>3713</v>
      </c>
      <c r="B141" s="12" t="s">
        <v>3719</v>
      </c>
      <c r="C141" s="4" t="s">
        <v>1125</v>
      </c>
      <c r="D141" s="4" t="s">
        <v>1125</v>
      </c>
      <c r="E141" s="5" t="s">
        <v>403</v>
      </c>
      <c r="F141" s="4" t="s">
        <v>2308</v>
      </c>
      <c r="G141" s="4">
        <v>2009</v>
      </c>
      <c r="H141" s="4">
        <v>0</v>
      </c>
      <c r="I141" s="5" t="s">
        <v>3742</v>
      </c>
      <c r="J141" s="4" t="s">
        <v>2308</v>
      </c>
      <c r="K141" s="4" t="s">
        <v>2308</v>
      </c>
      <c r="L141" s="4" t="s">
        <v>2308</v>
      </c>
      <c r="M141" s="4" t="s">
        <v>2308</v>
      </c>
    </row>
    <row r="142" spans="1:13" ht="72.5">
      <c r="A142" s="24" t="s">
        <v>3713</v>
      </c>
      <c r="B142" s="12" t="s">
        <v>3720</v>
      </c>
      <c r="C142" s="4" t="s">
        <v>1125</v>
      </c>
      <c r="D142" s="4" t="s">
        <v>1125</v>
      </c>
      <c r="E142" s="5" t="s">
        <v>404</v>
      </c>
      <c r="F142" s="4" t="s">
        <v>2308</v>
      </c>
      <c r="G142" s="4">
        <v>2010</v>
      </c>
      <c r="H142" s="4">
        <v>0</v>
      </c>
      <c r="I142" s="5" t="s">
        <v>3742</v>
      </c>
      <c r="J142" s="4" t="s">
        <v>2308</v>
      </c>
      <c r="K142" s="4" t="s">
        <v>2308</v>
      </c>
      <c r="L142" s="4" t="s">
        <v>2308</v>
      </c>
      <c r="M142" s="4" t="s">
        <v>2308</v>
      </c>
    </row>
    <row r="143" spans="1:13" ht="72.5">
      <c r="A143" s="24" t="s">
        <v>3713</v>
      </c>
      <c r="B143" s="12" t="s">
        <v>3721</v>
      </c>
      <c r="C143" s="4" t="s">
        <v>1125</v>
      </c>
      <c r="D143" s="4" t="s">
        <v>1125</v>
      </c>
      <c r="E143" s="5" t="s">
        <v>403</v>
      </c>
      <c r="F143" s="4" t="s">
        <v>2308</v>
      </c>
      <c r="G143" s="4">
        <v>2010</v>
      </c>
      <c r="H143" s="4">
        <v>0</v>
      </c>
      <c r="I143" s="5" t="s">
        <v>3742</v>
      </c>
      <c r="J143" s="4" t="s">
        <v>2308</v>
      </c>
      <c r="K143" s="4" t="s">
        <v>2308</v>
      </c>
      <c r="L143" s="4" t="s">
        <v>2308</v>
      </c>
      <c r="M143" s="4" t="s">
        <v>2308</v>
      </c>
    </row>
    <row r="144" spans="1:13" ht="45.5" customHeight="1">
      <c r="A144" s="24" t="s">
        <v>3713</v>
      </c>
      <c r="B144" s="12" t="s">
        <v>3723</v>
      </c>
      <c r="C144" s="4" t="s">
        <v>1125</v>
      </c>
      <c r="D144" s="4" t="s">
        <v>1125</v>
      </c>
      <c r="E144" s="5" t="s">
        <v>404</v>
      </c>
      <c r="F144" s="4" t="s">
        <v>2308</v>
      </c>
      <c r="G144" s="4">
        <v>2011</v>
      </c>
      <c r="H144" s="4">
        <v>1</v>
      </c>
      <c r="I144" s="20" t="s">
        <v>3747</v>
      </c>
      <c r="J144" s="4" t="s">
        <v>2308</v>
      </c>
      <c r="K144" s="4" t="s">
        <v>2308</v>
      </c>
      <c r="L144" s="4" t="s">
        <v>2308</v>
      </c>
      <c r="M144" s="4" t="s">
        <v>2308</v>
      </c>
    </row>
    <row r="145" spans="1:13" ht="51" customHeight="1">
      <c r="A145" s="24" t="s">
        <v>3713</v>
      </c>
      <c r="B145" s="12" t="s">
        <v>3725</v>
      </c>
      <c r="C145" s="4" t="s">
        <v>1125</v>
      </c>
      <c r="D145" s="4" t="s">
        <v>1125</v>
      </c>
      <c r="E145" s="5" t="s">
        <v>403</v>
      </c>
      <c r="F145" s="4" t="s">
        <v>2308</v>
      </c>
      <c r="G145" s="4">
        <v>2011</v>
      </c>
      <c r="H145" s="4">
        <v>1</v>
      </c>
      <c r="I145" s="20" t="s">
        <v>3747</v>
      </c>
      <c r="J145" s="4" t="s">
        <v>2308</v>
      </c>
      <c r="K145" s="4" t="s">
        <v>2308</v>
      </c>
      <c r="L145" s="4" t="s">
        <v>2308</v>
      </c>
      <c r="M145" s="4" t="s">
        <v>2308</v>
      </c>
    </row>
    <row r="146" spans="1:13" ht="46.5" customHeight="1">
      <c r="A146" s="24" t="s">
        <v>3713</v>
      </c>
      <c r="B146" s="12" t="s">
        <v>3726</v>
      </c>
      <c r="C146" s="4" t="s">
        <v>1125</v>
      </c>
      <c r="D146" s="4" t="s">
        <v>1125</v>
      </c>
      <c r="E146" s="5" t="s">
        <v>404</v>
      </c>
      <c r="F146" s="4" t="s">
        <v>2308</v>
      </c>
      <c r="G146" s="4">
        <v>2012</v>
      </c>
      <c r="H146" s="4">
        <v>1</v>
      </c>
      <c r="I146" s="20" t="s">
        <v>3747</v>
      </c>
      <c r="J146" s="4" t="s">
        <v>2308</v>
      </c>
      <c r="K146" s="4" t="s">
        <v>2308</v>
      </c>
      <c r="L146" s="4" t="s">
        <v>2308</v>
      </c>
      <c r="M146" s="4" t="s">
        <v>2308</v>
      </c>
    </row>
    <row r="147" spans="1:13" ht="46.5" customHeight="1">
      <c r="A147" s="24" t="s">
        <v>3713</v>
      </c>
      <c r="B147" s="12" t="s">
        <v>3727</v>
      </c>
      <c r="C147" s="4" t="s">
        <v>1125</v>
      </c>
      <c r="D147" s="4" t="s">
        <v>1125</v>
      </c>
      <c r="E147" s="5" t="s">
        <v>403</v>
      </c>
      <c r="F147" s="4" t="s">
        <v>2308</v>
      </c>
      <c r="G147" s="4">
        <v>2012</v>
      </c>
      <c r="H147" s="4">
        <v>1</v>
      </c>
      <c r="I147" s="20" t="s">
        <v>3747</v>
      </c>
      <c r="J147" s="4" t="s">
        <v>2308</v>
      </c>
      <c r="K147" s="4" t="s">
        <v>2308</v>
      </c>
      <c r="L147" s="4" t="s">
        <v>2308</v>
      </c>
      <c r="M147" s="4" t="s">
        <v>2308</v>
      </c>
    </row>
    <row r="148" spans="1:13" ht="36.5" customHeight="1">
      <c r="A148" s="24" t="s">
        <v>3749</v>
      </c>
      <c r="B148" s="4" t="s">
        <v>3760</v>
      </c>
      <c r="C148" s="4" t="s">
        <v>1125</v>
      </c>
      <c r="D148" s="4" t="s">
        <v>1125</v>
      </c>
      <c r="E148" s="5" t="s">
        <v>2682</v>
      </c>
      <c r="F148" s="4" t="s">
        <v>74</v>
      </c>
      <c r="G148" s="4"/>
      <c r="H148" s="4" t="s">
        <v>2308</v>
      </c>
      <c r="I148" s="4" t="s">
        <v>2308</v>
      </c>
      <c r="J148" s="4" t="s">
        <v>2308</v>
      </c>
      <c r="K148" s="4" t="s">
        <v>2308</v>
      </c>
      <c r="L148" s="4">
        <v>3</v>
      </c>
      <c r="M148" s="4" t="s">
        <v>3762</v>
      </c>
    </row>
    <row r="149" spans="1:13" ht="40" customHeight="1">
      <c r="A149" s="24" t="s">
        <v>3749</v>
      </c>
      <c r="B149" s="4" t="s">
        <v>3758</v>
      </c>
      <c r="C149" s="4" t="s">
        <v>1125</v>
      </c>
      <c r="D149" s="4" t="s">
        <v>1125</v>
      </c>
      <c r="E149" s="5" t="s">
        <v>2682</v>
      </c>
      <c r="F149" s="4" t="s">
        <v>2696</v>
      </c>
      <c r="G149" s="4"/>
      <c r="H149" s="4" t="s">
        <v>2308</v>
      </c>
      <c r="I149" s="4" t="s">
        <v>2308</v>
      </c>
      <c r="J149" s="4" t="s">
        <v>2308</v>
      </c>
      <c r="K149" s="4" t="s">
        <v>2308</v>
      </c>
      <c r="L149" s="4">
        <v>3</v>
      </c>
      <c r="M149" s="4" t="s">
        <v>3762</v>
      </c>
    </row>
    <row r="150" spans="1:13" ht="45.5" customHeight="1">
      <c r="A150" s="24" t="s">
        <v>3750</v>
      </c>
      <c r="B150" s="4" t="s">
        <v>3759</v>
      </c>
      <c r="C150" s="4" t="s">
        <v>1125</v>
      </c>
      <c r="D150" s="4" t="s">
        <v>1125</v>
      </c>
      <c r="E150" s="5" t="s">
        <v>143</v>
      </c>
      <c r="F150" s="4" t="s">
        <v>74</v>
      </c>
      <c r="G150" s="4"/>
      <c r="H150" s="4" t="s">
        <v>2308</v>
      </c>
      <c r="I150" s="4" t="s">
        <v>2308</v>
      </c>
      <c r="J150" s="4" t="s">
        <v>2308</v>
      </c>
      <c r="K150" s="4" t="s">
        <v>2308</v>
      </c>
      <c r="L150" s="4">
        <v>2</v>
      </c>
      <c r="M150" s="5" t="s">
        <v>3763</v>
      </c>
    </row>
    <row r="151" spans="1:13" ht="67" customHeight="1">
      <c r="A151" s="24" t="s">
        <v>3765</v>
      </c>
      <c r="B151" s="12" t="s">
        <v>3769</v>
      </c>
      <c r="C151" s="4" t="s">
        <v>1125</v>
      </c>
      <c r="D151" s="4" t="s">
        <v>1125</v>
      </c>
      <c r="E151" s="5" t="s">
        <v>5065</v>
      </c>
      <c r="F151" s="5" t="s">
        <v>2695</v>
      </c>
      <c r="G151" s="4"/>
      <c r="H151" s="4">
        <v>1</v>
      </c>
      <c r="I151" s="5" t="s">
        <v>3797</v>
      </c>
      <c r="J151" s="4">
        <v>2</v>
      </c>
      <c r="K151" s="5" t="s">
        <v>3798</v>
      </c>
      <c r="L151" s="4" t="s">
        <v>2308</v>
      </c>
      <c r="M151" s="4" t="s">
        <v>2308</v>
      </c>
    </row>
    <row r="152" spans="1:13" ht="136" customHeight="1">
      <c r="A152" s="24" t="s">
        <v>3818</v>
      </c>
      <c r="B152" s="12" t="s">
        <v>3823</v>
      </c>
      <c r="C152" s="4" t="s">
        <v>24</v>
      </c>
      <c r="D152" s="4" t="s">
        <v>2693</v>
      </c>
      <c r="E152" s="5" t="s">
        <v>45</v>
      </c>
      <c r="F152" s="4" t="s">
        <v>29</v>
      </c>
      <c r="G152" s="4"/>
      <c r="H152" s="4">
        <v>0</v>
      </c>
      <c r="I152" s="5" t="s">
        <v>3830</v>
      </c>
      <c r="J152" s="4">
        <v>1</v>
      </c>
      <c r="K152" s="5" t="s">
        <v>3829</v>
      </c>
      <c r="L152" s="4" t="s">
        <v>2308</v>
      </c>
      <c r="M152" s="4" t="s">
        <v>2308</v>
      </c>
    </row>
    <row r="153" spans="1:13" ht="52.5" customHeight="1">
      <c r="A153" s="24" t="s">
        <v>3832</v>
      </c>
      <c r="B153" s="12" t="s">
        <v>3835</v>
      </c>
      <c r="C153" s="4" t="s">
        <v>24</v>
      </c>
      <c r="D153" s="4" t="s">
        <v>1125</v>
      </c>
      <c r="E153" s="5" t="s">
        <v>45</v>
      </c>
      <c r="F153" s="4" t="s">
        <v>2308</v>
      </c>
      <c r="G153" s="4"/>
      <c r="H153" s="4">
        <v>1</v>
      </c>
      <c r="I153" s="4" t="s">
        <v>3844</v>
      </c>
      <c r="J153" s="4" t="s">
        <v>2308</v>
      </c>
      <c r="K153" s="4" t="s">
        <v>2308</v>
      </c>
      <c r="L153" s="4" t="s">
        <v>2308</v>
      </c>
      <c r="M153" s="4" t="s">
        <v>2308</v>
      </c>
    </row>
    <row r="154" spans="1:13" ht="52.5" customHeight="1">
      <c r="A154" s="24" t="s">
        <v>3832</v>
      </c>
      <c r="B154" s="12" t="s">
        <v>3837</v>
      </c>
      <c r="C154" s="4" t="s">
        <v>24</v>
      </c>
      <c r="D154" s="4" t="s">
        <v>1125</v>
      </c>
      <c r="E154" s="5" t="s">
        <v>136</v>
      </c>
      <c r="F154" s="4" t="s">
        <v>2308</v>
      </c>
      <c r="G154" s="4"/>
      <c r="H154" s="4">
        <v>1</v>
      </c>
      <c r="I154" s="4" t="s">
        <v>3844</v>
      </c>
      <c r="J154" s="4" t="s">
        <v>2308</v>
      </c>
      <c r="K154" s="4" t="s">
        <v>2308</v>
      </c>
      <c r="L154" s="4" t="s">
        <v>2308</v>
      </c>
      <c r="M154" s="4" t="s">
        <v>2308</v>
      </c>
    </row>
    <row r="155" spans="1:13" ht="52.5" customHeight="1">
      <c r="A155" s="24" t="s">
        <v>3846</v>
      </c>
      <c r="B155" s="12" t="s">
        <v>3850</v>
      </c>
      <c r="C155" s="4" t="s">
        <v>24</v>
      </c>
      <c r="D155" s="4" t="s">
        <v>1264</v>
      </c>
      <c r="E155" s="5" t="s">
        <v>1125</v>
      </c>
      <c r="F155" s="5" t="s">
        <v>2695</v>
      </c>
      <c r="G155" s="4"/>
      <c r="H155" s="4">
        <v>2</v>
      </c>
      <c r="I155" s="5" t="s">
        <v>3860</v>
      </c>
      <c r="J155" s="4">
        <v>2</v>
      </c>
      <c r="K155" s="5" t="s">
        <v>3860</v>
      </c>
      <c r="L155" s="4" t="s">
        <v>2308</v>
      </c>
      <c r="M155" s="4" t="s">
        <v>2308</v>
      </c>
    </row>
    <row r="156" spans="1:13" ht="57" customHeight="1">
      <c r="A156" s="24" t="s">
        <v>3865</v>
      </c>
      <c r="B156" s="12" t="s">
        <v>3867</v>
      </c>
      <c r="C156" s="4" t="s">
        <v>24</v>
      </c>
      <c r="D156" s="4" t="s">
        <v>1264</v>
      </c>
      <c r="E156" s="5" t="s">
        <v>1125</v>
      </c>
      <c r="F156" s="5" t="s">
        <v>2695</v>
      </c>
      <c r="G156" s="4"/>
      <c r="H156" s="4">
        <v>1</v>
      </c>
      <c r="I156" s="5" t="s">
        <v>3879</v>
      </c>
      <c r="J156" s="4">
        <v>2</v>
      </c>
      <c r="K156" s="5" t="s">
        <v>3860</v>
      </c>
      <c r="L156" s="4" t="s">
        <v>2308</v>
      </c>
      <c r="M156" s="4" t="s">
        <v>2308</v>
      </c>
    </row>
    <row r="157" spans="1:13" ht="57" customHeight="1">
      <c r="A157" s="24" t="s">
        <v>3899</v>
      </c>
      <c r="B157" s="12" t="s">
        <v>3906</v>
      </c>
      <c r="C157" s="4" t="s">
        <v>24</v>
      </c>
      <c r="D157" s="4" t="s">
        <v>1125</v>
      </c>
      <c r="E157" s="5" t="s">
        <v>143</v>
      </c>
      <c r="F157" s="5" t="s">
        <v>2308</v>
      </c>
      <c r="G157" s="4"/>
      <c r="H157" s="4" t="s">
        <v>2308</v>
      </c>
      <c r="I157" s="4" t="s">
        <v>2308</v>
      </c>
      <c r="J157" s="4">
        <v>3</v>
      </c>
      <c r="K157" s="5" t="s">
        <v>4177</v>
      </c>
      <c r="L157" s="4" t="s">
        <v>2308</v>
      </c>
      <c r="M157" s="4" t="s">
        <v>2308</v>
      </c>
    </row>
    <row r="158" spans="1:13" ht="45.5" customHeight="1">
      <c r="A158" s="24" t="s">
        <v>3910</v>
      </c>
      <c r="B158" s="12" t="s">
        <v>3914</v>
      </c>
      <c r="C158" s="4" t="s">
        <v>24</v>
      </c>
      <c r="D158" s="4" t="s">
        <v>1125</v>
      </c>
      <c r="E158" s="5" t="s">
        <v>2681</v>
      </c>
      <c r="F158" s="5" t="s">
        <v>2695</v>
      </c>
      <c r="G158" s="4"/>
      <c r="H158" s="4">
        <v>2</v>
      </c>
      <c r="I158" s="5" t="s">
        <v>3939</v>
      </c>
      <c r="J158" s="4">
        <v>2</v>
      </c>
      <c r="K158" s="5" t="s">
        <v>3938</v>
      </c>
      <c r="L158" s="4" t="s">
        <v>2308</v>
      </c>
      <c r="M158" s="4" t="s">
        <v>2308</v>
      </c>
    </row>
    <row r="159" spans="1:13" ht="63" customHeight="1">
      <c r="A159" s="24" t="s">
        <v>3910</v>
      </c>
      <c r="B159" s="12" t="s">
        <v>3916</v>
      </c>
      <c r="C159" s="4" t="s">
        <v>1125</v>
      </c>
      <c r="D159" s="4" t="s">
        <v>1125</v>
      </c>
      <c r="E159" s="5" t="s">
        <v>2682</v>
      </c>
      <c r="F159" s="4" t="s">
        <v>74</v>
      </c>
      <c r="G159" s="4"/>
      <c r="H159" s="4" t="s">
        <v>2308</v>
      </c>
      <c r="I159" s="4" t="s">
        <v>2308</v>
      </c>
      <c r="J159" s="4">
        <v>0</v>
      </c>
      <c r="K159" s="5" t="s">
        <v>3937</v>
      </c>
      <c r="L159" s="4">
        <v>3</v>
      </c>
      <c r="M159" s="5" t="s">
        <v>3936</v>
      </c>
    </row>
    <row r="160" spans="1:13" ht="34" customHeight="1">
      <c r="A160" s="24" t="s">
        <v>4097</v>
      </c>
      <c r="B160" s="12" t="s">
        <v>4098</v>
      </c>
      <c r="C160" s="4" t="s">
        <v>1125</v>
      </c>
      <c r="D160" s="4" t="s">
        <v>1125</v>
      </c>
      <c r="E160" s="5" t="s">
        <v>45</v>
      </c>
      <c r="F160" s="5" t="s">
        <v>2695</v>
      </c>
      <c r="G160" s="4"/>
      <c r="H160" s="4" t="s">
        <v>2308</v>
      </c>
      <c r="I160" s="4" t="s">
        <v>2308</v>
      </c>
      <c r="J160" s="4">
        <v>2</v>
      </c>
      <c r="K160" s="20" t="s">
        <v>4125</v>
      </c>
      <c r="L160" s="4" t="s">
        <v>2308</v>
      </c>
      <c r="M160" s="4" t="s">
        <v>2308</v>
      </c>
    </row>
    <row r="161" spans="1:13" ht="34" customHeight="1">
      <c r="A161" s="24" t="s">
        <v>4108</v>
      </c>
      <c r="B161" s="12" t="s">
        <v>4121</v>
      </c>
      <c r="C161" s="4" t="s">
        <v>1125</v>
      </c>
      <c r="D161" s="4" t="s">
        <v>1125</v>
      </c>
      <c r="E161" s="5" t="s">
        <v>45</v>
      </c>
      <c r="F161" s="5" t="s">
        <v>2695</v>
      </c>
      <c r="G161" s="4"/>
      <c r="H161" s="4" t="s">
        <v>2308</v>
      </c>
      <c r="I161" s="4" t="s">
        <v>2308</v>
      </c>
      <c r="J161" s="4">
        <v>2</v>
      </c>
      <c r="K161" s="20" t="s">
        <v>4125</v>
      </c>
      <c r="L161" s="4" t="s">
        <v>2308</v>
      </c>
      <c r="M161" s="4" t="s">
        <v>2308</v>
      </c>
    </row>
    <row r="162" spans="1:13" ht="34" customHeight="1">
      <c r="A162" s="24" t="s">
        <v>4109</v>
      </c>
      <c r="B162" s="12" t="s">
        <v>4122</v>
      </c>
      <c r="C162" s="4" t="s">
        <v>1125</v>
      </c>
      <c r="D162" s="4" t="s">
        <v>1125</v>
      </c>
      <c r="E162" s="5" t="s">
        <v>45</v>
      </c>
      <c r="F162" s="5" t="s">
        <v>2695</v>
      </c>
      <c r="G162" s="4"/>
      <c r="H162" s="4" t="s">
        <v>2308</v>
      </c>
      <c r="I162" s="4" t="s">
        <v>2308</v>
      </c>
      <c r="J162" s="4">
        <v>2</v>
      </c>
      <c r="K162" s="20" t="s">
        <v>4125</v>
      </c>
      <c r="L162" s="4" t="s">
        <v>2308</v>
      </c>
      <c r="M162" s="4" t="s">
        <v>2308</v>
      </c>
    </row>
    <row r="163" spans="1:13" ht="34" customHeight="1">
      <c r="A163" s="24" t="s">
        <v>4110</v>
      </c>
      <c r="B163" s="12" t="s">
        <v>4123</v>
      </c>
      <c r="C163" s="4" t="s">
        <v>1125</v>
      </c>
      <c r="D163" s="4" t="s">
        <v>1125</v>
      </c>
      <c r="E163" s="5" t="s">
        <v>45</v>
      </c>
      <c r="F163" s="5" t="s">
        <v>2695</v>
      </c>
      <c r="G163" s="4"/>
      <c r="H163" s="4" t="s">
        <v>2308</v>
      </c>
      <c r="I163" s="4" t="s">
        <v>2308</v>
      </c>
      <c r="J163" s="4">
        <v>2</v>
      </c>
      <c r="K163" s="20" t="s">
        <v>4125</v>
      </c>
      <c r="L163" s="4" t="s">
        <v>2308</v>
      </c>
      <c r="M163" s="4" t="s">
        <v>2308</v>
      </c>
    </row>
    <row r="164" spans="1:13" ht="34" customHeight="1">
      <c r="A164" s="24" t="s">
        <v>4111</v>
      </c>
      <c r="B164" s="12" t="s">
        <v>4124</v>
      </c>
      <c r="C164" s="4" t="s">
        <v>1125</v>
      </c>
      <c r="D164" s="4" t="s">
        <v>1125</v>
      </c>
      <c r="E164" s="5" t="s">
        <v>45</v>
      </c>
      <c r="F164" s="5" t="s">
        <v>2695</v>
      </c>
      <c r="G164" s="4"/>
      <c r="H164" s="4" t="s">
        <v>2308</v>
      </c>
      <c r="I164" s="4" t="s">
        <v>2308</v>
      </c>
      <c r="J164" s="4">
        <v>2</v>
      </c>
      <c r="K164" s="20" t="s">
        <v>4125</v>
      </c>
      <c r="L164" s="4" t="s">
        <v>2308</v>
      </c>
      <c r="M164" s="4" t="s">
        <v>2308</v>
      </c>
    </row>
    <row r="165" spans="1:13" ht="34" customHeight="1">
      <c r="A165" s="24" t="s">
        <v>4112</v>
      </c>
      <c r="B165" s="12" t="s">
        <v>4115</v>
      </c>
      <c r="C165" s="4" t="s">
        <v>1125</v>
      </c>
      <c r="D165" s="4" t="s">
        <v>1125</v>
      </c>
      <c r="E165" s="5" t="s">
        <v>45</v>
      </c>
      <c r="F165" s="5" t="s">
        <v>2695</v>
      </c>
      <c r="G165" s="4"/>
      <c r="H165" s="4" t="s">
        <v>2308</v>
      </c>
      <c r="I165" s="4" t="s">
        <v>2308</v>
      </c>
      <c r="J165" s="4">
        <v>2</v>
      </c>
      <c r="K165" s="20" t="s">
        <v>4125</v>
      </c>
      <c r="L165" s="4" t="s">
        <v>2308</v>
      </c>
      <c r="M165" s="4" t="s">
        <v>2308</v>
      </c>
    </row>
    <row r="166" spans="1:13" ht="37.5" customHeight="1">
      <c r="A166" s="24" t="s">
        <v>4135</v>
      </c>
      <c r="B166" s="20" t="s">
        <v>4139</v>
      </c>
      <c r="C166" s="5" t="s">
        <v>1125</v>
      </c>
      <c r="D166" s="5" t="s">
        <v>1125</v>
      </c>
      <c r="E166" s="5" t="s">
        <v>3243</v>
      </c>
      <c r="F166" s="5" t="s">
        <v>74</v>
      </c>
      <c r="G166" s="4">
        <v>1982</v>
      </c>
      <c r="H166" s="4" t="s">
        <v>2308</v>
      </c>
      <c r="I166" s="4" t="s">
        <v>2308</v>
      </c>
      <c r="J166" s="4" t="s">
        <v>2308</v>
      </c>
      <c r="K166" s="4" t="s">
        <v>2308</v>
      </c>
      <c r="L166" s="4">
        <v>1</v>
      </c>
      <c r="M166" s="4" t="s">
        <v>4151</v>
      </c>
    </row>
    <row r="167" spans="1:13" ht="37.5" customHeight="1">
      <c r="A167" s="24" t="s">
        <v>4135</v>
      </c>
      <c r="B167" s="20" t="s">
        <v>4140</v>
      </c>
      <c r="C167" s="5" t="s">
        <v>1125</v>
      </c>
      <c r="D167" s="5" t="s">
        <v>1125</v>
      </c>
      <c r="E167" s="5" t="s">
        <v>3243</v>
      </c>
      <c r="F167" s="5" t="s">
        <v>74</v>
      </c>
      <c r="G167" s="4">
        <v>1983</v>
      </c>
      <c r="H167" s="4" t="s">
        <v>2308</v>
      </c>
      <c r="I167" s="4" t="s">
        <v>2308</v>
      </c>
      <c r="J167" s="4" t="s">
        <v>2308</v>
      </c>
      <c r="K167" s="4" t="s">
        <v>2308</v>
      </c>
      <c r="L167" s="4">
        <v>1</v>
      </c>
      <c r="M167" s="4" t="s">
        <v>4151</v>
      </c>
    </row>
    <row r="168" spans="1:13" ht="37.5" customHeight="1">
      <c r="A168" s="24" t="s">
        <v>4135</v>
      </c>
      <c r="B168" s="20" t="s">
        <v>4141</v>
      </c>
      <c r="C168" s="5" t="s">
        <v>1125</v>
      </c>
      <c r="D168" s="5" t="s">
        <v>1125</v>
      </c>
      <c r="E168" s="5" t="s">
        <v>3243</v>
      </c>
      <c r="F168" s="5" t="s">
        <v>74</v>
      </c>
      <c r="G168" s="4">
        <v>1984</v>
      </c>
      <c r="H168" s="4" t="s">
        <v>2308</v>
      </c>
      <c r="I168" s="4" t="s">
        <v>2308</v>
      </c>
      <c r="J168" s="4" t="s">
        <v>2308</v>
      </c>
      <c r="K168" s="4" t="s">
        <v>2308</v>
      </c>
      <c r="L168" s="4">
        <v>1</v>
      </c>
      <c r="M168" s="4" t="s">
        <v>4151</v>
      </c>
    </row>
    <row r="169" spans="1:13" ht="37.5" customHeight="1">
      <c r="A169" s="24" t="s">
        <v>4135</v>
      </c>
      <c r="B169" s="20" t="s">
        <v>4142</v>
      </c>
      <c r="C169" s="5" t="s">
        <v>1125</v>
      </c>
      <c r="D169" s="5" t="s">
        <v>1125</v>
      </c>
      <c r="E169" s="5" t="s">
        <v>3243</v>
      </c>
      <c r="F169" s="5" t="s">
        <v>74</v>
      </c>
      <c r="G169" s="4">
        <v>1985</v>
      </c>
      <c r="H169" s="4" t="s">
        <v>2308</v>
      </c>
      <c r="I169" s="4" t="s">
        <v>2308</v>
      </c>
      <c r="J169" s="4" t="s">
        <v>2308</v>
      </c>
      <c r="K169" s="4" t="s">
        <v>2308</v>
      </c>
      <c r="L169" s="4">
        <v>1</v>
      </c>
      <c r="M169" s="4" t="s">
        <v>4151</v>
      </c>
    </row>
    <row r="170" spans="1:13" ht="37.5" customHeight="1">
      <c r="A170" s="24" t="s">
        <v>4135</v>
      </c>
      <c r="B170" s="20" t="s">
        <v>4143</v>
      </c>
      <c r="C170" s="5" t="s">
        <v>1125</v>
      </c>
      <c r="D170" s="5" t="s">
        <v>1125</v>
      </c>
      <c r="E170" s="5" t="s">
        <v>3243</v>
      </c>
      <c r="F170" s="5" t="s">
        <v>74</v>
      </c>
      <c r="G170" s="4">
        <v>1986</v>
      </c>
      <c r="H170" s="4" t="s">
        <v>2308</v>
      </c>
      <c r="I170" s="4" t="s">
        <v>2308</v>
      </c>
      <c r="J170" s="4" t="s">
        <v>2308</v>
      </c>
      <c r="K170" s="4" t="s">
        <v>2308</v>
      </c>
      <c r="L170" s="4">
        <v>1</v>
      </c>
      <c r="M170" s="4" t="s">
        <v>4151</v>
      </c>
    </row>
    <row r="171" spans="1:13" ht="37.5" customHeight="1">
      <c r="A171" s="24" t="s">
        <v>4135</v>
      </c>
      <c r="B171" s="20" t="s">
        <v>4144</v>
      </c>
      <c r="C171" s="5" t="s">
        <v>1125</v>
      </c>
      <c r="D171" s="5" t="s">
        <v>1125</v>
      </c>
      <c r="E171" s="5" t="s">
        <v>3243</v>
      </c>
      <c r="F171" s="5" t="s">
        <v>74</v>
      </c>
      <c r="G171" s="4">
        <v>1987</v>
      </c>
      <c r="H171" s="4" t="s">
        <v>2308</v>
      </c>
      <c r="I171" s="4" t="s">
        <v>2308</v>
      </c>
      <c r="J171" s="4" t="s">
        <v>2308</v>
      </c>
      <c r="K171" s="4" t="s">
        <v>2308</v>
      </c>
      <c r="L171" s="4">
        <v>1</v>
      </c>
      <c r="M171" s="4" t="s">
        <v>4151</v>
      </c>
    </row>
    <row r="172" spans="1:13" ht="37.5" customHeight="1">
      <c r="A172" s="24" t="s">
        <v>4135</v>
      </c>
      <c r="B172" s="20" t="s">
        <v>4145</v>
      </c>
      <c r="C172" s="5" t="s">
        <v>1125</v>
      </c>
      <c r="D172" s="5" t="s">
        <v>1125</v>
      </c>
      <c r="E172" s="5" t="s">
        <v>3243</v>
      </c>
      <c r="F172" s="5" t="s">
        <v>74</v>
      </c>
      <c r="G172" s="4">
        <v>1988</v>
      </c>
      <c r="H172" s="4" t="s">
        <v>2308</v>
      </c>
      <c r="I172" s="4" t="s">
        <v>2308</v>
      </c>
      <c r="J172" s="4" t="s">
        <v>2308</v>
      </c>
      <c r="K172" s="4" t="s">
        <v>2308</v>
      </c>
      <c r="L172" s="4">
        <v>1</v>
      </c>
      <c r="M172" s="4" t="s">
        <v>4151</v>
      </c>
    </row>
    <row r="173" spans="1:13" ht="37.5" customHeight="1">
      <c r="A173" s="24" t="s">
        <v>4135</v>
      </c>
      <c r="B173" s="20" t="s">
        <v>4146</v>
      </c>
      <c r="C173" s="5" t="s">
        <v>1125</v>
      </c>
      <c r="D173" s="5" t="s">
        <v>1125</v>
      </c>
      <c r="E173" s="5" t="s">
        <v>3243</v>
      </c>
      <c r="F173" s="5" t="s">
        <v>74</v>
      </c>
      <c r="G173" s="4">
        <v>1989</v>
      </c>
      <c r="H173" s="4" t="s">
        <v>2308</v>
      </c>
      <c r="I173" s="4" t="s">
        <v>2308</v>
      </c>
      <c r="J173" s="4" t="s">
        <v>2308</v>
      </c>
      <c r="K173" s="4" t="s">
        <v>2308</v>
      </c>
      <c r="L173" s="4">
        <v>1</v>
      </c>
      <c r="M173" s="4" t="s">
        <v>4151</v>
      </c>
    </row>
    <row r="174" spans="1:13" ht="37.5" customHeight="1">
      <c r="A174" s="24" t="s">
        <v>4135</v>
      </c>
      <c r="B174" s="20" t="s">
        <v>4147</v>
      </c>
      <c r="C174" s="5" t="s">
        <v>1125</v>
      </c>
      <c r="D174" s="5" t="s">
        <v>1125</v>
      </c>
      <c r="E174" s="5" t="s">
        <v>3243</v>
      </c>
      <c r="F174" s="5" t="s">
        <v>74</v>
      </c>
      <c r="G174" s="4">
        <v>1990</v>
      </c>
      <c r="H174" s="4" t="s">
        <v>2308</v>
      </c>
      <c r="I174" s="4" t="s">
        <v>2308</v>
      </c>
      <c r="J174" s="4" t="s">
        <v>2308</v>
      </c>
      <c r="K174" s="4" t="s">
        <v>2308</v>
      </c>
      <c r="L174" s="4">
        <v>1</v>
      </c>
      <c r="M174" s="4" t="s">
        <v>4151</v>
      </c>
    </row>
    <row r="175" spans="1:13" ht="37.5" customHeight="1">
      <c r="A175" s="24" t="s">
        <v>4135</v>
      </c>
      <c r="B175" s="20" t="s">
        <v>4149</v>
      </c>
      <c r="C175" s="5" t="s">
        <v>1125</v>
      </c>
      <c r="D175" s="5" t="s">
        <v>1125</v>
      </c>
      <c r="E175" s="5" t="s">
        <v>3243</v>
      </c>
      <c r="F175" s="5" t="s">
        <v>74</v>
      </c>
      <c r="G175" s="4">
        <v>1991</v>
      </c>
      <c r="H175" s="4" t="s">
        <v>2308</v>
      </c>
      <c r="I175" s="4" t="s">
        <v>2308</v>
      </c>
      <c r="J175" s="4" t="s">
        <v>2308</v>
      </c>
      <c r="K175" s="4" t="s">
        <v>2308</v>
      </c>
      <c r="L175" s="4">
        <v>1</v>
      </c>
      <c r="M175" s="4" t="s">
        <v>4151</v>
      </c>
    </row>
    <row r="176" spans="1:13" ht="37.5" customHeight="1">
      <c r="A176" s="24" t="s">
        <v>4135</v>
      </c>
      <c r="B176" s="20" t="s">
        <v>4150</v>
      </c>
      <c r="C176" s="5" t="s">
        <v>1125</v>
      </c>
      <c r="D176" s="5" t="s">
        <v>1125</v>
      </c>
      <c r="E176" s="5" t="s">
        <v>3243</v>
      </c>
      <c r="F176" s="5" t="s">
        <v>74</v>
      </c>
      <c r="G176" s="4">
        <v>1992</v>
      </c>
      <c r="H176" s="4" t="s">
        <v>2308</v>
      </c>
      <c r="I176" s="4" t="s">
        <v>2308</v>
      </c>
      <c r="J176" s="4" t="s">
        <v>2308</v>
      </c>
      <c r="K176" s="4" t="s">
        <v>2308</v>
      </c>
      <c r="L176" s="4">
        <v>1</v>
      </c>
      <c r="M176" s="4" t="s">
        <v>4151</v>
      </c>
    </row>
    <row r="177" spans="1:15" ht="42" customHeight="1">
      <c r="A177" s="24" t="s">
        <v>4135</v>
      </c>
      <c r="B177" s="20" t="s">
        <v>4152</v>
      </c>
      <c r="C177" s="5" t="s">
        <v>1125</v>
      </c>
      <c r="D177" s="5" t="s">
        <v>1125</v>
      </c>
      <c r="E177" s="5" t="s">
        <v>5065</v>
      </c>
      <c r="F177" s="4" t="s">
        <v>55</v>
      </c>
      <c r="G177" s="4"/>
      <c r="H177" s="4" t="s">
        <v>2308</v>
      </c>
      <c r="I177" s="4" t="s">
        <v>2308</v>
      </c>
      <c r="J177" s="4">
        <v>1</v>
      </c>
      <c r="K177" s="5" t="s">
        <v>4154</v>
      </c>
      <c r="L177" s="4" t="s">
        <v>2308</v>
      </c>
      <c r="M177" s="4" t="s">
        <v>2308</v>
      </c>
    </row>
    <row r="178" spans="1:15" ht="42" customHeight="1">
      <c r="A178" s="24" t="s">
        <v>4135</v>
      </c>
      <c r="B178" s="20" t="s">
        <v>4153</v>
      </c>
      <c r="C178" s="5" t="s">
        <v>1125</v>
      </c>
      <c r="D178" s="5" t="s">
        <v>1125</v>
      </c>
      <c r="E178" s="5" t="s">
        <v>45</v>
      </c>
      <c r="F178" s="4" t="s">
        <v>55</v>
      </c>
      <c r="G178" s="4"/>
      <c r="H178" s="4" t="s">
        <v>2308</v>
      </c>
      <c r="I178" s="4" t="s">
        <v>2308</v>
      </c>
      <c r="J178" s="4">
        <v>1</v>
      </c>
      <c r="K178" s="5" t="s">
        <v>4154</v>
      </c>
      <c r="L178" s="4" t="s">
        <v>2308</v>
      </c>
      <c r="M178" s="4" t="s">
        <v>2308</v>
      </c>
    </row>
    <row r="179" spans="1:15" ht="49" customHeight="1">
      <c r="A179" s="12" t="s">
        <v>4157</v>
      </c>
      <c r="B179" s="4" t="s">
        <v>4167</v>
      </c>
      <c r="C179" s="4" t="s">
        <v>24</v>
      </c>
      <c r="D179" s="4" t="s">
        <v>2693</v>
      </c>
      <c r="E179" s="5" t="s">
        <v>5065</v>
      </c>
      <c r="F179" s="4" t="s">
        <v>55</v>
      </c>
      <c r="G179" s="4"/>
      <c r="H179" s="4" t="s">
        <v>2308</v>
      </c>
      <c r="I179" s="4" t="s">
        <v>2308</v>
      </c>
      <c r="J179" s="4" t="s">
        <v>2308</v>
      </c>
      <c r="K179" s="4" t="s">
        <v>2308</v>
      </c>
      <c r="L179" s="4" t="s">
        <v>2308</v>
      </c>
      <c r="M179" s="4" t="s">
        <v>2308</v>
      </c>
    </row>
    <row r="180" spans="1:15" ht="49" customHeight="1">
      <c r="A180" s="12" t="s">
        <v>4157</v>
      </c>
      <c r="B180" s="4" t="s">
        <v>4168</v>
      </c>
      <c r="C180" s="4" t="s">
        <v>24</v>
      </c>
      <c r="D180" s="4" t="s">
        <v>2693</v>
      </c>
      <c r="E180" s="5" t="s">
        <v>45</v>
      </c>
      <c r="F180" s="4" t="s">
        <v>55</v>
      </c>
      <c r="G180" s="4"/>
      <c r="H180" s="4" t="s">
        <v>2308</v>
      </c>
      <c r="I180" s="4" t="s">
        <v>2308</v>
      </c>
      <c r="J180" s="4" t="s">
        <v>2308</v>
      </c>
      <c r="K180" s="4" t="s">
        <v>2308</v>
      </c>
      <c r="L180" s="4" t="s">
        <v>2308</v>
      </c>
      <c r="M180" s="4" t="s">
        <v>2308</v>
      </c>
    </row>
    <row r="181" spans="1:15" ht="59" customHeight="1">
      <c r="A181" s="12" t="s">
        <v>4158</v>
      </c>
      <c r="B181" s="4" t="s">
        <v>4169</v>
      </c>
      <c r="C181" s="4" t="s">
        <v>24</v>
      </c>
      <c r="D181" s="4" t="s">
        <v>2693</v>
      </c>
      <c r="E181" s="5" t="s">
        <v>5065</v>
      </c>
      <c r="F181" s="4" t="s">
        <v>55</v>
      </c>
      <c r="G181" s="4"/>
      <c r="H181" s="4">
        <v>2</v>
      </c>
      <c r="I181" s="5" t="s">
        <v>4173</v>
      </c>
      <c r="J181" s="4" t="s">
        <v>2308</v>
      </c>
      <c r="K181" s="4" t="s">
        <v>2308</v>
      </c>
      <c r="L181" s="4" t="s">
        <v>2308</v>
      </c>
      <c r="M181" s="4" t="s">
        <v>2308</v>
      </c>
    </row>
    <row r="182" spans="1:15" ht="73" customHeight="1">
      <c r="A182" s="12" t="s">
        <v>4158</v>
      </c>
      <c r="B182" s="4" t="s">
        <v>4170</v>
      </c>
      <c r="C182" s="4" t="s">
        <v>24</v>
      </c>
      <c r="D182" s="4" t="s">
        <v>2693</v>
      </c>
      <c r="E182" s="5" t="s">
        <v>45</v>
      </c>
      <c r="F182" s="4" t="s">
        <v>55</v>
      </c>
      <c r="G182" s="4"/>
      <c r="H182" s="4">
        <v>2</v>
      </c>
      <c r="I182" s="5" t="s">
        <v>4173</v>
      </c>
      <c r="J182" s="4" t="s">
        <v>2308</v>
      </c>
      <c r="K182" s="4" t="s">
        <v>2308</v>
      </c>
      <c r="L182" s="4" t="s">
        <v>2308</v>
      </c>
      <c r="M182" s="4" t="s">
        <v>2308</v>
      </c>
    </row>
    <row r="183" spans="1:15" ht="45" customHeight="1">
      <c r="A183" s="12" t="s">
        <v>4178</v>
      </c>
      <c r="B183" s="12" t="s">
        <v>4182</v>
      </c>
      <c r="C183" s="4" t="s">
        <v>24</v>
      </c>
      <c r="D183" s="4" t="s">
        <v>2837</v>
      </c>
      <c r="E183" s="5" t="s">
        <v>2682</v>
      </c>
      <c r="F183" s="5" t="s">
        <v>2695</v>
      </c>
      <c r="G183" s="4"/>
      <c r="H183" s="4" t="s">
        <v>2308</v>
      </c>
      <c r="I183" s="4" t="s">
        <v>2308</v>
      </c>
      <c r="J183" s="4" t="s">
        <v>2308</v>
      </c>
      <c r="K183" s="4" t="s">
        <v>2308</v>
      </c>
      <c r="L183" s="4" t="s">
        <v>2308</v>
      </c>
      <c r="M183" s="4" t="s">
        <v>2308</v>
      </c>
    </row>
    <row r="184" spans="1:15" ht="44" customHeight="1">
      <c r="A184" s="12" t="s">
        <v>4178</v>
      </c>
      <c r="B184" s="12" t="s">
        <v>4183</v>
      </c>
      <c r="C184" s="4" t="s">
        <v>24</v>
      </c>
      <c r="D184" s="4" t="s">
        <v>2837</v>
      </c>
      <c r="E184" s="5" t="s">
        <v>143</v>
      </c>
      <c r="F184" s="5" t="s">
        <v>2695</v>
      </c>
      <c r="G184" s="4"/>
      <c r="H184" s="4" t="s">
        <v>2308</v>
      </c>
      <c r="I184" s="4" t="s">
        <v>2308</v>
      </c>
      <c r="J184" s="4" t="s">
        <v>2308</v>
      </c>
      <c r="K184" s="4" t="s">
        <v>2308</v>
      </c>
      <c r="L184" s="4" t="s">
        <v>2308</v>
      </c>
      <c r="M184" s="4" t="s">
        <v>2308</v>
      </c>
    </row>
    <row r="185" spans="1:15" ht="55" customHeight="1">
      <c r="A185" s="12" t="s">
        <v>4195</v>
      </c>
      <c r="B185" s="12" t="s">
        <v>4203</v>
      </c>
      <c r="C185" s="4" t="s">
        <v>24</v>
      </c>
      <c r="D185" s="4" t="s">
        <v>1125</v>
      </c>
      <c r="E185" s="5" t="s">
        <v>3903</v>
      </c>
      <c r="F185" s="4" t="s">
        <v>2308</v>
      </c>
      <c r="G185" s="4"/>
      <c r="H185" s="4" t="s">
        <v>2308</v>
      </c>
      <c r="I185" s="4" t="s">
        <v>2308</v>
      </c>
      <c r="J185" s="4">
        <v>2</v>
      </c>
      <c r="K185" s="5" t="s">
        <v>4224</v>
      </c>
      <c r="L185" s="4" t="s">
        <v>2308</v>
      </c>
      <c r="M185" s="4" t="s">
        <v>2308</v>
      </c>
    </row>
    <row r="186" spans="1:15" ht="50.5" customHeight="1">
      <c r="A186" s="12" t="s">
        <v>4195</v>
      </c>
      <c r="B186" s="12" t="s">
        <v>4204</v>
      </c>
      <c r="C186" s="4" t="s">
        <v>24</v>
      </c>
      <c r="D186" s="4" t="s">
        <v>1125</v>
      </c>
      <c r="E186" s="5" t="s">
        <v>877</v>
      </c>
      <c r="F186" s="4" t="s">
        <v>2308</v>
      </c>
      <c r="G186" s="4"/>
      <c r="H186" s="4">
        <v>1</v>
      </c>
      <c r="I186" s="61" t="s">
        <v>4228</v>
      </c>
      <c r="J186" s="4" t="s">
        <v>2308</v>
      </c>
      <c r="K186" s="4" t="s">
        <v>2308</v>
      </c>
      <c r="L186" s="4" t="s">
        <v>2308</v>
      </c>
      <c r="M186" s="4" t="s">
        <v>2308</v>
      </c>
    </row>
    <row r="187" spans="1:15" ht="49" customHeight="1">
      <c r="A187" s="12" t="s">
        <v>4196</v>
      </c>
      <c r="B187" s="12" t="s">
        <v>4213</v>
      </c>
      <c r="C187" s="4" t="s">
        <v>24</v>
      </c>
      <c r="D187" s="4" t="s">
        <v>1125</v>
      </c>
      <c r="E187" s="5" t="s">
        <v>5065</v>
      </c>
      <c r="F187" s="4" t="s">
        <v>2308</v>
      </c>
      <c r="G187" s="4"/>
      <c r="H187" s="4">
        <v>2</v>
      </c>
      <c r="I187" s="5" t="s">
        <v>4225</v>
      </c>
      <c r="J187" s="4">
        <v>2</v>
      </c>
      <c r="K187" s="5" t="s">
        <v>4224</v>
      </c>
      <c r="L187" s="4" t="s">
        <v>2308</v>
      </c>
      <c r="M187" s="4" t="s">
        <v>2308</v>
      </c>
    </row>
    <row r="188" spans="1:15" ht="50.5" customHeight="1">
      <c r="A188" s="12" t="s">
        <v>4196</v>
      </c>
      <c r="B188" s="12" t="s">
        <v>4214</v>
      </c>
      <c r="C188" s="4" t="s">
        <v>24</v>
      </c>
      <c r="D188" s="4" t="s">
        <v>1125</v>
      </c>
      <c r="E188" s="5" t="s">
        <v>45</v>
      </c>
      <c r="F188" s="4" t="s">
        <v>2308</v>
      </c>
      <c r="G188" s="4"/>
      <c r="H188" s="4">
        <v>2</v>
      </c>
      <c r="I188" s="5" t="s">
        <v>4225</v>
      </c>
      <c r="J188" s="4">
        <v>2</v>
      </c>
      <c r="K188" s="5" t="s">
        <v>4224</v>
      </c>
      <c r="L188" s="4" t="s">
        <v>2308</v>
      </c>
      <c r="M188" s="4" t="s">
        <v>2308</v>
      </c>
    </row>
    <row r="189" spans="1:15" ht="47" customHeight="1">
      <c r="A189" s="12" t="s">
        <v>4196</v>
      </c>
      <c r="B189" s="12" t="s">
        <v>4216</v>
      </c>
      <c r="C189" s="4" t="s">
        <v>24</v>
      </c>
      <c r="D189" s="4" t="s">
        <v>1125</v>
      </c>
      <c r="E189" s="5" t="s">
        <v>2685</v>
      </c>
      <c r="F189" s="4" t="s">
        <v>2308</v>
      </c>
      <c r="G189" s="4"/>
      <c r="H189" s="4" t="s">
        <v>2308</v>
      </c>
      <c r="I189" s="4" t="s">
        <v>2308</v>
      </c>
      <c r="J189" s="4">
        <v>1</v>
      </c>
      <c r="K189" s="5" t="s">
        <v>4476</v>
      </c>
      <c r="L189" s="4" t="s">
        <v>2308</v>
      </c>
      <c r="M189" s="4" t="s">
        <v>2308</v>
      </c>
    </row>
    <row r="190" spans="1:15" ht="55.5" customHeight="1">
      <c r="A190" s="12" t="s">
        <v>4196</v>
      </c>
      <c r="B190" s="12" t="s">
        <v>4217</v>
      </c>
      <c r="C190" s="4" t="s">
        <v>24</v>
      </c>
      <c r="D190" s="4" t="s">
        <v>1125</v>
      </c>
      <c r="E190" s="5" t="s">
        <v>143</v>
      </c>
      <c r="F190" s="4" t="s">
        <v>2308</v>
      </c>
      <c r="G190" s="4"/>
      <c r="H190" s="4" t="s">
        <v>2308</v>
      </c>
      <c r="I190" s="4" t="s">
        <v>2308</v>
      </c>
      <c r="J190" s="4">
        <v>1</v>
      </c>
      <c r="K190" s="5" t="s">
        <v>4476</v>
      </c>
      <c r="L190" s="4" t="s">
        <v>2308</v>
      </c>
      <c r="M190" s="4" t="s">
        <v>2308</v>
      </c>
      <c r="N190" s="131"/>
      <c r="O190" s="131"/>
    </row>
    <row r="191" spans="1:15" ht="35" customHeight="1">
      <c r="A191" s="36" t="s">
        <v>4246</v>
      </c>
      <c r="B191" s="36" t="s">
        <v>4250</v>
      </c>
      <c r="C191" s="39" t="s">
        <v>1125</v>
      </c>
      <c r="D191" s="39" t="s">
        <v>1125</v>
      </c>
      <c r="E191" s="177" t="s">
        <v>84</v>
      </c>
      <c r="F191" s="39" t="s">
        <v>55</v>
      </c>
      <c r="G191" s="39"/>
      <c r="H191" s="39" t="s">
        <v>2308</v>
      </c>
      <c r="I191" s="39" t="s">
        <v>2308</v>
      </c>
      <c r="J191">
        <v>2</v>
      </c>
      <c r="K191" s="160" t="s">
        <v>4257</v>
      </c>
      <c r="L191" s="39" t="s">
        <v>2308</v>
      </c>
      <c r="M191" s="39" t="s">
        <v>2308</v>
      </c>
    </row>
    <row r="192" spans="1:15" ht="40" customHeight="1">
      <c r="A192" s="36" t="s">
        <v>4270</v>
      </c>
      <c r="B192" s="36" t="s">
        <v>4274</v>
      </c>
      <c r="C192" s="39" t="s">
        <v>24</v>
      </c>
      <c r="D192" s="39" t="s">
        <v>1264</v>
      </c>
      <c r="E192" s="177" t="s">
        <v>143</v>
      </c>
      <c r="F192" s="177" t="s">
        <v>2695</v>
      </c>
      <c r="G192" s="39"/>
      <c r="H192" s="39">
        <v>2</v>
      </c>
      <c r="I192" s="39" t="s">
        <v>4300</v>
      </c>
      <c r="J192" s="39">
        <v>2</v>
      </c>
      <c r="K192" s="56" t="s">
        <v>4301</v>
      </c>
      <c r="L192" s="39" t="s">
        <v>2308</v>
      </c>
      <c r="M192" s="39" t="s">
        <v>2308</v>
      </c>
    </row>
    <row r="193" spans="1:14" ht="51.5" customHeight="1">
      <c r="A193" s="36" t="s">
        <v>4271</v>
      </c>
      <c r="B193" s="36" t="s">
        <v>4282</v>
      </c>
      <c r="C193" s="39" t="s">
        <v>24</v>
      </c>
      <c r="D193" s="39" t="s">
        <v>1264</v>
      </c>
      <c r="E193" s="177" t="s">
        <v>3903</v>
      </c>
      <c r="F193" s="177" t="s">
        <v>2695</v>
      </c>
      <c r="G193" s="39"/>
      <c r="H193" s="39">
        <v>1</v>
      </c>
      <c r="I193" s="39" t="s">
        <v>4302</v>
      </c>
      <c r="J193" s="39" t="s">
        <v>2308</v>
      </c>
      <c r="K193" s="39" t="s">
        <v>2308</v>
      </c>
      <c r="L193" s="39" t="s">
        <v>2308</v>
      </c>
      <c r="M193" s="39" t="s">
        <v>2308</v>
      </c>
      <c r="N193" s="131"/>
    </row>
    <row r="194" spans="1:14" ht="36" customHeight="1">
      <c r="A194" s="12" t="s">
        <v>4271</v>
      </c>
      <c r="B194" s="12" t="s">
        <v>4283</v>
      </c>
      <c r="C194" s="4" t="s">
        <v>24</v>
      </c>
      <c r="D194" s="4" t="s">
        <v>1267</v>
      </c>
      <c r="E194" s="5" t="s">
        <v>116</v>
      </c>
      <c r="F194" s="177" t="s">
        <v>2695</v>
      </c>
      <c r="G194" s="4"/>
      <c r="H194" s="4">
        <v>0</v>
      </c>
      <c r="I194" s="5" t="s">
        <v>3045</v>
      </c>
      <c r="J194" s="5">
        <v>0</v>
      </c>
      <c r="K194" s="5" t="s">
        <v>3045</v>
      </c>
      <c r="L194" s="39" t="s">
        <v>2308</v>
      </c>
      <c r="M194" s="39" t="s">
        <v>2308</v>
      </c>
    </row>
    <row r="195" spans="1:14" ht="39.5" customHeight="1">
      <c r="A195" s="12" t="s">
        <v>4271</v>
      </c>
      <c r="B195" s="12" t="s">
        <v>4284</v>
      </c>
      <c r="C195" s="4" t="s">
        <v>24</v>
      </c>
      <c r="D195" s="4" t="s">
        <v>27</v>
      </c>
      <c r="E195" s="5" t="s">
        <v>136</v>
      </c>
      <c r="F195" s="5" t="s">
        <v>2695</v>
      </c>
      <c r="G195" s="4"/>
      <c r="H195" s="4">
        <v>0</v>
      </c>
      <c r="I195" s="5" t="s">
        <v>3045</v>
      </c>
      <c r="J195" s="5">
        <v>0</v>
      </c>
      <c r="K195" s="5" t="s">
        <v>3045</v>
      </c>
      <c r="L195" s="4" t="s">
        <v>2308</v>
      </c>
      <c r="M195" s="4" t="s">
        <v>2308</v>
      </c>
    </row>
    <row r="196" spans="1:14" ht="63" customHeight="1">
      <c r="A196" s="12" t="s">
        <v>4306</v>
      </c>
      <c r="B196" s="12" t="s">
        <v>4313</v>
      </c>
      <c r="C196" s="4" t="s">
        <v>1125</v>
      </c>
      <c r="D196" s="4" t="s">
        <v>1125</v>
      </c>
      <c r="E196" s="5" t="s">
        <v>3243</v>
      </c>
      <c r="F196" s="4" t="s">
        <v>74</v>
      </c>
      <c r="G196" s="4"/>
      <c r="H196" s="39" t="s">
        <v>2308</v>
      </c>
      <c r="I196" s="39" t="s">
        <v>2308</v>
      </c>
      <c r="J196" s="39" t="s">
        <v>2308</v>
      </c>
      <c r="K196" s="39" t="s">
        <v>2308</v>
      </c>
      <c r="L196" s="4">
        <v>2</v>
      </c>
      <c r="M196" s="5" t="s">
        <v>4362</v>
      </c>
    </row>
    <row r="197" spans="1:14" ht="43.5">
      <c r="A197" s="12" t="s">
        <v>4307</v>
      </c>
      <c r="B197" s="12" t="s">
        <v>4331</v>
      </c>
      <c r="C197" s="4" t="s">
        <v>1125</v>
      </c>
      <c r="D197" s="4" t="s">
        <v>1125</v>
      </c>
      <c r="E197" s="5" t="s">
        <v>3243</v>
      </c>
      <c r="F197" s="4" t="s">
        <v>74</v>
      </c>
      <c r="G197" s="4"/>
      <c r="H197" s="39" t="s">
        <v>2308</v>
      </c>
      <c r="I197" s="39" t="s">
        <v>2308</v>
      </c>
      <c r="J197" s="39" t="s">
        <v>2308</v>
      </c>
      <c r="K197" s="39" t="s">
        <v>2308</v>
      </c>
      <c r="L197" s="4">
        <v>2</v>
      </c>
      <c r="M197" s="5" t="s">
        <v>4362</v>
      </c>
    </row>
    <row r="198" spans="1:14" ht="43.5">
      <c r="A198" s="12" t="s">
        <v>4114</v>
      </c>
      <c r="B198" s="12" t="s">
        <v>4340</v>
      </c>
      <c r="C198" s="4" t="s">
        <v>1125</v>
      </c>
      <c r="D198" s="4" t="s">
        <v>1125</v>
      </c>
      <c r="E198" s="177" t="s">
        <v>3243</v>
      </c>
      <c r="F198" s="39" t="s">
        <v>74</v>
      </c>
      <c r="G198" s="39"/>
      <c r="H198" s="39" t="s">
        <v>2308</v>
      </c>
      <c r="I198" s="39" t="s">
        <v>2308</v>
      </c>
      <c r="J198" s="39" t="s">
        <v>2308</v>
      </c>
      <c r="K198" s="39" t="s">
        <v>2308</v>
      </c>
      <c r="L198" s="39">
        <v>2</v>
      </c>
      <c r="M198" s="177" t="s">
        <v>4362</v>
      </c>
    </row>
    <row r="199" spans="1:14" ht="46.5" customHeight="1">
      <c r="A199" s="12" t="s">
        <v>4364</v>
      </c>
      <c r="B199" s="12" t="s">
        <v>4383</v>
      </c>
      <c r="C199" s="4" t="s">
        <v>1125</v>
      </c>
      <c r="D199" s="4" t="s">
        <v>1125</v>
      </c>
      <c r="E199" s="5" t="s">
        <v>1125</v>
      </c>
      <c r="F199" s="4" t="s">
        <v>2308</v>
      </c>
      <c r="G199" s="4"/>
      <c r="H199" s="39" t="s">
        <v>2308</v>
      </c>
      <c r="I199" s="39" t="s">
        <v>2308</v>
      </c>
      <c r="J199" s="4">
        <v>0</v>
      </c>
      <c r="K199" s="5" t="s">
        <v>4395</v>
      </c>
      <c r="L199" s="4" t="s">
        <v>2308</v>
      </c>
      <c r="M199" s="4" t="s">
        <v>2308</v>
      </c>
    </row>
    <row r="200" spans="1:14" ht="50" customHeight="1">
      <c r="A200" s="12" t="s">
        <v>4368</v>
      </c>
      <c r="B200" s="12" t="s">
        <v>4384</v>
      </c>
      <c r="C200" s="4" t="s">
        <v>1125</v>
      </c>
      <c r="D200" s="4" t="s">
        <v>1125</v>
      </c>
      <c r="E200" s="5" t="s">
        <v>45</v>
      </c>
      <c r="F200" s="4" t="s">
        <v>74</v>
      </c>
      <c r="G200" s="4"/>
      <c r="H200" s="39" t="s">
        <v>2308</v>
      </c>
      <c r="I200" s="39" t="s">
        <v>2308</v>
      </c>
      <c r="J200" s="4">
        <v>2</v>
      </c>
      <c r="K200" s="5" t="s">
        <v>4394</v>
      </c>
      <c r="L200" s="4" t="s">
        <v>2308</v>
      </c>
      <c r="M200" s="4" t="s">
        <v>2308</v>
      </c>
    </row>
    <row r="201" spans="1:14" ht="50" customHeight="1">
      <c r="A201" s="12" t="s">
        <v>4369</v>
      </c>
      <c r="B201" s="12" t="s">
        <v>4385</v>
      </c>
      <c r="C201" s="4" t="s">
        <v>1125</v>
      </c>
      <c r="D201" s="4" t="s">
        <v>1125</v>
      </c>
      <c r="E201" s="5" t="s">
        <v>45</v>
      </c>
      <c r="F201" s="4" t="s">
        <v>74</v>
      </c>
      <c r="G201" s="4"/>
      <c r="H201" s="39" t="s">
        <v>2308</v>
      </c>
      <c r="I201" s="39" t="s">
        <v>2308</v>
      </c>
      <c r="J201" s="4">
        <v>2</v>
      </c>
      <c r="K201" s="5" t="s">
        <v>4394</v>
      </c>
      <c r="L201" s="4" t="s">
        <v>2308</v>
      </c>
      <c r="M201" s="4" t="s">
        <v>2308</v>
      </c>
    </row>
    <row r="202" spans="1:14" ht="50" customHeight="1">
      <c r="A202" s="12" t="s">
        <v>4370</v>
      </c>
      <c r="B202" s="12" t="s">
        <v>4386</v>
      </c>
      <c r="C202" s="4" t="s">
        <v>1125</v>
      </c>
      <c r="D202" s="4" t="s">
        <v>1125</v>
      </c>
      <c r="E202" s="5" t="s">
        <v>45</v>
      </c>
      <c r="F202" s="4" t="s">
        <v>74</v>
      </c>
      <c r="G202" s="4"/>
      <c r="H202" s="39" t="s">
        <v>2308</v>
      </c>
      <c r="I202" s="39" t="s">
        <v>2308</v>
      </c>
      <c r="J202" s="4">
        <v>2</v>
      </c>
      <c r="K202" s="5" t="s">
        <v>4394</v>
      </c>
      <c r="L202" s="4" t="s">
        <v>2308</v>
      </c>
      <c r="M202" s="4" t="s">
        <v>2308</v>
      </c>
    </row>
    <row r="203" spans="1:14" ht="50" customHeight="1">
      <c r="A203" s="12" t="s">
        <v>4371</v>
      </c>
      <c r="B203" s="12" t="s">
        <v>4387</v>
      </c>
      <c r="C203" s="4" t="s">
        <v>1125</v>
      </c>
      <c r="D203" s="4" t="s">
        <v>1125</v>
      </c>
      <c r="E203" s="5" t="s">
        <v>45</v>
      </c>
      <c r="F203" s="4" t="s">
        <v>74</v>
      </c>
      <c r="G203" s="4"/>
      <c r="H203" s="39" t="s">
        <v>2308</v>
      </c>
      <c r="I203" s="39" t="s">
        <v>2308</v>
      </c>
      <c r="J203" s="4">
        <v>2</v>
      </c>
      <c r="K203" s="5" t="s">
        <v>4394</v>
      </c>
      <c r="L203" s="4" t="s">
        <v>2308</v>
      </c>
      <c r="M203" s="4" t="s">
        <v>2308</v>
      </c>
    </row>
    <row r="204" spans="1:14" ht="50" customHeight="1">
      <c r="A204" s="12" t="s">
        <v>4372</v>
      </c>
      <c r="B204" s="12" t="s">
        <v>4388</v>
      </c>
      <c r="C204" s="4" t="s">
        <v>1125</v>
      </c>
      <c r="D204" s="4" t="s">
        <v>1125</v>
      </c>
      <c r="E204" s="5" t="s">
        <v>45</v>
      </c>
      <c r="F204" s="4" t="s">
        <v>74</v>
      </c>
      <c r="G204" s="4"/>
      <c r="H204" s="39" t="s">
        <v>2308</v>
      </c>
      <c r="I204" s="39" t="s">
        <v>2308</v>
      </c>
      <c r="J204" s="4">
        <v>2</v>
      </c>
      <c r="K204" s="5" t="s">
        <v>4394</v>
      </c>
      <c r="L204" s="4" t="s">
        <v>2308</v>
      </c>
      <c r="M204" s="4" t="s">
        <v>2308</v>
      </c>
    </row>
    <row r="205" spans="1:14" ht="50" customHeight="1">
      <c r="A205" s="12" t="s">
        <v>4373</v>
      </c>
      <c r="B205" s="12" t="s">
        <v>4389</v>
      </c>
      <c r="C205" s="4" t="s">
        <v>1125</v>
      </c>
      <c r="D205" s="4" t="s">
        <v>1125</v>
      </c>
      <c r="E205" s="5" t="s">
        <v>45</v>
      </c>
      <c r="F205" s="4" t="s">
        <v>74</v>
      </c>
      <c r="G205" s="4"/>
      <c r="H205" s="39" t="s">
        <v>2308</v>
      </c>
      <c r="I205" s="39" t="s">
        <v>2308</v>
      </c>
      <c r="J205" s="4">
        <v>2</v>
      </c>
      <c r="K205" s="5" t="s">
        <v>4394</v>
      </c>
      <c r="L205" s="4" t="s">
        <v>2308</v>
      </c>
      <c r="M205" s="4" t="s">
        <v>2308</v>
      </c>
    </row>
    <row r="206" spans="1:14" ht="50" customHeight="1">
      <c r="A206" s="12" t="s">
        <v>4374</v>
      </c>
      <c r="B206" s="12" t="s">
        <v>4390</v>
      </c>
      <c r="C206" s="4" t="s">
        <v>1125</v>
      </c>
      <c r="D206" s="4" t="s">
        <v>1125</v>
      </c>
      <c r="E206" s="5" t="s">
        <v>45</v>
      </c>
      <c r="F206" s="4" t="s">
        <v>74</v>
      </c>
      <c r="G206" s="4"/>
      <c r="H206" s="39" t="s">
        <v>2308</v>
      </c>
      <c r="I206" s="39" t="s">
        <v>2308</v>
      </c>
      <c r="J206" s="4">
        <v>2</v>
      </c>
      <c r="K206" s="5" t="s">
        <v>4394</v>
      </c>
      <c r="L206" s="4" t="s">
        <v>2308</v>
      </c>
      <c r="M206" s="4" t="s">
        <v>2308</v>
      </c>
    </row>
    <row r="207" spans="1:14" ht="50" customHeight="1">
      <c r="A207" s="12" t="s">
        <v>4375</v>
      </c>
      <c r="B207" s="12" t="s">
        <v>4391</v>
      </c>
      <c r="C207" s="4" t="s">
        <v>1125</v>
      </c>
      <c r="D207" s="4" t="s">
        <v>1125</v>
      </c>
      <c r="E207" s="5" t="s">
        <v>45</v>
      </c>
      <c r="F207" s="4" t="s">
        <v>74</v>
      </c>
      <c r="G207" s="4"/>
      <c r="H207" s="39" t="s">
        <v>2308</v>
      </c>
      <c r="I207" s="39" t="s">
        <v>2308</v>
      </c>
      <c r="J207" s="4">
        <v>2</v>
      </c>
      <c r="K207" s="5" t="s">
        <v>4394</v>
      </c>
      <c r="L207" s="4" t="s">
        <v>2308</v>
      </c>
      <c r="M207" s="4" t="s">
        <v>2308</v>
      </c>
    </row>
    <row r="208" spans="1:14" ht="50" customHeight="1">
      <c r="A208" s="12" t="s">
        <v>4376</v>
      </c>
      <c r="B208" s="12" t="s">
        <v>4392</v>
      </c>
      <c r="C208" s="4" t="s">
        <v>1125</v>
      </c>
      <c r="D208" s="4" t="s">
        <v>1125</v>
      </c>
      <c r="E208" s="5" t="s">
        <v>45</v>
      </c>
      <c r="F208" s="4" t="s">
        <v>74</v>
      </c>
      <c r="G208" s="4"/>
      <c r="H208" s="39" t="s">
        <v>2308</v>
      </c>
      <c r="I208" s="39" t="s">
        <v>2308</v>
      </c>
      <c r="J208" s="4">
        <v>2</v>
      </c>
      <c r="K208" s="5" t="s">
        <v>4394</v>
      </c>
      <c r="L208" s="4" t="s">
        <v>2308</v>
      </c>
      <c r="M208" s="4" t="s">
        <v>2308</v>
      </c>
    </row>
    <row r="209" spans="1:13" ht="50" customHeight="1">
      <c r="A209" s="12" t="s">
        <v>4377</v>
      </c>
      <c r="B209" s="12" t="s">
        <v>4393</v>
      </c>
      <c r="C209" s="4" t="s">
        <v>1125</v>
      </c>
      <c r="D209" s="4" t="s">
        <v>1125</v>
      </c>
      <c r="E209" s="5" t="s">
        <v>45</v>
      </c>
      <c r="F209" s="4" t="s">
        <v>74</v>
      </c>
      <c r="G209" s="4"/>
      <c r="H209" s="39" t="s">
        <v>2308</v>
      </c>
      <c r="I209" s="39" t="s">
        <v>2308</v>
      </c>
      <c r="J209" s="4">
        <v>2</v>
      </c>
      <c r="K209" s="5" t="s">
        <v>4394</v>
      </c>
      <c r="L209" s="4" t="s">
        <v>2308</v>
      </c>
      <c r="M209" s="4" t="s">
        <v>2308</v>
      </c>
    </row>
    <row r="210" spans="1:13" ht="50" customHeight="1">
      <c r="A210" s="12" t="s">
        <v>4364</v>
      </c>
      <c r="B210" s="12" t="s">
        <v>4396</v>
      </c>
      <c r="C210" s="4" t="s">
        <v>1125</v>
      </c>
      <c r="D210" s="4" t="s">
        <v>1125</v>
      </c>
      <c r="E210" s="5" t="s">
        <v>3243</v>
      </c>
      <c r="F210" s="4" t="s">
        <v>2308</v>
      </c>
      <c r="G210" s="4"/>
      <c r="H210" s="39" t="s">
        <v>2308</v>
      </c>
      <c r="I210" s="39" t="s">
        <v>2308</v>
      </c>
      <c r="J210" s="4" t="s">
        <v>2308</v>
      </c>
      <c r="K210" s="4" t="s">
        <v>2308</v>
      </c>
      <c r="L210" s="4">
        <v>3</v>
      </c>
      <c r="M210" s="5" t="s">
        <v>4407</v>
      </c>
    </row>
    <row r="211" spans="1:13" ht="50" customHeight="1">
      <c r="A211" s="12" t="s">
        <v>4368</v>
      </c>
      <c r="B211" s="12" t="s">
        <v>4397</v>
      </c>
      <c r="C211" s="4" t="s">
        <v>1125</v>
      </c>
      <c r="D211" s="4" t="s">
        <v>1125</v>
      </c>
      <c r="E211" s="5" t="s">
        <v>3243</v>
      </c>
      <c r="F211" s="4" t="s">
        <v>2308</v>
      </c>
      <c r="G211" s="4"/>
      <c r="H211" s="39" t="s">
        <v>2308</v>
      </c>
      <c r="I211" s="39" t="s">
        <v>2308</v>
      </c>
      <c r="J211" s="4" t="s">
        <v>2308</v>
      </c>
      <c r="K211" s="4" t="s">
        <v>2308</v>
      </c>
      <c r="L211" s="4">
        <v>3</v>
      </c>
      <c r="M211" s="5" t="s">
        <v>4407</v>
      </c>
    </row>
    <row r="212" spans="1:13" ht="50" customHeight="1">
      <c r="A212" s="12" t="s">
        <v>4369</v>
      </c>
      <c r="B212" s="12" t="s">
        <v>4398</v>
      </c>
      <c r="C212" s="4" t="s">
        <v>1125</v>
      </c>
      <c r="D212" s="4" t="s">
        <v>1125</v>
      </c>
      <c r="E212" s="5" t="s">
        <v>3243</v>
      </c>
      <c r="F212" s="4" t="s">
        <v>2308</v>
      </c>
      <c r="G212" s="4"/>
      <c r="H212" s="39" t="s">
        <v>2308</v>
      </c>
      <c r="I212" s="39" t="s">
        <v>2308</v>
      </c>
      <c r="J212" s="4" t="s">
        <v>2308</v>
      </c>
      <c r="K212" s="4" t="s">
        <v>2308</v>
      </c>
      <c r="L212" s="4">
        <v>3</v>
      </c>
      <c r="M212" s="5" t="s">
        <v>4407</v>
      </c>
    </row>
    <row r="213" spans="1:13" ht="50" customHeight="1">
      <c r="A213" s="12" t="s">
        <v>4370</v>
      </c>
      <c r="B213" s="12" t="s">
        <v>4399</v>
      </c>
      <c r="C213" s="4" t="s">
        <v>1125</v>
      </c>
      <c r="D213" s="4" t="s">
        <v>1125</v>
      </c>
      <c r="E213" s="5" t="s">
        <v>3243</v>
      </c>
      <c r="F213" s="4" t="s">
        <v>2308</v>
      </c>
      <c r="G213" s="4"/>
      <c r="H213" s="39" t="s">
        <v>2308</v>
      </c>
      <c r="I213" s="39" t="s">
        <v>2308</v>
      </c>
      <c r="J213" s="4" t="s">
        <v>2308</v>
      </c>
      <c r="K213" s="4" t="s">
        <v>2308</v>
      </c>
      <c r="L213" s="4">
        <v>3</v>
      </c>
      <c r="M213" s="5" t="s">
        <v>4407</v>
      </c>
    </row>
    <row r="214" spans="1:13" ht="50" customHeight="1">
      <c r="A214" s="12" t="s">
        <v>4371</v>
      </c>
      <c r="B214" s="12" t="s">
        <v>4400</v>
      </c>
      <c r="C214" s="4" t="s">
        <v>1125</v>
      </c>
      <c r="D214" s="4" t="s">
        <v>1125</v>
      </c>
      <c r="E214" s="5" t="s">
        <v>3243</v>
      </c>
      <c r="F214" s="4" t="s">
        <v>2308</v>
      </c>
      <c r="G214" s="4"/>
      <c r="H214" s="39" t="s">
        <v>2308</v>
      </c>
      <c r="I214" s="39" t="s">
        <v>2308</v>
      </c>
      <c r="J214" s="4" t="s">
        <v>2308</v>
      </c>
      <c r="K214" s="4" t="s">
        <v>2308</v>
      </c>
      <c r="L214" s="4">
        <v>3</v>
      </c>
      <c r="M214" s="5" t="s">
        <v>4407</v>
      </c>
    </row>
    <row r="215" spans="1:13" ht="50" customHeight="1">
      <c r="A215" s="12" t="s">
        <v>4372</v>
      </c>
      <c r="B215" s="12" t="s">
        <v>4401</v>
      </c>
      <c r="C215" s="4" t="s">
        <v>1125</v>
      </c>
      <c r="D215" s="4" t="s">
        <v>1125</v>
      </c>
      <c r="E215" s="5" t="s">
        <v>3243</v>
      </c>
      <c r="F215" s="4" t="s">
        <v>2308</v>
      </c>
      <c r="G215" s="4"/>
      <c r="H215" s="39" t="s">
        <v>2308</v>
      </c>
      <c r="I215" s="39" t="s">
        <v>2308</v>
      </c>
      <c r="J215" s="4" t="s">
        <v>2308</v>
      </c>
      <c r="K215" s="4" t="s">
        <v>2308</v>
      </c>
      <c r="L215" s="4">
        <v>3</v>
      </c>
      <c r="M215" s="5" t="s">
        <v>4407</v>
      </c>
    </row>
    <row r="216" spans="1:13" ht="50" customHeight="1">
      <c r="A216" s="12" t="s">
        <v>4373</v>
      </c>
      <c r="B216" s="12" t="s">
        <v>4402</v>
      </c>
      <c r="C216" s="4" t="s">
        <v>1125</v>
      </c>
      <c r="D216" s="4" t="s">
        <v>1125</v>
      </c>
      <c r="E216" s="5" t="s">
        <v>3243</v>
      </c>
      <c r="F216" s="4" t="s">
        <v>2308</v>
      </c>
      <c r="G216" s="4"/>
      <c r="H216" s="39" t="s">
        <v>2308</v>
      </c>
      <c r="I216" s="39" t="s">
        <v>2308</v>
      </c>
      <c r="J216" s="4" t="s">
        <v>2308</v>
      </c>
      <c r="K216" s="4" t="s">
        <v>2308</v>
      </c>
      <c r="L216" s="4">
        <v>3</v>
      </c>
      <c r="M216" s="5" t="s">
        <v>4407</v>
      </c>
    </row>
    <row r="217" spans="1:13" ht="50" customHeight="1">
      <c r="A217" s="12" t="s">
        <v>4374</v>
      </c>
      <c r="B217" s="12" t="s">
        <v>4403</v>
      </c>
      <c r="C217" s="4" t="s">
        <v>1125</v>
      </c>
      <c r="D217" s="4" t="s">
        <v>1125</v>
      </c>
      <c r="E217" s="5" t="s">
        <v>3243</v>
      </c>
      <c r="F217" s="4" t="s">
        <v>2308</v>
      </c>
      <c r="G217" s="4"/>
      <c r="H217" s="39" t="s">
        <v>2308</v>
      </c>
      <c r="I217" s="39" t="s">
        <v>2308</v>
      </c>
      <c r="J217" s="4" t="s">
        <v>2308</v>
      </c>
      <c r="K217" s="4" t="s">
        <v>2308</v>
      </c>
      <c r="L217" s="4">
        <v>3</v>
      </c>
      <c r="M217" s="5" t="s">
        <v>4407</v>
      </c>
    </row>
    <row r="218" spans="1:13" ht="50" customHeight="1">
      <c r="A218" s="12" t="s">
        <v>4375</v>
      </c>
      <c r="B218" s="12" t="s">
        <v>4404</v>
      </c>
      <c r="C218" s="4" t="s">
        <v>1125</v>
      </c>
      <c r="D218" s="4" t="s">
        <v>1125</v>
      </c>
      <c r="E218" s="5" t="s">
        <v>3243</v>
      </c>
      <c r="F218" s="4" t="s">
        <v>2308</v>
      </c>
      <c r="G218" s="4"/>
      <c r="H218" s="39" t="s">
        <v>2308</v>
      </c>
      <c r="I218" s="39" t="s">
        <v>2308</v>
      </c>
      <c r="J218" s="4" t="s">
        <v>2308</v>
      </c>
      <c r="K218" s="4" t="s">
        <v>2308</v>
      </c>
      <c r="L218" s="4">
        <v>3</v>
      </c>
      <c r="M218" s="5" t="s">
        <v>4407</v>
      </c>
    </row>
    <row r="219" spans="1:13" ht="50" customHeight="1">
      <c r="A219" s="12" t="s">
        <v>4376</v>
      </c>
      <c r="B219" s="12" t="s">
        <v>4405</v>
      </c>
      <c r="C219" s="4" t="s">
        <v>1125</v>
      </c>
      <c r="D219" s="4" t="s">
        <v>1125</v>
      </c>
      <c r="E219" s="5" t="s">
        <v>3243</v>
      </c>
      <c r="F219" s="4" t="s">
        <v>2308</v>
      </c>
      <c r="G219" s="4"/>
      <c r="H219" s="39" t="s">
        <v>2308</v>
      </c>
      <c r="I219" s="39" t="s">
        <v>2308</v>
      </c>
      <c r="J219" s="4" t="s">
        <v>2308</v>
      </c>
      <c r="K219" s="4" t="s">
        <v>2308</v>
      </c>
      <c r="L219" s="4">
        <v>3</v>
      </c>
      <c r="M219" s="5" t="s">
        <v>4407</v>
      </c>
    </row>
    <row r="220" spans="1:13" ht="50" customHeight="1">
      <c r="A220" s="12" t="s">
        <v>4377</v>
      </c>
      <c r="B220" s="12" t="s">
        <v>4406</v>
      </c>
      <c r="C220" s="4" t="s">
        <v>1125</v>
      </c>
      <c r="D220" s="4" t="s">
        <v>1125</v>
      </c>
      <c r="E220" s="5" t="s">
        <v>3243</v>
      </c>
      <c r="F220" s="4" t="s">
        <v>2308</v>
      </c>
      <c r="G220" s="4"/>
      <c r="H220" s="4" t="s">
        <v>2308</v>
      </c>
      <c r="I220" s="4" t="s">
        <v>2308</v>
      </c>
      <c r="J220" s="4" t="s">
        <v>2308</v>
      </c>
      <c r="K220" s="4" t="s">
        <v>2308</v>
      </c>
      <c r="L220" s="4">
        <v>3</v>
      </c>
      <c r="M220" s="5" t="s">
        <v>4407</v>
      </c>
    </row>
    <row r="221" spans="1:13" ht="39" customHeight="1">
      <c r="A221" s="12" t="s">
        <v>4413</v>
      </c>
      <c r="B221" s="12" t="s">
        <v>4417</v>
      </c>
      <c r="C221" s="4" t="s">
        <v>24</v>
      </c>
      <c r="D221" s="4" t="s">
        <v>1125</v>
      </c>
      <c r="E221" s="5" t="s">
        <v>143</v>
      </c>
      <c r="F221" s="4" t="s">
        <v>74</v>
      </c>
      <c r="G221" s="4"/>
      <c r="H221" s="4" t="s">
        <v>2308</v>
      </c>
      <c r="I221" s="4" t="s">
        <v>2308</v>
      </c>
      <c r="J221" s="4">
        <v>2</v>
      </c>
      <c r="K221" s="20" t="s">
        <v>4428</v>
      </c>
      <c r="L221" s="4" t="s">
        <v>2308</v>
      </c>
      <c r="M221" s="4" t="s">
        <v>2308</v>
      </c>
    </row>
    <row r="222" spans="1:13" ht="46.5" customHeight="1">
      <c r="A222" s="12" t="s">
        <v>4413</v>
      </c>
      <c r="B222" s="12" t="s">
        <v>4418</v>
      </c>
      <c r="C222" s="4" t="s">
        <v>1125</v>
      </c>
      <c r="D222" s="4" t="s">
        <v>1125</v>
      </c>
      <c r="E222" s="5" t="s">
        <v>143</v>
      </c>
      <c r="F222" s="4" t="s">
        <v>74</v>
      </c>
      <c r="G222" s="4"/>
      <c r="H222" s="4" t="s">
        <v>2308</v>
      </c>
      <c r="I222" s="4" t="s">
        <v>2308</v>
      </c>
      <c r="J222" s="4">
        <v>1</v>
      </c>
      <c r="K222" s="20" t="s">
        <v>4429</v>
      </c>
      <c r="L222" s="4" t="s">
        <v>2308</v>
      </c>
      <c r="M222" s="4" t="s">
        <v>2308</v>
      </c>
    </row>
    <row r="223" spans="1:13" ht="58.5" customHeight="1">
      <c r="A223" s="161" t="s">
        <v>4469</v>
      </c>
      <c r="B223" s="161" t="s">
        <v>4479</v>
      </c>
      <c r="C223" s="4" t="s">
        <v>1125</v>
      </c>
      <c r="D223" s="4" t="s">
        <v>1125</v>
      </c>
      <c r="E223" s="5" t="s">
        <v>5065</v>
      </c>
      <c r="F223" s="5" t="s">
        <v>2695</v>
      </c>
      <c r="G223" s="4"/>
      <c r="H223" s="4" t="s">
        <v>2308</v>
      </c>
      <c r="I223" s="4" t="s">
        <v>2308</v>
      </c>
      <c r="J223" s="4">
        <v>2</v>
      </c>
      <c r="K223" s="5" t="s">
        <v>4483</v>
      </c>
      <c r="L223" s="4" t="s">
        <v>2308</v>
      </c>
      <c r="M223" s="4" t="s">
        <v>2308</v>
      </c>
    </row>
    <row r="224" spans="1:13" ht="61.5" customHeight="1">
      <c r="A224" s="161" t="s">
        <v>4499</v>
      </c>
      <c r="B224" s="161" t="s">
        <v>4508</v>
      </c>
      <c r="C224" s="4" t="s">
        <v>24</v>
      </c>
      <c r="D224" s="4" t="s">
        <v>1125</v>
      </c>
      <c r="E224" s="5" t="s">
        <v>136</v>
      </c>
      <c r="F224" s="4" t="s">
        <v>2308</v>
      </c>
      <c r="G224" s="4"/>
      <c r="H224" s="4">
        <v>2</v>
      </c>
      <c r="I224" s="20" t="s">
        <v>4521</v>
      </c>
      <c r="J224" s="4" t="s">
        <v>2308</v>
      </c>
      <c r="K224" s="4" t="s">
        <v>2308</v>
      </c>
      <c r="L224" s="4">
        <v>1</v>
      </c>
      <c r="M224" s="160" t="s">
        <v>4522</v>
      </c>
    </row>
    <row r="225" spans="1:13" ht="50" customHeight="1">
      <c r="A225" s="12" t="s">
        <v>4539</v>
      </c>
      <c r="B225" s="12" t="s">
        <v>4547</v>
      </c>
      <c r="C225" s="4" t="s">
        <v>1125</v>
      </c>
      <c r="D225" s="4" t="s">
        <v>1125</v>
      </c>
      <c r="E225" s="5" t="s">
        <v>5065</v>
      </c>
      <c r="F225" s="5" t="s">
        <v>2695</v>
      </c>
      <c r="G225" s="4"/>
      <c r="H225" s="4" t="s">
        <v>2308</v>
      </c>
      <c r="I225" s="4" t="s">
        <v>2308</v>
      </c>
      <c r="J225" s="4">
        <v>1</v>
      </c>
      <c r="K225" s="20" t="s">
        <v>4551</v>
      </c>
      <c r="L225" s="4" t="s">
        <v>2308</v>
      </c>
      <c r="M225" s="4" t="s">
        <v>2308</v>
      </c>
    </row>
    <row r="226" spans="1:13" ht="62" customHeight="1">
      <c r="A226" s="12" t="s">
        <v>4540</v>
      </c>
      <c r="B226" s="12" t="s">
        <v>4550</v>
      </c>
      <c r="C226" s="4" t="s">
        <v>1125</v>
      </c>
      <c r="D226" s="4" t="s">
        <v>1125</v>
      </c>
      <c r="E226" s="5" t="s">
        <v>5065</v>
      </c>
      <c r="F226" s="5" t="s">
        <v>2695</v>
      </c>
      <c r="G226" s="4"/>
      <c r="H226" s="4" t="s">
        <v>2308</v>
      </c>
      <c r="I226" s="4" t="s">
        <v>2308</v>
      </c>
      <c r="J226" s="4">
        <v>1</v>
      </c>
      <c r="K226" s="20" t="s">
        <v>4551</v>
      </c>
      <c r="L226" s="4" t="s">
        <v>2308</v>
      </c>
      <c r="M226" s="4" t="s">
        <v>2308</v>
      </c>
    </row>
    <row r="227" spans="1:13" ht="64.5" customHeight="1">
      <c r="A227" s="12" t="s">
        <v>4540</v>
      </c>
      <c r="B227" s="12" t="s">
        <v>4548</v>
      </c>
      <c r="C227" s="4" t="s">
        <v>1125</v>
      </c>
      <c r="D227" s="4" t="s">
        <v>1125</v>
      </c>
      <c r="E227" s="5" t="s">
        <v>3903</v>
      </c>
      <c r="F227" s="5" t="s">
        <v>2695</v>
      </c>
      <c r="G227" s="4"/>
      <c r="H227" s="4" t="s">
        <v>2308</v>
      </c>
      <c r="I227" s="4" t="s">
        <v>2308</v>
      </c>
      <c r="J227" s="4">
        <v>1</v>
      </c>
      <c r="K227" s="20" t="s">
        <v>4551</v>
      </c>
      <c r="L227" s="4" t="s">
        <v>2308</v>
      </c>
      <c r="M227" s="4" t="s">
        <v>2308</v>
      </c>
    </row>
    <row r="228" spans="1:13" ht="37" customHeight="1">
      <c r="A228" s="12" t="s">
        <v>4553</v>
      </c>
      <c r="B228" s="12" t="s">
        <v>4559</v>
      </c>
      <c r="C228" s="4" t="s">
        <v>1125</v>
      </c>
      <c r="D228" s="4" t="s">
        <v>1125</v>
      </c>
      <c r="E228" s="5" t="s">
        <v>2680</v>
      </c>
      <c r="F228" s="4"/>
      <c r="G228" s="4"/>
      <c r="H228" s="4" t="s">
        <v>2308</v>
      </c>
      <c r="I228" s="4" t="s">
        <v>2308</v>
      </c>
      <c r="J228" s="4">
        <v>2</v>
      </c>
      <c r="K228" s="5" t="s">
        <v>4567</v>
      </c>
      <c r="L228" s="4" t="s">
        <v>2308</v>
      </c>
      <c r="M228" s="4" t="s">
        <v>2308</v>
      </c>
    </row>
    <row r="229" spans="1:13" ht="37" customHeight="1">
      <c r="A229" s="12" t="s">
        <v>4553</v>
      </c>
      <c r="B229" s="12" t="s">
        <v>4561</v>
      </c>
      <c r="C229" s="4" t="s">
        <v>1125</v>
      </c>
      <c r="D229" s="4" t="s">
        <v>1125</v>
      </c>
      <c r="E229" s="5" t="s">
        <v>45</v>
      </c>
      <c r="F229" s="4"/>
      <c r="G229" s="4"/>
      <c r="H229" s="4" t="s">
        <v>2308</v>
      </c>
      <c r="I229" s="4" t="s">
        <v>2308</v>
      </c>
      <c r="J229" s="4">
        <v>2</v>
      </c>
      <c r="K229" s="5" t="s">
        <v>4567</v>
      </c>
      <c r="L229" s="4" t="s">
        <v>2308</v>
      </c>
      <c r="M229" s="4" t="s">
        <v>2308</v>
      </c>
    </row>
    <row r="230" spans="1:13" ht="37" customHeight="1">
      <c r="A230" s="12" t="s">
        <v>4557</v>
      </c>
      <c r="B230" s="12" t="s">
        <v>4563</v>
      </c>
      <c r="C230" s="4" t="s">
        <v>1125</v>
      </c>
      <c r="D230" s="4" t="s">
        <v>1125</v>
      </c>
      <c r="E230" s="5" t="s">
        <v>2680</v>
      </c>
      <c r="F230" s="4"/>
      <c r="G230" s="4"/>
      <c r="H230" s="4" t="s">
        <v>2308</v>
      </c>
      <c r="I230" s="4" t="s">
        <v>2308</v>
      </c>
      <c r="J230" s="4">
        <v>2</v>
      </c>
      <c r="K230" s="5" t="s">
        <v>4567</v>
      </c>
      <c r="L230" s="4" t="s">
        <v>2308</v>
      </c>
      <c r="M230" s="4" t="s">
        <v>2308</v>
      </c>
    </row>
    <row r="231" spans="1:13" ht="37" customHeight="1">
      <c r="A231" s="12" t="s">
        <v>4557</v>
      </c>
      <c r="B231" s="12" t="s">
        <v>4564</v>
      </c>
      <c r="C231" s="4" t="s">
        <v>1125</v>
      </c>
      <c r="D231" s="4" t="s">
        <v>1125</v>
      </c>
      <c r="E231" s="5" t="s">
        <v>45</v>
      </c>
      <c r="F231" s="4"/>
      <c r="G231" s="4"/>
      <c r="H231" s="4" t="s">
        <v>2308</v>
      </c>
      <c r="I231" s="4" t="s">
        <v>2308</v>
      </c>
      <c r="J231" s="4">
        <v>2</v>
      </c>
      <c r="K231" s="5" t="s">
        <v>4567</v>
      </c>
      <c r="L231" s="4" t="s">
        <v>2308</v>
      </c>
      <c r="M231" s="4" t="s">
        <v>2308</v>
      </c>
    </row>
    <row r="232" spans="1:13" ht="51" customHeight="1">
      <c r="A232" s="12" t="s">
        <v>4570</v>
      </c>
      <c r="B232" s="12" t="s">
        <v>4580</v>
      </c>
      <c r="C232" s="4" t="s">
        <v>1125</v>
      </c>
      <c r="D232" s="4" t="s">
        <v>1125</v>
      </c>
      <c r="E232" s="5" t="s">
        <v>2680</v>
      </c>
      <c r="F232" s="5" t="s">
        <v>2695</v>
      </c>
      <c r="G232" s="4">
        <v>1973</v>
      </c>
      <c r="H232" s="4" t="s">
        <v>2308</v>
      </c>
      <c r="I232" s="4" t="s">
        <v>2308</v>
      </c>
      <c r="J232" s="4">
        <v>1</v>
      </c>
      <c r="K232" s="5" t="s">
        <v>4592</v>
      </c>
      <c r="L232" s="4" t="s">
        <v>2308</v>
      </c>
      <c r="M232" s="4" t="s">
        <v>2308</v>
      </c>
    </row>
    <row r="233" spans="1:13" ht="51" customHeight="1">
      <c r="A233" s="12" t="s">
        <v>4570</v>
      </c>
      <c r="B233" s="12" t="s">
        <v>4584</v>
      </c>
      <c r="C233" s="4" t="s">
        <v>1125</v>
      </c>
      <c r="D233" s="4" t="s">
        <v>1125</v>
      </c>
      <c r="E233" s="5" t="s">
        <v>45</v>
      </c>
      <c r="F233" s="5" t="s">
        <v>2695</v>
      </c>
      <c r="G233" s="4">
        <v>1973</v>
      </c>
      <c r="H233" s="4" t="s">
        <v>2308</v>
      </c>
      <c r="I233" s="4" t="s">
        <v>2308</v>
      </c>
      <c r="J233" s="4">
        <v>1</v>
      </c>
      <c r="K233" s="5" t="s">
        <v>4592</v>
      </c>
      <c r="L233" s="4" t="s">
        <v>2308</v>
      </c>
      <c r="M233" s="4" t="s">
        <v>2308</v>
      </c>
    </row>
    <row r="234" spans="1:13" ht="51" customHeight="1">
      <c r="A234" s="12" t="s">
        <v>4571</v>
      </c>
      <c r="B234" s="12" t="s">
        <v>4581</v>
      </c>
      <c r="C234" s="4" t="s">
        <v>1125</v>
      </c>
      <c r="D234" s="4" t="s">
        <v>1125</v>
      </c>
      <c r="E234" s="5" t="s">
        <v>5065</v>
      </c>
      <c r="F234" s="5" t="s">
        <v>2695</v>
      </c>
      <c r="G234" s="4">
        <v>1973</v>
      </c>
      <c r="H234" s="4" t="s">
        <v>2308</v>
      </c>
      <c r="I234" s="4" t="s">
        <v>2308</v>
      </c>
      <c r="J234" s="4">
        <v>1</v>
      </c>
      <c r="K234" s="5" t="s">
        <v>4592</v>
      </c>
      <c r="L234" s="4" t="s">
        <v>2308</v>
      </c>
      <c r="M234" s="4" t="s">
        <v>2308</v>
      </c>
    </row>
    <row r="235" spans="1:13" ht="51" customHeight="1">
      <c r="A235" s="12" t="s">
        <v>4572</v>
      </c>
      <c r="B235" s="12" t="s">
        <v>4582</v>
      </c>
      <c r="C235" s="4" t="s">
        <v>1125</v>
      </c>
      <c r="D235" s="4" t="s">
        <v>1125</v>
      </c>
      <c r="E235" s="5" t="s">
        <v>5065</v>
      </c>
      <c r="F235" s="5" t="s">
        <v>2695</v>
      </c>
      <c r="G235" s="4">
        <v>1973</v>
      </c>
      <c r="H235" s="4" t="s">
        <v>2308</v>
      </c>
      <c r="I235" s="4" t="s">
        <v>2308</v>
      </c>
      <c r="J235" s="4">
        <v>1</v>
      </c>
      <c r="K235" s="5" t="s">
        <v>4592</v>
      </c>
      <c r="L235" s="4" t="s">
        <v>2308</v>
      </c>
      <c r="M235" s="4" t="s">
        <v>2308</v>
      </c>
    </row>
    <row r="236" spans="1:13" ht="78.5" customHeight="1">
      <c r="A236" s="12" t="s">
        <v>4633</v>
      </c>
      <c r="B236" s="4" t="s">
        <v>4634</v>
      </c>
      <c r="C236" s="4" t="s">
        <v>24</v>
      </c>
      <c r="D236" s="4" t="s">
        <v>1125</v>
      </c>
      <c r="E236" s="5" t="s">
        <v>5065</v>
      </c>
      <c r="F236" s="5" t="s">
        <v>2695</v>
      </c>
      <c r="G236" s="4"/>
      <c r="H236" s="4" t="s">
        <v>2308</v>
      </c>
      <c r="I236" s="4" t="s">
        <v>2308</v>
      </c>
      <c r="J236" s="4">
        <v>2</v>
      </c>
      <c r="K236" s="5" t="s">
        <v>4647</v>
      </c>
      <c r="L236" s="4" t="s">
        <v>2308</v>
      </c>
      <c r="M236" s="4" t="s">
        <v>2308</v>
      </c>
    </row>
    <row r="237" spans="1:13" ht="69.5" customHeight="1">
      <c r="A237" s="12" t="s">
        <v>4636</v>
      </c>
      <c r="B237" s="4" t="s">
        <v>4640</v>
      </c>
      <c r="C237" s="4" t="s">
        <v>24</v>
      </c>
      <c r="D237" s="4" t="s">
        <v>1125</v>
      </c>
      <c r="E237" s="5" t="s">
        <v>143</v>
      </c>
      <c r="F237" s="5" t="s">
        <v>2695</v>
      </c>
      <c r="G237" s="4"/>
      <c r="H237" s="4">
        <v>3</v>
      </c>
      <c r="I237" s="5" t="s">
        <v>4645</v>
      </c>
      <c r="J237" s="4">
        <v>2</v>
      </c>
      <c r="K237" s="5" t="s">
        <v>4646</v>
      </c>
      <c r="L237" s="4" t="s">
        <v>2308</v>
      </c>
      <c r="M237" s="4" t="s">
        <v>2308</v>
      </c>
    </row>
    <row r="238" spans="1:13" ht="58">
      <c r="A238" s="12" t="s">
        <v>4637</v>
      </c>
      <c r="B238" s="4" t="s">
        <v>4641</v>
      </c>
      <c r="C238" s="4" t="s">
        <v>24</v>
      </c>
      <c r="D238" s="4" t="s">
        <v>1125</v>
      </c>
      <c r="E238" s="5" t="s">
        <v>143</v>
      </c>
      <c r="F238" s="5" t="s">
        <v>2695</v>
      </c>
      <c r="G238" s="4"/>
      <c r="H238" s="4">
        <v>3</v>
      </c>
      <c r="I238" s="5" t="s">
        <v>4645</v>
      </c>
      <c r="J238" s="4">
        <v>2</v>
      </c>
      <c r="K238" s="5" t="s">
        <v>4646</v>
      </c>
      <c r="L238" s="4" t="s">
        <v>2308</v>
      </c>
      <c r="M238" s="4" t="s">
        <v>2308</v>
      </c>
    </row>
    <row r="239" spans="1:13" ht="56.5" customHeight="1">
      <c r="A239" s="12" t="s">
        <v>4648</v>
      </c>
      <c r="B239" s="4" t="s">
        <v>4657</v>
      </c>
      <c r="C239" s="4" t="s">
        <v>2689</v>
      </c>
      <c r="D239" s="4" t="s">
        <v>150</v>
      </c>
      <c r="E239" s="5" t="s">
        <v>143</v>
      </c>
      <c r="F239" s="5" t="s">
        <v>2695</v>
      </c>
      <c r="G239" s="4"/>
      <c r="H239" s="4">
        <v>3</v>
      </c>
      <c r="I239" s="5" t="s">
        <v>4667</v>
      </c>
      <c r="J239" s="4">
        <v>2</v>
      </c>
      <c r="K239" s="5" t="s">
        <v>4670</v>
      </c>
      <c r="L239" s="4" t="s">
        <v>2308</v>
      </c>
      <c r="M239" s="4" t="s">
        <v>2308</v>
      </c>
    </row>
    <row r="240" spans="1:13" ht="54" customHeight="1">
      <c r="A240" s="12" t="s">
        <v>4648</v>
      </c>
      <c r="B240" s="4" t="s">
        <v>4659</v>
      </c>
      <c r="C240" s="4" t="s">
        <v>24</v>
      </c>
      <c r="D240" s="4" t="s">
        <v>1125</v>
      </c>
      <c r="E240" s="5" t="s">
        <v>143</v>
      </c>
      <c r="F240" s="5" t="s">
        <v>2695</v>
      </c>
      <c r="G240" s="4"/>
      <c r="H240" s="4" t="s">
        <v>2308</v>
      </c>
      <c r="I240" s="4" t="s">
        <v>2308</v>
      </c>
      <c r="J240" s="4" t="s">
        <v>2308</v>
      </c>
      <c r="K240" s="4" t="s">
        <v>2308</v>
      </c>
      <c r="L240" s="4">
        <v>3</v>
      </c>
      <c r="M240" s="5" t="s">
        <v>4669</v>
      </c>
    </row>
    <row r="241" spans="1:13" ht="51" customHeight="1">
      <c r="A241" s="12" t="s">
        <v>4648</v>
      </c>
      <c r="B241" s="4" t="s">
        <v>4666</v>
      </c>
      <c r="C241" s="4" t="s">
        <v>31</v>
      </c>
      <c r="D241" s="4" t="s">
        <v>1125</v>
      </c>
      <c r="E241" s="5" t="s">
        <v>143</v>
      </c>
      <c r="F241" s="5" t="s">
        <v>2695</v>
      </c>
      <c r="G241" s="4"/>
      <c r="H241" s="4" t="s">
        <v>2308</v>
      </c>
      <c r="I241" s="4" t="s">
        <v>2308</v>
      </c>
      <c r="J241" s="4" t="s">
        <v>2308</v>
      </c>
      <c r="K241" s="4" t="s">
        <v>2308</v>
      </c>
      <c r="L241" s="4">
        <v>3</v>
      </c>
      <c r="M241" s="5" t="s">
        <v>4669</v>
      </c>
    </row>
    <row r="242" spans="1:13" ht="54.5" customHeight="1">
      <c r="A242" s="12" t="s">
        <v>4654</v>
      </c>
      <c r="B242" s="4" t="s">
        <v>4664</v>
      </c>
      <c r="C242" s="4" t="s">
        <v>24</v>
      </c>
      <c r="D242" s="4" t="s">
        <v>1125</v>
      </c>
      <c r="E242" s="5" t="s">
        <v>143</v>
      </c>
      <c r="F242" s="5" t="s">
        <v>2695</v>
      </c>
      <c r="G242" s="4"/>
      <c r="H242" s="4" t="s">
        <v>2308</v>
      </c>
      <c r="I242" s="4" t="s">
        <v>2308</v>
      </c>
      <c r="J242" s="4">
        <v>3</v>
      </c>
      <c r="K242" s="5" t="s">
        <v>4668</v>
      </c>
      <c r="L242" s="4"/>
      <c r="M242" s="4"/>
    </row>
    <row r="243" spans="1:13" ht="48" customHeight="1">
      <c r="A243" s="4" t="s">
        <v>4671</v>
      </c>
      <c r="B243" s="12" t="s">
        <v>4680</v>
      </c>
      <c r="C243" s="4" t="s">
        <v>1125</v>
      </c>
      <c r="D243" s="4" t="s">
        <v>1125</v>
      </c>
      <c r="E243" s="5" t="s">
        <v>2680</v>
      </c>
      <c r="F243" s="5" t="s">
        <v>2695</v>
      </c>
      <c r="G243" s="4"/>
      <c r="H243" s="4" t="s">
        <v>2308</v>
      </c>
      <c r="I243" s="4" t="s">
        <v>2308</v>
      </c>
      <c r="J243" s="4">
        <v>2</v>
      </c>
      <c r="K243" s="5" t="s">
        <v>4691</v>
      </c>
      <c r="L243" s="4" t="s">
        <v>2308</v>
      </c>
      <c r="M243" s="4" t="s">
        <v>2308</v>
      </c>
    </row>
    <row r="244" spans="1:13" ht="48" customHeight="1">
      <c r="A244" s="4" t="s">
        <v>4671</v>
      </c>
      <c r="B244" s="12" t="s">
        <v>4683</v>
      </c>
      <c r="C244" s="4" t="s">
        <v>1125</v>
      </c>
      <c r="D244" s="4" t="s">
        <v>1125</v>
      </c>
      <c r="E244" s="5" t="s">
        <v>5065</v>
      </c>
      <c r="F244" s="5" t="s">
        <v>2695</v>
      </c>
      <c r="G244" s="4"/>
      <c r="H244" s="4">
        <v>0</v>
      </c>
      <c r="I244" t="s">
        <v>4692</v>
      </c>
      <c r="J244" s="4">
        <v>2</v>
      </c>
      <c r="K244" s="5" t="s">
        <v>4691</v>
      </c>
      <c r="L244" s="4" t="s">
        <v>2308</v>
      </c>
      <c r="M244" s="4" t="s">
        <v>2308</v>
      </c>
    </row>
    <row r="245" spans="1:13" ht="48" customHeight="1">
      <c r="A245" s="4" t="s">
        <v>4671</v>
      </c>
      <c r="B245" s="12" t="s">
        <v>4688</v>
      </c>
      <c r="C245" s="4" t="s">
        <v>1125</v>
      </c>
      <c r="D245" s="4" t="s">
        <v>1125</v>
      </c>
      <c r="E245" s="5" t="s">
        <v>45</v>
      </c>
      <c r="F245" s="5" t="s">
        <v>2695</v>
      </c>
      <c r="G245" s="4"/>
      <c r="H245" s="4" t="s">
        <v>2308</v>
      </c>
      <c r="I245" s="4" t="s">
        <v>2308</v>
      </c>
      <c r="J245" s="4">
        <v>2</v>
      </c>
      <c r="K245" s="5" t="s">
        <v>4691</v>
      </c>
      <c r="L245" s="4" t="s">
        <v>2308</v>
      </c>
      <c r="M245" s="4" t="s">
        <v>2308</v>
      </c>
    </row>
    <row r="246" spans="1:13" ht="48" customHeight="1">
      <c r="A246" s="4" t="s">
        <v>4671</v>
      </c>
      <c r="B246" s="12" t="s">
        <v>4689</v>
      </c>
      <c r="C246" s="4" t="s">
        <v>1125</v>
      </c>
      <c r="D246" s="4" t="s">
        <v>1125</v>
      </c>
      <c r="E246" s="5" t="s">
        <v>5065</v>
      </c>
      <c r="F246" s="5" t="s">
        <v>2695</v>
      </c>
      <c r="G246" s="4"/>
      <c r="H246" s="4" t="s">
        <v>2308</v>
      </c>
      <c r="I246" s="4" t="s">
        <v>2308</v>
      </c>
      <c r="J246" s="4">
        <v>2</v>
      </c>
      <c r="K246" s="5" t="s">
        <v>4691</v>
      </c>
      <c r="L246" s="4" t="s">
        <v>2308</v>
      </c>
      <c r="M246" s="4" t="s">
        <v>2308</v>
      </c>
    </row>
    <row r="247" spans="1:13" ht="34.5" customHeight="1">
      <c r="A247" s="12" t="s">
        <v>4694</v>
      </c>
      <c r="B247" s="12" t="s">
        <v>4701</v>
      </c>
      <c r="C247" s="4" t="s">
        <v>1125</v>
      </c>
      <c r="D247" s="4" t="s">
        <v>1125</v>
      </c>
      <c r="E247" s="5" t="s">
        <v>5065</v>
      </c>
      <c r="F247" s="4" t="s">
        <v>74</v>
      </c>
      <c r="G247" s="4">
        <v>1997</v>
      </c>
      <c r="H247" s="4" t="s">
        <v>2308</v>
      </c>
      <c r="I247" s="4" t="s">
        <v>2308</v>
      </c>
      <c r="J247" s="4">
        <v>1</v>
      </c>
      <c r="K247" s="5" t="s">
        <v>4708</v>
      </c>
      <c r="L247" s="4" t="s">
        <v>2308</v>
      </c>
      <c r="M247" s="4" t="s">
        <v>2308</v>
      </c>
    </row>
    <row r="248" spans="1:13" ht="34.5" customHeight="1">
      <c r="A248" s="4" t="s">
        <v>4694</v>
      </c>
      <c r="B248" s="12" t="s">
        <v>4703</v>
      </c>
      <c r="C248" s="4" t="s">
        <v>1125</v>
      </c>
      <c r="D248" s="4" t="s">
        <v>1125</v>
      </c>
      <c r="E248" s="5" t="s">
        <v>5065</v>
      </c>
      <c r="F248" s="4" t="s">
        <v>74</v>
      </c>
      <c r="G248" s="4">
        <v>1999</v>
      </c>
      <c r="H248" s="4" t="s">
        <v>2308</v>
      </c>
      <c r="I248" s="4" t="s">
        <v>2308</v>
      </c>
      <c r="J248" s="4">
        <v>2</v>
      </c>
      <c r="K248" s="5" t="s">
        <v>4709</v>
      </c>
      <c r="L248" s="4" t="s">
        <v>2308</v>
      </c>
      <c r="M248" s="4" t="s">
        <v>2308</v>
      </c>
    </row>
    <row r="249" spans="1:13" ht="34.5" customHeight="1">
      <c r="A249" s="12" t="s">
        <v>4695</v>
      </c>
      <c r="B249" s="12" t="s">
        <v>4704</v>
      </c>
      <c r="C249" s="4" t="s">
        <v>1125</v>
      </c>
      <c r="D249" s="4" t="s">
        <v>1125</v>
      </c>
      <c r="E249" s="5" t="s">
        <v>5065</v>
      </c>
      <c r="F249" s="4" t="s">
        <v>74</v>
      </c>
      <c r="G249" s="4">
        <v>1997</v>
      </c>
      <c r="H249" s="4" t="s">
        <v>2308</v>
      </c>
      <c r="I249" s="4" t="s">
        <v>2308</v>
      </c>
      <c r="J249" s="4">
        <v>1</v>
      </c>
      <c r="K249" s="5" t="s">
        <v>4708</v>
      </c>
      <c r="L249" s="4" t="s">
        <v>2308</v>
      </c>
      <c r="M249" s="4" t="s">
        <v>2308</v>
      </c>
    </row>
    <row r="250" spans="1:13" ht="34.5" customHeight="1">
      <c r="A250" s="12" t="s">
        <v>4695</v>
      </c>
      <c r="B250" s="12" t="s">
        <v>4705</v>
      </c>
      <c r="C250" s="4" t="s">
        <v>1125</v>
      </c>
      <c r="D250" s="4" t="s">
        <v>1125</v>
      </c>
      <c r="E250" s="5" t="s">
        <v>5065</v>
      </c>
      <c r="F250" s="4" t="s">
        <v>74</v>
      </c>
      <c r="G250" s="4">
        <v>1999</v>
      </c>
      <c r="H250" s="4" t="s">
        <v>2308</v>
      </c>
      <c r="I250" s="4" t="s">
        <v>2308</v>
      </c>
      <c r="J250" s="4">
        <v>2</v>
      </c>
      <c r="K250" s="5" t="s">
        <v>4709</v>
      </c>
      <c r="L250" s="4" t="s">
        <v>2308</v>
      </c>
      <c r="M250" s="4" t="s">
        <v>2308</v>
      </c>
    </row>
    <row r="251" spans="1:13" ht="62" customHeight="1">
      <c r="A251" s="12" t="s">
        <v>4712</v>
      </c>
      <c r="B251" s="12" t="s">
        <v>4715</v>
      </c>
      <c r="C251" s="4" t="s">
        <v>1125</v>
      </c>
      <c r="D251" s="4" t="s">
        <v>1125</v>
      </c>
      <c r="E251" s="5" t="s">
        <v>5065</v>
      </c>
      <c r="F251" s="5" t="s">
        <v>2695</v>
      </c>
      <c r="G251" s="4"/>
      <c r="H251" s="4" t="s">
        <v>2308</v>
      </c>
      <c r="I251" s="4" t="s">
        <v>2308</v>
      </c>
      <c r="J251" s="4">
        <v>2</v>
      </c>
      <c r="K251" s="5" t="s">
        <v>4721</v>
      </c>
      <c r="L251" s="4" t="s">
        <v>2308</v>
      </c>
      <c r="M251" s="4" t="s">
        <v>2308</v>
      </c>
    </row>
    <row r="252" spans="1:13" ht="55.5" customHeight="1">
      <c r="A252" s="12" t="s">
        <v>4767</v>
      </c>
      <c r="B252" s="4" t="s">
        <v>4775</v>
      </c>
      <c r="C252" s="4" t="s">
        <v>1125</v>
      </c>
      <c r="D252" s="4" t="s">
        <v>1125</v>
      </c>
      <c r="E252" s="5" t="s">
        <v>84</v>
      </c>
      <c r="F252" s="4" t="s">
        <v>28</v>
      </c>
      <c r="G252" s="4"/>
      <c r="H252" s="4" t="s">
        <v>2308</v>
      </c>
      <c r="I252" s="4" t="s">
        <v>2308</v>
      </c>
      <c r="J252" s="4">
        <v>3</v>
      </c>
      <c r="K252" s="5" t="s">
        <v>4781</v>
      </c>
      <c r="L252" s="4" t="s">
        <v>2308</v>
      </c>
      <c r="M252" s="4" t="s">
        <v>2308</v>
      </c>
    </row>
    <row r="253" spans="1:13" ht="79" customHeight="1">
      <c r="A253" s="12" t="s">
        <v>4785</v>
      </c>
      <c r="B253" s="12" t="s">
        <v>4789</v>
      </c>
      <c r="C253" s="4" t="s">
        <v>1125</v>
      </c>
      <c r="D253" s="4" t="s">
        <v>1125</v>
      </c>
      <c r="E253" s="5" t="s">
        <v>5065</v>
      </c>
      <c r="F253" s="4" t="s">
        <v>74</v>
      </c>
      <c r="G253" s="4"/>
      <c r="H253" s="4" t="s">
        <v>2308</v>
      </c>
      <c r="I253" s="4" t="s">
        <v>2308</v>
      </c>
      <c r="J253" s="4">
        <v>2</v>
      </c>
      <c r="K253" s="5" t="s">
        <v>4791</v>
      </c>
      <c r="L253" s="4" t="s">
        <v>2308</v>
      </c>
      <c r="M253" s="4" t="s">
        <v>2308</v>
      </c>
    </row>
    <row r="254" spans="1:13" ht="79" customHeight="1">
      <c r="A254" s="12" t="s">
        <v>4786</v>
      </c>
      <c r="B254" s="12" t="s">
        <v>4790</v>
      </c>
      <c r="C254" s="4" t="s">
        <v>1125</v>
      </c>
      <c r="D254" s="4" t="s">
        <v>1125</v>
      </c>
      <c r="E254" s="5" t="s">
        <v>5065</v>
      </c>
      <c r="F254" s="4" t="s">
        <v>74</v>
      </c>
      <c r="G254" s="4"/>
      <c r="H254" s="4" t="s">
        <v>2308</v>
      </c>
      <c r="I254" s="4" t="s">
        <v>2308</v>
      </c>
      <c r="J254" s="4">
        <v>2</v>
      </c>
      <c r="K254" s="5" t="s">
        <v>4791</v>
      </c>
      <c r="L254" s="4" t="s">
        <v>2308</v>
      </c>
      <c r="M254" s="4" t="s">
        <v>2308</v>
      </c>
    </row>
    <row r="255" spans="1:13" ht="31" customHeight="1">
      <c r="A255" s="12" t="s">
        <v>4798</v>
      </c>
      <c r="B255" s="12" t="s">
        <v>4805</v>
      </c>
      <c r="C255" s="4" t="s">
        <v>24</v>
      </c>
      <c r="D255" s="4" t="s">
        <v>1125</v>
      </c>
      <c r="E255" s="5" t="s">
        <v>5065</v>
      </c>
      <c r="F255" s="5" t="s">
        <v>2695</v>
      </c>
      <c r="G255" s="4">
        <v>1937</v>
      </c>
      <c r="H255" s="4">
        <v>2</v>
      </c>
      <c r="I255" s="12" t="s">
        <v>4816</v>
      </c>
      <c r="J255" s="4" t="s">
        <v>2308</v>
      </c>
      <c r="K255" s="4" t="s">
        <v>2308</v>
      </c>
      <c r="L255" s="4" t="s">
        <v>2308</v>
      </c>
      <c r="M255" s="4" t="s">
        <v>2308</v>
      </c>
    </row>
    <row r="256" spans="1:13" ht="31" customHeight="1">
      <c r="A256" s="12" t="s">
        <v>4798</v>
      </c>
      <c r="B256" s="12" t="s">
        <v>4807</v>
      </c>
      <c r="C256" s="4" t="s">
        <v>24</v>
      </c>
      <c r="D256" s="4" t="s">
        <v>1125</v>
      </c>
      <c r="E256" s="5" t="s">
        <v>136</v>
      </c>
      <c r="F256" s="5" t="s">
        <v>2695</v>
      </c>
      <c r="G256" s="4">
        <v>1937</v>
      </c>
      <c r="H256" s="4">
        <v>2</v>
      </c>
      <c r="I256" s="12" t="s">
        <v>4816</v>
      </c>
      <c r="J256" s="4" t="s">
        <v>2308</v>
      </c>
      <c r="K256" s="4" t="s">
        <v>2308</v>
      </c>
      <c r="L256" s="4" t="s">
        <v>2308</v>
      </c>
      <c r="M256" s="4" t="s">
        <v>2308</v>
      </c>
    </row>
    <row r="257" spans="1:13" ht="31" customHeight="1">
      <c r="A257" s="12" t="s">
        <v>4798</v>
      </c>
      <c r="B257" s="12" t="s">
        <v>4808</v>
      </c>
      <c r="C257" s="4" t="s">
        <v>24</v>
      </c>
      <c r="D257" s="4" t="s">
        <v>1125</v>
      </c>
      <c r="E257" s="5" t="s">
        <v>45</v>
      </c>
      <c r="F257" s="5" t="s">
        <v>2695</v>
      </c>
      <c r="G257" s="4">
        <v>1937</v>
      </c>
      <c r="H257" s="4">
        <v>2</v>
      </c>
      <c r="I257" s="12" t="s">
        <v>4816</v>
      </c>
      <c r="J257" s="4" t="s">
        <v>2308</v>
      </c>
      <c r="K257" s="4" t="s">
        <v>2308</v>
      </c>
      <c r="L257" s="4" t="s">
        <v>2308</v>
      </c>
      <c r="M257" s="4" t="s">
        <v>2308</v>
      </c>
    </row>
    <row r="258" spans="1:13" ht="29">
      <c r="A258" s="12" t="s">
        <v>4798</v>
      </c>
      <c r="B258" s="12" t="s">
        <v>4809</v>
      </c>
      <c r="C258" s="4" t="s">
        <v>24</v>
      </c>
      <c r="D258" s="4" t="s">
        <v>1125</v>
      </c>
      <c r="E258" s="5" t="s">
        <v>5065</v>
      </c>
      <c r="F258" s="5" t="s">
        <v>2695</v>
      </c>
      <c r="G258" s="12">
        <v>1990</v>
      </c>
      <c r="H258" s="4">
        <v>1</v>
      </c>
      <c r="I258" s="12" t="s">
        <v>4817</v>
      </c>
      <c r="J258" s="4" t="s">
        <v>2308</v>
      </c>
      <c r="K258" s="4" t="s">
        <v>2308</v>
      </c>
      <c r="L258" s="4" t="s">
        <v>2308</v>
      </c>
      <c r="M258" s="4" t="s">
        <v>2308</v>
      </c>
    </row>
    <row r="259" spans="1:13" ht="29">
      <c r="A259" s="12" t="s">
        <v>4798</v>
      </c>
      <c r="B259" s="12" t="s">
        <v>4814</v>
      </c>
      <c r="C259" s="4" t="s">
        <v>24</v>
      </c>
      <c r="D259" s="4" t="s">
        <v>1125</v>
      </c>
      <c r="E259" s="5" t="s">
        <v>136</v>
      </c>
      <c r="F259" s="5" t="s">
        <v>2695</v>
      </c>
      <c r="G259" s="12">
        <v>1990</v>
      </c>
      <c r="H259" s="4">
        <v>1</v>
      </c>
      <c r="I259" s="12" t="s">
        <v>4817</v>
      </c>
      <c r="J259" s="4" t="s">
        <v>2308</v>
      </c>
      <c r="K259" s="4" t="s">
        <v>2308</v>
      </c>
      <c r="L259" s="4" t="s">
        <v>2308</v>
      </c>
      <c r="M259" s="4" t="s">
        <v>2308</v>
      </c>
    </row>
    <row r="260" spans="1:13" ht="29">
      <c r="A260" s="12" t="s">
        <v>4798</v>
      </c>
      <c r="B260" s="12" t="s">
        <v>4815</v>
      </c>
      <c r="C260" s="4" t="s">
        <v>24</v>
      </c>
      <c r="D260" s="4" t="s">
        <v>1125</v>
      </c>
      <c r="E260" s="5" t="s">
        <v>45</v>
      </c>
      <c r="F260" s="5" t="s">
        <v>2695</v>
      </c>
      <c r="G260" s="12">
        <v>1990</v>
      </c>
      <c r="H260" s="4">
        <v>1</v>
      </c>
      <c r="I260" s="12" t="s">
        <v>4817</v>
      </c>
      <c r="J260" s="4" t="s">
        <v>2308</v>
      </c>
      <c r="K260" s="4" t="s">
        <v>2308</v>
      </c>
      <c r="L260" s="4" t="s">
        <v>2308</v>
      </c>
      <c r="M260" s="4" t="s">
        <v>2308</v>
      </c>
    </row>
    <row r="261" spans="1:13" ht="45.5" customHeight="1">
      <c r="A261" s="12" t="s">
        <v>4828</v>
      </c>
      <c r="B261" s="12" t="s">
        <v>4834</v>
      </c>
      <c r="C261" s="4" t="s">
        <v>24</v>
      </c>
      <c r="D261" s="4" t="s">
        <v>2837</v>
      </c>
      <c r="E261" s="5" t="s">
        <v>5065</v>
      </c>
      <c r="F261" s="5" t="s">
        <v>2695</v>
      </c>
      <c r="G261" s="4"/>
      <c r="H261" s="4" t="s">
        <v>2308</v>
      </c>
      <c r="I261" s="4" t="s">
        <v>2308</v>
      </c>
      <c r="J261" s="4">
        <v>2</v>
      </c>
      <c r="K261" s="5" t="s">
        <v>4837</v>
      </c>
      <c r="L261" s="4" t="s">
        <v>2308</v>
      </c>
      <c r="M261" s="4" t="s">
        <v>2308</v>
      </c>
    </row>
    <row r="262" spans="1:13" ht="79" customHeight="1">
      <c r="A262" s="12" t="s">
        <v>4842</v>
      </c>
      <c r="B262" s="12" t="s">
        <v>4845</v>
      </c>
      <c r="C262" s="4" t="s">
        <v>1125</v>
      </c>
      <c r="D262" s="4" t="s">
        <v>1125</v>
      </c>
      <c r="E262" s="5" t="s">
        <v>5065</v>
      </c>
      <c r="F262" s="5" t="s">
        <v>2695</v>
      </c>
      <c r="G262" s="4">
        <v>1965</v>
      </c>
      <c r="H262" s="4" t="s">
        <v>2308</v>
      </c>
      <c r="I262" s="4" t="s">
        <v>2308</v>
      </c>
      <c r="J262" s="4">
        <v>2</v>
      </c>
      <c r="K262" s="5" t="s">
        <v>4848</v>
      </c>
      <c r="L262" s="4" t="s">
        <v>2308</v>
      </c>
      <c r="M262" s="4" t="s">
        <v>2308</v>
      </c>
    </row>
    <row r="263" spans="1:13" ht="36.5" customHeight="1">
      <c r="A263" s="12" t="s">
        <v>4844</v>
      </c>
      <c r="B263" s="12" t="s">
        <v>4846</v>
      </c>
      <c r="C263" s="4" t="s">
        <v>1125</v>
      </c>
      <c r="D263" s="4" t="s">
        <v>1125</v>
      </c>
      <c r="E263" s="5" t="s">
        <v>5065</v>
      </c>
      <c r="F263" s="5" t="s">
        <v>2695</v>
      </c>
      <c r="G263" s="4"/>
      <c r="H263" s="4" t="s">
        <v>2308</v>
      </c>
      <c r="I263" s="4" t="s">
        <v>2308</v>
      </c>
      <c r="J263" s="4">
        <v>2</v>
      </c>
      <c r="K263" s="5" t="s">
        <v>4837</v>
      </c>
      <c r="L263" s="4" t="s">
        <v>2308</v>
      </c>
      <c r="M263" s="4" t="s">
        <v>2308</v>
      </c>
    </row>
    <row r="264" spans="1:13" ht="35.5" customHeight="1">
      <c r="A264" s="4" t="s">
        <v>4853</v>
      </c>
      <c r="B264" s="4" t="s">
        <v>4865</v>
      </c>
      <c r="C264" s="4" t="s">
        <v>1125</v>
      </c>
      <c r="D264" s="4" t="s">
        <v>1125</v>
      </c>
      <c r="E264" s="5" t="s">
        <v>5065</v>
      </c>
      <c r="F264" s="4" t="s">
        <v>74</v>
      </c>
      <c r="G264" s="4"/>
      <c r="H264" s="4" t="s">
        <v>2308</v>
      </c>
      <c r="I264" s="4" t="s">
        <v>2308</v>
      </c>
      <c r="J264" s="4">
        <v>2</v>
      </c>
      <c r="K264" s="5" t="s">
        <v>4897</v>
      </c>
      <c r="L264" s="4" t="s">
        <v>2308</v>
      </c>
      <c r="M264" s="4" t="s">
        <v>2308</v>
      </c>
    </row>
    <row r="265" spans="1:13" ht="35.5" customHeight="1">
      <c r="A265" s="4" t="s">
        <v>4854</v>
      </c>
      <c r="B265" s="4" t="s">
        <v>4866</v>
      </c>
      <c r="C265" s="4" t="s">
        <v>1125</v>
      </c>
      <c r="D265" s="4" t="s">
        <v>1125</v>
      </c>
      <c r="E265" s="5" t="s">
        <v>5065</v>
      </c>
      <c r="F265" s="4" t="s">
        <v>74</v>
      </c>
      <c r="G265" s="4"/>
      <c r="H265" s="4" t="s">
        <v>2308</v>
      </c>
      <c r="I265" s="4" t="s">
        <v>2308</v>
      </c>
      <c r="J265" s="4">
        <v>2</v>
      </c>
      <c r="K265" s="5" t="s">
        <v>4897</v>
      </c>
      <c r="L265" s="4" t="s">
        <v>2308</v>
      </c>
      <c r="M265" s="4" t="s">
        <v>2308</v>
      </c>
    </row>
    <row r="266" spans="1:13" ht="35.5" customHeight="1">
      <c r="A266" s="4" t="s">
        <v>4855</v>
      </c>
      <c r="B266" s="4" t="s">
        <v>4867</v>
      </c>
      <c r="C266" s="4" t="s">
        <v>1125</v>
      </c>
      <c r="D266" s="4" t="s">
        <v>1125</v>
      </c>
      <c r="E266" s="5" t="s">
        <v>5065</v>
      </c>
      <c r="F266" s="4" t="s">
        <v>74</v>
      </c>
      <c r="G266" s="4"/>
      <c r="H266" s="4" t="s">
        <v>2308</v>
      </c>
      <c r="I266" s="4" t="s">
        <v>2308</v>
      </c>
      <c r="J266" s="4">
        <v>2</v>
      </c>
      <c r="K266" s="5" t="s">
        <v>4897</v>
      </c>
      <c r="L266" s="4" t="s">
        <v>2308</v>
      </c>
      <c r="M266" s="4" t="s">
        <v>2308</v>
      </c>
    </row>
    <row r="267" spans="1:13" ht="35.5" customHeight="1">
      <c r="A267" s="4" t="s">
        <v>4856</v>
      </c>
      <c r="B267" s="4" t="s">
        <v>4868</v>
      </c>
      <c r="C267" s="4" t="s">
        <v>1125</v>
      </c>
      <c r="D267" s="4" t="s">
        <v>1125</v>
      </c>
      <c r="E267" s="5" t="s">
        <v>5065</v>
      </c>
      <c r="F267" s="4" t="s">
        <v>74</v>
      </c>
      <c r="G267" s="4"/>
      <c r="H267" s="4" t="s">
        <v>2308</v>
      </c>
      <c r="I267" s="4" t="s">
        <v>2308</v>
      </c>
      <c r="J267" s="4">
        <v>2</v>
      </c>
      <c r="K267" s="5" t="s">
        <v>4897</v>
      </c>
      <c r="L267" s="4" t="s">
        <v>2308</v>
      </c>
      <c r="M267" s="4" t="s">
        <v>2308</v>
      </c>
    </row>
    <row r="268" spans="1:13" ht="42.5" customHeight="1">
      <c r="A268" s="4" t="s">
        <v>4853</v>
      </c>
      <c r="B268" s="4" t="s">
        <v>4870</v>
      </c>
      <c r="C268" s="4" t="s">
        <v>1125</v>
      </c>
      <c r="D268" s="4" t="s">
        <v>1125</v>
      </c>
      <c r="E268" s="5" t="s">
        <v>2682</v>
      </c>
      <c r="F268" s="4" t="s">
        <v>74</v>
      </c>
      <c r="G268" s="4"/>
      <c r="H268" s="4" t="s">
        <v>2308</v>
      </c>
      <c r="I268" s="4" t="s">
        <v>2308</v>
      </c>
      <c r="J268" s="4">
        <v>2</v>
      </c>
      <c r="K268" s="5" t="s">
        <v>4900</v>
      </c>
      <c r="L268" s="4" t="s">
        <v>2308</v>
      </c>
      <c r="M268" s="4" t="s">
        <v>2308</v>
      </c>
    </row>
    <row r="269" spans="1:13" ht="32.5" customHeight="1">
      <c r="A269" s="4" t="s">
        <v>4854</v>
      </c>
      <c r="B269" s="4" t="s">
        <v>4871</v>
      </c>
      <c r="C269" s="4" t="s">
        <v>1125</v>
      </c>
      <c r="D269" s="4" t="s">
        <v>1125</v>
      </c>
      <c r="E269" s="5" t="s">
        <v>2682</v>
      </c>
      <c r="F269" s="4" t="s">
        <v>74</v>
      </c>
      <c r="G269" s="4"/>
      <c r="H269" s="4" t="s">
        <v>2308</v>
      </c>
      <c r="I269" s="4" t="s">
        <v>2308</v>
      </c>
      <c r="J269" s="4">
        <v>3</v>
      </c>
      <c r="K269" s="5" t="s">
        <v>4899</v>
      </c>
      <c r="L269" s="4" t="s">
        <v>2308</v>
      </c>
      <c r="M269" s="4" t="s">
        <v>2308</v>
      </c>
    </row>
    <row r="270" spans="1:13" ht="32.5" customHeight="1">
      <c r="A270" s="4" t="s">
        <v>4855</v>
      </c>
      <c r="B270" s="4" t="s">
        <v>4872</v>
      </c>
      <c r="C270" s="4" t="s">
        <v>1125</v>
      </c>
      <c r="D270" s="4" t="s">
        <v>1125</v>
      </c>
      <c r="E270" s="5" t="s">
        <v>2682</v>
      </c>
      <c r="F270" s="4" t="s">
        <v>74</v>
      </c>
      <c r="G270" s="4"/>
      <c r="H270" s="4" t="s">
        <v>2308</v>
      </c>
      <c r="I270" s="4" t="s">
        <v>2308</v>
      </c>
      <c r="J270" s="4">
        <v>2</v>
      </c>
      <c r="K270" s="5" t="s">
        <v>4900</v>
      </c>
      <c r="L270" s="4" t="s">
        <v>2308</v>
      </c>
      <c r="M270" s="4" t="s">
        <v>2308</v>
      </c>
    </row>
    <row r="271" spans="1:13" ht="32.5" customHeight="1">
      <c r="A271" s="4" t="s">
        <v>4856</v>
      </c>
      <c r="B271" s="4" t="s">
        <v>4873</v>
      </c>
      <c r="C271" s="4" t="s">
        <v>1125</v>
      </c>
      <c r="D271" s="4" t="s">
        <v>1125</v>
      </c>
      <c r="E271" s="5" t="s">
        <v>2682</v>
      </c>
      <c r="F271" s="4" t="s">
        <v>74</v>
      </c>
      <c r="G271" s="4"/>
      <c r="H271" s="4" t="s">
        <v>2308</v>
      </c>
      <c r="I271" s="4" t="s">
        <v>2308</v>
      </c>
      <c r="J271" s="4">
        <v>2</v>
      </c>
      <c r="K271" s="5" t="s">
        <v>4900</v>
      </c>
      <c r="L271" s="4" t="s">
        <v>2308</v>
      </c>
      <c r="M271" s="4" t="s">
        <v>2308</v>
      </c>
    </row>
    <row r="272" spans="1:13" ht="36.5" customHeight="1">
      <c r="A272" s="4" t="s">
        <v>4853</v>
      </c>
      <c r="B272" s="4" t="s">
        <v>4875</v>
      </c>
      <c r="C272" s="4" t="s">
        <v>1125</v>
      </c>
      <c r="D272" s="4" t="s">
        <v>1125</v>
      </c>
      <c r="E272" s="5" t="s">
        <v>45</v>
      </c>
      <c r="F272" s="4" t="s">
        <v>74</v>
      </c>
      <c r="G272" s="4"/>
      <c r="H272" s="4" t="s">
        <v>2308</v>
      </c>
      <c r="I272" s="4" t="s">
        <v>2308</v>
      </c>
      <c r="J272" s="4">
        <v>2</v>
      </c>
      <c r="K272" s="4" t="s">
        <v>4898</v>
      </c>
      <c r="L272" s="4" t="s">
        <v>2308</v>
      </c>
      <c r="M272" s="4" t="s">
        <v>2308</v>
      </c>
    </row>
    <row r="273" spans="1:13" ht="36.5" customHeight="1">
      <c r="A273" s="4" t="s">
        <v>4854</v>
      </c>
      <c r="B273" s="4" t="s">
        <v>4876</v>
      </c>
      <c r="C273" s="4" t="s">
        <v>1125</v>
      </c>
      <c r="D273" s="4" t="s">
        <v>1125</v>
      </c>
      <c r="E273" s="5" t="s">
        <v>45</v>
      </c>
      <c r="F273" s="4" t="s">
        <v>74</v>
      </c>
      <c r="G273" s="4"/>
      <c r="H273" s="4" t="s">
        <v>2308</v>
      </c>
      <c r="I273" s="4" t="s">
        <v>2308</v>
      </c>
      <c r="J273" s="4">
        <v>3</v>
      </c>
      <c r="K273" s="4" t="s">
        <v>4896</v>
      </c>
      <c r="L273" s="4" t="s">
        <v>2308</v>
      </c>
      <c r="M273" s="4" t="s">
        <v>2308</v>
      </c>
    </row>
    <row r="274" spans="1:13" ht="36.5" customHeight="1">
      <c r="A274" s="4" t="s">
        <v>4855</v>
      </c>
      <c r="B274" s="4" t="s">
        <v>4877</v>
      </c>
      <c r="C274" s="4" t="s">
        <v>1125</v>
      </c>
      <c r="D274" s="4" t="s">
        <v>1125</v>
      </c>
      <c r="E274" s="5" t="s">
        <v>45</v>
      </c>
      <c r="F274" s="4" t="s">
        <v>74</v>
      </c>
      <c r="G274" s="4"/>
      <c r="H274" s="4" t="s">
        <v>2308</v>
      </c>
      <c r="I274" s="4" t="s">
        <v>2308</v>
      </c>
      <c r="J274" s="4">
        <v>2</v>
      </c>
      <c r="K274" s="4" t="s">
        <v>4898</v>
      </c>
      <c r="L274" s="4" t="s">
        <v>2308</v>
      </c>
      <c r="M274" s="4" t="s">
        <v>2308</v>
      </c>
    </row>
    <row r="275" spans="1:13" ht="36.5" customHeight="1">
      <c r="A275" s="4" t="s">
        <v>4856</v>
      </c>
      <c r="B275" s="4" t="s">
        <v>4878</v>
      </c>
      <c r="C275" s="4" t="s">
        <v>1125</v>
      </c>
      <c r="D275" s="4" t="s">
        <v>1125</v>
      </c>
      <c r="E275" s="5" t="s">
        <v>45</v>
      </c>
      <c r="F275" s="4" t="s">
        <v>74</v>
      </c>
      <c r="G275" s="4"/>
      <c r="H275" s="4" t="s">
        <v>2308</v>
      </c>
      <c r="I275" s="4" t="s">
        <v>2308</v>
      </c>
      <c r="J275" s="4">
        <v>2</v>
      </c>
      <c r="K275" s="4" t="s">
        <v>4898</v>
      </c>
      <c r="L275" s="4" t="s">
        <v>2308</v>
      </c>
      <c r="M275" s="4" t="s">
        <v>2308</v>
      </c>
    </row>
    <row r="276" spans="1:13" ht="35.5" customHeight="1">
      <c r="A276" s="12" t="s">
        <v>4884</v>
      </c>
      <c r="B276" s="12" t="s">
        <v>4889</v>
      </c>
      <c r="C276" s="4" t="s">
        <v>1125</v>
      </c>
      <c r="D276" s="4" t="s">
        <v>1125</v>
      </c>
      <c r="E276" s="5" t="s">
        <v>45</v>
      </c>
      <c r="F276" s="61" t="s">
        <v>2695</v>
      </c>
      <c r="G276" s="4"/>
      <c r="H276" s="4" t="s">
        <v>2308</v>
      </c>
      <c r="I276" s="4" t="s">
        <v>2308</v>
      </c>
      <c r="J276" s="4">
        <v>2</v>
      </c>
      <c r="K276" s="5" t="s">
        <v>4904</v>
      </c>
      <c r="L276" s="4" t="s">
        <v>2308</v>
      </c>
      <c r="M276" s="4" t="s">
        <v>2308</v>
      </c>
    </row>
    <row r="277" spans="1:13" ht="33.5" customHeight="1">
      <c r="A277" s="12" t="s">
        <v>4884</v>
      </c>
      <c r="B277" s="12" t="s">
        <v>4903</v>
      </c>
      <c r="C277" s="4" t="s">
        <v>1125</v>
      </c>
      <c r="D277" s="4" t="s">
        <v>1125</v>
      </c>
      <c r="E277" s="5" t="s">
        <v>2682</v>
      </c>
      <c r="F277" s="53" t="s">
        <v>74</v>
      </c>
      <c r="G277" s="4"/>
      <c r="H277" s="4" t="s">
        <v>2308</v>
      </c>
      <c r="I277" s="4" t="s">
        <v>2308</v>
      </c>
      <c r="J277" s="4">
        <v>3</v>
      </c>
      <c r="K277" s="4" t="s">
        <v>4905</v>
      </c>
      <c r="L277" s="4" t="s">
        <v>2308</v>
      </c>
      <c r="M277" s="4" t="s">
        <v>2308</v>
      </c>
    </row>
    <row r="278" spans="1:13" ht="67" customHeight="1">
      <c r="A278" s="12" t="s">
        <v>4985</v>
      </c>
      <c r="B278" s="12" t="s">
        <v>4994</v>
      </c>
      <c r="C278" s="4" t="s">
        <v>1125</v>
      </c>
      <c r="D278" s="4" t="s">
        <v>1125</v>
      </c>
      <c r="E278" s="5" t="s">
        <v>45</v>
      </c>
      <c r="F278" s="53" t="s">
        <v>74</v>
      </c>
      <c r="G278" s="4"/>
      <c r="H278" s="4" t="s">
        <v>2308</v>
      </c>
      <c r="I278" s="4" t="s">
        <v>2308</v>
      </c>
      <c r="J278" s="4">
        <v>2</v>
      </c>
      <c r="K278" s="5" t="s">
        <v>4998</v>
      </c>
      <c r="L278" s="4" t="s">
        <v>2308</v>
      </c>
      <c r="M278" s="4" t="s">
        <v>2308</v>
      </c>
    </row>
    <row r="279" spans="1:13" ht="67" customHeight="1">
      <c r="A279" s="12" t="s">
        <v>4985</v>
      </c>
      <c r="B279" s="12" t="s">
        <v>4995</v>
      </c>
      <c r="C279" s="4" t="s">
        <v>1125</v>
      </c>
      <c r="D279" s="4" t="s">
        <v>1125</v>
      </c>
      <c r="E279" s="5" t="s">
        <v>45</v>
      </c>
      <c r="F279" s="53" t="s">
        <v>74</v>
      </c>
      <c r="G279" s="4"/>
      <c r="H279" s="4" t="s">
        <v>2308</v>
      </c>
      <c r="I279" s="4" t="s">
        <v>2308</v>
      </c>
      <c r="J279" s="4">
        <v>2</v>
      </c>
      <c r="K279" s="5" t="s">
        <v>4998</v>
      </c>
      <c r="L279" s="4" t="s">
        <v>2308</v>
      </c>
      <c r="M279" s="4" t="s">
        <v>2308</v>
      </c>
    </row>
    <row r="280" spans="1:13" ht="67" customHeight="1">
      <c r="A280" s="12" t="s">
        <v>4989</v>
      </c>
      <c r="B280" s="12" t="s">
        <v>4996</v>
      </c>
      <c r="C280" s="4" t="s">
        <v>1125</v>
      </c>
      <c r="D280" s="4" t="s">
        <v>1125</v>
      </c>
      <c r="E280" s="5" t="s">
        <v>45</v>
      </c>
      <c r="F280" s="53" t="s">
        <v>74</v>
      </c>
      <c r="G280" s="4"/>
      <c r="H280" s="4" t="s">
        <v>2308</v>
      </c>
      <c r="I280" s="4" t="s">
        <v>2308</v>
      </c>
      <c r="J280" s="4">
        <v>2</v>
      </c>
      <c r="K280" s="5" t="s">
        <v>4998</v>
      </c>
      <c r="L280" s="4" t="s">
        <v>2308</v>
      </c>
      <c r="M280" s="4" t="s">
        <v>2308</v>
      </c>
    </row>
    <row r="281" spans="1:13" ht="67" customHeight="1">
      <c r="A281" s="12" t="s">
        <v>4989</v>
      </c>
      <c r="B281" s="12" t="s">
        <v>4997</v>
      </c>
      <c r="C281" s="4" t="s">
        <v>1125</v>
      </c>
      <c r="D281" s="4" t="s">
        <v>1125</v>
      </c>
      <c r="E281" s="5" t="s">
        <v>45</v>
      </c>
      <c r="F281" s="53" t="s">
        <v>74</v>
      </c>
      <c r="G281" s="4"/>
      <c r="H281" s="4" t="s">
        <v>2308</v>
      </c>
      <c r="I281" s="4" t="s">
        <v>2308</v>
      </c>
      <c r="J281" s="4">
        <v>2</v>
      </c>
      <c r="K281" s="5" t="s">
        <v>4998</v>
      </c>
      <c r="L281" s="4" t="s">
        <v>2308</v>
      </c>
      <c r="M281" s="4" t="s">
        <v>2308</v>
      </c>
    </row>
    <row r="282" spans="1:13" ht="41" customHeight="1">
      <c r="A282" s="12" t="s">
        <v>4999</v>
      </c>
      <c r="B282" s="12" t="s">
        <v>5004</v>
      </c>
      <c r="C282" s="4" t="s">
        <v>1125</v>
      </c>
      <c r="D282" s="4" t="s">
        <v>1125</v>
      </c>
      <c r="E282" s="5" t="s">
        <v>3243</v>
      </c>
      <c r="F282" s="4" t="s">
        <v>2308</v>
      </c>
      <c r="G282" s="4"/>
      <c r="H282" s="4" t="s">
        <v>2308</v>
      </c>
      <c r="I282" s="4" t="s">
        <v>2308</v>
      </c>
      <c r="J282" s="4" t="s">
        <v>2308</v>
      </c>
      <c r="K282" s="4" t="s">
        <v>2308</v>
      </c>
      <c r="L282" s="4">
        <v>3</v>
      </c>
      <c r="M282" s="5" t="s">
        <v>5017</v>
      </c>
    </row>
  </sheetData>
  <phoneticPr fontId="6" type="noConversion"/>
  <dataValidations xWindow="518" yWindow="429" count="6">
    <dataValidation allowBlank="1" showInputMessage="1" showErrorMessage="1" prompt="The same as Case study ID in Record Info" sqref="B53:B58 A1:A198 B223:B224 A221:A227 B234:B235 B247:B251 B264:B275 A230:A282 A287:A1048576" xr:uid="{08A8CAA4-577B-406F-82E3-C3D7F96EF846}"/>
    <dataValidation allowBlank="1" showInputMessage="1" showErrorMessage="1" prompt="Case study ID +.1, .2 etc for each relevant PCB" sqref="B1:B39 B48:B52 B59:B86 B102:B107 B111:B178 B183:B198 B221:B222 B225:B227 B230:B233 B236:B242 B252:B263 B276:B282 B287:B1048576" xr:uid="{6A6EF5BA-79F7-4B26-8190-9E5956E67713}"/>
    <dataValidation type="whole" allowBlank="1" showInputMessage="1" showErrorMessage="1" prompt="Blank if refers to all study years" sqref="G1:G39 G51:G84 G102:G242 G247:G282 G287:G1048576" xr:uid="{0B1F4EDE-66E7-4446-8200-B4A243E14667}">
      <formula1>1900</formula1>
      <formula2>2020</formula2>
    </dataValidation>
    <dataValidation allowBlank="1" showInputMessage="1" showErrorMessage="1" prompt="Case study ID + .1, .2 etc for each direct fire creation PCB associated with the case study" sqref="B40:B47 B87:B101 B108:B110 B179:B182 B243:B246" xr:uid="{F496CFF5-181F-43FF-997C-098F0760A295}"/>
    <dataValidation type="whole" allowBlank="1" showInputMessage="1" showErrorMessage="1" prompt="Integer: leave blank if all study years" sqref="G40:G50" xr:uid="{BCB47FF6-527D-4027-8D0C-3D7D35C89685}">
      <formula1>1900</formula1>
      <formula2>2020</formula2>
    </dataValidation>
    <dataValidation allowBlank="1" showInputMessage="1" showErrorMessage="1" prompt="Study ID + letter denoting case study: 1a, 1b, 1c etc." sqref="A199:B220" xr:uid="{226A2D18-F06B-43EC-A847-DB002EEFB52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18" yWindow="429" count="11">
        <x14:dataValidation type="list" allowBlank="1" showInputMessage="1" showErrorMessage="1" xr:uid="{B63E25C7-F911-439D-9F0A-9A77154F1872}">
          <x14:formula1>
            <xm:f>'IGNORE Lookups'!$E$3:$E$9</xm:f>
          </x14:formula1>
          <xm:sqref>C1:C60 C74:C86 C105:C107 D127:D128 D111:D113 E130 D115:D116 D118:D119 D121:D122 D124:D125 D130:D131 D160:D178 C111:C178 D225:D235 C183:C242 D252:D254 C252:C261 D264:D281 C264:C282 C287:C1048576</xm:sqref>
        </x14:dataValidation>
        <x14:dataValidation type="list" allowBlank="1" showInputMessage="1" showErrorMessage="1" xr:uid="{AAF9C4C1-09FE-4569-A9E5-AD024FF08D29}">
          <x14:formula1>
            <xm:f>'IGNORE Lookups'!$G$3:$G$10</xm:f>
          </x14:formula1>
          <xm:sqref>F1:F49 F52:F282 F287:F1048576</xm:sqref>
        </x14:dataValidation>
        <x14:dataValidation type="list" allowBlank="1" showInputMessage="1" showErrorMessage="1" xr:uid="{CAD4F7AB-3283-4D6E-BF4C-3C549601C534}">
          <x14:formula1>
            <xm:f>'IGNORE Lookups'!$L$3:$L$7</xm:f>
          </x14:formula1>
          <xm:sqref>M52 K48:K59 I50:I51 I62 H65:I65 H1:H64 K74 K83:K84 I84 I81 K79:K80 M82 M60:M73 K76:K77 I76 L1:L25 I79 K102:K104 M85:M110 M134:M136 H66:H133 I111 I130:I131 K130:K131 K108:K111 I137:I139 K134:K136 M140:M147 I148:I150 K140:K150 K153:K154 I159:I180 M160:M165 K166:K176 I157 K179:K184 M153:M158 I183:I185 I189:I191 K186 N190:O190 M177:M195 K193 K196:K198 K210:K220 K224 M221:M223 M199:M209 I196:I223 M225:M239 I225:I236 K240:K241 I245:I254 I240:I243 M243:M281 I261:I282 H287:H1048576 L287:L1048576 J287:J1048576 L28:L282 K255:K260 H137:H282 J1:J282 K282</xm:sqref>
        </x14:dataValidation>
        <x14:dataValidation type="list" allowBlank="1" showInputMessage="1" showErrorMessage="1" xr:uid="{5119178B-6B6A-418F-B930-79963A020AC7}">
          <x14:formula1>
            <xm:f>'IGNORE Lookups'!$F$3:$F$23</xm:f>
          </x14:formula1>
          <xm:sqref>F50:F51 D1:D60 D63:D84 D105:D107 D132:D159 D183:D224 D236:D242 C262:C263 D255:D263 D282 D287:D1048576</xm:sqref>
        </x14:dataValidation>
        <x14:dataValidation type="list" allowBlank="1" showInputMessage="1" showErrorMessage="1" prompt="One of: Human Deliberate, Human Accidental, Human Escaped, Lightning, Other Natural, Unknown" xr:uid="{557F5C1F-2624-47D0-8F29-6AC5200FD076}">
          <x14:formula1>
            <xm:f>'IGNORE Lookups'!$E$3:$E$9</xm:f>
          </x14:formula1>
          <xm:sqref>C61:C73 C87:C104 C108:C110 C179:C182 C243:D251</xm:sqref>
        </x14:dataValidation>
        <x14:dataValidation type="list" allowBlank="1" showInputMessage="1" showErrorMessage="1" prompt="Existing categories include: crop field preparation, crop residue removal, forest clearance, pasture maintenance, habitat maintenance, pyrome management, pest mangagement, arson._x000a_" xr:uid="{48614155-FC6F-4963-8B26-788498BBCBF1}">
          <x14:formula1>
            <xm:f>'IGNORE Lookups'!$F$3:$F$23</xm:f>
          </x14:formula1>
          <xm:sqref>D61:D62</xm:sqref>
        </x14:dataValidation>
        <x14:dataValidation type="list" allowBlank="1" showInputMessage="1" showErrorMessage="1" xr:uid="{FBF6065A-5775-490C-8521-45C170FDA3E1}">
          <x14:formula1>
            <xm:f>'IGNORE Lookups'!$G$3:$G$11</xm:f>
          </x14:formula1>
          <xm:sqref>G85:G101 G243:G246</xm:sqref>
        </x14:dataValidation>
        <x14:dataValidation type="list" allowBlank="1" showInputMessage="1" showErrorMessage="1" xr:uid="{4EE7D890-608B-4E00-85FB-996764F5EB6E}">
          <x14:formula1>
            <xm:f>'IGNORE Lookups'!$C$23:$C$44</xm:f>
          </x14:formula1>
          <xm:sqref>E1:E84 E105:E107 E111 E131:E242 E252:E275 E277:E282 E287:E1048576</xm:sqref>
        </x14:dataValidation>
        <x14:dataValidation type="list" allowBlank="1" showInputMessage="1" showErrorMessage="1" xr:uid="{76FD4E88-DF10-4C45-86CB-67C8DF3D180D}">
          <x14:formula1>
            <xm:f>'IGNORE Lookups'!$C$23:$C$43</xm:f>
          </x14:formula1>
          <xm:sqref>E85:E104 E108:E110 E112:E129 E243:E251 E276</xm:sqref>
        </x14:dataValidation>
        <x14:dataValidation type="list" allowBlank="1" showInputMessage="1" showErrorMessage="1" prompt="Existing categories include: crop field preparation, crop residue removal, forest clearance, pasture maintenance, habitat maintenance, pyrome management, pest mangagement, arson._x000a_" xr:uid="{4E135154-F2D8-475B-A202-2591101DBC06}">
          <x14:formula1>
            <xm:f>'IGNORE Lookups'!$F$3:$F$27</xm:f>
          </x14:formula1>
          <xm:sqref>D85:D104 D129 D126 D123 D120 D117 D114 D108:D110</xm:sqref>
        </x14:dataValidation>
        <x14:dataValidation type="list" allowBlank="1" showInputMessage="1" showErrorMessage="1" xr:uid="{914B2D36-58A8-4314-BC86-D1B8B0134086}">
          <x14:formula1>
            <xm:f>'IGNORE Lookups'!$F$3:$F$27</xm:f>
          </x14:formula1>
          <xm:sqref>D179:D182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0628E-5222-4624-903F-4BFA8C061723}">
  <dimension ref="A1:W526"/>
  <sheetViews>
    <sheetView zoomScale="70" zoomScaleNormal="70" workbookViewId="0">
      <pane ySplit="1" topLeftCell="A7" activePane="bottomLeft" state="frozen"/>
      <selection pane="bottomLeft"/>
    </sheetView>
  </sheetViews>
  <sheetFormatPr defaultRowHeight="14.5"/>
  <cols>
    <col min="1" max="1" width="20.54296875" customWidth="1"/>
    <col min="2" max="2" width="20.7265625" customWidth="1"/>
    <col min="3" max="4" width="21.453125" customWidth="1"/>
    <col min="5" max="5" width="22.54296875" customWidth="1"/>
    <col min="6" max="7" width="24.1796875" customWidth="1"/>
    <col min="8" max="8" width="25.36328125" style="61" customWidth="1"/>
    <col min="9" max="12" width="24.1796875" customWidth="1"/>
    <col min="13" max="13" width="23.54296875" customWidth="1"/>
    <col min="14" max="14" width="24.1796875" customWidth="1"/>
    <col min="15" max="15" width="26.453125" customWidth="1"/>
    <col min="16" max="16" width="27.7265625" customWidth="1"/>
    <col min="17" max="17" width="45.81640625" customWidth="1"/>
    <col min="18" max="18" width="23.7265625" customWidth="1"/>
    <col min="19" max="19" width="26" customWidth="1"/>
    <col min="20" max="20" width="26.54296875" customWidth="1"/>
    <col min="21" max="21" width="27.7265625" customWidth="1"/>
    <col min="22" max="22" width="43" customWidth="1"/>
    <col min="23" max="23" width="47.54296875" customWidth="1"/>
  </cols>
  <sheetData>
    <row r="1" spans="1:23" ht="72.5" customHeight="1" thickBot="1">
      <c r="A1" s="90" t="s">
        <v>2296</v>
      </c>
      <c r="B1" s="16" t="s">
        <v>1183</v>
      </c>
      <c r="C1" s="2" t="s">
        <v>7</v>
      </c>
      <c r="D1" s="2" t="s">
        <v>2317</v>
      </c>
      <c r="E1" s="2" t="s">
        <v>8</v>
      </c>
      <c r="F1" s="2" t="s">
        <v>124</v>
      </c>
      <c r="G1" s="2" t="s">
        <v>1106</v>
      </c>
      <c r="H1" s="16" t="s">
        <v>544</v>
      </c>
      <c r="I1" s="2" t="s">
        <v>614</v>
      </c>
      <c r="J1" s="16" t="s">
        <v>615</v>
      </c>
      <c r="K1" s="16" t="s">
        <v>616</v>
      </c>
      <c r="L1" s="16" t="s">
        <v>617</v>
      </c>
      <c r="M1" s="16" t="s">
        <v>533</v>
      </c>
      <c r="N1" s="16" t="s">
        <v>536</v>
      </c>
      <c r="O1" s="16" t="s">
        <v>537</v>
      </c>
      <c r="P1" s="16" t="s">
        <v>538</v>
      </c>
      <c r="Q1" s="16" t="s">
        <v>1274</v>
      </c>
      <c r="R1" s="2" t="s">
        <v>534</v>
      </c>
      <c r="S1" s="2" t="s">
        <v>539</v>
      </c>
      <c r="T1" s="2" t="s">
        <v>540</v>
      </c>
      <c r="U1" s="2" t="s">
        <v>541</v>
      </c>
      <c r="V1" s="16" t="s">
        <v>1273</v>
      </c>
      <c r="W1" s="17" t="s">
        <v>0</v>
      </c>
    </row>
    <row r="2" spans="1:23">
      <c r="A2" s="7" t="s">
        <v>15</v>
      </c>
      <c r="B2" s="7" t="s">
        <v>40</v>
      </c>
      <c r="C2" s="7" t="s">
        <v>24</v>
      </c>
      <c r="D2" s="71"/>
      <c r="E2" s="7" t="s">
        <v>25</v>
      </c>
      <c r="F2" s="7" t="s">
        <v>29</v>
      </c>
      <c r="G2" s="7"/>
      <c r="H2" s="7"/>
      <c r="I2" s="7" t="s">
        <v>2308</v>
      </c>
      <c r="J2" s="7" t="s">
        <v>2308</v>
      </c>
      <c r="K2" s="7" t="s">
        <v>2308</v>
      </c>
      <c r="L2" s="7" t="s">
        <v>2308</v>
      </c>
      <c r="M2" s="191" t="s">
        <v>542</v>
      </c>
      <c r="N2" s="7" t="s">
        <v>2308</v>
      </c>
      <c r="O2" s="7" t="s">
        <v>2308</v>
      </c>
      <c r="P2" s="7" t="s">
        <v>2308</v>
      </c>
      <c r="Q2" s="7">
        <v>2</v>
      </c>
      <c r="R2" s="7" t="s">
        <v>2308</v>
      </c>
      <c r="S2" s="7" t="s">
        <v>2308</v>
      </c>
      <c r="T2" s="7" t="s">
        <v>2308</v>
      </c>
      <c r="U2" s="7" t="s">
        <v>2308</v>
      </c>
      <c r="V2" s="48" t="s">
        <v>2308</v>
      </c>
      <c r="W2" s="6"/>
    </row>
    <row r="3" spans="1:23">
      <c r="A3" s="5" t="s">
        <v>15</v>
      </c>
      <c r="B3" s="5" t="s">
        <v>41</v>
      </c>
      <c r="C3" s="5" t="s">
        <v>24</v>
      </c>
      <c r="D3" s="59"/>
      <c r="E3" s="5" t="s">
        <v>26</v>
      </c>
      <c r="F3" s="5" t="s">
        <v>29</v>
      </c>
      <c r="G3" s="5"/>
      <c r="H3" s="5"/>
      <c r="I3" s="5" t="s">
        <v>2308</v>
      </c>
      <c r="J3" s="5" t="s">
        <v>2308</v>
      </c>
      <c r="K3" s="5" t="s">
        <v>2308</v>
      </c>
      <c r="L3" s="5" t="s">
        <v>2308</v>
      </c>
      <c r="M3" s="5" t="s">
        <v>545</v>
      </c>
      <c r="N3" s="5" t="s">
        <v>2308</v>
      </c>
      <c r="O3" s="5" t="s">
        <v>2308</v>
      </c>
      <c r="P3" s="5" t="s">
        <v>2308</v>
      </c>
      <c r="Q3" s="5">
        <v>1</v>
      </c>
      <c r="R3" s="5" t="s">
        <v>2308</v>
      </c>
      <c r="S3" s="5" t="s">
        <v>2308</v>
      </c>
      <c r="T3" s="5" t="s">
        <v>2308</v>
      </c>
      <c r="U3" s="5" t="s">
        <v>2308</v>
      </c>
      <c r="V3" s="49" t="s">
        <v>2308</v>
      </c>
      <c r="W3" s="4"/>
    </row>
    <row r="4" spans="1:23">
      <c r="A4" s="5" t="s">
        <v>15</v>
      </c>
      <c r="B4" s="5" t="s">
        <v>42</v>
      </c>
      <c r="C4" s="5" t="s">
        <v>24</v>
      </c>
      <c r="D4" s="59"/>
      <c r="E4" s="5" t="s">
        <v>27</v>
      </c>
      <c r="F4" s="5" t="s">
        <v>28</v>
      </c>
      <c r="G4" s="5"/>
      <c r="H4" s="5"/>
      <c r="I4" s="5" t="s">
        <v>2308</v>
      </c>
      <c r="J4" s="5" t="s">
        <v>2308</v>
      </c>
      <c r="K4" s="5" t="s">
        <v>2308</v>
      </c>
      <c r="L4" s="5" t="s">
        <v>2308</v>
      </c>
      <c r="M4" s="5" t="s">
        <v>2308</v>
      </c>
      <c r="N4" s="5" t="s">
        <v>2308</v>
      </c>
      <c r="O4" s="5" t="s">
        <v>2308</v>
      </c>
      <c r="P4" s="5" t="s">
        <v>2308</v>
      </c>
      <c r="Q4" s="5" t="s">
        <v>2308</v>
      </c>
      <c r="R4" s="5" t="s">
        <v>2308</v>
      </c>
      <c r="S4" s="5" t="s">
        <v>2308</v>
      </c>
      <c r="T4" s="5" t="s">
        <v>2308</v>
      </c>
      <c r="U4" s="5" t="s">
        <v>2308</v>
      </c>
      <c r="V4" s="49" t="s">
        <v>2308</v>
      </c>
      <c r="W4" s="4"/>
    </row>
    <row r="5" spans="1:23">
      <c r="A5" s="5" t="s">
        <v>15</v>
      </c>
      <c r="B5" s="5" t="s">
        <v>43</v>
      </c>
      <c r="C5" s="5" t="s">
        <v>31</v>
      </c>
      <c r="D5" s="59"/>
      <c r="E5" s="5" t="s">
        <v>30</v>
      </c>
      <c r="F5" s="5" t="s">
        <v>32</v>
      </c>
      <c r="G5" s="5"/>
      <c r="H5" s="5"/>
      <c r="I5" s="5" t="s">
        <v>2308</v>
      </c>
      <c r="J5" s="5" t="s">
        <v>2308</v>
      </c>
      <c r="K5" s="5" t="s">
        <v>2308</v>
      </c>
      <c r="L5" s="5" t="s">
        <v>2308</v>
      </c>
      <c r="M5" s="5" t="s">
        <v>2308</v>
      </c>
      <c r="N5" s="5" t="s">
        <v>2308</v>
      </c>
      <c r="O5" s="5" t="s">
        <v>2308</v>
      </c>
      <c r="P5" s="5" t="s">
        <v>2308</v>
      </c>
      <c r="Q5" s="5" t="s">
        <v>2308</v>
      </c>
      <c r="R5" s="5" t="s">
        <v>2308</v>
      </c>
      <c r="S5" s="5" t="s">
        <v>2308</v>
      </c>
      <c r="T5" s="5" t="s">
        <v>2308</v>
      </c>
      <c r="U5" s="5" t="s">
        <v>2308</v>
      </c>
      <c r="V5" s="49" t="s">
        <v>2308</v>
      </c>
      <c r="W5" s="4"/>
    </row>
    <row r="6" spans="1:23">
      <c r="A6" s="5" t="s">
        <v>15</v>
      </c>
      <c r="B6" s="5" t="s">
        <v>44</v>
      </c>
      <c r="C6" s="5" t="s">
        <v>24</v>
      </c>
      <c r="D6" s="59"/>
      <c r="E6" s="5" t="s">
        <v>33</v>
      </c>
      <c r="F6" s="5" t="s">
        <v>32</v>
      </c>
      <c r="G6" s="5"/>
      <c r="H6" s="5"/>
      <c r="I6" s="5" t="s">
        <v>2308</v>
      </c>
      <c r="J6" s="5" t="s">
        <v>2308</v>
      </c>
      <c r="K6" s="5" t="s">
        <v>2308</v>
      </c>
      <c r="L6" s="5" t="s">
        <v>2308</v>
      </c>
      <c r="M6" s="5" t="s">
        <v>2308</v>
      </c>
      <c r="N6" s="5" t="s">
        <v>2308</v>
      </c>
      <c r="O6" s="5" t="s">
        <v>2308</v>
      </c>
      <c r="P6" s="5" t="s">
        <v>2308</v>
      </c>
      <c r="Q6" s="5" t="s">
        <v>2308</v>
      </c>
      <c r="R6" s="5" t="s">
        <v>2308</v>
      </c>
      <c r="S6" s="5" t="s">
        <v>2308</v>
      </c>
      <c r="T6" s="5" t="s">
        <v>2308</v>
      </c>
      <c r="U6" s="5" t="s">
        <v>2308</v>
      </c>
      <c r="V6" s="49" t="s">
        <v>2308</v>
      </c>
      <c r="W6" s="4"/>
    </row>
    <row r="7" spans="1:23">
      <c r="A7" s="5" t="s">
        <v>15</v>
      </c>
      <c r="B7" s="5" t="s">
        <v>60</v>
      </c>
      <c r="C7" s="5" t="s">
        <v>24</v>
      </c>
      <c r="D7" s="59"/>
      <c r="E7" s="5" t="s">
        <v>61</v>
      </c>
      <c r="F7" s="5" t="s">
        <v>62</v>
      </c>
      <c r="G7" s="5"/>
      <c r="H7" s="5"/>
      <c r="I7" s="5" t="s">
        <v>2308</v>
      </c>
      <c r="J7" s="5" t="s">
        <v>2308</v>
      </c>
      <c r="K7" s="5" t="s">
        <v>2308</v>
      </c>
      <c r="L7" s="5" t="s">
        <v>2308</v>
      </c>
      <c r="M7" s="5" t="s">
        <v>2308</v>
      </c>
      <c r="N7" s="5" t="s">
        <v>2308</v>
      </c>
      <c r="O7" s="5" t="s">
        <v>2308</v>
      </c>
      <c r="P7" s="5" t="s">
        <v>2308</v>
      </c>
      <c r="Q7" s="5" t="s">
        <v>2308</v>
      </c>
      <c r="R7" s="5" t="s">
        <v>2308</v>
      </c>
      <c r="S7" s="5" t="s">
        <v>2308</v>
      </c>
      <c r="T7" s="5" t="s">
        <v>2308</v>
      </c>
      <c r="U7" s="5" t="s">
        <v>2308</v>
      </c>
      <c r="V7" s="49" t="s">
        <v>2308</v>
      </c>
      <c r="W7" s="4"/>
    </row>
    <row r="8" spans="1:23">
      <c r="A8" s="20" t="s">
        <v>16</v>
      </c>
      <c r="B8" s="20" t="s">
        <v>46</v>
      </c>
      <c r="C8" s="20" t="s">
        <v>24</v>
      </c>
      <c r="D8" s="59"/>
      <c r="E8" s="20" t="s">
        <v>25</v>
      </c>
      <c r="F8" s="20" t="s">
        <v>29</v>
      </c>
      <c r="G8" s="20"/>
      <c r="H8" s="20"/>
      <c r="I8" s="20" t="s">
        <v>2308</v>
      </c>
      <c r="J8" s="20" t="s">
        <v>2308</v>
      </c>
      <c r="K8" s="20" t="s">
        <v>2308</v>
      </c>
      <c r="L8" s="20" t="s">
        <v>2308</v>
      </c>
      <c r="M8" s="20" t="s">
        <v>2308</v>
      </c>
      <c r="N8" s="20" t="s">
        <v>2308</v>
      </c>
      <c r="O8" s="20" t="s">
        <v>2308</v>
      </c>
      <c r="P8" s="20" t="s">
        <v>2308</v>
      </c>
      <c r="Q8" s="20" t="s">
        <v>2308</v>
      </c>
      <c r="R8" s="20" t="s">
        <v>2308</v>
      </c>
      <c r="S8" s="20" t="s">
        <v>2308</v>
      </c>
      <c r="T8" s="20" t="s">
        <v>2308</v>
      </c>
      <c r="U8" s="20" t="s">
        <v>2308</v>
      </c>
      <c r="V8" s="50" t="s">
        <v>2308</v>
      </c>
      <c r="W8" s="4"/>
    </row>
    <row r="9" spans="1:23">
      <c r="A9" s="20" t="s">
        <v>17</v>
      </c>
      <c r="B9" s="20" t="s">
        <v>47</v>
      </c>
      <c r="C9" s="20" t="s">
        <v>24</v>
      </c>
      <c r="D9" s="59"/>
      <c r="E9" s="20" t="s">
        <v>27</v>
      </c>
      <c r="F9" s="20" t="s">
        <v>28</v>
      </c>
      <c r="G9" s="20"/>
      <c r="H9" s="20"/>
      <c r="I9" s="20" t="s">
        <v>2308</v>
      </c>
      <c r="J9" s="20" t="s">
        <v>2308</v>
      </c>
      <c r="K9" s="20" t="s">
        <v>2308</v>
      </c>
      <c r="L9" s="20" t="s">
        <v>2308</v>
      </c>
      <c r="M9" s="20" t="s">
        <v>2308</v>
      </c>
      <c r="N9" s="20" t="s">
        <v>2308</v>
      </c>
      <c r="O9" s="20" t="s">
        <v>2308</v>
      </c>
      <c r="P9" s="20" t="s">
        <v>2308</v>
      </c>
      <c r="Q9" s="20" t="s">
        <v>2308</v>
      </c>
      <c r="R9" s="20" t="s">
        <v>2308</v>
      </c>
      <c r="S9" s="20" t="s">
        <v>2308</v>
      </c>
      <c r="T9" s="20" t="s">
        <v>2308</v>
      </c>
      <c r="U9" s="20" t="s">
        <v>2308</v>
      </c>
      <c r="V9" s="50" t="s">
        <v>2308</v>
      </c>
      <c r="W9" s="4"/>
    </row>
    <row r="10" spans="1:23">
      <c r="A10" s="20" t="s">
        <v>18</v>
      </c>
      <c r="B10" s="20" t="s">
        <v>51</v>
      </c>
      <c r="C10" s="20" t="s">
        <v>24</v>
      </c>
      <c r="D10" s="59"/>
      <c r="E10" s="20" t="s">
        <v>25</v>
      </c>
      <c r="F10" s="20" t="s">
        <v>29</v>
      </c>
      <c r="G10" s="20"/>
      <c r="H10" s="20"/>
      <c r="I10" s="20" t="s">
        <v>2308</v>
      </c>
      <c r="J10" s="20" t="s">
        <v>2308</v>
      </c>
      <c r="K10" s="20" t="s">
        <v>2308</v>
      </c>
      <c r="L10" s="20" t="s">
        <v>2308</v>
      </c>
      <c r="M10" s="20" t="s">
        <v>2308</v>
      </c>
      <c r="N10" s="20" t="s">
        <v>2308</v>
      </c>
      <c r="O10" s="20" t="s">
        <v>2308</v>
      </c>
      <c r="P10" s="20" t="s">
        <v>2308</v>
      </c>
      <c r="Q10" s="20" t="s">
        <v>2308</v>
      </c>
      <c r="R10" s="20" t="s">
        <v>2308</v>
      </c>
      <c r="S10" s="20" t="s">
        <v>2308</v>
      </c>
      <c r="T10" s="20" t="s">
        <v>2308</v>
      </c>
      <c r="U10" s="20" t="s">
        <v>2308</v>
      </c>
      <c r="V10" s="50" t="s">
        <v>2308</v>
      </c>
      <c r="W10" s="4"/>
    </row>
    <row r="11" spans="1:23">
      <c r="A11" s="5" t="s">
        <v>19</v>
      </c>
      <c r="B11" s="5" t="s">
        <v>53</v>
      </c>
      <c r="C11" s="5" t="s">
        <v>24</v>
      </c>
      <c r="D11" s="59"/>
      <c r="E11" s="5" t="s">
        <v>25</v>
      </c>
      <c r="F11" s="5" t="s">
        <v>29</v>
      </c>
      <c r="G11" s="5"/>
      <c r="H11" s="5"/>
      <c r="I11" s="5" t="s">
        <v>2308</v>
      </c>
      <c r="J11" s="5" t="s">
        <v>2308</v>
      </c>
      <c r="K11" s="5" t="s">
        <v>2308</v>
      </c>
      <c r="L11" s="5" t="s">
        <v>2308</v>
      </c>
      <c r="M11" s="5" t="s">
        <v>2308</v>
      </c>
      <c r="N11" s="5" t="s">
        <v>2308</v>
      </c>
      <c r="O11" s="5" t="s">
        <v>2308</v>
      </c>
      <c r="P11" s="5" t="s">
        <v>2308</v>
      </c>
      <c r="Q11" s="5" t="s">
        <v>2308</v>
      </c>
      <c r="R11" s="5" t="s">
        <v>2308</v>
      </c>
      <c r="S11" s="5" t="s">
        <v>2308</v>
      </c>
      <c r="T11" s="5" t="s">
        <v>2308</v>
      </c>
      <c r="U11" s="5" t="s">
        <v>2308</v>
      </c>
      <c r="V11" s="49" t="s">
        <v>2308</v>
      </c>
      <c r="W11" s="4"/>
    </row>
    <row r="12" spans="1:23">
      <c r="A12" s="5" t="s">
        <v>19</v>
      </c>
      <c r="B12" s="5" t="s">
        <v>54</v>
      </c>
      <c r="C12" s="5" t="s">
        <v>24</v>
      </c>
      <c r="D12" s="59"/>
      <c r="E12" s="5" t="s">
        <v>143</v>
      </c>
      <c r="F12" s="5" t="s">
        <v>55</v>
      </c>
      <c r="G12" s="5"/>
      <c r="H12" s="5"/>
      <c r="I12" s="5" t="s">
        <v>2308</v>
      </c>
      <c r="J12" s="5" t="s">
        <v>2308</v>
      </c>
      <c r="K12" s="5" t="s">
        <v>2308</v>
      </c>
      <c r="L12" s="5" t="s">
        <v>2308</v>
      </c>
      <c r="M12" s="5" t="s">
        <v>2308</v>
      </c>
      <c r="N12" s="5" t="s">
        <v>2308</v>
      </c>
      <c r="O12" s="5" t="s">
        <v>2308</v>
      </c>
      <c r="P12" s="5" t="s">
        <v>2308</v>
      </c>
      <c r="Q12" s="5" t="s">
        <v>2308</v>
      </c>
      <c r="R12" s="5" t="s">
        <v>2308</v>
      </c>
      <c r="S12" s="5" t="s">
        <v>2308</v>
      </c>
      <c r="T12" s="5" t="s">
        <v>2308</v>
      </c>
      <c r="U12" s="5" t="s">
        <v>2308</v>
      </c>
      <c r="V12" s="49" t="s">
        <v>2308</v>
      </c>
      <c r="W12" s="4"/>
    </row>
    <row r="13" spans="1:23">
      <c r="A13" s="27" t="s">
        <v>71</v>
      </c>
      <c r="B13" s="27" t="s">
        <v>73</v>
      </c>
      <c r="C13" s="27" t="s">
        <v>24</v>
      </c>
      <c r="D13" s="72"/>
      <c r="E13" s="27" t="s">
        <v>27</v>
      </c>
      <c r="F13" s="27" t="s">
        <v>74</v>
      </c>
      <c r="G13" s="27"/>
      <c r="H13" s="27"/>
      <c r="I13" s="27" t="s">
        <v>2308</v>
      </c>
      <c r="J13" s="27" t="s">
        <v>2308</v>
      </c>
      <c r="K13" s="27" t="s">
        <v>2308</v>
      </c>
      <c r="L13" s="27" t="s">
        <v>2308</v>
      </c>
      <c r="M13" s="27" t="s">
        <v>2308</v>
      </c>
      <c r="N13" s="27" t="s">
        <v>2308</v>
      </c>
      <c r="O13" s="27" t="s">
        <v>2308</v>
      </c>
      <c r="P13" s="27" t="s">
        <v>2308</v>
      </c>
      <c r="Q13" s="27" t="s">
        <v>2308</v>
      </c>
      <c r="R13" s="27" t="s">
        <v>2308</v>
      </c>
      <c r="S13" s="27" t="s">
        <v>2308</v>
      </c>
      <c r="T13" s="27" t="s">
        <v>2308</v>
      </c>
      <c r="U13" s="27" t="s">
        <v>2308</v>
      </c>
      <c r="V13" s="51" t="s">
        <v>2308</v>
      </c>
      <c r="W13" s="4"/>
    </row>
    <row r="14" spans="1:23" ht="43.5">
      <c r="A14" s="4" t="s">
        <v>107</v>
      </c>
      <c r="B14" s="4" t="s">
        <v>110</v>
      </c>
      <c r="C14" s="27" t="s">
        <v>24</v>
      </c>
      <c r="D14" s="5" t="s">
        <v>403</v>
      </c>
      <c r="E14" s="4" t="s">
        <v>2467</v>
      </c>
      <c r="F14" s="4" t="s">
        <v>28</v>
      </c>
      <c r="G14" s="27"/>
      <c r="H14" s="27" t="s">
        <v>549</v>
      </c>
      <c r="I14" s="27" t="s">
        <v>2308</v>
      </c>
      <c r="J14" s="27" t="s">
        <v>2308</v>
      </c>
      <c r="K14" s="27" t="s">
        <v>2308</v>
      </c>
      <c r="L14" s="27" t="s">
        <v>2308</v>
      </c>
      <c r="M14" s="27" t="s">
        <v>2308</v>
      </c>
      <c r="N14" s="27" t="s">
        <v>2308</v>
      </c>
      <c r="O14" s="27" t="s">
        <v>2308</v>
      </c>
      <c r="P14" s="27" t="s">
        <v>2308</v>
      </c>
      <c r="Q14" s="27" t="s">
        <v>2308</v>
      </c>
      <c r="R14" s="27" t="s">
        <v>542</v>
      </c>
      <c r="S14" s="27" t="s">
        <v>2308</v>
      </c>
      <c r="T14" s="27" t="s">
        <v>2308</v>
      </c>
      <c r="U14" s="27" t="s">
        <v>2308</v>
      </c>
      <c r="V14" s="51">
        <v>2</v>
      </c>
      <c r="W14" s="5" t="s">
        <v>2468</v>
      </c>
    </row>
    <row r="15" spans="1:23" ht="43.5">
      <c r="A15" s="4" t="s">
        <v>1340</v>
      </c>
      <c r="B15" s="4" t="s">
        <v>1350</v>
      </c>
      <c r="C15" s="27" t="s">
        <v>24</v>
      </c>
      <c r="D15" s="5" t="s">
        <v>403</v>
      </c>
      <c r="E15" s="4" t="s">
        <v>2467</v>
      </c>
      <c r="F15" s="4" t="s">
        <v>28</v>
      </c>
      <c r="G15" s="27"/>
      <c r="H15" s="27" t="s">
        <v>549</v>
      </c>
      <c r="I15" s="27" t="s">
        <v>2308</v>
      </c>
      <c r="J15" s="27" t="s">
        <v>2308</v>
      </c>
      <c r="K15" s="27" t="s">
        <v>2308</v>
      </c>
      <c r="L15" s="27" t="s">
        <v>2308</v>
      </c>
      <c r="M15" s="27" t="s">
        <v>2308</v>
      </c>
      <c r="N15" s="27" t="s">
        <v>2308</v>
      </c>
      <c r="O15" s="27" t="s">
        <v>2308</v>
      </c>
      <c r="P15" s="27" t="s">
        <v>2308</v>
      </c>
      <c r="Q15" s="27" t="s">
        <v>2308</v>
      </c>
      <c r="R15" s="27" t="s">
        <v>542</v>
      </c>
      <c r="S15" s="27" t="s">
        <v>2308</v>
      </c>
      <c r="T15" s="27" t="s">
        <v>2308</v>
      </c>
      <c r="U15" s="27" t="s">
        <v>2308</v>
      </c>
      <c r="V15" s="51">
        <v>2</v>
      </c>
      <c r="W15" s="5" t="s">
        <v>2468</v>
      </c>
    </row>
    <row r="16" spans="1:23" ht="43.5">
      <c r="A16" s="4" t="s">
        <v>1341</v>
      </c>
      <c r="B16" s="4" t="s">
        <v>1363</v>
      </c>
      <c r="C16" s="27" t="s">
        <v>24</v>
      </c>
      <c r="D16" s="5" t="s">
        <v>403</v>
      </c>
      <c r="E16" s="4" t="s">
        <v>2467</v>
      </c>
      <c r="F16" s="4" t="s">
        <v>28</v>
      </c>
      <c r="G16" s="27"/>
      <c r="H16" s="27" t="s">
        <v>549</v>
      </c>
      <c r="I16" s="27" t="s">
        <v>2308</v>
      </c>
      <c r="J16" s="27" t="s">
        <v>2308</v>
      </c>
      <c r="K16" s="27" t="s">
        <v>2308</v>
      </c>
      <c r="L16" s="27" t="s">
        <v>2308</v>
      </c>
      <c r="M16" s="27" t="s">
        <v>2308</v>
      </c>
      <c r="N16" s="27" t="s">
        <v>2308</v>
      </c>
      <c r="O16" s="27" t="s">
        <v>2308</v>
      </c>
      <c r="P16" s="27" t="s">
        <v>2308</v>
      </c>
      <c r="Q16" s="27" t="s">
        <v>2308</v>
      </c>
      <c r="R16" s="27" t="s">
        <v>542</v>
      </c>
      <c r="S16" s="27" t="s">
        <v>2308</v>
      </c>
      <c r="T16" s="27" t="s">
        <v>2308</v>
      </c>
      <c r="U16" s="27" t="s">
        <v>2308</v>
      </c>
      <c r="V16" s="51">
        <v>2</v>
      </c>
      <c r="W16" s="5" t="s">
        <v>2468</v>
      </c>
    </row>
    <row r="17" spans="1:23" ht="43.5">
      <c r="A17" s="4" t="s">
        <v>1342</v>
      </c>
      <c r="B17" s="4" t="s">
        <v>1365</v>
      </c>
      <c r="C17" s="27" t="s">
        <v>24</v>
      </c>
      <c r="D17" s="5" t="s">
        <v>403</v>
      </c>
      <c r="E17" s="4" t="s">
        <v>2467</v>
      </c>
      <c r="F17" s="4" t="s">
        <v>28</v>
      </c>
      <c r="G17" s="27"/>
      <c r="H17" s="27" t="s">
        <v>549</v>
      </c>
      <c r="I17" s="27" t="s">
        <v>2308</v>
      </c>
      <c r="J17" s="27" t="s">
        <v>2308</v>
      </c>
      <c r="K17" s="27" t="s">
        <v>2308</v>
      </c>
      <c r="L17" s="27" t="s">
        <v>2308</v>
      </c>
      <c r="M17" s="27" t="s">
        <v>2308</v>
      </c>
      <c r="N17" s="27" t="s">
        <v>2308</v>
      </c>
      <c r="O17" s="27" t="s">
        <v>2308</v>
      </c>
      <c r="P17" s="27" t="s">
        <v>2308</v>
      </c>
      <c r="Q17" s="27" t="s">
        <v>2308</v>
      </c>
      <c r="R17" s="27" t="s">
        <v>542</v>
      </c>
      <c r="S17" s="27" t="s">
        <v>2308</v>
      </c>
      <c r="T17" s="27" t="s">
        <v>2308</v>
      </c>
      <c r="U17" s="27" t="s">
        <v>2308</v>
      </c>
      <c r="V17" s="51">
        <v>2</v>
      </c>
      <c r="W17" s="5" t="s">
        <v>2468</v>
      </c>
    </row>
    <row r="18" spans="1:23" ht="43.5">
      <c r="A18" s="4" t="s">
        <v>1343</v>
      </c>
      <c r="B18" s="4" t="s">
        <v>1367</v>
      </c>
      <c r="C18" s="27" t="s">
        <v>24</v>
      </c>
      <c r="D18" s="5" t="s">
        <v>403</v>
      </c>
      <c r="E18" s="4" t="s">
        <v>2467</v>
      </c>
      <c r="F18" s="4" t="s">
        <v>28</v>
      </c>
      <c r="G18" s="27"/>
      <c r="H18" s="27" t="s">
        <v>549</v>
      </c>
      <c r="I18" s="27" t="s">
        <v>2308</v>
      </c>
      <c r="J18" s="27" t="s">
        <v>2308</v>
      </c>
      <c r="K18" s="27" t="s">
        <v>2308</v>
      </c>
      <c r="L18" s="27" t="s">
        <v>2308</v>
      </c>
      <c r="M18" s="27" t="s">
        <v>2308</v>
      </c>
      <c r="N18" s="27" t="s">
        <v>2308</v>
      </c>
      <c r="O18" s="27" t="s">
        <v>2308</v>
      </c>
      <c r="P18" s="27" t="s">
        <v>2308</v>
      </c>
      <c r="Q18" s="27" t="s">
        <v>2308</v>
      </c>
      <c r="R18" s="27" t="s">
        <v>542</v>
      </c>
      <c r="S18" s="27" t="s">
        <v>2308</v>
      </c>
      <c r="T18" s="27" t="s">
        <v>2308</v>
      </c>
      <c r="U18" s="27" t="s">
        <v>2308</v>
      </c>
      <c r="V18" s="51">
        <v>2</v>
      </c>
      <c r="W18" s="5" t="s">
        <v>2468</v>
      </c>
    </row>
    <row r="19" spans="1:23" ht="43.5">
      <c r="A19" s="4" t="s">
        <v>1344</v>
      </c>
      <c r="B19" s="4" t="s">
        <v>1369</v>
      </c>
      <c r="C19" s="27" t="s">
        <v>24</v>
      </c>
      <c r="D19" s="5" t="s">
        <v>403</v>
      </c>
      <c r="E19" s="4" t="s">
        <v>2467</v>
      </c>
      <c r="F19" s="4" t="s">
        <v>28</v>
      </c>
      <c r="G19" s="27"/>
      <c r="H19" s="27" t="s">
        <v>549</v>
      </c>
      <c r="I19" s="27" t="s">
        <v>2308</v>
      </c>
      <c r="J19" s="27" t="s">
        <v>2308</v>
      </c>
      <c r="K19" s="27" t="s">
        <v>2308</v>
      </c>
      <c r="L19" s="27" t="s">
        <v>2308</v>
      </c>
      <c r="M19" s="27" t="s">
        <v>2308</v>
      </c>
      <c r="N19" s="27" t="s">
        <v>2308</v>
      </c>
      <c r="O19" s="27" t="s">
        <v>2308</v>
      </c>
      <c r="P19" s="27" t="s">
        <v>2308</v>
      </c>
      <c r="Q19" s="27" t="s">
        <v>2308</v>
      </c>
      <c r="R19" s="27" t="s">
        <v>542</v>
      </c>
      <c r="S19" s="27" t="s">
        <v>2308</v>
      </c>
      <c r="T19" s="27" t="s">
        <v>2308</v>
      </c>
      <c r="U19" s="27" t="s">
        <v>2308</v>
      </c>
      <c r="V19" s="51">
        <v>2</v>
      </c>
      <c r="W19" s="5" t="s">
        <v>2468</v>
      </c>
    </row>
    <row r="20" spans="1:23" ht="43.5">
      <c r="A20" s="4" t="s">
        <v>1345</v>
      </c>
      <c r="B20" s="4" t="s">
        <v>1371</v>
      </c>
      <c r="C20" s="27" t="s">
        <v>24</v>
      </c>
      <c r="D20" s="5" t="s">
        <v>403</v>
      </c>
      <c r="E20" s="4" t="s">
        <v>2467</v>
      </c>
      <c r="F20" s="4" t="s">
        <v>28</v>
      </c>
      <c r="G20" s="27"/>
      <c r="H20" s="27" t="s">
        <v>549</v>
      </c>
      <c r="I20" s="27" t="s">
        <v>2308</v>
      </c>
      <c r="J20" s="27" t="s">
        <v>2308</v>
      </c>
      <c r="K20" s="27" t="s">
        <v>2308</v>
      </c>
      <c r="L20" s="27" t="s">
        <v>2308</v>
      </c>
      <c r="M20" s="27" t="s">
        <v>2308</v>
      </c>
      <c r="N20" s="27" t="s">
        <v>2308</v>
      </c>
      <c r="O20" s="27" t="s">
        <v>2308</v>
      </c>
      <c r="P20" s="27" t="s">
        <v>2308</v>
      </c>
      <c r="Q20" s="27" t="s">
        <v>2308</v>
      </c>
      <c r="R20" s="27" t="s">
        <v>542</v>
      </c>
      <c r="S20" s="27" t="s">
        <v>2308</v>
      </c>
      <c r="T20" s="27" t="s">
        <v>2308</v>
      </c>
      <c r="U20" s="27" t="s">
        <v>2308</v>
      </c>
      <c r="V20" s="51">
        <v>2</v>
      </c>
      <c r="W20" s="5" t="s">
        <v>2468</v>
      </c>
    </row>
    <row r="21" spans="1:23" ht="43.5">
      <c r="A21" s="4" t="s">
        <v>1346</v>
      </c>
      <c r="B21" s="4" t="s">
        <v>1373</v>
      </c>
      <c r="C21" s="27" t="s">
        <v>24</v>
      </c>
      <c r="D21" s="5" t="s">
        <v>403</v>
      </c>
      <c r="E21" s="4" t="s">
        <v>2467</v>
      </c>
      <c r="F21" s="4" t="s">
        <v>28</v>
      </c>
      <c r="G21" s="27"/>
      <c r="H21" s="27" t="s">
        <v>549</v>
      </c>
      <c r="I21" s="27" t="s">
        <v>2308</v>
      </c>
      <c r="J21" s="27" t="s">
        <v>2308</v>
      </c>
      <c r="K21" s="27" t="s">
        <v>2308</v>
      </c>
      <c r="L21" s="27" t="s">
        <v>2308</v>
      </c>
      <c r="M21" s="27" t="s">
        <v>2308</v>
      </c>
      <c r="N21" s="27" t="s">
        <v>2308</v>
      </c>
      <c r="O21" s="27" t="s">
        <v>2308</v>
      </c>
      <c r="P21" s="27" t="s">
        <v>2308</v>
      </c>
      <c r="Q21" s="27" t="s">
        <v>2308</v>
      </c>
      <c r="R21" s="27" t="s">
        <v>542</v>
      </c>
      <c r="S21" s="27" t="s">
        <v>2308</v>
      </c>
      <c r="T21" s="27" t="s">
        <v>2308</v>
      </c>
      <c r="U21" s="27" t="s">
        <v>2308</v>
      </c>
      <c r="V21" s="51">
        <v>2</v>
      </c>
      <c r="W21" s="5" t="s">
        <v>2468</v>
      </c>
    </row>
    <row r="22" spans="1:23" ht="43.5">
      <c r="A22" s="4" t="s">
        <v>1347</v>
      </c>
      <c r="B22" s="4" t="s">
        <v>1375</v>
      </c>
      <c r="C22" s="27" t="s">
        <v>24</v>
      </c>
      <c r="D22" s="5" t="s">
        <v>403</v>
      </c>
      <c r="E22" s="4" t="s">
        <v>2467</v>
      </c>
      <c r="F22" s="4" t="s">
        <v>28</v>
      </c>
      <c r="G22" s="27"/>
      <c r="H22" s="27" t="s">
        <v>549</v>
      </c>
      <c r="I22" s="27" t="s">
        <v>2308</v>
      </c>
      <c r="J22" s="27" t="s">
        <v>2308</v>
      </c>
      <c r="K22" s="27" t="s">
        <v>2308</v>
      </c>
      <c r="L22" s="27" t="s">
        <v>2308</v>
      </c>
      <c r="M22" s="27" t="s">
        <v>2308</v>
      </c>
      <c r="N22" s="27" t="s">
        <v>2308</v>
      </c>
      <c r="O22" s="27" t="s">
        <v>2308</v>
      </c>
      <c r="P22" s="27" t="s">
        <v>2308</v>
      </c>
      <c r="Q22" s="27" t="s">
        <v>2308</v>
      </c>
      <c r="R22" s="27" t="s">
        <v>542</v>
      </c>
      <c r="S22" s="27" t="s">
        <v>2308</v>
      </c>
      <c r="T22" s="27" t="s">
        <v>2308</v>
      </c>
      <c r="U22" s="27" t="s">
        <v>2308</v>
      </c>
      <c r="V22" s="51">
        <v>2</v>
      </c>
      <c r="W22" s="5" t="s">
        <v>2468</v>
      </c>
    </row>
    <row r="23" spans="1:23" ht="43.5">
      <c r="A23" s="4" t="s">
        <v>1348</v>
      </c>
      <c r="B23" s="4" t="s">
        <v>1377</v>
      </c>
      <c r="C23" s="27" t="s">
        <v>24</v>
      </c>
      <c r="D23" s="5" t="s">
        <v>403</v>
      </c>
      <c r="E23" s="4" t="s">
        <v>2467</v>
      </c>
      <c r="F23" s="4" t="s">
        <v>28</v>
      </c>
      <c r="G23" s="27"/>
      <c r="H23" s="27" t="s">
        <v>549</v>
      </c>
      <c r="I23" s="27" t="s">
        <v>2308</v>
      </c>
      <c r="J23" s="27" t="s">
        <v>2308</v>
      </c>
      <c r="K23" s="27" t="s">
        <v>2308</v>
      </c>
      <c r="L23" s="27" t="s">
        <v>2308</v>
      </c>
      <c r="M23" s="27" t="s">
        <v>2308</v>
      </c>
      <c r="N23" s="27" t="s">
        <v>2308</v>
      </c>
      <c r="O23" s="27" t="s">
        <v>2308</v>
      </c>
      <c r="P23" s="27" t="s">
        <v>2308</v>
      </c>
      <c r="Q23" s="27" t="s">
        <v>2308</v>
      </c>
      <c r="R23" s="27" t="s">
        <v>542</v>
      </c>
      <c r="S23" s="27" t="s">
        <v>2308</v>
      </c>
      <c r="T23" s="27" t="s">
        <v>2308</v>
      </c>
      <c r="U23" s="27" t="s">
        <v>2308</v>
      </c>
      <c r="V23" s="51">
        <v>2</v>
      </c>
      <c r="W23" s="5" t="s">
        <v>2468</v>
      </c>
    </row>
    <row r="24" spans="1:23" ht="43.5">
      <c r="A24" s="4" t="s">
        <v>1349</v>
      </c>
      <c r="B24" s="4" t="s">
        <v>1379</v>
      </c>
      <c r="C24" s="27" t="s">
        <v>24</v>
      </c>
      <c r="D24" s="5" t="s">
        <v>403</v>
      </c>
      <c r="E24" s="4" t="s">
        <v>2467</v>
      </c>
      <c r="F24" s="4" t="s">
        <v>28</v>
      </c>
      <c r="G24" s="27"/>
      <c r="H24" s="27" t="s">
        <v>549</v>
      </c>
      <c r="I24" s="27" t="s">
        <v>2308</v>
      </c>
      <c r="J24" s="27" t="s">
        <v>2308</v>
      </c>
      <c r="K24" s="27" t="s">
        <v>2308</v>
      </c>
      <c r="L24" s="27" t="s">
        <v>2308</v>
      </c>
      <c r="M24" s="27" t="s">
        <v>2308</v>
      </c>
      <c r="N24" s="27" t="s">
        <v>2308</v>
      </c>
      <c r="O24" s="27" t="s">
        <v>2308</v>
      </c>
      <c r="P24" s="27" t="s">
        <v>2308</v>
      </c>
      <c r="Q24" s="27" t="s">
        <v>2308</v>
      </c>
      <c r="R24" s="27" t="s">
        <v>542</v>
      </c>
      <c r="S24" s="27" t="s">
        <v>2308</v>
      </c>
      <c r="T24" s="27" t="s">
        <v>2308</v>
      </c>
      <c r="U24" s="27" t="s">
        <v>2308</v>
      </c>
      <c r="V24" s="51">
        <v>2</v>
      </c>
      <c r="W24" s="5" t="s">
        <v>2468</v>
      </c>
    </row>
    <row r="25" spans="1:23" ht="43.5">
      <c r="A25" s="4" t="s">
        <v>1384</v>
      </c>
      <c r="B25" s="4" t="s">
        <v>1386</v>
      </c>
      <c r="C25" s="27" t="s">
        <v>24</v>
      </c>
      <c r="D25" s="4" t="s">
        <v>403</v>
      </c>
      <c r="E25" s="4" t="s">
        <v>2467</v>
      </c>
      <c r="F25" s="4" t="s">
        <v>28</v>
      </c>
      <c r="G25" s="27"/>
      <c r="H25" s="27" t="s">
        <v>549</v>
      </c>
      <c r="I25" s="27" t="s">
        <v>2308</v>
      </c>
      <c r="J25" s="27" t="s">
        <v>2308</v>
      </c>
      <c r="K25" s="27" t="s">
        <v>2308</v>
      </c>
      <c r="L25" s="27" t="s">
        <v>2308</v>
      </c>
      <c r="M25" s="27" t="s">
        <v>2308</v>
      </c>
      <c r="N25" s="27" t="s">
        <v>2308</v>
      </c>
      <c r="O25" s="27" t="s">
        <v>2308</v>
      </c>
      <c r="P25" s="27" t="s">
        <v>2308</v>
      </c>
      <c r="Q25" s="27" t="s">
        <v>2308</v>
      </c>
      <c r="R25" s="27" t="s">
        <v>542</v>
      </c>
      <c r="S25" s="27" t="s">
        <v>2308</v>
      </c>
      <c r="T25" s="27" t="s">
        <v>2308</v>
      </c>
      <c r="U25" s="27" t="s">
        <v>2308</v>
      </c>
      <c r="V25" s="51">
        <v>2</v>
      </c>
      <c r="W25" s="5" t="s">
        <v>2468</v>
      </c>
    </row>
    <row r="26" spans="1:23" ht="24" customHeight="1">
      <c r="A26" s="24" t="s">
        <v>129</v>
      </c>
      <c r="B26" s="24" t="s">
        <v>130</v>
      </c>
      <c r="C26" s="24" t="s">
        <v>24</v>
      </c>
      <c r="D26" s="4" t="s">
        <v>136</v>
      </c>
      <c r="E26" s="24" t="s">
        <v>27</v>
      </c>
      <c r="F26" s="24" t="s">
        <v>74</v>
      </c>
      <c r="G26" s="24"/>
      <c r="H26" s="27" t="s">
        <v>551</v>
      </c>
      <c r="I26" s="24" t="s">
        <v>2308</v>
      </c>
      <c r="J26" s="24" t="s">
        <v>2308</v>
      </c>
      <c r="K26" s="24" t="s">
        <v>2308</v>
      </c>
      <c r="L26" s="24" t="s">
        <v>2308</v>
      </c>
      <c r="M26" s="24" t="s">
        <v>2761</v>
      </c>
      <c r="N26" s="24" t="s">
        <v>2308</v>
      </c>
      <c r="O26" s="24" t="s">
        <v>542</v>
      </c>
      <c r="P26" s="24" t="s">
        <v>2308</v>
      </c>
      <c r="Q26" s="24">
        <v>2</v>
      </c>
      <c r="R26" s="24" t="s">
        <v>2308</v>
      </c>
      <c r="S26" s="24" t="s">
        <v>2308</v>
      </c>
      <c r="T26" s="24" t="s">
        <v>2308</v>
      </c>
      <c r="U26" s="24" t="s">
        <v>2308</v>
      </c>
      <c r="V26" s="52" t="s">
        <v>2308</v>
      </c>
      <c r="W26" s="4" t="s">
        <v>5089</v>
      </c>
    </row>
    <row r="27" spans="1:23" ht="20.5" customHeight="1">
      <c r="A27" s="24" t="s">
        <v>129</v>
      </c>
      <c r="B27" s="24" t="s">
        <v>131</v>
      </c>
      <c r="C27" s="24" t="s">
        <v>24</v>
      </c>
      <c r="D27" s="4" t="s">
        <v>136</v>
      </c>
      <c r="E27" s="24" t="s">
        <v>27</v>
      </c>
      <c r="F27" s="24" t="s">
        <v>166</v>
      </c>
      <c r="G27" s="24"/>
      <c r="H27" s="27" t="s">
        <v>551</v>
      </c>
      <c r="I27" s="24" t="s">
        <v>2308</v>
      </c>
      <c r="J27" s="24" t="s">
        <v>2308</v>
      </c>
      <c r="K27" s="24" t="s">
        <v>2308</v>
      </c>
      <c r="L27" s="24" t="s">
        <v>2308</v>
      </c>
      <c r="M27" s="24" t="s">
        <v>2761</v>
      </c>
      <c r="N27" s="24" t="s">
        <v>2308</v>
      </c>
      <c r="O27" s="24" t="s">
        <v>542</v>
      </c>
      <c r="P27" s="24" t="s">
        <v>2308</v>
      </c>
      <c r="Q27" s="24">
        <v>2</v>
      </c>
      <c r="R27" s="24" t="s">
        <v>2308</v>
      </c>
      <c r="S27" s="24" t="s">
        <v>2308</v>
      </c>
      <c r="T27" s="24" t="s">
        <v>2308</v>
      </c>
      <c r="U27" s="24" t="s">
        <v>2308</v>
      </c>
      <c r="V27" s="52" t="s">
        <v>2308</v>
      </c>
      <c r="W27" s="4" t="s">
        <v>5089</v>
      </c>
    </row>
    <row r="28" spans="1:23" ht="20.5" customHeight="1">
      <c r="A28" s="24" t="s">
        <v>168</v>
      </c>
      <c r="B28" s="24" t="s">
        <v>173</v>
      </c>
      <c r="C28" s="24" t="s">
        <v>24</v>
      </c>
      <c r="D28" s="24" t="s">
        <v>84</v>
      </c>
      <c r="E28" s="24" t="s">
        <v>149</v>
      </c>
      <c r="F28" s="24" t="s">
        <v>74</v>
      </c>
      <c r="G28" s="24">
        <v>2002</v>
      </c>
      <c r="H28" s="27" t="s">
        <v>549</v>
      </c>
      <c r="I28" s="24" t="s">
        <v>2308</v>
      </c>
      <c r="J28" s="24" t="s">
        <v>2308</v>
      </c>
      <c r="K28" s="24" t="s">
        <v>2308</v>
      </c>
      <c r="L28" s="24" t="s">
        <v>2308</v>
      </c>
      <c r="M28" s="24" t="s">
        <v>2308</v>
      </c>
      <c r="N28" s="24" t="s">
        <v>2308</v>
      </c>
      <c r="O28" s="24" t="s">
        <v>2308</v>
      </c>
      <c r="P28" s="24" t="s">
        <v>2308</v>
      </c>
      <c r="Q28" s="24" t="s">
        <v>2308</v>
      </c>
      <c r="R28" s="24" t="s">
        <v>542</v>
      </c>
      <c r="S28" s="24" t="s">
        <v>2308</v>
      </c>
      <c r="T28" s="24" t="s">
        <v>542</v>
      </c>
      <c r="U28" s="24" t="s">
        <v>2308</v>
      </c>
      <c r="V28" s="24">
        <v>2</v>
      </c>
      <c r="W28" s="4"/>
    </row>
    <row r="29" spans="1:23" ht="20.5" customHeight="1">
      <c r="A29" s="24" t="s">
        <v>168</v>
      </c>
      <c r="B29" s="24" t="s">
        <v>175</v>
      </c>
      <c r="C29" s="24" t="s">
        <v>24</v>
      </c>
      <c r="D29" s="24" t="s">
        <v>84</v>
      </c>
      <c r="E29" s="24" t="s">
        <v>149</v>
      </c>
      <c r="F29" s="24" t="s">
        <v>74</v>
      </c>
      <c r="G29" s="24">
        <v>2003</v>
      </c>
      <c r="H29" s="27" t="s">
        <v>549</v>
      </c>
      <c r="I29" s="24" t="s">
        <v>2308</v>
      </c>
      <c r="J29" s="24" t="s">
        <v>2308</v>
      </c>
      <c r="K29" s="24" t="s">
        <v>2308</v>
      </c>
      <c r="L29" s="24" t="s">
        <v>2308</v>
      </c>
      <c r="M29" s="24" t="s">
        <v>2308</v>
      </c>
      <c r="N29" s="24" t="s">
        <v>2308</v>
      </c>
      <c r="O29" s="24" t="s">
        <v>2308</v>
      </c>
      <c r="P29" s="24" t="s">
        <v>2308</v>
      </c>
      <c r="Q29" s="24" t="s">
        <v>2308</v>
      </c>
      <c r="R29" s="24" t="s">
        <v>542</v>
      </c>
      <c r="S29" s="24" t="s">
        <v>2308</v>
      </c>
      <c r="T29" s="24" t="s">
        <v>542</v>
      </c>
      <c r="U29" s="24" t="s">
        <v>2308</v>
      </c>
      <c r="V29" s="24">
        <v>2</v>
      </c>
      <c r="W29" s="5"/>
    </row>
    <row r="30" spans="1:23" ht="20.5" customHeight="1">
      <c r="A30" s="24" t="s">
        <v>168</v>
      </c>
      <c r="B30" s="24" t="s">
        <v>176</v>
      </c>
      <c r="C30" s="24" t="s">
        <v>24</v>
      </c>
      <c r="D30" s="24" t="s">
        <v>84</v>
      </c>
      <c r="E30" s="24" t="s">
        <v>149</v>
      </c>
      <c r="F30" s="24" t="s">
        <v>74</v>
      </c>
      <c r="G30" s="24">
        <v>2004</v>
      </c>
      <c r="H30" s="27" t="s">
        <v>549</v>
      </c>
      <c r="I30" s="24" t="s">
        <v>2308</v>
      </c>
      <c r="J30" s="24" t="s">
        <v>2308</v>
      </c>
      <c r="K30" s="24" t="s">
        <v>2308</v>
      </c>
      <c r="L30" s="24" t="s">
        <v>2308</v>
      </c>
      <c r="M30" s="24" t="s">
        <v>2308</v>
      </c>
      <c r="N30" s="24" t="s">
        <v>2308</v>
      </c>
      <c r="O30" s="24" t="s">
        <v>2308</v>
      </c>
      <c r="P30" s="24" t="s">
        <v>2308</v>
      </c>
      <c r="Q30" s="24" t="s">
        <v>2308</v>
      </c>
      <c r="R30" s="24" t="s">
        <v>542</v>
      </c>
      <c r="S30" s="24" t="s">
        <v>2308</v>
      </c>
      <c r="T30" s="24" t="s">
        <v>542</v>
      </c>
      <c r="U30" s="24" t="s">
        <v>2308</v>
      </c>
      <c r="V30" s="24">
        <v>2</v>
      </c>
      <c r="W30" s="5"/>
    </row>
    <row r="31" spans="1:23" ht="69.5" customHeight="1">
      <c r="A31" s="24" t="s">
        <v>168</v>
      </c>
      <c r="B31" s="24" t="s">
        <v>1413</v>
      </c>
      <c r="C31" s="24" t="s">
        <v>24</v>
      </c>
      <c r="D31" s="24" t="s">
        <v>84</v>
      </c>
      <c r="E31" s="24" t="s">
        <v>149</v>
      </c>
      <c r="F31" s="24" t="s">
        <v>74</v>
      </c>
      <c r="G31" s="24">
        <v>2005</v>
      </c>
      <c r="H31" s="27" t="s">
        <v>549</v>
      </c>
      <c r="I31" s="24" t="s">
        <v>2308</v>
      </c>
      <c r="J31" s="24" t="s">
        <v>2308</v>
      </c>
      <c r="K31" s="24" t="s">
        <v>2308</v>
      </c>
      <c r="L31" s="24" t="s">
        <v>2308</v>
      </c>
      <c r="M31" s="24" t="s">
        <v>2308</v>
      </c>
      <c r="N31" s="24" t="s">
        <v>2308</v>
      </c>
      <c r="O31" s="24" t="s">
        <v>2308</v>
      </c>
      <c r="P31" s="24" t="s">
        <v>2308</v>
      </c>
      <c r="Q31" s="24" t="s">
        <v>2308</v>
      </c>
      <c r="R31" s="24" t="s">
        <v>542</v>
      </c>
      <c r="S31" s="24" t="s">
        <v>2308</v>
      </c>
      <c r="T31" s="24" t="s">
        <v>542</v>
      </c>
      <c r="U31" s="24" t="s">
        <v>2308</v>
      </c>
      <c r="V31" s="24">
        <v>4</v>
      </c>
      <c r="W31" s="5" t="s">
        <v>1479</v>
      </c>
    </row>
    <row r="32" spans="1:23" ht="54.5" customHeight="1">
      <c r="A32" s="24" t="s">
        <v>168</v>
      </c>
      <c r="B32" s="24" t="s">
        <v>1414</v>
      </c>
      <c r="C32" s="24" t="s">
        <v>24</v>
      </c>
      <c r="D32" s="24" t="s">
        <v>84</v>
      </c>
      <c r="E32" s="24" t="s">
        <v>149</v>
      </c>
      <c r="F32" s="24" t="s">
        <v>74</v>
      </c>
      <c r="G32" s="24">
        <v>2006</v>
      </c>
      <c r="H32" s="27" t="s">
        <v>549</v>
      </c>
      <c r="I32" s="24" t="s">
        <v>2308</v>
      </c>
      <c r="J32" s="24" t="s">
        <v>2308</v>
      </c>
      <c r="K32" s="24" t="s">
        <v>2308</v>
      </c>
      <c r="L32" s="24" t="s">
        <v>2308</v>
      </c>
      <c r="M32" s="24" t="s">
        <v>2308</v>
      </c>
      <c r="N32" s="24" t="s">
        <v>2308</v>
      </c>
      <c r="O32" s="24" t="s">
        <v>2308</v>
      </c>
      <c r="P32" s="24" t="s">
        <v>2308</v>
      </c>
      <c r="Q32" s="24" t="s">
        <v>2308</v>
      </c>
      <c r="R32" s="24" t="s">
        <v>542</v>
      </c>
      <c r="S32" s="24" t="s">
        <v>2308</v>
      </c>
      <c r="T32" s="24" t="s">
        <v>542</v>
      </c>
      <c r="U32" s="24" t="s">
        <v>2308</v>
      </c>
      <c r="V32" s="24">
        <v>4</v>
      </c>
      <c r="W32" s="5" t="s">
        <v>1480</v>
      </c>
    </row>
    <row r="33" spans="1:23" ht="50.5" customHeight="1">
      <c r="A33" s="24" t="s">
        <v>168</v>
      </c>
      <c r="B33" s="24" t="s">
        <v>1415</v>
      </c>
      <c r="C33" s="24" t="s">
        <v>24</v>
      </c>
      <c r="D33" s="24" t="s">
        <v>84</v>
      </c>
      <c r="E33" s="24" t="s">
        <v>149</v>
      </c>
      <c r="F33" s="24" t="s">
        <v>74</v>
      </c>
      <c r="G33" s="24">
        <v>2007</v>
      </c>
      <c r="H33" s="27" t="s">
        <v>549</v>
      </c>
      <c r="I33" s="24" t="s">
        <v>2308</v>
      </c>
      <c r="J33" s="24" t="s">
        <v>2308</v>
      </c>
      <c r="K33" s="24" t="s">
        <v>2308</v>
      </c>
      <c r="L33" s="24" t="s">
        <v>2308</v>
      </c>
      <c r="M33" s="24" t="s">
        <v>2308</v>
      </c>
      <c r="N33" s="24" t="s">
        <v>2308</v>
      </c>
      <c r="O33" s="24" t="s">
        <v>2308</v>
      </c>
      <c r="P33" s="24" t="s">
        <v>2308</v>
      </c>
      <c r="Q33" s="24" t="s">
        <v>2308</v>
      </c>
      <c r="R33" s="24" t="s">
        <v>542</v>
      </c>
      <c r="S33" s="24" t="s">
        <v>2308</v>
      </c>
      <c r="T33" s="24" t="s">
        <v>542</v>
      </c>
      <c r="U33" s="24" t="s">
        <v>2308</v>
      </c>
      <c r="V33" s="24">
        <v>4</v>
      </c>
      <c r="W33" s="5" t="s">
        <v>1480</v>
      </c>
    </row>
    <row r="34" spans="1:23" ht="54.5" customHeight="1">
      <c r="A34" s="24" t="s">
        <v>168</v>
      </c>
      <c r="B34" s="24" t="s">
        <v>1416</v>
      </c>
      <c r="C34" s="24" t="s">
        <v>24</v>
      </c>
      <c r="D34" s="24" t="s">
        <v>84</v>
      </c>
      <c r="E34" s="24" t="s">
        <v>149</v>
      </c>
      <c r="F34" s="24" t="s">
        <v>74</v>
      </c>
      <c r="G34" s="24">
        <v>2008</v>
      </c>
      <c r="H34" s="27" t="s">
        <v>549</v>
      </c>
      <c r="I34" s="24" t="s">
        <v>2308</v>
      </c>
      <c r="J34" s="24" t="s">
        <v>2308</v>
      </c>
      <c r="K34" s="24" t="s">
        <v>2308</v>
      </c>
      <c r="L34" s="24" t="s">
        <v>2308</v>
      </c>
      <c r="M34" s="24" t="s">
        <v>2308</v>
      </c>
      <c r="N34" s="24" t="s">
        <v>2308</v>
      </c>
      <c r="O34" s="24" t="s">
        <v>2308</v>
      </c>
      <c r="P34" s="24" t="s">
        <v>2308</v>
      </c>
      <c r="Q34" s="24" t="s">
        <v>2308</v>
      </c>
      <c r="R34" s="24" t="s">
        <v>542</v>
      </c>
      <c r="S34" s="24" t="s">
        <v>2308</v>
      </c>
      <c r="T34" s="24" t="s">
        <v>542</v>
      </c>
      <c r="U34" s="24" t="s">
        <v>2308</v>
      </c>
      <c r="V34" s="24">
        <v>4</v>
      </c>
      <c r="W34" s="5" t="s">
        <v>1480</v>
      </c>
    </row>
    <row r="35" spans="1:23" ht="59.5" customHeight="1">
      <c r="A35" s="24" t="s">
        <v>168</v>
      </c>
      <c r="B35" s="24" t="s">
        <v>1417</v>
      </c>
      <c r="C35" s="24" t="s">
        <v>24</v>
      </c>
      <c r="D35" s="24" t="s">
        <v>84</v>
      </c>
      <c r="E35" s="24" t="s">
        <v>149</v>
      </c>
      <c r="F35" s="24" t="s">
        <v>74</v>
      </c>
      <c r="G35" s="24">
        <v>2009</v>
      </c>
      <c r="H35" s="27" t="s">
        <v>549</v>
      </c>
      <c r="I35" s="24" t="s">
        <v>2308</v>
      </c>
      <c r="J35" s="24" t="s">
        <v>2308</v>
      </c>
      <c r="K35" s="24" t="s">
        <v>2308</v>
      </c>
      <c r="L35" s="24" t="s">
        <v>2308</v>
      </c>
      <c r="M35" s="24" t="s">
        <v>2308</v>
      </c>
      <c r="N35" s="24" t="s">
        <v>2308</v>
      </c>
      <c r="O35" s="24" t="s">
        <v>2308</v>
      </c>
      <c r="P35" s="24" t="s">
        <v>2308</v>
      </c>
      <c r="Q35" s="24" t="s">
        <v>2308</v>
      </c>
      <c r="R35" s="24" t="s">
        <v>542</v>
      </c>
      <c r="S35" s="24" t="s">
        <v>2308</v>
      </c>
      <c r="T35" s="24" t="s">
        <v>542</v>
      </c>
      <c r="U35" s="24" t="s">
        <v>2308</v>
      </c>
      <c r="V35" s="24">
        <v>4</v>
      </c>
      <c r="W35" s="5" t="s">
        <v>1480</v>
      </c>
    </row>
    <row r="36" spans="1:23" ht="59.5" customHeight="1">
      <c r="A36" s="24" t="s">
        <v>168</v>
      </c>
      <c r="B36" s="24" t="s">
        <v>1418</v>
      </c>
      <c r="C36" s="24" t="s">
        <v>24</v>
      </c>
      <c r="D36" s="24" t="s">
        <v>84</v>
      </c>
      <c r="E36" s="24" t="s">
        <v>149</v>
      </c>
      <c r="F36" s="24" t="s">
        <v>74</v>
      </c>
      <c r="G36" s="24">
        <v>2010</v>
      </c>
      <c r="H36" s="27" t="s">
        <v>549</v>
      </c>
      <c r="I36" s="24" t="s">
        <v>2308</v>
      </c>
      <c r="J36" s="24" t="s">
        <v>2308</v>
      </c>
      <c r="K36" s="24" t="s">
        <v>2308</v>
      </c>
      <c r="L36" s="24" t="s">
        <v>2308</v>
      </c>
      <c r="M36" s="24" t="s">
        <v>2308</v>
      </c>
      <c r="N36" s="24" t="s">
        <v>2308</v>
      </c>
      <c r="O36" s="24" t="s">
        <v>2308</v>
      </c>
      <c r="P36" s="24" t="s">
        <v>2308</v>
      </c>
      <c r="Q36" s="24" t="s">
        <v>2308</v>
      </c>
      <c r="R36" s="24" t="s">
        <v>542</v>
      </c>
      <c r="S36" s="24" t="s">
        <v>2308</v>
      </c>
      <c r="T36" s="24" t="s">
        <v>542</v>
      </c>
      <c r="U36" s="24" t="s">
        <v>2308</v>
      </c>
      <c r="V36" s="24">
        <v>4</v>
      </c>
      <c r="W36" s="5" t="s">
        <v>1480</v>
      </c>
    </row>
    <row r="37" spans="1:23" ht="58.5" customHeight="1">
      <c r="A37" s="24" t="s">
        <v>168</v>
      </c>
      <c r="B37" s="24" t="s">
        <v>1419</v>
      </c>
      <c r="C37" s="24" t="s">
        <v>24</v>
      </c>
      <c r="D37" s="24" t="s">
        <v>84</v>
      </c>
      <c r="E37" s="24" t="s">
        <v>149</v>
      </c>
      <c r="F37" s="24" t="s">
        <v>74</v>
      </c>
      <c r="G37" s="24">
        <v>2011</v>
      </c>
      <c r="H37" s="27" t="s">
        <v>549</v>
      </c>
      <c r="I37" s="24" t="s">
        <v>2308</v>
      </c>
      <c r="J37" s="24" t="s">
        <v>2308</v>
      </c>
      <c r="K37" s="24" t="s">
        <v>2308</v>
      </c>
      <c r="L37" s="24" t="s">
        <v>2308</v>
      </c>
      <c r="M37" s="24" t="s">
        <v>2308</v>
      </c>
      <c r="N37" s="24" t="s">
        <v>2308</v>
      </c>
      <c r="O37" s="24" t="s">
        <v>2308</v>
      </c>
      <c r="P37" s="24" t="s">
        <v>2308</v>
      </c>
      <c r="Q37" s="24" t="s">
        <v>2308</v>
      </c>
      <c r="R37" s="24" t="s">
        <v>542</v>
      </c>
      <c r="S37" s="24" t="s">
        <v>2308</v>
      </c>
      <c r="T37" s="24" t="s">
        <v>542</v>
      </c>
      <c r="U37" s="24" t="s">
        <v>2308</v>
      </c>
      <c r="V37" s="24">
        <v>4</v>
      </c>
      <c r="W37" s="5" t="s">
        <v>1481</v>
      </c>
    </row>
    <row r="38" spans="1:23" ht="52" customHeight="1">
      <c r="A38" s="24" t="s">
        <v>168</v>
      </c>
      <c r="B38" s="24" t="s">
        <v>1420</v>
      </c>
      <c r="C38" s="24" t="s">
        <v>24</v>
      </c>
      <c r="D38" s="24" t="s">
        <v>84</v>
      </c>
      <c r="E38" s="24" t="s">
        <v>149</v>
      </c>
      <c r="F38" s="24" t="s">
        <v>74</v>
      </c>
      <c r="G38" s="24">
        <v>2012</v>
      </c>
      <c r="H38" s="27" t="s">
        <v>549</v>
      </c>
      <c r="I38" s="24" t="s">
        <v>2308</v>
      </c>
      <c r="J38" s="24" t="s">
        <v>2308</v>
      </c>
      <c r="K38" s="24" t="s">
        <v>2308</v>
      </c>
      <c r="L38" s="24" t="s">
        <v>2308</v>
      </c>
      <c r="M38" s="24" t="s">
        <v>2308</v>
      </c>
      <c r="N38" s="24" t="s">
        <v>2308</v>
      </c>
      <c r="O38" s="24" t="s">
        <v>2308</v>
      </c>
      <c r="P38" s="24" t="s">
        <v>2308</v>
      </c>
      <c r="Q38" s="24" t="s">
        <v>2308</v>
      </c>
      <c r="R38" s="24" t="s">
        <v>542</v>
      </c>
      <c r="S38" s="24" t="s">
        <v>2308</v>
      </c>
      <c r="T38" s="24" t="s">
        <v>542</v>
      </c>
      <c r="U38" s="24" t="s">
        <v>2308</v>
      </c>
      <c r="V38" s="24">
        <v>4</v>
      </c>
      <c r="W38" s="5" t="s">
        <v>1481</v>
      </c>
    </row>
    <row r="39" spans="1:23" ht="50.5" customHeight="1">
      <c r="A39" s="24" t="s">
        <v>168</v>
      </c>
      <c r="B39" s="24" t="s">
        <v>1422</v>
      </c>
      <c r="C39" s="24" t="s">
        <v>24</v>
      </c>
      <c r="D39" s="27" t="s">
        <v>45</v>
      </c>
      <c r="E39" s="24" t="s">
        <v>149</v>
      </c>
      <c r="F39" s="24" t="s">
        <v>74</v>
      </c>
      <c r="G39" s="24">
        <v>2002</v>
      </c>
      <c r="H39" s="27" t="s">
        <v>549</v>
      </c>
      <c r="I39" s="24" t="s">
        <v>2308</v>
      </c>
      <c r="J39" s="24" t="s">
        <v>2308</v>
      </c>
      <c r="K39" s="24" t="s">
        <v>2308</v>
      </c>
      <c r="L39" s="24" t="s">
        <v>2308</v>
      </c>
      <c r="M39" s="24" t="s">
        <v>2308</v>
      </c>
      <c r="N39" s="24" t="s">
        <v>2308</v>
      </c>
      <c r="O39" s="24" t="s">
        <v>2308</v>
      </c>
      <c r="P39" s="24" t="s">
        <v>2308</v>
      </c>
      <c r="Q39" s="24" t="s">
        <v>2308</v>
      </c>
      <c r="R39" s="24" t="s">
        <v>542</v>
      </c>
      <c r="S39" s="24" t="s">
        <v>2308</v>
      </c>
      <c r="T39" s="24" t="s">
        <v>542</v>
      </c>
      <c r="U39" s="24" t="s">
        <v>2308</v>
      </c>
      <c r="V39" s="24">
        <v>2</v>
      </c>
      <c r="W39" s="5" t="s">
        <v>1496</v>
      </c>
    </row>
    <row r="40" spans="1:23" ht="50.5" customHeight="1">
      <c r="A40" s="24" t="s">
        <v>168</v>
      </c>
      <c r="B40" s="24" t="s">
        <v>1423</v>
      </c>
      <c r="C40" s="24" t="s">
        <v>24</v>
      </c>
      <c r="D40" s="27" t="s">
        <v>45</v>
      </c>
      <c r="E40" s="24" t="s">
        <v>149</v>
      </c>
      <c r="F40" s="24" t="s">
        <v>74</v>
      </c>
      <c r="G40" s="24">
        <v>2003</v>
      </c>
      <c r="H40" s="27" t="s">
        <v>549</v>
      </c>
      <c r="I40" s="24" t="s">
        <v>2308</v>
      </c>
      <c r="J40" s="24" t="s">
        <v>2308</v>
      </c>
      <c r="K40" s="24" t="s">
        <v>2308</v>
      </c>
      <c r="L40" s="24" t="s">
        <v>2308</v>
      </c>
      <c r="M40" s="24" t="s">
        <v>2308</v>
      </c>
      <c r="N40" s="24" t="s">
        <v>2308</v>
      </c>
      <c r="O40" s="24" t="s">
        <v>2308</v>
      </c>
      <c r="P40" s="24" t="s">
        <v>2308</v>
      </c>
      <c r="Q40" s="24" t="s">
        <v>2308</v>
      </c>
      <c r="R40" s="24" t="s">
        <v>542</v>
      </c>
      <c r="S40" s="24" t="s">
        <v>2308</v>
      </c>
      <c r="T40" s="24" t="s">
        <v>542</v>
      </c>
      <c r="U40" s="24" t="s">
        <v>2308</v>
      </c>
      <c r="V40" s="24">
        <v>2</v>
      </c>
      <c r="W40" s="5" t="s">
        <v>1496</v>
      </c>
    </row>
    <row r="41" spans="1:23" ht="50.5" customHeight="1">
      <c r="A41" s="24" t="s">
        <v>168</v>
      </c>
      <c r="B41" s="24" t="s">
        <v>1424</v>
      </c>
      <c r="C41" s="24" t="s">
        <v>24</v>
      </c>
      <c r="D41" s="27" t="s">
        <v>45</v>
      </c>
      <c r="E41" s="24" t="s">
        <v>149</v>
      </c>
      <c r="F41" s="24" t="s">
        <v>74</v>
      </c>
      <c r="G41" s="24">
        <v>2004</v>
      </c>
      <c r="H41" s="27" t="s">
        <v>549</v>
      </c>
      <c r="I41" s="24" t="s">
        <v>2308</v>
      </c>
      <c r="J41" s="24" t="s">
        <v>2308</v>
      </c>
      <c r="K41" s="24" t="s">
        <v>2308</v>
      </c>
      <c r="L41" s="24" t="s">
        <v>2308</v>
      </c>
      <c r="M41" s="24" t="s">
        <v>2308</v>
      </c>
      <c r="N41" s="24" t="s">
        <v>2308</v>
      </c>
      <c r="O41" s="24" t="s">
        <v>2308</v>
      </c>
      <c r="P41" s="24" t="s">
        <v>2308</v>
      </c>
      <c r="Q41" s="24" t="s">
        <v>2308</v>
      </c>
      <c r="R41" s="24" t="s">
        <v>542</v>
      </c>
      <c r="S41" s="24" t="s">
        <v>2308</v>
      </c>
      <c r="T41" s="24" t="s">
        <v>542</v>
      </c>
      <c r="U41" s="24" t="s">
        <v>2308</v>
      </c>
      <c r="V41" s="24">
        <v>2</v>
      </c>
      <c r="W41" s="5" t="s">
        <v>1496</v>
      </c>
    </row>
    <row r="42" spans="1:23" ht="50.5" customHeight="1">
      <c r="A42" s="24" t="s">
        <v>168</v>
      </c>
      <c r="B42" s="24" t="s">
        <v>1425</v>
      </c>
      <c r="C42" s="24" t="s">
        <v>24</v>
      </c>
      <c r="D42" s="27" t="s">
        <v>45</v>
      </c>
      <c r="E42" s="24" t="s">
        <v>149</v>
      </c>
      <c r="F42" s="24" t="s">
        <v>74</v>
      </c>
      <c r="G42" s="24">
        <v>2005</v>
      </c>
      <c r="H42" s="27" t="s">
        <v>549</v>
      </c>
      <c r="I42" s="24" t="s">
        <v>2308</v>
      </c>
      <c r="J42" s="24" t="s">
        <v>2308</v>
      </c>
      <c r="K42" s="24" t="s">
        <v>2308</v>
      </c>
      <c r="L42" s="24" t="s">
        <v>2308</v>
      </c>
      <c r="M42" s="24" t="s">
        <v>2308</v>
      </c>
      <c r="N42" s="24" t="s">
        <v>2308</v>
      </c>
      <c r="O42" s="24" t="s">
        <v>2308</v>
      </c>
      <c r="P42" s="24" t="s">
        <v>2308</v>
      </c>
      <c r="Q42" s="24" t="s">
        <v>2308</v>
      </c>
      <c r="R42" s="24" t="s">
        <v>542</v>
      </c>
      <c r="S42" s="24" t="s">
        <v>2308</v>
      </c>
      <c r="T42" s="24" t="s">
        <v>542</v>
      </c>
      <c r="U42" s="24" t="s">
        <v>2308</v>
      </c>
      <c r="V42" s="24">
        <v>2</v>
      </c>
      <c r="W42" s="5" t="s">
        <v>1496</v>
      </c>
    </row>
    <row r="43" spans="1:23" ht="50.5" customHeight="1">
      <c r="A43" s="24" t="s">
        <v>168</v>
      </c>
      <c r="B43" s="24" t="s">
        <v>1426</v>
      </c>
      <c r="C43" s="24" t="s">
        <v>24</v>
      </c>
      <c r="D43" s="27" t="s">
        <v>45</v>
      </c>
      <c r="E43" s="24" t="s">
        <v>149</v>
      </c>
      <c r="F43" s="24" t="s">
        <v>74</v>
      </c>
      <c r="G43" s="24">
        <v>2006</v>
      </c>
      <c r="H43" s="27" t="s">
        <v>549</v>
      </c>
      <c r="I43" s="24" t="s">
        <v>2308</v>
      </c>
      <c r="J43" s="24" t="s">
        <v>2308</v>
      </c>
      <c r="K43" s="24" t="s">
        <v>2308</v>
      </c>
      <c r="L43" s="24" t="s">
        <v>2308</v>
      </c>
      <c r="M43" s="24" t="s">
        <v>2308</v>
      </c>
      <c r="N43" s="24" t="s">
        <v>2308</v>
      </c>
      <c r="O43" s="24" t="s">
        <v>2308</v>
      </c>
      <c r="P43" s="24" t="s">
        <v>2308</v>
      </c>
      <c r="Q43" s="24" t="s">
        <v>2308</v>
      </c>
      <c r="R43" s="24" t="s">
        <v>542</v>
      </c>
      <c r="S43" s="24" t="s">
        <v>2308</v>
      </c>
      <c r="T43" s="24" t="s">
        <v>542</v>
      </c>
      <c r="U43" s="24" t="s">
        <v>2308</v>
      </c>
      <c r="V43" s="24">
        <v>2</v>
      </c>
      <c r="W43" s="5" t="s">
        <v>1496</v>
      </c>
    </row>
    <row r="44" spans="1:23" ht="50.5" customHeight="1">
      <c r="A44" s="24" t="s">
        <v>168</v>
      </c>
      <c r="B44" s="24" t="s">
        <v>1427</v>
      </c>
      <c r="C44" s="24" t="s">
        <v>24</v>
      </c>
      <c r="D44" s="27" t="s">
        <v>45</v>
      </c>
      <c r="E44" s="24" t="s">
        <v>149</v>
      </c>
      <c r="F44" s="24" t="s">
        <v>74</v>
      </c>
      <c r="G44" s="24">
        <v>2007</v>
      </c>
      <c r="H44" s="27" t="s">
        <v>549</v>
      </c>
      <c r="I44" s="24" t="s">
        <v>2308</v>
      </c>
      <c r="J44" s="24" t="s">
        <v>2308</v>
      </c>
      <c r="K44" s="24" t="s">
        <v>2308</v>
      </c>
      <c r="L44" s="24" t="s">
        <v>2308</v>
      </c>
      <c r="M44" s="24" t="s">
        <v>2308</v>
      </c>
      <c r="N44" s="24" t="s">
        <v>2308</v>
      </c>
      <c r="O44" s="24" t="s">
        <v>2308</v>
      </c>
      <c r="P44" s="24" t="s">
        <v>2308</v>
      </c>
      <c r="Q44" s="24" t="s">
        <v>2308</v>
      </c>
      <c r="R44" s="24" t="s">
        <v>542</v>
      </c>
      <c r="S44" s="24" t="s">
        <v>2308</v>
      </c>
      <c r="T44" s="24" t="s">
        <v>542</v>
      </c>
      <c r="U44" s="24" t="s">
        <v>2308</v>
      </c>
      <c r="V44" s="24">
        <v>2</v>
      </c>
      <c r="W44" s="5" t="s">
        <v>1496</v>
      </c>
    </row>
    <row r="45" spans="1:23" ht="50.5" customHeight="1">
      <c r="A45" s="24" t="s">
        <v>168</v>
      </c>
      <c r="B45" s="24" t="s">
        <v>1428</v>
      </c>
      <c r="C45" s="24" t="s">
        <v>24</v>
      </c>
      <c r="D45" s="27" t="s">
        <v>45</v>
      </c>
      <c r="E45" s="24" t="s">
        <v>149</v>
      </c>
      <c r="F45" s="24" t="s">
        <v>74</v>
      </c>
      <c r="G45" s="24">
        <v>2008</v>
      </c>
      <c r="H45" s="27" t="s">
        <v>549</v>
      </c>
      <c r="I45" s="24" t="s">
        <v>2308</v>
      </c>
      <c r="J45" s="24" t="s">
        <v>2308</v>
      </c>
      <c r="K45" s="24" t="s">
        <v>2308</v>
      </c>
      <c r="L45" s="24" t="s">
        <v>2308</v>
      </c>
      <c r="M45" s="24" t="s">
        <v>2308</v>
      </c>
      <c r="N45" s="24" t="s">
        <v>2308</v>
      </c>
      <c r="O45" s="24" t="s">
        <v>2308</v>
      </c>
      <c r="P45" s="24" t="s">
        <v>2308</v>
      </c>
      <c r="Q45" s="24" t="s">
        <v>2308</v>
      </c>
      <c r="R45" s="24" t="s">
        <v>542</v>
      </c>
      <c r="S45" s="24" t="s">
        <v>2308</v>
      </c>
      <c r="T45" s="24" t="s">
        <v>542</v>
      </c>
      <c r="U45" s="24" t="s">
        <v>2308</v>
      </c>
      <c r="V45" s="24">
        <v>2</v>
      </c>
      <c r="W45" s="5" t="s">
        <v>1496</v>
      </c>
    </row>
    <row r="46" spans="1:23" ht="50.5" customHeight="1">
      <c r="A46" s="24" t="s">
        <v>168</v>
      </c>
      <c r="B46" s="24" t="s">
        <v>1429</v>
      </c>
      <c r="C46" s="24" t="s">
        <v>24</v>
      </c>
      <c r="D46" s="27" t="s">
        <v>45</v>
      </c>
      <c r="E46" s="24" t="s">
        <v>149</v>
      </c>
      <c r="F46" s="24" t="s">
        <v>74</v>
      </c>
      <c r="G46" s="24">
        <v>2009</v>
      </c>
      <c r="H46" s="27" t="s">
        <v>549</v>
      </c>
      <c r="I46" s="24" t="s">
        <v>2308</v>
      </c>
      <c r="J46" s="24" t="s">
        <v>2308</v>
      </c>
      <c r="K46" s="24" t="s">
        <v>2308</v>
      </c>
      <c r="L46" s="24" t="s">
        <v>2308</v>
      </c>
      <c r="M46" s="24" t="s">
        <v>2308</v>
      </c>
      <c r="N46" s="24" t="s">
        <v>2308</v>
      </c>
      <c r="O46" s="24" t="s">
        <v>2308</v>
      </c>
      <c r="P46" s="24" t="s">
        <v>2308</v>
      </c>
      <c r="Q46" s="24" t="s">
        <v>2308</v>
      </c>
      <c r="R46" s="24" t="s">
        <v>542</v>
      </c>
      <c r="S46" s="24" t="s">
        <v>2308</v>
      </c>
      <c r="T46" s="24" t="s">
        <v>542</v>
      </c>
      <c r="U46" s="24" t="s">
        <v>2308</v>
      </c>
      <c r="V46" s="24">
        <v>2</v>
      </c>
      <c r="W46" s="5" t="s">
        <v>1496</v>
      </c>
    </row>
    <row r="47" spans="1:23" ht="50.5" customHeight="1">
      <c r="A47" s="24" t="s">
        <v>168</v>
      </c>
      <c r="B47" s="24" t="s">
        <v>1430</v>
      </c>
      <c r="C47" s="24" t="s">
        <v>24</v>
      </c>
      <c r="D47" s="27" t="s">
        <v>45</v>
      </c>
      <c r="E47" s="24" t="s">
        <v>149</v>
      </c>
      <c r="F47" s="24" t="s">
        <v>74</v>
      </c>
      <c r="G47" s="24">
        <v>2010</v>
      </c>
      <c r="H47" s="27" t="s">
        <v>549</v>
      </c>
      <c r="I47" s="24" t="s">
        <v>2308</v>
      </c>
      <c r="J47" s="24" t="s">
        <v>2308</v>
      </c>
      <c r="K47" s="24" t="s">
        <v>2308</v>
      </c>
      <c r="L47" s="24" t="s">
        <v>2308</v>
      </c>
      <c r="M47" s="24" t="s">
        <v>2308</v>
      </c>
      <c r="N47" s="24" t="s">
        <v>2308</v>
      </c>
      <c r="O47" s="24" t="s">
        <v>2308</v>
      </c>
      <c r="P47" s="24" t="s">
        <v>2308</v>
      </c>
      <c r="Q47" s="24" t="s">
        <v>2308</v>
      </c>
      <c r="R47" s="24" t="s">
        <v>542</v>
      </c>
      <c r="S47" s="24" t="s">
        <v>2308</v>
      </c>
      <c r="T47" s="24" t="s">
        <v>542</v>
      </c>
      <c r="U47" s="24" t="s">
        <v>2308</v>
      </c>
      <c r="V47" s="24">
        <v>2</v>
      </c>
      <c r="W47" s="5" t="s">
        <v>1496</v>
      </c>
    </row>
    <row r="48" spans="1:23" ht="50.5" customHeight="1">
      <c r="A48" s="24" t="s">
        <v>168</v>
      </c>
      <c r="B48" s="24" t="s">
        <v>1431</v>
      </c>
      <c r="C48" s="24" t="s">
        <v>24</v>
      </c>
      <c r="D48" s="27" t="s">
        <v>45</v>
      </c>
      <c r="E48" s="24" t="s">
        <v>149</v>
      </c>
      <c r="F48" s="24" t="s">
        <v>74</v>
      </c>
      <c r="G48" s="24">
        <v>2011</v>
      </c>
      <c r="H48" s="27" t="s">
        <v>549</v>
      </c>
      <c r="I48" s="24" t="s">
        <v>2308</v>
      </c>
      <c r="J48" s="24" t="s">
        <v>2308</v>
      </c>
      <c r="K48" s="24" t="s">
        <v>2308</v>
      </c>
      <c r="L48" s="24" t="s">
        <v>2308</v>
      </c>
      <c r="M48" s="24" t="s">
        <v>2308</v>
      </c>
      <c r="N48" s="24" t="s">
        <v>2308</v>
      </c>
      <c r="O48" s="24" t="s">
        <v>2308</v>
      </c>
      <c r="P48" s="24" t="s">
        <v>2308</v>
      </c>
      <c r="Q48" s="24" t="s">
        <v>2308</v>
      </c>
      <c r="R48" s="24" t="s">
        <v>542</v>
      </c>
      <c r="S48" s="24" t="s">
        <v>2308</v>
      </c>
      <c r="T48" s="24" t="s">
        <v>542</v>
      </c>
      <c r="U48" s="24" t="s">
        <v>2308</v>
      </c>
      <c r="V48" s="24">
        <v>2</v>
      </c>
      <c r="W48" s="5" t="s">
        <v>1496</v>
      </c>
    </row>
    <row r="49" spans="1:23" ht="50.5" customHeight="1">
      <c r="A49" s="24" t="s">
        <v>168</v>
      </c>
      <c r="B49" s="24" t="s">
        <v>1432</v>
      </c>
      <c r="C49" s="24" t="s">
        <v>24</v>
      </c>
      <c r="D49" s="27" t="s">
        <v>45</v>
      </c>
      <c r="E49" s="24" t="s">
        <v>149</v>
      </c>
      <c r="F49" s="24" t="s">
        <v>74</v>
      </c>
      <c r="G49" s="24">
        <v>2012</v>
      </c>
      <c r="H49" s="27" t="s">
        <v>549</v>
      </c>
      <c r="I49" s="24" t="s">
        <v>2308</v>
      </c>
      <c r="J49" s="24" t="s">
        <v>2308</v>
      </c>
      <c r="K49" s="24" t="s">
        <v>2308</v>
      </c>
      <c r="L49" s="24" t="s">
        <v>2308</v>
      </c>
      <c r="M49" s="24" t="s">
        <v>2308</v>
      </c>
      <c r="N49" s="24" t="s">
        <v>2308</v>
      </c>
      <c r="O49" s="24" t="s">
        <v>2308</v>
      </c>
      <c r="P49" s="24" t="s">
        <v>2308</v>
      </c>
      <c r="Q49" s="24" t="s">
        <v>2308</v>
      </c>
      <c r="R49" s="24" t="s">
        <v>542</v>
      </c>
      <c r="S49" s="24" t="s">
        <v>2308</v>
      </c>
      <c r="T49" s="24" t="s">
        <v>542</v>
      </c>
      <c r="U49" s="24" t="s">
        <v>2308</v>
      </c>
      <c r="V49" s="24">
        <v>2</v>
      </c>
      <c r="W49" s="5" t="s">
        <v>1496</v>
      </c>
    </row>
    <row r="50" spans="1:23" ht="50.5" customHeight="1">
      <c r="A50" s="24" t="s">
        <v>168</v>
      </c>
      <c r="B50" s="24" t="s">
        <v>1446</v>
      </c>
      <c r="C50" s="24" t="s">
        <v>24</v>
      </c>
      <c r="D50" s="27" t="s">
        <v>403</v>
      </c>
      <c r="E50" s="24" t="s">
        <v>149</v>
      </c>
      <c r="F50" s="24" t="s">
        <v>74</v>
      </c>
      <c r="G50" s="24">
        <v>2002</v>
      </c>
      <c r="H50" s="27" t="s">
        <v>549</v>
      </c>
      <c r="I50" s="24" t="s">
        <v>2308</v>
      </c>
      <c r="J50" s="24" t="s">
        <v>2308</v>
      </c>
      <c r="K50" s="24" t="s">
        <v>2308</v>
      </c>
      <c r="L50" s="24" t="s">
        <v>2308</v>
      </c>
      <c r="M50" s="24" t="s">
        <v>2308</v>
      </c>
      <c r="N50" s="24" t="s">
        <v>2308</v>
      </c>
      <c r="O50" s="24" t="s">
        <v>2308</v>
      </c>
      <c r="P50" s="24" t="s">
        <v>2308</v>
      </c>
      <c r="Q50" s="24" t="s">
        <v>2308</v>
      </c>
      <c r="R50" s="24" t="s">
        <v>542</v>
      </c>
      <c r="S50" s="24" t="s">
        <v>2308</v>
      </c>
      <c r="T50" s="24" t="s">
        <v>542</v>
      </c>
      <c r="U50" s="24" t="s">
        <v>2308</v>
      </c>
      <c r="V50" s="24">
        <v>2</v>
      </c>
      <c r="W50" s="5" t="s">
        <v>1496</v>
      </c>
    </row>
    <row r="51" spans="1:23" ht="50.5" customHeight="1">
      <c r="A51" s="24" t="s">
        <v>168</v>
      </c>
      <c r="B51" s="24" t="s">
        <v>1447</v>
      </c>
      <c r="C51" s="24" t="s">
        <v>24</v>
      </c>
      <c r="D51" s="27" t="s">
        <v>403</v>
      </c>
      <c r="E51" s="24" t="s">
        <v>149</v>
      </c>
      <c r="F51" s="24" t="s">
        <v>74</v>
      </c>
      <c r="G51" s="24">
        <v>2003</v>
      </c>
      <c r="H51" s="27" t="s">
        <v>549</v>
      </c>
      <c r="I51" s="24" t="s">
        <v>2308</v>
      </c>
      <c r="J51" s="24" t="s">
        <v>2308</v>
      </c>
      <c r="K51" s="24" t="s">
        <v>2308</v>
      </c>
      <c r="L51" s="24" t="s">
        <v>2308</v>
      </c>
      <c r="M51" s="24" t="s">
        <v>2308</v>
      </c>
      <c r="N51" s="24" t="s">
        <v>2308</v>
      </c>
      <c r="O51" s="24" t="s">
        <v>2308</v>
      </c>
      <c r="P51" s="24" t="s">
        <v>2308</v>
      </c>
      <c r="Q51" s="24" t="s">
        <v>2308</v>
      </c>
      <c r="R51" s="24" t="s">
        <v>542</v>
      </c>
      <c r="S51" s="24" t="s">
        <v>2308</v>
      </c>
      <c r="T51" s="24" t="s">
        <v>542</v>
      </c>
      <c r="U51" s="24" t="s">
        <v>2308</v>
      </c>
      <c r="V51" s="24">
        <v>2</v>
      </c>
      <c r="W51" s="5" t="s">
        <v>1496</v>
      </c>
    </row>
    <row r="52" spans="1:23" ht="50.5" customHeight="1">
      <c r="A52" s="24" t="s">
        <v>168</v>
      </c>
      <c r="B52" s="24" t="s">
        <v>1448</v>
      </c>
      <c r="C52" s="24" t="s">
        <v>24</v>
      </c>
      <c r="D52" s="27" t="s">
        <v>403</v>
      </c>
      <c r="E52" s="24" t="s">
        <v>149</v>
      </c>
      <c r="F52" s="24" t="s">
        <v>74</v>
      </c>
      <c r="G52" s="24">
        <v>2004</v>
      </c>
      <c r="H52" s="27" t="s">
        <v>549</v>
      </c>
      <c r="I52" s="24" t="s">
        <v>2308</v>
      </c>
      <c r="J52" s="24" t="s">
        <v>2308</v>
      </c>
      <c r="K52" s="24" t="s">
        <v>2308</v>
      </c>
      <c r="L52" s="24" t="s">
        <v>2308</v>
      </c>
      <c r="M52" s="24" t="s">
        <v>2308</v>
      </c>
      <c r="N52" s="24" t="s">
        <v>2308</v>
      </c>
      <c r="O52" s="24" t="s">
        <v>2308</v>
      </c>
      <c r="P52" s="24" t="s">
        <v>2308</v>
      </c>
      <c r="Q52" s="24" t="s">
        <v>2308</v>
      </c>
      <c r="R52" s="24" t="s">
        <v>542</v>
      </c>
      <c r="S52" s="24" t="s">
        <v>2308</v>
      </c>
      <c r="T52" s="24" t="s">
        <v>542</v>
      </c>
      <c r="U52" s="24" t="s">
        <v>2308</v>
      </c>
      <c r="V52" s="24">
        <v>2</v>
      </c>
      <c r="W52" s="5" t="s">
        <v>1496</v>
      </c>
    </row>
    <row r="53" spans="1:23" ht="50.5" customHeight="1">
      <c r="A53" s="24" t="s">
        <v>168</v>
      </c>
      <c r="B53" s="24" t="s">
        <v>1449</v>
      </c>
      <c r="C53" s="24" t="s">
        <v>24</v>
      </c>
      <c r="D53" s="27" t="s">
        <v>403</v>
      </c>
      <c r="E53" s="24" t="s">
        <v>149</v>
      </c>
      <c r="F53" s="24" t="s">
        <v>74</v>
      </c>
      <c r="G53" s="24">
        <v>2005</v>
      </c>
      <c r="H53" s="27" t="s">
        <v>549</v>
      </c>
      <c r="I53" s="24" t="s">
        <v>2308</v>
      </c>
      <c r="J53" s="24" t="s">
        <v>2308</v>
      </c>
      <c r="K53" s="24" t="s">
        <v>2308</v>
      </c>
      <c r="L53" s="24" t="s">
        <v>2308</v>
      </c>
      <c r="M53" s="24" t="s">
        <v>2308</v>
      </c>
      <c r="N53" s="24" t="s">
        <v>2308</v>
      </c>
      <c r="O53" s="24" t="s">
        <v>2308</v>
      </c>
      <c r="P53" s="24" t="s">
        <v>2308</v>
      </c>
      <c r="Q53" s="24" t="s">
        <v>2308</v>
      </c>
      <c r="R53" s="24" t="s">
        <v>542</v>
      </c>
      <c r="S53" s="24" t="s">
        <v>2308</v>
      </c>
      <c r="T53" s="24" t="s">
        <v>542</v>
      </c>
      <c r="U53" s="24" t="s">
        <v>2308</v>
      </c>
      <c r="V53" s="24">
        <v>2</v>
      </c>
      <c r="W53" s="5" t="s">
        <v>1496</v>
      </c>
    </row>
    <row r="54" spans="1:23" ht="50.5" customHeight="1">
      <c r="A54" s="24" t="s">
        <v>168</v>
      </c>
      <c r="B54" s="24" t="s">
        <v>1450</v>
      </c>
      <c r="C54" s="24" t="s">
        <v>24</v>
      </c>
      <c r="D54" s="27" t="s">
        <v>403</v>
      </c>
      <c r="E54" s="24" t="s">
        <v>149</v>
      </c>
      <c r="F54" s="24" t="s">
        <v>74</v>
      </c>
      <c r="G54" s="24">
        <v>2006</v>
      </c>
      <c r="H54" s="27" t="s">
        <v>549</v>
      </c>
      <c r="I54" s="24" t="s">
        <v>2308</v>
      </c>
      <c r="J54" s="24" t="s">
        <v>2308</v>
      </c>
      <c r="K54" s="24" t="s">
        <v>2308</v>
      </c>
      <c r="L54" s="24" t="s">
        <v>2308</v>
      </c>
      <c r="M54" s="24" t="s">
        <v>2308</v>
      </c>
      <c r="N54" s="24" t="s">
        <v>2308</v>
      </c>
      <c r="O54" s="24" t="s">
        <v>2308</v>
      </c>
      <c r="P54" s="24" t="s">
        <v>2308</v>
      </c>
      <c r="Q54" s="24" t="s">
        <v>2308</v>
      </c>
      <c r="R54" s="24" t="s">
        <v>542</v>
      </c>
      <c r="S54" s="24" t="s">
        <v>2308</v>
      </c>
      <c r="T54" s="24" t="s">
        <v>542</v>
      </c>
      <c r="U54" s="24" t="s">
        <v>2308</v>
      </c>
      <c r="V54" s="24">
        <v>2</v>
      </c>
      <c r="W54" s="5" t="s">
        <v>1496</v>
      </c>
    </row>
    <row r="55" spans="1:23" ht="50.5" customHeight="1">
      <c r="A55" s="24" t="s">
        <v>168</v>
      </c>
      <c r="B55" s="24" t="s">
        <v>1451</v>
      </c>
      <c r="C55" s="24" t="s">
        <v>24</v>
      </c>
      <c r="D55" s="27" t="s">
        <v>403</v>
      </c>
      <c r="E55" s="24" t="s">
        <v>149</v>
      </c>
      <c r="F55" s="24" t="s">
        <v>74</v>
      </c>
      <c r="G55" s="24">
        <v>2007</v>
      </c>
      <c r="H55" s="27" t="s">
        <v>549</v>
      </c>
      <c r="I55" s="24" t="s">
        <v>2308</v>
      </c>
      <c r="J55" s="24" t="s">
        <v>2308</v>
      </c>
      <c r="K55" s="24" t="s">
        <v>2308</v>
      </c>
      <c r="L55" s="24" t="s">
        <v>2308</v>
      </c>
      <c r="M55" s="24" t="s">
        <v>2308</v>
      </c>
      <c r="N55" s="24" t="s">
        <v>2308</v>
      </c>
      <c r="O55" s="24" t="s">
        <v>2308</v>
      </c>
      <c r="P55" s="24" t="s">
        <v>2308</v>
      </c>
      <c r="Q55" s="24" t="s">
        <v>2308</v>
      </c>
      <c r="R55" s="24" t="s">
        <v>542</v>
      </c>
      <c r="S55" s="24" t="s">
        <v>2308</v>
      </c>
      <c r="T55" s="24" t="s">
        <v>542</v>
      </c>
      <c r="U55" s="24" t="s">
        <v>2308</v>
      </c>
      <c r="V55" s="24">
        <v>2</v>
      </c>
      <c r="W55" s="5" t="s">
        <v>1496</v>
      </c>
    </row>
    <row r="56" spans="1:23" ht="50.5" customHeight="1">
      <c r="A56" s="24" t="s">
        <v>168</v>
      </c>
      <c r="B56" s="24" t="s">
        <v>1452</v>
      </c>
      <c r="C56" s="24" t="s">
        <v>24</v>
      </c>
      <c r="D56" s="27" t="s">
        <v>403</v>
      </c>
      <c r="E56" s="24" t="s">
        <v>149</v>
      </c>
      <c r="F56" s="24" t="s">
        <v>74</v>
      </c>
      <c r="G56" s="24">
        <v>2008</v>
      </c>
      <c r="H56" s="27" t="s">
        <v>549</v>
      </c>
      <c r="I56" s="24" t="s">
        <v>2308</v>
      </c>
      <c r="J56" s="24" t="s">
        <v>2308</v>
      </c>
      <c r="K56" s="24" t="s">
        <v>2308</v>
      </c>
      <c r="L56" s="24" t="s">
        <v>2308</v>
      </c>
      <c r="M56" s="24" t="s">
        <v>2308</v>
      </c>
      <c r="N56" s="24" t="s">
        <v>2308</v>
      </c>
      <c r="O56" s="24" t="s">
        <v>2308</v>
      </c>
      <c r="P56" s="24" t="s">
        <v>2308</v>
      </c>
      <c r="Q56" s="24" t="s">
        <v>2308</v>
      </c>
      <c r="R56" s="24" t="s">
        <v>542</v>
      </c>
      <c r="S56" s="24" t="s">
        <v>2308</v>
      </c>
      <c r="T56" s="24" t="s">
        <v>542</v>
      </c>
      <c r="U56" s="24" t="s">
        <v>2308</v>
      </c>
      <c r="V56" s="24">
        <v>2</v>
      </c>
      <c r="W56" s="5" t="s">
        <v>1496</v>
      </c>
    </row>
    <row r="57" spans="1:23" ht="50.5" customHeight="1">
      <c r="A57" s="24" t="s">
        <v>168</v>
      </c>
      <c r="B57" s="24" t="s">
        <v>1453</v>
      </c>
      <c r="C57" s="24" t="s">
        <v>24</v>
      </c>
      <c r="D57" s="27" t="s">
        <v>403</v>
      </c>
      <c r="E57" s="24" t="s">
        <v>149</v>
      </c>
      <c r="F57" s="24" t="s">
        <v>74</v>
      </c>
      <c r="G57" s="24">
        <v>2009</v>
      </c>
      <c r="H57" s="27" t="s">
        <v>549</v>
      </c>
      <c r="I57" s="24" t="s">
        <v>2308</v>
      </c>
      <c r="J57" s="24" t="s">
        <v>2308</v>
      </c>
      <c r="K57" s="24" t="s">
        <v>2308</v>
      </c>
      <c r="L57" s="24" t="s">
        <v>2308</v>
      </c>
      <c r="M57" s="24" t="s">
        <v>2308</v>
      </c>
      <c r="N57" s="24" t="s">
        <v>2308</v>
      </c>
      <c r="O57" s="24" t="s">
        <v>2308</v>
      </c>
      <c r="P57" s="24" t="s">
        <v>2308</v>
      </c>
      <c r="Q57" s="24" t="s">
        <v>2308</v>
      </c>
      <c r="R57" s="24" t="s">
        <v>542</v>
      </c>
      <c r="S57" s="24" t="s">
        <v>2308</v>
      </c>
      <c r="T57" s="24" t="s">
        <v>542</v>
      </c>
      <c r="U57" s="24" t="s">
        <v>2308</v>
      </c>
      <c r="V57" s="24">
        <v>2</v>
      </c>
      <c r="W57" s="5" t="s">
        <v>1496</v>
      </c>
    </row>
    <row r="58" spans="1:23" ht="50.5" customHeight="1">
      <c r="A58" s="24" t="s">
        <v>168</v>
      </c>
      <c r="B58" s="24" t="s">
        <v>1454</v>
      </c>
      <c r="C58" s="24" t="s">
        <v>24</v>
      </c>
      <c r="D58" s="27" t="s">
        <v>403</v>
      </c>
      <c r="E58" s="24" t="s">
        <v>149</v>
      </c>
      <c r="F58" s="24" t="s">
        <v>74</v>
      </c>
      <c r="G58" s="24">
        <v>2010</v>
      </c>
      <c r="H58" s="27" t="s">
        <v>549</v>
      </c>
      <c r="I58" s="24" t="s">
        <v>2308</v>
      </c>
      <c r="J58" s="24" t="s">
        <v>2308</v>
      </c>
      <c r="K58" s="24" t="s">
        <v>2308</v>
      </c>
      <c r="L58" s="24" t="s">
        <v>2308</v>
      </c>
      <c r="M58" s="24" t="s">
        <v>2308</v>
      </c>
      <c r="N58" s="24" t="s">
        <v>2308</v>
      </c>
      <c r="O58" s="24" t="s">
        <v>2308</v>
      </c>
      <c r="P58" s="24" t="s">
        <v>2308</v>
      </c>
      <c r="Q58" s="24" t="s">
        <v>2308</v>
      </c>
      <c r="R58" s="24" t="s">
        <v>542</v>
      </c>
      <c r="S58" s="24" t="s">
        <v>2308</v>
      </c>
      <c r="T58" s="24" t="s">
        <v>542</v>
      </c>
      <c r="U58" s="24" t="s">
        <v>2308</v>
      </c>
      <c r="V58" s="24">
        <v>2</v>
      </c>
      <c r="W58" s="5" t="s">
        <v>1496</v>
      </c>
    </row>
    <row r="59" spans="1:23" ht="50.5" customHeight="1">
      <c r="A59" s="24" t="s">
        <v>168</v>
      </c>
      <c r="B59" s="24" t="s">
        <v>1455</v>
      </c>
      <c r="C59" s="24" t="s">
        <v>24</v>
      </c>
      <c r="D59" s="27" t="s">
        <v>403</v>
      </c>
      <c r="E59" s="24" t="s">
        <v>149</v>
      </c>
      <c r="F59" s="24" t="s">
        <v>74</v>
      </c>
      <c r="G59" s="24">
        <v>2011</v>
      </c>
      <c r="H59" s="27" t="s">
        <v>549</v>
      </c>
      <c r="I59" s="24" t="s">
        <v>2308</v>
      </c>
      <c r="J59" s="24" t="s">
        <v>2308</v>
      </c>
      <c r="K59" s="24" t="s">
        <v>2308</v>
      </c>
      <c r="L59" s="24" t="s">
        <v>2308</v>
      </c>
      <c r="M59" s="24" t="s">
        <v>2308</v>
      </c>
      <c r="N59" s="24" t="s">
        <v>2308</v>
      </c>
      <c r="O59" s="24" t="s">
        <v>2308</v>
      </c>
      <c r="P59" s="24" t="s">
        <v>2308</v>
      </c>
      <c r="Q59" s="24" t="s">
        <v>2308</v>
      </c>
      <c r="R59" s="24" t="s">
        <v>542</v>
      </c>
      <c r="S59" s="24" t="s">
        <v>2308</v>
      </c>
      <c r="T59" s="24" t="s">
        <v>542</v>
      </c>
      <c r="U59" s="24" t="s">
        <v>2308</v>
      </c>
      <c r="V59" s="24">
        <v>2</v>
      </c>
      <c r="W59" s="5" t="s">
        <v>1496</v>
      </c>
    </row>
    <row r="60" spans="1:23" ht="50.5" customHeight="1">
      <c r="A60" s="24" t="s">
        <v>168</v>
      </c>
      <c r="B60" s="24" t="s">
        <v>1456</v>
      </c>
      <c r="C60" s="24" t="s">
        <v>24</v>
      </c>
      <c r="D60" s="27" t="s">
        <v>403</v>
      </c>
      <c r="E60" s="24" t="s">
        <v>149</v>
      </c>
      <c r="F60" s="24" t="s">
        <v>74</v>
      </c>
      <c r="G60" s="24">
        <v>2012</v>
      </c>
      <c r="H60" s="27" t="s">
        <v>549</v>
      </c>
      <c r="I60" s="24" t="s">
        <v>2308</v>
      </c>
      <c r="J60" s="24" t="s">
        <v>2308</v>
      </c>
      <c r="K60" s="24" t="s">
        <v>2308</v>
      </c>
      <c r="L60" s="24" t="s">
        <v>2308</v>
      </c>
      <c r="M60" s="24" t="s">
        <v>2308</v>
      </c>
      <c r="N60" s="24" t="s">
        <v>2308</v>
      </c>
      <c r="O60" s="24" t="s">
        <v>2308</v>
      </c>
      <c r="P60" s="24" t="s">
        <v>2308</v>
      </c>
      <c r="Q60" s="24" t="s">
        <v>2308</v>
      </c>
      <c r="R60" s="24" t="s">
        <v>542</v>
      </c>
      <c r="S60" s="24" t="s">
        <v>2308</v>
      </c>
      <c r="T60" s="24" t="s">
        <v>542</v>
      </c>
      <c r="U60" s="24" t="s">
        <v>2308</v>
      </c>
      <c r="V60" s="24">
        <v>2</v>
      </c>
      <c r="W60" s="5" t="s">
        <v>1496</v>
      </c>
    </row>
    <row r="61" spans="1:23" ht="20.5" customHeight="1">
      <c r="A61" s="24" t="s">
        <v>169</v>
      </c>
      <c r="B61" s="24" t="s">
        <v>177</v>
      </c>
      <c r="C61" s="24" t="s">
        <v>24</v>
      </c>
      <c r="D61" s="24" t="s">
        <v>84</v>
      </c>
      <c r="E61" s="24" t="s">
        <v>149</v>
      </c>
      <c r="F61" s="24" t="s">
        <v>74</v>
      </c>
      <c r="G61" s="24">
        <v>2002</v>
      </c>
      <c r="H61" s="27" t="s">
        <v>549</v>
      </c>
      <c r="I61" s="24" t="s">
        <v>2308</v>
      </c>
      <c r="J61" s="24" t="s">
        <v>2308</v>
      </c>
      <c r="K61" s="24" t="s">
        <v>2308</v>
      </c>
      <c r="L61" s="24" t="s">
        <v>2308</v>
      </c>
      <c r="M61" s="24" t="s">
        <v>2308</v>
      </c>
      <c r="N61" s="24" t="s">
        <v>2308</v>
      </c>
      <c r="O61" s="24" t="s">
        <v>2308</v>
      </c>
      <c r="P61" s="24" t="s">
        <v>2308</v>
      </c>
      <c r="Q61" s="24" t="s">
        <v>2308</v>
      </c>
      <c r="R61" s="24" t="s">
        <v>542</v>
      </c>
      <c r="S61" s="24" t="s">
        <v>2308</v>
      </c>
      <c r="T61" s="24" t="s">
        <v>542</v>
      </c>
      <c r="U61" s="24" t="s">
        <v>2308</v>
      </c>
      <c r="V61" s="24">
        <v>2</v>
      </c>
      <c r="W61" s="4"/>
    </row>
    <row r="62" spans="1:23" ht="20.5" customHeight="1">
      <c r="A62" s="24" t="s">
        <v>169</v>
      </c>
      <c r="B62" s="24" t="s">
        <v>178</v>
      </c>
      <c r="C62" s="24" t="s">
        <v>24</v>
      </c>
      <c r="D62" s="24" t="s">
        <v>84</v>
      </c>
      <c r="E62" s="24" t="s">
        <v>149</v>
      </c>
      <c r="F62" s="24" t="s">
        <v>74</v>
      </c>
      <c r="G62" s="24">
        <v>2003</v>
      </c>
      <c r="H62" s="27" t="s">
        <v>549</v>
      </c>
      <c r="I62" s="24" t="s">
        <v>2308</v>
      </c>
      <c r="J62" s="24" t="s">
        <v>2308</v>
      </c>
      <c r="K62" s="24" t="s">
        <v>2308</v>
      </c>
      <c r="L62" s="24" t="s">
        <v>2308</v>
      </c>
      <c r="M62" s="24" t="s">
        <v>2308</v>
      </c>
      <c r="N62" s="24" t="s">
        <v>2308</v>
      </c>
      <c r="O62" s="24" t="s">
        <v>2308</v>
      </c>
      <c r="P62" s="24" t="s">
        <v>2308</v>
      </c>
      <c r="Q62" s="24" t="s">
        <v>2308</v>
      </c>
      <c r="R62" s="24" t="s">
        <v>542</v>
      </c>
      <c r="S62" s="24" t="s">
        <v>2308</v>
      </c>
      <c r="T62" s="24" t="s">
        <v>542</v>
      </c>
      <c r="U62" s="24" t="s">
        <v>2308</v>
      </c>
      <c r="V62" s="24">
        <v>2</v>
      </c>
      <c r="W62" s="5"/>
    </row>
    <row r="63" spans="1:23" ht="20.5" customHeight="1">
      <c r="A63" s="24" t="s">
        <v>169</v>
      </c>
      <c r="B63" s="24" t="s">
        <v>179</v>
      </c>
      <c r="C63" s="24" t="s">
        <v>24</v>
      </c>
      <c r="D63" s="24" t="s">
        <v>84</v>
      </c>
      <c r="E63" s="24" t="s">
        <v>149</v>
      </c>
      <c r="F63" s="24" t="s">
        <v>74</v>
      </c>
      <c r="G63" s="24">
        <v>2004</v>
      </c>
      <c r="H63" s="27" t="s">
        <v>549</v>
      </c>
      <c r="I63" s="24" t="s">
        <v>2308</v>
      </c>
      <c r="J63" s="24" t="s">
        <v>2308</v>
      </c>
      <c r="K63" s="24" t="s">
        <v>2308</v>
      </c>
      <c r="L63" s="24" t="s">
        <v>2308</v>
      </c>
      <c r="M63" s="24" t="s">
        <v>2308</v>
      </c>
      <c r="N63" s="24" t="s">
        <v>2308</v>
      </c>
      <c r="O63" s="24" t="s">
        <v>2308</v>
      </c>
      <c r="P63" s="24" t="s">
        <v>2308</v>
      </c>
      <c r="Q63" s="24" t="s">
        <v>2308</v>
      </c>
      <c r="R63" s="24" t="s">
        <v>542</v>
      </c>
      <c r="S63" s="24" t="s">
        <v>2308</v>
      </c>
      <c r="T63" s="24" t="s">
        <v>542</v>
      </c>
      <c r="U63" s="24" t="s">
        <v>2308</v>
      </c>
      <c r="V63" s="24">
        <v>2</v>
      </c>
      <c r="W63" s="5"/>
    </row>
    <row r="64" spans="1:23" ht="56.5" customHeight="1">
      <c r="A64" s="24" t="s">
        <v>169</v>
      </c>
      <c r="B64" s="24" t="s">
        <v>1435</v>
      </c>
      <c r="C64" s="24" t="s">
        <v>24</v>
      </c>
      <c r="D64" s="24" t="s">
        <v>84</v>
      </c>
      <c r="E64" s="24" t="s">
        <v>149</v>
      </c>
      <c r="F64" s="24" t="s">
        <v>74</v>
      </c>
      <c r="G64" s="24">
        <v>2005</v>
      </c>
      <c r="H64" s="27" t="s">
        <v>549</v>
      </c>
      <c r="I64" s="24" t="s">
        <v>2308</v>
      </c>
      <c r="J64" s="24" t="s">
        <v>2308</v>
      </c>
      <c r="K64" s="24" t="s">
        <v>2308</v>
      </c>
      <c r="L64" s="24" t="s">
        <v>2308</v>
      </c>
      <c r="M64" s="24" t="s">
        <v>2308</v>
      </c>
      <c r="N64" s="24" t="s">
        <v>2308</v>
      </c>
      <c r="O64" s="24" t="s">
        <v>2308</v>
      </c>
      <c r="P64" s="24" t="s">
        <v>2308</v>
      </c>
      <c r="Q64" s="24" t="s">
        <v>2308</v>
      </c>
      <c r="R64" s="24" t="s">
        <v>542</v>
      </c>
      <c r="S64" s="24" t="s">
        <v>2308</v>
      </c>
      <c r="T64" s="24" t="s">
        <v>542</v>
      </c>
      <c r="U64" s="24" t="s">
        <v>2308</v>
      </c>
      <c r="V64" s="24">
        <v>4</v>
      </c>
      <c r="W64" s="5" t="s">
        <v>1479</v>
      </c>
    </row>
    <row r="65" spans="1:23" ht="52" customHeight="1">
      <c r="A65" s="24" t="s">
        <v>169</v>
      </c>
      <c r="B65" s="24" t="s">
        <v>1436</v>
      </c>
      <c r="C65" s="24" t="s">
        <v>24</v>
      </c>
      <c r="D65" s="24" t="s">
        <v>84</v>
      </c>
      <c r="E65" s="24" t="s">
        <v>149</v>
      </c>
      <c r="F65" s="24" t="s">
        <v>74</v>
      </c>
      <c r="G65" s="24">
        <v>2006</v>
      </c>
      <c r="H65" s="27" t="s">
        <v>549</v>
      </c>
      <c r="I65" s="24" t="s">
        <v>2308</v>
      </c>
      <c r="J65" s="24" t="s">
        <v>2308</v>
      </c>
      <c r="K65" s="24" t="s">
        <v>2308</v>
      </c>
      <c r="L65" s="24" t="s">
        <v>2308</v>
      </c>
      <c r="M65" s="24" t="s">
        <v>2308</v>
      </c>
      <c r="N65" s="24" t="s">
        <v>2308</v>
      </c>
      <c r="O65" s="24" t="s">
        <v>2308</v>
      </c>
      <c r="P65" s="24" t="s">
        <v>2308</v>
      </c>
      <c r="Q65" s="24" t="s">
        <v>2308</v>
      </c>
      <c r="R65" s="24" t="s">
        <v>542</v>
      </c>
      <c r="S65" s="24" t="s">
        <v>2308</v>
      </c>
      <c r="T65" s="24" t="s">
        <v>542</v>
      </c>
      <c r="U65" s="24" t="s">
        <v>2308</v>
      </c>
      <c r="V65" s="24">
        <v>4</v>
      </c>
      <c r="W65" s="5" t="s">
        <v>1480</v>
      </c>
    </row>
    <row r="66" spans="1:23" ht="52" customHeight="1">
      <c r="A66" s="24" t="s">
        <v>169</v>
      </c>
      <c r="B66" s="24" t="s">
        <v>1437</v>
      </c>
      <c r="C66" s="24" t="s">
        <v>24</v>
      </c>
      <c r="D66" s="24" t="s">
        <v>84</v>
      </c>
      <c r="E66" s="24" t="s">
        <v>149</v>
      </c>
      <c r="F66" s="24" t="s">
        <v>74</v>
      </c>
      <c r="G66" s="24">
        <v>2007</v>
      </c>
      <c r="H66" s="27" t="s">
        <v>549</v>
      </c>
      <c r="I66" s="24" t="s">
        <v>2308</v>
      </c>
      <c r="J66" s="24" t="s">
        <v>2308</v>
      </c>
      <c r="K66" s="24" t="s">
        <v>2308</v>
      </c>
      <c r="L66" s="24" t="s">
        <v>2308</v>
      </c>
      <c r="M66" s="24" t="s">
        <v>2308</v>
      </c>
      <c r="N66" s="24" t="s">
        <v>2308</v>
      </c>
      <c r="O66" s="24" t="s">
        <v>2308</v>
      </c>
      <c r="P66" s="24" t="s">
        <v>2308</v>
      </c>
      <c r="Q66" s="24" t="s">
        <v>2308</v>
      </c>
      <c r="R66" s="24" t="s">
        <v>542</v>
      </c>
      <c r="S66" s="24" t="s">
        <v>2308</v>
      </c>
      <c r="T66" s="24" t="s">
        <v>542</v>
      </c>
      <c r="U66" s="24" t="s">
        <v>2308</v>
      </c>
      <c r="V66" s="24">
        <v>4</v>
      </c>
      <c r="W66" s="5" t="s">
        <v>1480</v>
      </c>
    </row>
    <row r="67" spans="1:23" ht="52" customHeight="1">
      <c r="A67" s="24" t="s">
        <v>169</v>
      </c>
      <c r="B67" s="24" t="s">
        <v>1438</v>
      </c>
      <c r="C67" s="24" t="s">
        <v>24</v>
      </c>
      <c r="D67" s="24" t="s">
        <v>84</v>
      </c>
      <c r="E67" s="24" t="s">
        <v>149</v>
      </c>
      <c r="F67" s="24" t="s">
        <v>74</v>
      </c>
      <c r="G67" s="24">
        <v>2008</v>
      </c>
      <c r="H67" s="27" t="s">
        <v>549</v>
      </c>
      <c r="I67" s="24" t="s">
        <v>2308</v>
      </c>
      <c r="J67" s="24" t="s">
        <v>2308</v>
      </c>
      <c r="K67" s="24" t="s">
        <v>2308</v>
      </c>
      <c r="L67" s="24" t="s">
        <v>2308</v>
      </c>
      <c r="M67" s="24" t="s">
        <v>2308</v>
      </c>
      <c r="N67" s="24" t="s">
        <v>2308</v>
      </c>
      <c r="O67" s="24" t="s">
        <v>2308</v>
      </c>
      <c r="P67" s="24" t="s">
        <v>2308</v>
      </c>
      <c r="Q67" s="24" t="s">
        <v>2308</v>
      </c>
      <c r="R67" s="24" t="s">
        <v>542</v>
      </c>
      <c r="S67" s="24" t="s">
        <v>2308</v>
      </c>
      <c r="T67" s="24" t="s">
        <v>542</v>
      </c>
      <c r="U67" s="24" t="s">
        <v>2308</v>
      </c>
      <c r="V67" s="24">
        <v>4</v>
      </c>
      <c r="W67" s="5" t="s">
        <v>1480</v>
      </c>
    </row>
    <row r="68" spans="1:23" ht="52" customHeight="1">
      <c r="A68" s="24" t="s">
        <v>169</v>
      </c>
      <c r="B68" s="24" t="s">
        <v>1439</v>
      </c>
      <c r="C68" s="24" t="s">
        <v>24</v>
      </c>
      <c r="D68" s="24" t="s">
        <v>84</v>
      </c>
      <c r="E68" s="24" t="s">
        <v>149</v>
      </c>
      <c r="F68" s="24" t="s">
        <v>74</v>
      </c>
      <c r="G68" s="24">
        <v>2009</v>
      </c>
      <c r="H68" s="27" t="s">
        <v>549</v>
      </c>
      <c r="I68" s="24" t="s">
        <v>2308</v>
      </c>
      <c r="J68" s="24" t="s">
        <v>2308</v>
      </c>
      <c r="K68" s="24" t="s">
        <v>2308</v>
      </c>
      <c r="L68" s="24" t="s">
        <v>2308</v>
      </c>
      <c r="M68" s="24" t="s">
        <v>2308</v>
      </c>
      <c r="N68" s="24" t="s">
        <v>2308</v>
      </c>
      <c r="O68" s="24" t="s">
        <v>2308</v>
      </c>
      <c r="P68" s="24" t="s">
        <v>2308</v>
      </c>
      <c r="Q68" s="24" t="s">
        <v>2308</v>
      </c>
      <c r="R68" s="24" t="s">
        <v>542</v>
      </c>
      <c r="S68" s="24" t="s">
        <v>2308</v>
      </c>
      <c r="T68" s="24" t="s">
        <v>542</v>
      </c>
      <c r="U68" s="24" t="s">
        <v>2308</v>
      </c>
      <c r="V68" s="24">
        <v>4</v>
      </c>
      <c r="W68" s="5" t="s">
        <v>1480</v>
      </c>
    </row>
    <row r="69" spans="1:23" ht="52" customHeight="1">
      <c r="A69" s="24" t="s">
        <v>169</v>
      </c>
      <c r="B69" s="24" t="s">
        <v>1440</v>
      </c>
      <c r="C69" s="24" t="s">
        <v>24</v>
      </c>
      <c r="D69" s="24" t="s">
        <v>84</v>
      </c>
      <c r="E69" s="24" t="s">
        <v>149</v>
      </c>
      <c r="F69" s="24" t="s">
        <v>74</v>
      </c>
      <c r="G69" s="24">
        <v>2010</v>
      </c>
      <c r="H69" s="27" t="s">
        <v>549</v>
      </c>
      <c r="I69" s="24" t="s">
        <v>2308</v>
      </c>
      <c r="J69" s="24" t="s">
        <v>2308</v>
      </c>
      <c r="K69" s="24" t="s">
        <v>2308</v>
      </c>
      <c r="L69" s="24" t="s">
        <v>2308</v>
      </c>
      <c r="M69" s="24" t="s">
        <v>2308</v>
      </c>
      <c r="N69" s="24" t="s">
        <v>2308</v>
      </c>
      <c r="O69" s="24" t="s">
        <v>2308</v>
      </c>
      <c r="P69" s="24" t="s">
        <v>2308</v>
      </c>
      <c r="Q69" s="24" t="s">
        <v>2308</v>
      </c>
      <c r="R69" s="24" t="s">
        <v>542</v>
      </c>
      <c r="S69" s="24" t="s">
        <v>2308</v>
      </c>
      <c r="T69" s="24" t="s">
        <v>542</v>
      </c>
      <c r="U69" s="24" t="s">
        <v>2308</v>
      </c>
      <c r="V69" s="24">
        <v>4</v>
      </c>
      <c r="W69" s="5" t="s">
        <v>1480</v>
      </c>
    </row>
    <row r="70" spans="1:23" ht="52" customHeight="1">
      <c r="A70" s="24" t="s">
        <v>169</v>
      </c>
      <c r="B70" s="24" t="s">
        <v>1441</v>
      </c>
      <c r="C70" s="24" t="s">
        <v>24</v>
      </c>
      <c r="D70" s="24" t="s">
        <v>84</v>
      </c>
      <c r="E70" s="24" t="s">
        <v>149</v>
      </c>
      <c r="F70" s="24" t="s">
        <v>74</v>
      </c>
      <c r="G70" s="24">
        <v>2011</v>
      </c>
      <c r="H70" s="27" t="s">
        <v>549</v>
      </c>
      <c r="I70" s="24" t="s">
        <v>2308</v>
      </c>
      <c r="J70" s="24" t="s">
        <v>2308</v>
      </c>
      <c r="K70" s="24" t="s">
        <v>2308</v>
      </c>
      <c r="L70" s="24" t="s">
        <v>2308</v>
      </c>
      <c r="M70" s="24" t="s">
        <v>2308</v>
      </c>
      <c r="N70" s="24" t="s">
        <v>2308</v>
      </c>
      <c r="O70" s="24" t="s">
        <v>2308</v>
      </c>
      <c r="P70" s="24" t="s">
        <v>2308</v>
      </c>
      <c r="Q70" s="24" t="s">
        <v>2308</v>
      </c>
      <c r="R70" s="24" t="s">
        <v>542</v>
      </c>
      <c r="S70" s="24" t="s">
        <v>2308</v>
      </c>
      <c r="T70" s="24" t="s">
        <v>542</v>
      </c>
      <c r="U70" s="24" t="s">
        <v>2308</v>
      </c>
      <c r="V70" s="24">
        <v>4</v>
      </c>
      <c r="W70" s="5" t="s">
        <v>1481</v>
      </c>
    </row>
    <row r="71" spans="1:23" ht="52" customHeight="1">
      <c r="A71" s="24" t="s">
        <v>169</v>
      </c>
      <c r="B71" s="24" t="s">
        <v>1442</v>
      </c>
      <c r="C71" s="24" t="s">
        <v>24</v>
      </c>
      <c r="D71" s="24" t="s">
        <v>84</v>
      </c>
      <c r="E71" s="24" t="s">
        <v>149</v>
      </c>
      <c r="F71" s="24" t="s">
        <v>74</v>
      </c>
      <c r="G71" s="24">
        <v>2012</v>
      </c>
      <c r="H71" s="27" t="s">
        <v>549</v>
      </c>
      <c r="I71" s="24" t="s">
        <v>2308</v>
      </c>
      <c r="J71" s="24" t="s">
        <v>2308</v>
      </c>
      <c r="K71" s="24" t="s">
        <v>2308</v>
      </c>
      <c r="L71" s="24" t="s">
        <v>2308</v>
      </c>
      <c r="M71" s="24" t="s">
        <v>2308</v>
      </c>
      <c r="N71" s="24" t="s">
        <v>2308</v>
      </c>
      <c r="O71" s="24" t="s">
        <v>2308</v>
      </c>
      <c r="P71" s="24" t="s">
        <v>2308</v>
      </c>
      <c r="Q71" s="24" t="s">
        <v>2308</v>
      </c>
      <c r="R71" s="24" t="s">
        <v>542</v>
      </c>
      <c r="S71" s="24" t="s">
        <v>2308</v>
      </c>
      <c r="T71" s="24" t="s">
        <v>542</v>
      </c>
      <c r="U71" s="24" t="s">
        <v>2308</v>
      </c>
      <c r="V71" s="24">
        <v>4</v>
      </c>
      <c r="W71" s="5" t="s">
        <v>1481</v>
      </c>
    </row>
    <row r="72" spans="1:23" ht="52" customHeight="1">
      <c r="A72" s="24" t="s">
        <v>169</v>
      </c>
      <c r="B72" s="24" t="s">
        <v>1443</v>
      </c>
      <c r="C72" s="24" t="s">
        <v>24</v>
      </c>
      <c r="D72" s="27" t="s">
        <v>45</v>
      </c>
      <c r="E72" s="24" t="s">
        <v>149</v>
      </c>
      <c r="F72" s="24" t="s">
        <v>74</v>
      </c>
      <c r="G72" s="24">
        <v>2002</v>
      </c>
      <c r="H72" s="27" t="s">
        <v>549</v>
      </c>
      <c r="I72" s="24" t="s">
        <v>2308</v>
      </c>
      <c r="J72" s="24" t="s">
        <v>2308</v>
      </c>
      <c r="K72" s="24" t="s">
        <v>2308</v>
      </c>
      <c r="L72" s="24" t="s">
        <v>2308</v>
      </c>
      <c r="M72" s="24" t="s">
        <v>2308</v>
      </c>
      <c r="N72" s="24" t="s">
        <v>2308</v>
      </c>
      <c r="O72" s="24" t="s">
        <v>2308</v>
      </c>
      <c r="P72" s="24" t="s">
        <v>2308</v>
      </c>
      <c r="Q72" s="24" t="s">
        <v>2308</v>
      </c>
      <c r="R72" s="24" t="s">
        <v>542</v>
      </c>
      <c r="S72" s="24" t="s">
        <v>2308</v>
      </c>
      <c r="T72" s="24" t="s">
        <v>542</v>
      </c>
      <c r="U72" s="24" t="s">
        <v>2308</v>
      </c>
      <c r="V72" s="24">
        <v>2</v>
      </c>
      <c r="W72" s="5" t="s">
        <v>1496</v>
      </c>
    </row>
    <row r="73" spans="1:23" ht="52" customHeight="1">
      <c r="A73" s="24" t="s">
        <v>169</v>
      </c>
      <c r="B73" s="24" t="s">
        <v>1444</v>
      </c>
      <c r="C73" s="24" t="s">
        <v>24</v>
      </c>
      <c r="D73" s="27" t="s">
        <v>45</v>
      </c>
      <c r="E73" s="24" t="s">
        <v>149</v>
      </c>
      <c r="F73" s="24" t="s">
        <v>74</v>
      </c>
      <c r="G73" s="24">
        <v>2003</v>
      </c>
      <c r="H73" s="27" t="s">
        <v>549</v>
      </c>
      <c r="I73" s="24" t="s">
        <v>2308</v>
      </c>
      <c r="J73" s="24" t="s">
        <v>2308</v>
      </c>
      <c r="K73" s="24" t="s">
        <v>2308</v>
      </c>
      <c r="L73" s="24" t="s">
        <v>2308</v>
      </c>
      <c r="M73" s="24" t="s">
        <v>2308</v>
      </c>
      <c r="N73" s="24" t="s">
        <v>2308</v>
      </c>
      <c r="O73" s="24" t="s">
        <v>2308</v>
      </c>
      <c r="P73" s="24" t="s">
        <v>2308</v>
      </c>
      <c r="Q73" s="24" t="s">
        <v>2308</v>
      </c>
      <c r="R73" s="24" t="s">
        <v>542</v>
      </c>
      <c r="S73" s="24" t="s">
        <v>2308</v>
      </c>
      <c r="T73" s="24" t="s">
        <v>542</v>
      </c>
      <c r="U73" s="24" t="s">
        <v>2308</v>
      </c>
      <c r="V73" s="24">
        <v>2</v>
      </c>
      <c r="W73" s="5" t="s">
        <v>1496</v>
      </c>
    </row>
    <row r="74" spans="1:23" ht="52" customHeight="1">
      <c r="A74" s="24" t="s">
        <v>169</v>
      </c>
      <c r="B74" s="24" t="s">
        <v>1445</v>
      </c>
      <c r="C74" s="24" t="s">
        <v>24</v>
      </c>
      <c r="D74" s="27" t="s">
        <v>45</v>
      </c>
      <c r="E74" s="24" t="s">
        <v>149</v>
      </c>
      <c r="F74" s="24" t="s">
        <v>74</v>
      </c>
      <c r="G74" s="24">
        <v>2004</v>
      </c>
      <c r="H74" s="27" t="s">
        <v>549</v>
      </c>
      <c r="I74" s="24" t="s">
        <v>2308</v>
      </c>
      <c r="J74" s="24" t="s">
        <v>2308</v>
      </c>
      <c r="K74" s="24" t="s">
        <v>2308</v>
      </c>
      <c r="L74" s="24" t="s">
        <v>2308</v>
      </c>
      <c r="M74" s="24" t="s">
        <v>2308</v>
      </c>
      <c r="N74" s="24" t="s">
        <v>2308</v>
      </c>
      <c r="O74" s="24" t="s">
        <v>2308</v>
      </c>
      <c r="P74" s="24" t="s">
        <v>2308</v>
      </c>
      <c r="Q74" s="24" t="s">
        <v>2308</v>
      </c>
      <c r="R74" s="24" t="s">
        <v>542</v>
      </c>
      <c r="S74" s="24" t="s">
        <v>2308</v>
      </c>
      <c r="T74" s="24" t="s">
        <v>542</v>
      </c>
      <c r="U74" s="24" t="s">
        <v>2308</v>
      </c>
      <c r="V74" s="24">
        <v>2</v>
      </c>
      <c r="W74" s="5" t="s">
        <v>1496</v>
      </c>
    </row>
    <row r="75" spans="1:23" ht="52" customHeight="1">
      <c r="A75" s="24" t="s">
        <v>169</v>
      </c>
      <c r="B75" s="24" t="s">
        <v>1457</v>
      </c>
      <c r="C75" s="24" t="s">
        <v>24</v>
      </c>
      <c r="D75" s="27" t="s">
        <v>45</v>
      </c>
      <c r="E75" s="24" t="s">
        <v>149</v>
      </c>
      <c r="F75" s="24" t="s">
        <v>74</v>
      </c>
      <c r="G75" s="24">
        <v>2005</v>
      </c>
      <c r="H75" s="27" t="s">
        <v>549</v>
      </c>
      <c r="I75" s="24" t="s">
        <v>2308</v>
      </c>
      <c r="J75" s="24" t="s">
        <v>2308</v>
      </c>
      <c r="K75" s="24" t="s">
        <v>2308</v>
      </c>
      <c r="L75" s="24" t="s">
        <v>2308</v>
      </c>
      <c r="M75" s="24" t="s">
        <v>2308</v>
      </c>
      <c r="N75" s="24" t="s">
        <v>2308</v>
      </c>
      <c r="O75" s="24" t="s">
        <v>2308</v>
      </c>
      <c r="P75" s="24" t="s">
        <v>2308</v>
      </c>
      <c r="Q75" s="24" t="s">
        <v>2308</v>
      </c>
      <c r="R75" s="24" t="s">
        <v>542</v>
      </c>
      <c r="S75" s="24" t="s">
        <v>2308</v>
      </c>
      <c r="T75" s="24" t="s">
        <v>542</v>
      </c>
      <c r="U75" s="24" t="s">
        <v>2308</v>
      </c>
      <c r="V75" s="24">
        <v>2</v>
      </c>
      <c r="W75" s="5" t="s">
        <v>1496</v>
      </c>
    </row>
    <row r="76" spans="1:23" ht="52" customHeight="1">
      <c r="A76" s="24" t="s">
        <v>169</v>
      </c>
      <c r="B76" s="24" t="s">
        <v>1458</v>
      </c>
      <c r="C76" s="24" t="s">
        <v>24</v>
      </c>
      <c r="D76" s="27" t="s">
        <v>45</v>
      </c>
      <c r="E76" s="24" t="s">
        <v>149</v>
      </c>
      <c r="F76" s="24" t="s">
        <v>74</v>
      </c>
      <c r="G76" s="24">
        <v>2006</v>
      </c>
      <c r="H76" s="27" t="s">
        <v>549</v>
      </c>
      <c r="I76" s="24" t="s">
        <v>2308</v>
      </c>
      <c r="J76" s="24" t="s">
        <v>2308</v>
      </c>
      <c r="K76" s="24" t="s">
        <v>2308</v>
      </c>
      <c r="L76" s="24" t="s">
        <v>2308</v>
      </c>
      <c r="M76" s="24" t="s">
        <v>2308</v>
      </c>
      <c r="N76" s="24" t="s">
        <v>2308</v>
      </c>
      <c r="O76" s="24" t="s">
        <v>2308</v>
      </c>
      <c r="P76" s="24" t="s">
        <v>2308</v>
      </c>
      <c r="Q76" s="24" t="s">
        <v>2308</v>
      </c>
      <c r="R76" s="24" t="s">
        <v>542</v>
      </c>
      <c r="S76" s="24" t="s">
        <v>2308</v>
      </c>
      <c r="T76" s="24" t="s">
        <v>542</v>
      </c>
      <c r="U76" s="24" t="s">
        <v>2308</v>
      </c>
      <c r="V76" s="24">
        <v>2</v>
      </c>
      <c r="W76" s="5" t="s">
        <v>1496</v>
      </c>
    </row>
    <row r="77" spans="1:23" ht="52" customHeight="1">
      <c r="A77" s="24" t="s">
        <v>169</v>
      </c>
      <c r="B77" s="24" t="s">
        <v>1459</v>
      </c>
      <c r="C77" s="24" t="s">
        <v>24</v>
      </c>
      <c r="D77" s="27" t="s">
        <v>45</v>
      </c>
      <c r="E77" s="24" t="s">
        <v>149</v>
      </c>
      <c r="F77" s="24" t="s">
        <v>74</v>
      </c>
      <c r="G77" s="24">
        <v>2007</v>
      </c>
      <c r="H77" s="27" t="s">
        <v>549</v>
      </c>
      <c r="I77" s="24" t="s">
        <v>2308</v>
      </c>
      <c r="J77" s="24" t="s">
        <v>2308</v>
      </c>
      <c r="K77" s="24" t="s">
        <v>2308</v>
      </c>
      <c r="L77" s="24" t="s">
        <v>2308</v>
      </c>
      <c r="M77" s="24" t="s">
        <v>2308</v>
      </c>
      <c r="N77" s="24" t="s">
        <v>2308</v>
      </c>
      <c r="O77" s="24" t="s">
        <v>2308</v>
      </c>
      <c r="P77" s="24" t="s">
        <v>2308</v>
      </c>
      <c r="Q77" s="24" t="s">
        <v>2308</v>
      </c>
      <c r="R77" s="24" t="s">
        <v>542</v>
      </c>
      <c r="S77" s="24" t="s">
        <v>2308</v>
      </c>
      <c r="T77" s="24" t="s">
        <v>542</v>
      </c>
      <c r="U77" s="24" t="s">
        <v>2308</v>
      </c>
      <c r="V77" s="24">
        <v>2</v>
      </c>
      <c r="W77" s="5" t="s">
        <v>1496</v>
      </c>
    </row>
    <row r="78" spans="1:23" ht="52" customHeight="1">
      <c r="A78" s="24" t="s">
        <v>169</v>
      </c>
      <c r="B78" s="24" t="s">
        <v>1460</v>
      </c>
      <c r="C78" s="24" t="s">
        <v>24</v>
      </c>
      <c r="D78" s="27" t="s">
        <v>45</v>
      </c>
      <c r="E78" s="24" t="s">
        <v>149</v>
      </c>
      <c r="F78" s="24" t="s">
        <v>74</v>
      </c>
      <c r="G78" s="24">
        <v>2008</v>
      </c>
      <c r="H78" s="27" t="s">
        <v>549</v>
      </c>
      <c r="I78" s="24" t="s">
        <v>2308</v>
      </c>
      <c r="J78" s="24" t="s">
        <v>2308</v>
      </c>
      <c r="K78" s="24" t="s">
        <v>2308</v>
      </c>
      <c r="L78" s="24" t="s">
        <v>2308</v>
      </c>
      <c r="M78" s="24" t="s">
        <v>2308</v>
      </c>
      <c r="N78" s="24" t="s">
        <v>2308</v>
      </c>
      <c r="O78" s="24" t="s">
        <v>2308</v>
      </c>
      <c r="P78" s="24" t="s">
        <v>2308</v>
      </c>
      <c r="Q78" s="24" t="s">
        <v>2308</v>
      </c>
      <c r="R78" s="24" t="s">
        <v>542</v>
      </c>
      <c r="S78" s="24" t="s">
        <v>2308</v>
      </c>
      <c r="T78" s="24" t="s">
        <v>542</v>
      </c>
      <c r="U78" s="24" t="s">
        <v>2308</v>
      </c>
      <c r="V78" s="24">
        <v>2</v>
      </c>
      <c r="W78" s="5" t="s">
        <v>1496</v>
      </c>
    </row>
    <row r="79" spans="1:23" ht="52" customHeight="1">
      <c r="A79" s="24" t="s">
        <v>169</v>
      </c>
      <c r="B79" s="24" t="s">
        <v>1461</v>
      </c>
      <c r="C79" s="24" t="s">
        <v>24</v>
      </c>
      <c r="D79" s="27" t="s">
        <v>45</v>
      </c>
      <c r="E79" s="24" t="s">
        <v>149</v>
      </c>
      <c r="F79" s="24" t="s">
        <v>74</v>
      </c>
      <c r="G79" s="24">
        <v>2009</v>
      </c>
      <c r="H79" s="27" t="s">
        <v>549</v>
      </c>
      <c r="I79" s="24" t="s">
        <v>2308</v>
      </c>
      <c r="J79" s="24" t="s">
        <v>2308</v>
      </c>
      <c r="K79" s="24" t="s">
        <v>2308</v>
      </c>
      <c r="L79" s="24" t="s">
        <v>2308</v>
      </c>
      <c r="M79" s="24" t="s">
        <v>2308</v>
      </c>
      <c r="N79" s="24" t="s">
        <v>2308</v>
      </c>
      <c r="O79" s="24" t="s">
        <v>2308</v>
      </c>
      <c r="P79" s="24" t="s">
        <v>2308</v>
      </c>
      <c r="Q79" s="24" t="s">
        <v>2308</v>
      </c>
      <c r="R79" s="24" t="s">
        <v>542</v>
      </c>
      <c r="S79" s="24" t="s">
        <v>2308</v>
      </c>
      <c r="T79" s="24" t="s">
        <v>542</v>
      </c>
      <c r="U79" s="24" t="s">
        <v>2308</v>
      </c>
      <c r="V79" s="24">
        <v>2</v>
      </c>
      <c r="W79" s="5" t="s">
        <v>1496</v>
      </c>
    </row>
    <row r="80" spans="1:23" ht="52" customHeight="1">
      <c r="A80" s="24" t="s">
        <v>169</v>
      </c>
      <c r="B80" s="24" t="s">
        <v>1462</v>
      </c>
      <c r="C80" s="24" t="s">
        <v>24</v>
      </c>
      <c r="D80" s="27" t="s">
        <v>45</v>
      </c>
      <c r="E80" s="24" t="s">
        <v>149</v>
      </c>
      <c r="F80" s="24" t="s">
        <v>74</v>
      </c>
      <c r="G80" s="24">
        <v>2010</v>
      </c>
      <c r="H80" s="27" t="s">
        <v>549</v>
      </c>
      <c r="I80" s="24" t="s">
        <v>2308</v>
      </c>
      <c r="J80" s="24" t="s">
        <v>2308</v>
      </c>
      <c r="K80" s="24" t="s">
        <v>2308</v>
      </c>
      <c r="L80" s="24" t="s">
        <v>2308</v>
      </c>
      <c r="M80" s="24" t="s">
        <v>2308</v>
      </c>
      <c r="N80" s="24" t="s">
        <v>2308</v>
      </c>
      <c r="O80" s="24" t="s">
        <v>2308</v>
      </c>
      <c r="P80" s="24" t="s">
        <v>2308</v>
      </c>
      <c r="Q80" s="24" t="s">
        <v>2308</v>
      </c>
      <c r="R80" s="24" t="s">
        <v>542</v>
      </c>
      <c r="S80" s="24" t="s">
        <v>2308</v>
      </c>
      <c r="T80" s="24" t="s">
        <v>542</v>
      </c>
      <c r="U80" s="24" t="s">
        <v>2308</v>
      </c>
      <c r="V80" s="24">
        <v>2</v>
      </c>
      <c r="W80" s="5" t="s">
        <v>1496</v>
      </c>
    </row>
    <row r="81" spans="1:23" ht="52" customHeight="1">
      <c r="A81" s="24" t="s">
        <v>169</v>
      </c>
      <c r="B81" s="24" t="s">
        <v>1463</v>
      </c>
      <c r="C81" s="24" t="s">
        <v>24</v>
      </c>
      <c r="D81" s="27" t="s">
        <v>45</v>
      </c>
      <c r="E81" s="24" t="s">
        <v>149</v>
      </c>
      <c r="F81" s="24" t="s">
        <v>74</v>
      </c>
      <c r="G81" s="24">
        <v>2011</v>
      </c>
      <c r="H81" s="27" t="s">
        <v>549</v>
      </c>
      <c r="I81" s="24" t="s">
        <v>2308</v>
      </c>
      <c r="J81" s="24" t="s">
        <v>2308</v>
      </c>
      <c r="K81" s="24" t="s">
        <v>2308</v>
      </c>
      <c r="L81" s="24" t="s">
        <v>2308</v>
      </c>
      <c r="M81" s="24" t="s">
        <v>2308</v>
      </c>
      <c r="N81" s="24" t="s">
        <v>2308</v>
      </c>
      <c r="O81" s="24" t="s">
        <v>2308</v>
      </c>
      <c r="P81" s="24" t="s">
        <v>2308</v>
      </c>
      <c r="Q81" s="24" t="s">
        <v>2308</v>
      </c>
      <c r="R81" s="24" t="s">
        <v>542</v>
      </c>
      <c r="S81" s="24" t="s">
        <v>2308</v>
      </c>
      <c r="T81" s="24" t="s">
        <v>542</v>
      </c>
      <c r="U81" s="24" t="s">
        <v>2308</v>
      </c>
      <c r="V81" s="24">
        <v>2</v>
      </c>
      <c r="W81" s="5" t="s">
        <v>1496</v>
      </c>
    </row>
    <row r="82" spans="1:23" ht="52" customHeight="1">
      <c r="A82" s="24" t="s">
        <v>169</v>
      </c>
      <c r="B82" s="24" t="s">
        <v>1464</v>
      </c>
      <c r="C82" s="24" t="s">
        <v>24</v>
      </c>
      <c r="D82" s="27" t="s">
        <v>45</v>
      </c>
      <c r="E82" s="24" t="s">
        <v>149</v>
      </c>
      <c r="F82" s="24" t="s">
        <v>74</v>
      </c>
      <c r="G82" s="24">
        <v>2012</v>
      </c>
      <c r="H82" s="27" t="s">
        <v>549</v>
      </c>
      <c r="I82" s="24" t="s">
        <v>2308</v>
      </c>
      <c r="J82" s="24" t="s">
        <v>2308</v>
      </c>
      <c r="K82" s="24" t="s">
        <v>2308</v>
      </c>
      <c r="L82" s="24" t="s">
        <v>2308</v>
      </c>
      <c r="M82" s="24" t="s">
        <v>2308</v>
      </c>
      <c r="N82" s="24" t="s">
        <v>2308</v>
      </c>
      <c r="O82" s="24" t="s">
        <v>2308</v>
      </c>
      <c r="P82" s="24" t="s">
        <v>2308</v>
      </c>
      <c r="Q82" s="24" t="s">
        <v>2308</v>
      </c>
      <c r="R82" s="24" t="s">
        <v>542</v>
      </c>
      <c r="S82" s="24" t="s">
        <v>2308</v>
      </c>
      <c r="T82" s="24" t="s">
        <v>542</v>
      </c>
      <c r="U82" s="24" t="s">
        <v>2308</v>
      </c>
      <c r="V82" s="24">
        <v>2</v>
      </c>
      <c r="W82" s="5" t="s">
        <v>1496</v>
      </c>
    </row>
    <row r="83" spans="1:23" ht="52" customHeight="1">
      <c r="A83" s="24" t="s">
        <v>169</v>
      </c>
      <c r="B83" s="24" t="s">
        <v>1467</v>
      </c>
      <c r="C83" s="24" t="s">
        <v>24</v>
      </c>
      <c r="D83" s="27" t="s">
        <v>403</v>
      </c>
      <c r="E83" s="24" t="s">
        <v>149</v>
      </c>
      <c r="F83" s="24" t="s">
        <v>74</v>
      </c>
      <c r="G83" s="24">
        <v>2002</v>
      </c>
      <c r="H83" s="27" t="s">
        <v>549</v>
      </c>
      <c r="I83" s="24" t="s">
        <v>2308</v>
      </c>
      <c r="J83" s="24" t="s">
        <v>2308</v>
      </c>
      <c r="K83" s="24" t="s">
        <v>2308</v>
      </c>
      <c r="L83" s="24" t="s">
        <v>2308</v>
      </c>
      <c r="M83" s="24" t="s">
        <v>2308</v>
      </c>
      <c r="N83" s="24" t="s">
        <v>2308</v>
      </c>
      <c r="O83" s="24" t="s">
        <v>2308</v>
      </c>
      <c r="P83" s="24" t="s">
        <v>2308</v>
      </c>
      <c r="Q83" s="24" t="s">
        <v>2308</v>
      </c>
      <c r="R83" s="24" t="s">
        <v>542</v>
      </c>
      <c r="S83" s="24" t="s">
        <v>2308</v>
      </c>
      <c r="T83" s="24" t="s">
        <v>542</v>
      </c>
      <c r="U83" s="24" t="s">
        <v>2308</v>
      </c>
      <c r="V83" s="24">
        <v>2</v>
      </c>
      <c r="W83" s="5" t="s">
        <v>1496</v>
      </c>
    </row>
    <row r="84" spans="1:23" ht="52" customHeight="1">
      <c r="A84" s="24" t="s">
        <v>169</v>
      </c>
      <c r="B84" s="24" t="s">
        <v>1468</v>
      </c>
      <c r="C84" s="24" t="s">
        <v>24</v>
      </c>
      <c r="D84" s="27" t="s">
        <v>403</v>
      </c>
      <c r="E84" s="24" t="s">
        <v>149</v>
      </c>
      <c r="F84" s="24" t="s">
        <v>74</v>
      </c>
      <c r="G84" s="24">
        <v>2003</v>
      </c>
      <c r="H84" s="27" t="s">
        <v>549</v>
      </c>
      <c r="I84" s="24" t="s">
        <v>2308</v>
      </c>
      <c r="J84" s="24" t="s">
        <v>2308</v>
      </c>
      <c r="K84" s="24" t="s">
        <v>2308</v>
      </c>
      <c r="L84" s="24" t="s">
        <v>2308</v>
      </c>
      <c r="M84" s="24" t="s">
        <v>2308</v>
      </c>
      <c r="N84" s="24" t="s">
        <v>2308</v>
      </c>
      <c r="O84" s="24" t="s">
        <v>2308</v>
      </c>
      <c r="P84" s="24" t="s">
        <v>2308</v>
      </c>
      <c r="Q84" s="24" t="s">
        <v>2308</v>
      </c>
      <c r="R84" s="24" t="s">
        <v>542</v>
      </c>
      <c r="S84" s="24" t="s">
        <v>2308</v>
      </c>
      <c r="T84" s="24" t="s">
        <v>542</v>
      </c>
      <c r="U84" s="24" t="s">
        <v>2308</v>
      </c>
      <c r="V84" s="24">
        <v>2</v>
      </c>
      <c r="W84" s="5" t="s">
        <v>1496</v>
      </c>
    </row>
    <row r="85" spans="1:23" ht="52" customHeight="1">
      <c r="A85" s="24" t="s">
        <v>169</v>
      </c>
      <c r="B85" s="24" t="s">
        <v>1469</v>
      </c>
      <c r="C85" s="24" t="s">
        <v>24</v>
      </c>
      <c r="D85" s="27" t="s">
        <v>403</v>
      </c>
      <c r="E85" s="24" t="s">
        <v>149</v>
      </c>
      <c r="F85" s="24" t="s">
        <v>74</v>
      </c>
      <c r="G85" s="24">
        <v>2004</v>
      </c>
      <c r="H85" s="27" t="s">
        <v>549</v>
      </c>
      <c r="I85" s="24" t="s">
        <v>2308</v>
      </c>
      <c r="J85" s="24" t="s">
        <v>2308</v>
      </c>
      <c r="K85" s="24" t="s">
        <v>2308</v>
      </c>
      <c r="L85" s="24" t="s">
        <v>2308</v>
      </c>
      <c r="M85" s="24" t="s">
        <v>2308</v>
      </c>
      <c r="N85" s="24" t="s">
        <v>2308</v>
      </c>
      <c r="O85" s="24" t="s">
        <v>2308</v>
      </c>
      <c r="P85" s="24" t="s">
        <v>2308</v>
      </c>
      <c r="Q85" s="24" t="s">
        <v>2308</v>
      </c>
      <c r="R85" s="24" t="s">
        <v>542</v>
      </c>
      <c r="S85" s="24" t="s">
        <v>2308</v>
      </c>
      <c r="T85" s="24" t="s">
        <v>542</v>
      </c>
      <c r="U85" s="24" t="s">
        <v>2308</v>
      </c>
      <c r="V85" s="24">
        <v>2</v>
      </c>
      <c r="W85" s="5" t="s">
        <v>1496</v>
      </c>
    </row>
    <row r="86" spans="1:23" ht="52" customHeight="1">
      <c r="A86" s="24" t="s">
        <v>169</v>
      </c>
      <c r="B86" s="24" t="s">
        <v>1470</v>
      </c>
      <c r="C86" s="24" t="s">
        <v>24</v>
      </c>
      <c r="D86" s="27" t="s">
        <v>403</v>
      </c>
      <c r="E86" s="24" t="s">
        <v>149</v>
      </c>
      <c r="F86" s="24" t="s">
        <v>74</v>
      </c>
      <c r="G86" s="24">
        <v>2005</v>
      </c>
      <c r="H86" s="27" t="s">
        <v>549</v>
      </c>
      <c r="I86" s="24" t="s">
        <v>2308</v>
      </c>
      <c r="J86" s="24" t="s">
        <v>2308</v>
      </c>
      <c r="K86" s="24" t="s">
        <v>2308</v>
      </c>
      <c r="L86" s="24" t="s">
        <v>2308</v>
      </c>
      <c r="M86" s="24" t="s">
        <v>2308</v>
      </c>
      <c r="N86" s="24" t="s">
        <v>2308</v>
      </c>
      <c r="O86" s="24" t="s">
        <v>2308</v>
      </c>
      <c r="P86" s="24" t="s">
        <v>2308</v>
      </c>
      <c r="Q86" s="24" t="s">
        <v>2308</v>
      </c>
      <c r="R86" s="24" t="s">
        <v>542</v>
      </c>
      <c r="S86" s="24" t="s">
        <v>2308</v>
      </c>
      <c r="T86" s="24" t="s">
        <v>542</v>
      </c>
      <c r="U86" s="24" t="s">
        <v>2308</v>
      </c>
      <c r="V86" s="24">
        <v>2</v>
      </c>
      <c r="W86" s="5" t="s">
        <v>1496</v>
      </c>
    </row>
    <row r="87" spans="1:23" ht="52" customHeight="1">
      <c r="A87" s="24" t="s">
        <v>169</v>
      </c>
      <c r="B87" s="24" t="s">
        <v>1471</v>
      </c>
      <c r="C87" s="24" t="s">
        <v>24</v>
      </c>
      <c r="D87" s="27" t="s">
        <v>403</v>
      </c>
      <c r="E87" s="24" t="s">
        <v>149</v>
      </c>
      <c r="F87" s="24" t="s">
        <v>74</v>
      </c>
      <c r="G87" s="24">
        <v>2006</v>
      </c>
      <c r="H87" s="27" t="s">
        <v>549</v>
      </c>
      <c r="I87" s="24" t="s">
        <v>2308</v>
      </c>
      <c r="J87" s="24" t="s">
        <v>2308</v>
      </c>
      <c r="K87" s="24" t="s">
        <v>2308</v>
      </c>
      <c r="L87" s="24" t="s">
        <v>2308</v>
      </c>
      <c r="M87" s="24" t="s">
        <v>2308</v>
      </c>
      <c r="N87" s="24" t="s">
        <v>2308</v>
      </c>
      <c r="O87" s="24" t="s">
        <v>2308</v>
      </c>
      <c r="P87" s="24" t="s">
        <v>2308</v>
      </c>
      <c r="Q87" s="24" t="s">
        <v>2308</v>
      </c>
      <c r="R87" s="24" t="s">
        <v>542</v>
      </c>
      <c r="S87" s="24" t="s">
        <v>2308</v>
      </c>
      <c r="T87" s="24" t="s">
        <v>542</v>
      </c>
      <c r="U87" s="24" t="s">
        <v>2308</v>
      </c>
      <c r="V87" s="24">
        <v>2</v>
      </c>
      <c r="W87" s="5" t="s">
        <v>1496</v>
      </c>
    </row>
    <row r="88" spans="1:23" ht="52" customHeight="1">
      <c r="A88" s="24" t="s">
        <v>169</v>
      </c>
      <c r="B88" s="24" t="s">
        <v>1472</v>
      </c>
      <c r="C88" s="24" t="s">
        <v>24</v>
      </c>
      <c r="D88" s="27" t="s">
        <v>403</v>
      </c>
      <c r="E88" s="24" t="s">
        <v>149</v>
      </c>
      <c r="F88" s="24" t="s">
        <v>74</v>
      </c>
      <c r="G88" s="24">
        <v>2007</v>
      </c>
      <c r="H88" s="27" t="s">
        <v>549</v>
      </c>
      <c r="I88" s="24" t="s">
        <v>2308</v>
      </c>
      <c r="J88" s="24" t="s">
        <v>2308</v>
      </c>
      <c r="K88" s="24" t="s">
        <v>2308</v>
      </c>
      <c r="L88" s="24" t="s">
        <v>2308</v>
      </c>
      <c r="M88" s="24" t="s">
        <v>2308</v>
      </c>
      <c r="N88" s="24" t="s">
        <v>2308</v>
      </c>
      <c r="O88" s="24" t="s">
        <v>2308</v>
      </c>
      <c r="P88" s="24" t="s">
        <v>2308</v>
      </c>
      <c r="Q88" s="24" t="s">
        <v>2308</v>
      </c>
      <c r="R88" s="24" t="s">
        <v>542</v>
      </c>
      <c r="S88" s="24" t="s">
        <v>2308</v>
      </c>
      <c r="T88" s="24" t="s">
        <v>542</v>
      </c>
      <c r="U88" s="24" t="s">
        <v>2308</v>
      </c>
      <c r="V88" s="24">
        <v>2</v>
      </c>
      <c r="W88" s="5" t="s">
        <v>1496</v>
      </c>
    </row>
    <row r="89" spans="1:23" ht="52" customHeight="1">
      <c r="A89" s="24" t="s">
        <v>169</v>
      </c>
      <c r="B89" s="24" t="s">
        <v>1473</v>
      </c>
      <c r="C89" s="24" t="s">
        <v>24</v>
      </c>
      <c r="D89" s="27" t="s">
        <v>403</v>
      </c>
      <c r="E89" s="24" t="s">
        <v>149</v>
      </c>
      <c r="F89" s="24" t="s">
        <v>74</v>
      </c>
      <c r="G89" s="24">
        <v>2008</v>
      </c>
      <c r="H89" s="27" t="s">
        <v>549</v>
      </c>
      <c r="I89" s="24" t="s">
        <v>2308</v>
      </c>
      <c r="J89" s="24" t="s">
        <v>2308</v>
      </c>
      <c r="K89" s="24" t="s">
        <v>2308</v>
      </c>
      <c r="L89" s="24" t="s">
        <v>2308</v>
      </c>
      <c r="M89" s="24" t="s">
        <v>2308</v>
      </c>
      <c r="N89" s="24" t="s">
        <v>2308</v>
      </c>
      <c r="O89" s="24" t="s">
        <v>2308</v>
      </c>
      <c r="P89" s="24" t="s">
        <v>2308</v>
      </c>
      <c r="Q89" s="24" t="s">
        <v>2308</v>
      </c>
      <c r="R89" s="24" t="s">
        <v>542</v>
      </c>
      <c r="S89" s="24" t="s">
        <v>2308</v>
      </c>
      <c r="T89" s="24" t="s">
        <v>542</v>
      </c>
      <c r="U89" s="24" t="s">
        <v>2308</v>
      </c>
      <c r="V89" s="24">
        <v>2</v>
      </c>
      <c r="W89" s="5" t="s">
        <v>1496</v>
      </c>
    </row>
    <row r="90" spans="1:23" ht="52" customHeight="1">
      <c r="A90" s="24" t="s">
        <v>169</v>
      </c>
      <c r="B90" s="24" t="s">
        <v>1474</v>
      </c>
      <c r="C90" s="24" t="s">
        <v>24</v>
      </c>
      <c r="D90" s="27" t="s">
        <v>403</v>
      </c>
      <c r="E90" s="24" t="s">
        <v>149</v>
      </c>
      <c r="F90" s="24" t="s">
        <v>74</v>
      </c>
      <c r="G90" s="24">
        <v>2009</v>
      </c>
      <c r="H90" s="27" t="s">
        <v>549</v>
      </c>
      <c r="I90" s="24" t="s">
        <v>2308</v>
      </c>
      <c r="J90" s="24" t="s">
        <v>2308</v>
      </c>
      <c r="K90" s="24" t="s">
        <v>2308</v>
      </c>
      <c r="L90" s="24" t="s">
        <v>2308</v>
      </c>
      <c r="M90" s="24" t="s">
        <v>2308</v>
      </c>
      <c r="N90" s="24" t="s">
        <v>2308</v>
      </c>
      <c r="O90" s="24" t="s">
        <v>2308</v>
      </c>
      <c r="P90" s="24" t="s">
        <v>2308</v>
      </c>
      <c r="Q90" s="24" t="s">
        <v>2308</v>
      </c>
      <c r="R90" s="24" t="s">
        <v>542</v>
      </c>
      <c r="S90" s="24" t="s">
        <v>2308</v>
      </c>
      <c r="T90" s="24" t="s">
        <v>542</v>
      </c>
      <c r="U90" s="24" t="s">
        <v>2308</v>
      </c>
      <c r="V90" s="24">
        <v>2</v>
      </c>
      <c r="W90" s="5" t="s">
        <v>1496</v>
      </c>
    </row>
    <row r="91" spans="1:23" ht="47" customHeight="1">
      <c r="A91" s="24" t="s">
        <v>169</v>
      </c>
      <c r="B91" s="24" t="s">
        <v>1475</v>
      </c>
      <c r="C91" s="24" t="s">
        <v>24</v>
      </c>
      <c r="D91" s="27" t="s">
        <v>403</v>
      </c>
      <c r="E91" s="24" t="s">
        <v>149</v>
      </c>
      <c r="F91" s="24" t="s">
        <v>74</v>
      </c>
      <c r="G91" s="24">
        <v>2010</v>
      </c>
      <c r="H91" s="27" t="s">
        <v>549</v>
      </c>
      <c r="I91" s="24" t="s">
        <v>2308</v>
      </c>
      <c r="J91" s="24" t="s">
        <v>2308</v>
      </c>
      <c r="K91" s="24" t="s">
        <v>2308</v>
      </c>
      <c r="L91" s="24" t="s">
        <v>2308</v>
      </c>
      <c r="M91" s="24" t="s">
        <v>2308</v>
      </c>
      <c r="N91" s="24" t="s">
        <v>2308</v>
      </c>
      <c r="O91" s="24" t="s">
        <v>2308</v>
      </c>
      <c r="P91" s="24" t="s">
        <v>2308</v>
      </c>
      <c r="Q91" s="24" t="s">
        <v>2308</v>
      </c>
      <c r="R91" s="24" t="s">
        <v>542</v>
      </c>
      <c r="S91" s="24" t="s">
        <v>2308</v>
      </c>
      <c r="T91" s="24" t="s">
        <v>542</v>
      </c>
      <c r="U91" s="24" t="s">
        <v>2308</v>
      </c>
      <c r="V91" s="24">
        <v>2</v>
      </c>
      <c r="W91" s="5" t="s">
        <v>1496</v>
      </c>
    </row>
    <row r="92" spans="1:23" ht="47" customHeight="1">
      <c r="A92" s="24" t="s">
        <v>169</v>
      </c>
      <c r="B92" s="24" t="s">
        <v>1476</v>
      </c>
      <c r="C92" s="24" t="s">
        <v>24</v>
      </c>
      <c r="D92" s="27" t="s">
        <v>403</v>
      </c>
      <c r="E92" s="24" t="s">
        <v>149</v>
      </c>
      <c r="F92" s="24" t="s">
        <v>74</v>
      </c>
      <c r="G92" s="24">
        <v>2011</v>
      </c>
      <c r="H92" s="27" t="s">
        <v>549</v>
      </c>
      <c r="I92" s="24" t="s">
        <v>2308</v>
      </c>
      <c r="J92" s="24" t="s">
        <v>2308</v>
      </c>
      <c r="K92" s="24" t="s">
        <v>2308</v>
      </c>
      <c r="L92" s="24" t="s">
        <v>2308</v>
      </c>
      <c r="M92" s="24" t="s">
        <v>2308</v>
      </c>
      <c r="N92" s="24" t="s">
        <v>2308</v>
      </c>
      <c r="O92" s="24" t="s">
        <v>2308</v>
      </c>
      <c r="P92" s="24" t="s">
        <v>2308</v>
      </c>
      <c r="Q92" s="24" t="s">
        <v>2308</v>
      </c>
      <c r="R92" s="24" t="s">
        <v>542</v>
      </c>
      <c r="S92" s="24" t="s">
        <v>2308</v>
      </c>
      <c r="T92" s="24" t="s">
        <v>542</v>
      </c>
      <c r="U92" s="24" t="s">
        <v>2308</v>
      </c>
      <c r="V92" s="24">
        <v>2</v>
      </c>
      <c r="W92" s="5" t="s">
        <v>1496</v>
      </c>
    </row>
    <row r="93" spans="1:23" ht="47" customHeight="1">
      <c r="A93" s="24" t="s">
        <v>169</v>
      </c>
      <c r="B93" s="24" t="s">
        <v>1477</v>
      </c>
      <c r="C93" s="24" t="s">
        <v>24</v>
      </c>
      <c r="D93" s="27" t="s">
        <v>403</v>
      </c>
      <c r="E93" s="24" t="s">
        <v>149</v>
      </c>
      <c r="F93" s="24" t="s">
        <v>74</v>
      </c>
      <c r="G93" s="24">
        <v>2012</v>
      </c>
      <c r="H93" s="27" t="s">
        <v>549</v>
      </c>
      <c r="I93" s="24" t="s">
        <v>2308</v>
      </c>
      <c r="J93" s="24" t="s">
        <v>2308</v>
      </c>
      <c r="K93" s="24" t="s">
        <v>2308</v>
      </c>
      <c r="L93" s="24" t="s">
        <v>2308</v>
      </c>
      <c r="M93" s="24" t="s">
        <v>2308</v>
      </c>
      <c r="N93" s="24" t="s">
        <v>2308</v>
      </c>
      <c r="O93" s="24" t="s">
        <v>2308</v>
      </c>
      <c r="P93" s="24" t="s">
        <v>2308</v>
      </c>
      <c r="Q93" s="24" t="s">
        <v>2308</v>
      </c>
      <c r="R93" s="24" t="s">
        <v>542</v>
      </c>
      <c r="S93" s="24" t="s">
        <v>2308</v>
      </c>
      <c r="T93" s="24" t="s">
        <v>542</v>
      </c>
      <c r="U93" s="24" t="s">
        <v>2308</v>
      </c>
      <c r="V93" s="24">
        <v>2</v>
      </c>
      <c r="W93" s="5" t="s">
        <v>1496</v>
      </c>
    </row>
    <row r="94" spans="1:23" ht="47" customHeight="1">
      <c r="A94" s="24" t="s">
        <v>388</v>
      </c>
      <c r="B94" s="24" t="s">
        <v>397</v>
      </c>
      <c r="C94" s="47" t="s">
        <v>24</v>
      </c>
      <c r="D94" s="60" t="s">
        <v>404</v>
      </c>
      <c r="E94" s="47" t="s">
        <v>149</v>
      </c>
      <c r="F94" s="47" t="s">
        <v>74</v>
      </c>
      <c r="G94" s="24">
        <v>1995</v>
      </c>
      <c r="H94" s="27" t="s">
        <v>1051</v>
      </c>
      <c r="I94" s="24" t="s">
        <v>2308</v>
      </c>
      <c r="J94" s="24" t="s">
        <v>2308</v>
      </c>
      <c r="K94" s="24" t="s">
        <v>2308</v>
      </c>
      <c r="L94" s="24" t="s">
        <v>2308</v>
      </c>
      <c r="M94" s="24" t="s">
        <v>2761</v>
      </c>
      <c r="N94" s="24" t="s">
        <v>542</v>
      </c>
      <c r="O94" s="24" t="s">
        <v>2308</v>
      </c>
      <c r="P94" s="24" t="s">
        <v>2308</v>
      </c>
      <c r="Q94" s="24">
        <v>2</v>
      </c>
      <c r="R94" s="24" t="s">
        <v>2308</v>
      </c>
      <c r="S94" s="24" t="s">
        <v>2308</v>
      </c>
      <c r="T94" s="24" t="s">
        <v>2308</v>
      </c>
      <c r="U94" s="24" t="s">
        <v>2308</v>
      </c>
      <c r="V94" s="52" t="s">
        <v>2308</v>
      </c>
      <c r="W94" s="5" t="s">
        <v>1495</v>
      </c>
    </row>
    <row r="95" spans="1:23" ht="47" customHeight="1">
      <c r="A95" s="24" t="s">
        <v>388</v>
      </c>
      <c r="B95" s="24" t="s">
        <v>410</v>
      </c>
      <c r="C95" s="24" t="s">
        <v>24</v>
      </c>
      <c r="D95" s="24" t="s">
        <v>136</v>
      </c>
      <c r="E95" s="24" t="s">
        <v>27</v>
      </c>
      <c r="F95" s="24" t="s">
        <v>167</v>
      </c>
      <c r="G95" s="24">
        <v>1995</v>
      </c>
      <c r="H95" s="27" t="s">
        <v>1051</v>
      </c>
      <c r="I95" s="24" t="s">
        <v>2308</v>
      </c>
      <c r="J95" s="24" t="s">
        <v>2308</v>
      </c>
      <c r="K95" s="24" t="s">
        <v>2308</v>
      </c>
      <c r="L95" s="24" t="s">
        <v>2308</v>
      </c>
      <c r="M95" s="24" t="s">
        <v>2761</v>
      </c>
      <c r="N95" s="24" t="s">
        <v>542</v>
      </c>
      <c r="O95" s="24" t="s">
        <v>2308</v>
      </c>
      <c r="P95" s="24" t="s">
        <v>2308</v>
      </c>
      <c r="Q95" s="24">
        <v>2</v>
      </c>
      <c r="R95" s="24" t="s">
        <v>2308</v>
      </c>
      <c r="S95" s="24" t="s">
        <v>2308</v>
      </c>
      <c r="T95" s="24" t="s">
        <v>2308</v>
      </c>
      <c r="U95" s="24" t="s">
        <v>2308</v>
      </c>
      <c r="V95" s="52" t="s">
        <v>2308</v>
      </c>
      <c r="W95" s="5" t="s">
        <v>1495</v>
      </c>
    </row>
    <row r="96" spans="1:23" ht="47" customHeight="1">
      <c r="A96" s="24" t="s">
        <v>389</v>
      </c>
      <c r="B96" s="24" t="s">
        <v>398</v>
      </c>
      <c r="C96" s="24" t="s">
        <v>24</v>
      </c>
      <c r="D96" s="60" t="s">
        <v>404</v>
      </c>
      <c r="E96" s="24" t="s">
        <v>149</v>
      </c>
      <c r="F96" s="24" t="s">
        <v>74</v>
      </c>
      <c r="G96" s="24">
        <v>1995</v>
      </c>
      <c r="H96" s="27" t="s">
        <v>1051</v>
      </c>
      <c r="I96" s="24" t="s">
        <v>2308</v>
      </c>
      <c r="J96" s="24" t="s">
        <v>2308</v>
      </c>
      <c r="K96" s="24" t="s">
        <v>2308</v>
      </c>
      <c r="L96" s="24" t="s">
        <v>2308</v>
      </c>
      <c r="M96" s="24" t="s">
        <v>2761</v>
      </c>
      <c r="N96" s="24" t="s">
        <v>542</v>
      </c>
      <c r="O96" s="24" t="s">
        <v>2308</v>
      </c>
      <c r="P96" s="24" t="s">
        <v>2308</v>
      </c>
      <c r="Q96" s="24">
        <v>2</v>
      </c>
      <c r="R96" s="24" t="s">
        <v>2308</v>
      </c>
      <c r="S96" s="24" t="s">
        <v>2308</v>
      </c>
      <c r="T96" s="24" t="s">
        <v>2308</v>
      </c>
      <c r="U96" s="24" t="s">
        <v>2308</v>
      </c>
      <c r="V96" s="52" t="s">
        <v>2308</v>
      </c>
      <c r="W96" s="5" t="s">
        <v>1495</v>
      </c>
    </row>
    <row r="97" spans="1:23" ht="47" customHeight="1">
      <c r="A97" s="24" t="s">
        <v>389</v>
      </c>
      <c r="B97" s="24" t="s">
        <v>414</v>
      </c>
      <c r="C97" s="24" t="s">
        <v>24</v>
      </c>
      <c r="D97" s="24" t="s">
        <v>136</v>
      </c>
      <c r="E97" s="24" t="s">
        <v>27</v>
      </c>
      <c r="F97" s="24" t="s">
        <v>167</v>
      </c>
      <c r="G97" s="24">
        <v>1995</v>
      </c>
      <c r="H97" s="27" t="s">
        <v>1051</v>
      </c>
      <c r="I97" s="24" t="s">
        <v>2308</v>
      </c>
      <c r="J97" s="24" t="s">
        <v>2308</v>
      </c>
      <c r="K97" s="24" t="s">
        <v>2308</v>
      </c>
      <c r="L97" s="24" t="s">
        <v>2308</v>
      </c>
      <c r="M97" s="24" t="s">
        <v>2761</v>
      </c>
      <c r="N97" s="24" t="s">
        <v>542</v>
      </c>
      <c r="O97" s="24" t="s">
        <v>2308</v>
      </c>
      <c r="P97" s="24" t="s">
        <v>2308</v>
      </c>
      <c r="Q97" s="24">
        <v>2</v>
      </c>
      <c r="R97" s="24" t="s">
        <v>2308</v>
      </c>
      <c r="S97" s="24" t="s">
        <v>2308</v>
      </c>
      <c r="T97" s="24" t="s">
        <v>2308</v>
      </c>
      <c r="U97" s="24" t="s">
        <v>2308</v>
      </c>
      <c r="V97" s="52" t="s">
        <v>2308</v>
      </c>
      <c r="W97" s="5" t="s">
        <v>1495</v>
      </c>
    </row>
    <row r="98" spans="1:23" ht="47" customHeight="1">
      <c r="A98" s="24" t="s">
        <v>395</v>
      </c>
      <c r="B98" s="24" t="s">
        <v>399</v>
      </c>
      <c r="C98" s="24" t="s">
        <v>24</v>
      </c>
      <c r="D98" s="27" t="s">
        <v>404</v>
      </c>
      <c r="E98" s="24" t="s">
        <v>149</v>
      </c>
      <c r="F98" s="24" t="s">
        <v>74</v>
      </c>
      <c r="G98" s="24">
        <v>2012</v>
      </c>
      <c r="H98" s="27" t="s">
        <v>1051</v>
      </c>
      <c r="I98" s="24" t="s">
        <v>2308</v>
      </c>
      <c r="J98" s="24" t="s">
        <v>2308</v>
      </c>
      <c r="K98" s="24" t="s">
        <v>2308</v>
      </c>
      <c r="L98" s="24" t="s">
        <v>2308</v>
      </c>
      <c r="M98" s="24" t="s">
        <v>2761</v>
      </c>
      <c r="N98" s="24" t="s">
        <v>542</v>
      </c>
      <c r="O98" s="24" t="s">
        <v>2308</v>
      </c>
      <c r="P98" s="24" t="s">
        <v>2308</v>
      </c>
      <c r="Q98" s="24">
        <v>2</v>
      </c>
      <c r="R98" s="24" t="s">
        <v>2308</v>
      </c>
      <c r="S98" s="24" t="s">
        <v>2308</v>
      </c>
      <c r="T98" s="24" t="s">
        <v>2308</v>
      </c>
      <c r="U98" s="24" t="s">
        <v>2308</v>
      </c>
      <c r="V98" s="52" t="s">
        <v>2308</v>
      </c>
      <c r="W98" s="5" t="s">
        <v>1495</v>
      </c>
    </row>
    <row r="99" spans="1:23" ht="47" customHeight="1">
      <c r="A99" s="24" t="s">
        <v>395</v>
      </c>
      <c r="B99" s="24" t="s">
        <v>419</v>
      </c>
      <c r="C99" s="24" t="s">
        <v>24</v>
      </c>
      <c r="D99" s="24" t="s">
        <v>136</v>
      </c>
      <c r="E99" s="24" t="s">
        <v>27</v>
      </c>
      <c r="F99" s="24" t="s">
        <v>167</v>
      </c>
      <c r="G99" s="24">
        <v>2012</v>
      </c>
      <c r="H99" s="27" t="s">
        <v>1051</v>
      </c>
      <c r="I99" s="24" t="s">
        <v>2308</v>
      </c>
      <c r="J99" s="24" t="s">
        <v>2308</v>
      </c>
      <c r="K99" s="24" t="s">
        <v>2308</v>
      </c>
      <c r="L99" s="24" t="s">
        <v>2308</v>
      </c>
      <c r="M99" s="24" t="s">
        <v>2761</v>
      </c>
      <c r="N99" s="24" t="s">
        <v>542</v>
      </c>
      <c r="O99" s="24" t="s">
        <v>2308</v>
      </c>
      <c r="P99" s="24" t="s">
        <v>2308</v>
      </c>
      <c r="Q99" s="24">
        <v>2</v>
      </c>
      <c r="R99" s="24" t="s">
        <v>2308</v>
      </c>
      <c r="S99" s="24" t="s">
        <v>2308</v>
      </c>
      <c r="T99" s="24" t="s">
        <v>2308</v>
      </c>
      <c r="U99" s="24" t="s">
        <v>2308</v>
      </c>
      <c r="V99" s="52" t="s">
        <v>2308</v>
      </c>
      <c r="W99" s="5" t="s">
        <v>1495</v>
      </c>
    </row>
    <row r="100" spans="1:23" ht="51.5" customHeight="1">
      <c r="A100" s="24" t="s">
        <v>395</v>
      </c>
      <c r="B100" s="24" t="s">
        <v>1490</v>
      </c>
      <c r="C100" s="24" t="s">
        <v>24</v>
      </c>
      <c r="D100" s="27" t="s">
        <v>404</v>
      </c>
      <c r="E100" s="24" t="s">
        <v>149</v>
      </c>
      <c r="F100" s="24" t="s">
        <v>74</v>
      </c>
      <c r="G100" s="24">
        <v>2012</v>
      </c>
      <c r="H100" s="27" t="s">
        <v>549</v>
      </c>
      <c r="I100" s="24" t="s">
        <v>2308</v>
      </c>
      <c r="J100" s="24" t="s">
        <v>2308</v>
      </c>
      <c r="K100" s="24" t="s">
        <v>2308</v>
      </c>
      <c r="L100" s="24" t="s">
        <v>2308</v>
      </c>
      <c r="M100" s="24" t="s">
        <v>2308</v>
      </c>
      <c r="N100" s="24" t="s">
        <v>2308</v>
      </c>
      <c r="O100" s="24" t="s">
        <v>2308</v>
      </c>
      <c r="P100" s="24" t="s">
        <v>2308</v>
      </c>
      <c r="Q100" s="24" t="s">
        <v>2308</v>
      </c>
      <c r="R100" s="24" t="s">
        <v>542</v>
      </c>
      <c r="S100" s="24" t="s">
        <v>542</v>
      </c>
      <c r="T100" s="24" t="s">
        <v>2308</v>
      </c>
      <c r="U100" s="24" t="s">
        <v>2308</v>
      </c>
      <c r="V100" s="24">
        <v>4</v>
      </c>
      <c r="W100" s="5" t="s">
        <v>1494</v>
      </c>
    </row>
    <row r="101" spans="1:23" ht="47" customHeight="1">
      <c r="A101" s="24" t="s">
        <v>395</v>
      </c>
      <c r="B101" s="24" t="s">
        <v>1491</v>
      </c>
      <c r="C101" s="24" t="s">
        <v>24</v>
      </c>
      <c r="D101" s="24" t="s">
        <v>136</v>
      </c>
      <c r="E101" s="24" t="s">
        <v>27</v>
      </c>
      <c r="F101" s="24" t="s">
        <v>167</v>
      </c>
      <c r="G101" s="24">
        <v>2012</v>
      </c>
      <c r="H101" s="27" t="s">
        <v>549</v>
      </c>
      <c r="I101" s="24" t="s">
        <v>2308</v>
      </c>
      <c r="J101" s="24" t="s">
        <v>2308</v>
      </c>
      <c r="K101" s="24" t="s">
        <v>2308</v>
      </c>
      <c r="L101" s="24" t="s">
        <v>2308</v>
      </c>
      <c r="M101" s="24" t="s">
        <v>2308</v>
      </c>
      <c r="N101" s="24" t="s">
        <v>2308</v>
      </c>
      <c r="O101" s="24" t="s">
        <v>2308</v>
      </c>
      <c r="P101" s="24" t="s">
        <v>2308</v>
      </c>
      <c r="Q101" s="24" t="s">
        <v>2308</v>
      </c>
      <c r="R101" s="24" t="s">
        <v>542</v>
      </c>
      <c r="S101" s="24" t="s">
        <v>542</v>
      </c>
      <c r="T101" s="24" t="s">
        <v>2308</v>
      </c>
      <c r="U101" s="24" t="s">
        <v>2308</v>
      </c>
      <c r="V101" s="24">
        <v>4</v>
      </c>
      <c r="W101" s="5" t="s">
        <v>1494</v>
      </c>
    </row>
    <row r="102" spans="1:23" ht="47" customHeight="1">
      <c r="A102" s="24" t="s">
        <v>396</v>
      </c>
      <c r="B102" s="24" t="s">
        <v>400</v>
      </c>
      <c r="C102" s="24" t="s">
        <v>24</v>
      </c>
      <c r="D102" s="27" t="s">
        <v>404</v>
      </c>
      <c r="E102" s="24" t="s">
        <v>149</v>
      </c>
      <c r="F102" s="24" t="s">
        <v>74</v>
      </c>
      <c r="G102" s="24">
        <v>2012</v>
      </c>
      <c r="H102" s="27" t="s">
        <v>1051</v>
      </c>
      <c r="I102" s="24" t="s">
        <v>2308</v>
      </c>
      <c r="J102" s="24" t="s">
        <v>2308</v>
      </c>
      <c r="K102" s="24" t="s">
        <v>2308</v>
      </c>
      <c r="L102" s="24" t="s">
        <v>2308</v>
      </c>
      <c r="M102" s="24" t="s">
        <v>2761</v>
      </c>
      <c r="N102" s="24" t="s">
        <v>542</v>
      </c>
      <c r="O102" s="24" t="s">
        <v>2308</v>
      </c>
      <c r="P102" s="24" t="s">
        <v>2308</v>
      </c>
      <c r="Q102" s="24">
        <v>2</v>
      </c>
      <c r="R102" s="24" t="s">
        <v>2308</v>
      </c>
      <c r="S102" s="24" t="s">
        <v>2308</v>
      </c>
      <c r="T102" s="24" t="s">
        <v>2308</v>
      </c>
      <c r="U102" s="24" t="s">
        <v>2308</v>
      </c>
      <c r="V102" s="24" t="s">
        <v>2308</v>
      </c>
      <c r="W102" s="5" t="s">
        <v>1495</v>
      </c>
    </row>
    <row r="103" spans="1:23" ht="47" customHeight="1">
      <c r="A103" s="24" t="s">
        <v>396</v>
      </c>
      <c r="B103" s="24" t="s">
        <v>420</v>
      </c>
      <c r="C103" s="24" t="s">
        <v>24</v>
      </c>
      <c r="D103" s="24" t="s">
        <v>136</v>
      </c>
      <c r="E103" s="24" t="s">
        <v>27</v>
      </c>
      <c r="F103" s="24" t="s">
        <v>167</v>
      </c>
      <c r="G103" s="24">
        <v>2012</v>
      </c>
      <c r="H103" s="27" t="s">
        <v>1051</v>
      </c>
      <c r="I103" s="24" t="s">
        <v>2308</v>
      </c>
      <c r="J103" s="24" t="s">
        <v>2308</v>
      </c>
      <c r="K103" s="24" t="s">
        <v>2308</v>
      </c>
      <c r="L103" s="24" t="s">
        <v>2308</v>
      </c>
      <c r="M103" s="24" t="s">
        <v>2761</v>
      </c>
      <c r="N103" s="24" t="s">
        <v>542</v>
      </c>
      <c r="O103" s="24" t="s">
        <v>2308</v>
      </c>
      <c r="P103" s="24" t="s">
        <v>2308</v>
      </c>
      <c r="Q103" s="24">
        <v>2</v>
      </c>
      <c r="R103" s="24" t="s">
        <v>2308</v>
      </c>
      <c r="S103" s="24" t="s">
        <v>2308</v>
      </c>
      <c r="T103" s="24" t="s">
        <v>2308</v>
      </c>
      <c r="U103" s="24" t="s">
        <v>2308</v>
      </c>
      <c r="V103" s="24" t="s">
        <v>2308</v>
      </c>
      <c r="W103" s="5" t="s">
        <v>1495</v>
      </c>
    </row>
    <row r="104" spans="1:23" ht="47" customHeight="1">
      <c r="A104" s="24" t="s">
        <v>396</v>
      </c>
      <c r="B104" s="24" t="s">
        <v>1492</v>
      </c>
      <c r="C104" s="24" t="s">
        <v>24</v>
      </c>
      <c r="D104" s="60" t="s">
        <v>404</v>
      </c>
      <c r="E104" s="24" t="s">
        <v>149</v>
      </c>
      <c r="F104" s="24" t="s">
        <v>74</v>
      </c>
      <c r="G104" s="24">
        <v>2012</v>
      </c>
      <c r="H104" s="27" t="s">
        <v>549</v>
      </c>
      <c r="I104" s="24" t="s">
        <v>2308</v>
      </c>
      <c r="J104" s="24" t="s">
        <v>2308</v>
      </c>
      <c r="K104" s="24" t="s">
        <v>2308</v>
      </c>
      <c r="L104" s="24" t="s">
        <v>2308</v>
      </c>
      <c r="M104" s="24" t="s">
        <v>2308</v>
      </c>
      <c r="N104" s="24" t="s">
        <v>2308</v>
      </c>
      <c r="O104" s="24" t="s">
        <v>2308</v>
      </c>
      <c r="P104" s="24" t="s">
        <v>2308</v>
      </c>
      <c r="Q104" s="24" t="s">
        <v>2308</v>
      </c>
      <c r="R104" s="24" t="s">
        <v>542</v>
      </c>
      <c r="S104" s="24" t="s">
        <v>542</v>
      </c>
      <c r="T104" s="24" t="s">
        <v>2308</v>
      </c>
      <c r="U104" s="24" t="s">
        <v>2308</v>
      </c>
      <c r="V104" s="24">
        <v>4</v>
      </c>
      <c r="W104" s="5" t="s">
        <v>1494</v>
      </c>
    </row>
    <row r="105" spans="1:23" ht="47" customHeight="1">
      <c r="A105" s="24" t="s">
        <v>396</v>
      </c>
      <c r="B105" s="24" t="s">
        <v>1493</v>
      </c>
      <c r="C105" s="24" t="s">
        <v>24</v>
      </c>
      <c r="D105" s="24" t="s">
        <v>136</v>
      </c>
      <c r="E105" s="24" t="s">
        <v>27</v>
      </c>
      <c r="F105" s="24" t="s">
        <v>167</v>
      </c>
      <c r="G105" s="24">
        <v>2012</v>
      </c>
      <c r="H105" s="27" t="s">
        <v>549</v>
      </c>
      <c r="I105" s="24" t="s">
        <v>2308</v>
      </c>
      <c r="J105" s="24" t="s">
        <v>2308</v>
      </c>
      <c r="K105" s="24" t="s">
        <v>2308</v>
      </c>
      <c r="L105" s="24" t="s">
        <v>2308</v>
      </c>
      <c r="M105" s="24" t="s">
        <v>2308</v>
      </c>
      <c r="N105" s="24" t="s">
        <v>2308</v>
      </c>
      <c r="O105" s="24" t="s">
        <v>2308</v>
      </c>
      <c r="P105" s="24" t="s">
        <v>2308</v>
      </c>
      <c r="Q105" s="24" t="s">
        <v>2308</v>
      </c>
      <c r="R105" s="24" t="s">
        <v>542</v>
      </c>
      <c r="S105" s="24" t="s">
        <v>542</v>
      </c>
      <c r="T105" s="24" t="s">
        <v>2308</v>
      </c>
      <c r="U105" s="24" t="s">
        <v>2308</v>
      </c>
      <c r="V105" s="24">
        <v>4</v>
      </c>
      <c r="W105" s="5" t="s">
        <v>1494</v>
      </c>
    </row>
    <row r="106" spans="1:23" ht="48.5" customHeight="1">
      <c r="A106" s="24" t="s">
        <v>427</v>
      </c>
      <c r="B106" s="24" t="s">
        <v>431</v>
      </c>
      <c r="C106" s="24" t="s">
        <v>24</v>
      </c>
      <c r="D106" s="24" t="s">
        <v>136</v>
      </c>
      <c r="E106" s="24" t="s">
        <v>27</v>
      </c>
      <c r="F106" s="24" t="s">
        <v>167</v>
      </c>
      <c r="G106" s="24"/>
      <c r="H106" s="27" t="s">
        <v>551</v>
      </c>
      <c r="I106" s="24" t="s">
        <v>2723</v>
      </c>
      <c r="J106" s="24" t="s">
        <v>542</v>
      </c>
      <c r="K106" s="24" t="s">
        <v>2308</v>
      </c>
      <c r="L106" s="24" t="s">
        <v>2308</v>
      </c>
      <c r="M106" s="24" t="s">
        <v>2308</v>
      </c>
      <c r="N106" s="24" t="s">
        <v>2308</v>
      </c>
      <c r="O106" s="24" t="s">
        <v>2308</v>
      </c>
      <c r="P106" s="24" t="s">
        <v>2308</v>
      </c>
      <c r="Q106" s="24" t="s">
        <v>2308</v>
      </c>
      <c r="R106" s="24" t="s">
        <v>542</v>
      </c>
      <c r="S106" s="24" t="s">
        <v>2308</v>
      </c>
      <c r="T106" s="24" t="s">
        <v>542</v>
      </c>
      <c r="U106" s="24" t="s">
        <v>2308</v>
      </c>
      <c r="V106" s="52" t="s">
        <v>2308</v>
      </c>
      <c r="W106" s="5" t="s">
        <v>887</v>
      </c>
    </row>
    <row r="107" spans="1:23" ht="113.5" customHeight="1">
      <c r="A107" s="24" t="s">
        <v>445</v>
      </c>
      <c r="B107" s="24" t="s">
        <v>449</v>
      </c>
      <c r="C107" s="24" t="s">
        <v>24</v>
      </c>
      <c r="D107" s="24" t="s">
        <v>136</v>
      </c>
      <c r="E107" s="24" t="s">
        <v>27</v>
      </c>
      <c r="F107" s="24" t="s">
        <v>167</v>
      </c>
      <c r="G107" s="24"/>
      <c r="H107" s="27" t="s">
        <v>549</v>
      </c>
      <c r="I107" s="24" t="s">
        <v>542</v>
      </c>
      <c r="J107" s="24" t="s">
        <v>542</v>
      </c>
      <c r="K107" s="24" t="s">
        <v>2308</v>
      </c>
      <c r="L107" s="24" t="s">
        <v>2308</v>
      </c>
      <c r="M107" s="24" t="s">
        <v>2308</v>
      </c>
      <c r="N107" s="24" t="s">
        <v>2308</v>
      </c>
      <c r="O107" s="24" t="s">
        <v>2308</v>
      </c>
      <c r="P107" s="24" t="s">
        <v>2308</v>
      </c>
      <c r="Q107" s="24" t="s">
        <v>2308</v>
      </c>
      <c r="R107" s="24" t="s">
        <v>2308</v>
      </c>
      <c r="S107" s="24" t="s">
        <v>2308</v>
      </c>
      <c r="T107" s="24" t="s">
        <v>2308</v>
      </c>
      <c r="U107" s="24" t="s">
        <v>2308</v>
      </c>
      <c r="V107" s="24" t="s">
        <v>2308</v>
      </c>
      <c r="W107" s="111" t="s">
        <v>1506</v>
      </c>
    </row>
    <row r="108" spans="1:23" ht="113.5" customHeight="1">
      <c r="A108" s="24" t="s">
        <v>454</v>
      </c>
      <c r="B108" s="24" t="s">
        <v>455</v>
      </c>
      <c r="C108" s="24" t="s">
        <v>24</v>
      </c>
      <c r="D108" s="24" t="s">
        <v>136</v>
      </c>
      <c r="E108" s="24" t="s">
        <v>27</v>
      </c>
      <c r="F108" s="24" t="s">
        <v>167</v>
      </c>
      <c r="G108" s="24"/>
      <c r="H108" s="27" t="s">
        <v>549</v>
      </c>
      <c r="I108" s="24" t="s">
        <v>545</v>
      </c>
      <c r="J108" s="24" t="s">
        <v>545</v>
      </c>
      <c r="K108" s="24" t="s">
        <v>545</v>
      </c>
      <c r="L108" s="24" t="s">
        <v>545</v>
      </c>
      <c r="M108" s="24" t="s">
        <v>2308</v>
      </c>
      <c r="N108" s="24" t="s">
        <v>2308</v>
      </c>
      <c r="O108" s="24" t="s">
        <v>2308</v>
      </c>
      <c r="P108" s="24" t="s">
        <v>2308</v>
      </c>
      <c r="Q108" s="24" t="s">
        <v>2308</v>
      </c>
      <c r="R108" s="24" t="s">
        <v>2308</v>
      </c>
      <c r="S108" s="24" t="s">
        <v>2308</v>
      </c>
      <c r="T108" s="24" t="s">
        <v>2308</v>
      </c>
      <c r="U108" s="24" t="s">
        <v>2308</v>
      </c>
      <c r="V108" s="24" t="s">
        <v>2308</v>
      </c>
      <c r="W108" s="5" t="s">
        <v>1516</v>
      </c>
    </row>
    <row r="109" spans="1:23" ht="113.5" customHeight="1">
      <c r="A109" s="24" t="s">
        <v>1512</v>
      </c>
      <c r="B109" s="24" t="s">
        <v>1514</v>
      </c>
      <c r="C109" s="24" t="s">
        <v>24</v>
      </c>
      <c r="D109" s="24" t="s">
        <v>136</v>
      </c>
      <c r="E109" s="24" t="s">
        <v>27</v>
      </c>
      <c r="F109" s="24" t="s">
        <v>167</v>
      </c>
      <c r="G109" s="24"/>
      <c r="H109" s="27" t="s">
        <v>549</v>
      </c>
      <c r="I109" s="24" t="s">
        <v>545</v>
      </c>
      <c r="J109" s="24" t="s">
        <v>545</v>
      </c>
      <c r="K109" s="24" t="s">
        <v>545</v>
      </c>
      <c r="L109" s="24" t="s">
        <v>545</v>
      </c>
      <c r="M109" s="24" t="s">
        <v>2308</v>
      </c>
      <c r="N109" s="24" t="s">
        <v>2308</v>
      </c>
      <c r="O109" s="24" t="s">
        <v>2308</v>
      </c>
      <c r="P109" s="24" t="s">
        <v>2308</v>
      </c>
      <c r="Q109" s="24" t="s">
        <v>2308</v>
      </c>
      <c r="R109" s="24" t="s">
        <v>2308</v>
      </c>
      <c r="S109" s="24" t="s">
        <v>2308</v>
      </c>
      <c r="T109" s="24" t="s">
        <v>2308</v>
      </c>
      <c r="U109" s="24" t="s">
        <v>2308</v>
      </c>
      <c r="V109" s="24" t="s">
        <v>2308</v>
      </c>
      <c r="W109" s="5" t="s">
        <v>1516</v>
      </c>
    </row>
    <row r="110" spans="1:23" ht="113.5" customHeight="1">
      <c r="A110" s="24" t="s">
        <v>1513</v>
      </c>
      <c r="B110" s="24" t="s">
        <v>1515</v>
      </c>
      <c r="C110" s="24" t="s">
        <v>24</v>
      </c>
      <c r="D110" s="24" t="s">
        <v>136</v>
      </c>
      <c r="E110" s="24" t="s">
        <v>27</v>
      </c>
      <c r="F110" s="24" t="s">
        <v>167</v>
      </c>
      <c r="G110" s="24"/>
      <c r="H110" s="27" t="s">
        <v>549</v>
      </c>
      <c r="I110" s="24" t="s">
        <v>545</v>
      </c>
      <c r="J110" s="24" t="s">
        <v>545</v>
      </c>
      <c r="K110" s="24" t="s">
        <v>545</v>
      </c>
      <c r="L110" s="24" t="s">
        <v>545</v>
      </c>
      <c r="M110" s="24" t="s">
        <v>2308</v>
      </c>
      <c r="N110" s="24" t="s">
        <v>2308</v>
      </c>
      <c r="O110" s="24" t="s">
        <v>2308</v>
      </c>
      <c r="P110" s="24" t="s">
        <v>2308</v>
      </c>
      <c r="Q110" s="24" t="s">
        <v>2308</v>
      </c>
      <c r="R110" s="24" t="s">
        <v>2308</v>
      </c>
      <c r="S110" s="24" t="s">
        <v>2308</v>
      </c>
      <c r="T110" s="24" t="s">
        <v>2308</v>
      </c>
      <c r="U110" s="24" t="s">
        <v>2308</v>
      </c>
      <c r="V110" s="24" t="s">
        <v>2308</v>
      </c>
      <c r="W110" s="5" t="s">
        <v>1516</v>
      </c>
    </row>
    <row r="111" spans="1:23" ht="113.5" customHeight="1">
      <c r="A111" s="24" t="s">
        <v>1510</v>
      </c>
      <c r="B111" s="24" t="s">
        <v>1511</v>
      </c>
      <c r="C111" s="24" t="s">
        <v>24</v>
      </c>
      <c r="D111" s="24" t="s">
        <v>136</v>
      </c>
      <c r="E111" s="24" t="s">
        <v>27</v>
      </c>
      <c r="F111" s="24" t="s">
        <v>167</v>
      </c>
      <c r="G111" s="24"/>
      <c r="H111" s="27" t="s">
        <v>549</v>
      </c>
      <c r="I111" s="24" t="s">
        <v>545</v>
      </c>
      <c r="J111" s="24" t="s">
        <v>545</v>
      </c>
      <c r="K111" s="24" t="s">
        <v>545</v>
      </c>
      <c r="L111" s="24" t="s">
        <v>545</v>
      </c>
      <c r="M111" s="24" t="s">
        <v>2308</v>
      </c>
      <c r="N111" s="24" t="s">
        <v>2308</v>
      </c>
      <c r="O111" s="24" t="s">
        <v>2308</v>
      </c>
      <c r="P111" s="24" t="s">
        <v>2308</v>
      </c>
      <c r="Q111" s="24" t="s">
        <v>2308</v>
      </c>
      <c r="R111" s="24" t="s">
        <v>2308</v>
      </c>
      <c r="S111" s="24" t="s">
        <v>2308</v>
      </c>
      <c r="T111" s="24" t="s">
        <v>2308</v>
      </c>
      <c r="U111" s="24" t="s">
        <v>2308</v>
      </c>
      <c r="V111" s="24" t="s">
        <v>2308</v>
      </c>
      <c r="W111" s="5" t="s">
        <v>1516</v>
      </c>
    </row>
    <row r="112" spans="1:23" ht="127" customHeight="1">
      <c r="A112" s="24" t="s">
        <v>518</v>
      </c>
      <c r="B112" s="24" t="s">
        <v>522</v>
      </c>
      <c r="C112" s="24" t="s">
        <v>24</v>
      </c>
      <c r="D112" s="24" t="s">
        <v>136</v>
      </c>
      <c r="E112" s="24" t="s">
        <v>27</v>
      </c>
      <c r="F112" s="24" t="s">
        <v>167</v>
      </c>
      <c r="G112" s="24"/>
      <c r="H112" s="27" t="s">
        <v>549</v>
      </c>
      <c r="I112" s="24" t="s">
        <v>2723</v>
      </c>
      <c r="J112" s="24" t="s">
        <v>542</v>
      </c>
      <c r="K112" s="24" t="s">
        <v>542</v>
      </c>
      <c r="L112" s="24" t="s">
        <v>2308</v>
      </c>
      <c r="M112" s="24" t="s">
        <v>2308</v>
      </c>
      <c r="N112" s="24" t="s">
        <v>2308</v>
      </c>
      <c r="O112" s="24" t="s">
        <v>2308</v>
      </c>
      <c r="P112" s="24" t="s">
        <v>2308</v>
      </c>
      <c r="Q112" s="24" t="s">
        <v>2308</v>
      </c>
      <c r="R112" s="24" t="s">
        <v>2308</v>
      </c>
      <c r="S112" s="24" t="s">
        <v>2308</v>
      </c>
      <c r="T112" s="24" t="s">
        <v>2308</v>
      </c>
      <c r="U112" s="24" t="s">
        <v>2308</v>
      </c>
      <c r="V112" s="52" t="s">
        <v>2308</v>
      </c>
      <c r="W112" s="5" t="s">
        <v>1518</v>
      </c>
    </row>
    <row r="113" spans="1:23" ht="103.5" customHeight="1">
      <c r="A113" s="24" t="s">
        <v>518</v>
      </c>
      <c r="B113" s="24" t="s">
        <v>525</v>
      </c>
      <c r="C113" s="24" t="s">
        <v>24</v>
      </c>
      <c r="D113" s="24" t="s">
        <v>136</v>
      </c>
      <c r="E113" s="24" t="s">
        <v>27</v>
      </c>
      <c r="F113" s="24" t="s">
        <v>167</v>
      </c>
      <c r="G113" s="24"/>
      <c r="H113" s="27" t="s">
        <v>1113</v>
      </c>
      <c r="I113" s="24" t="s">
        <v>2723</v>
      </c>
      <c r="J113" s="24" t="s">
        <v>542</v>
      </c>
      <c r="K113" s="24" t="s">
        <v>542</v>
      </c>
      <c r="L113" s="24" t="s">
        <v>2308</v>
      </c>
      <c r="M113" s="24" t="s">
        <v>2308</v>
      </c>
      <c r="N113" s="24" t="s">
        <v>2308</v>
      </c>
      <c r="O113" s="24" t="s">
        <v>2308</v>
      </c>
      <c r="P113" s="24" t="s">
        <v>2308</v>
      </c>
      <c r="Q113" s="24" t="s">
        <v>2308</v>
      </c>
      <c r="R113" s="24" t="s">
        <v>2308</v>
      </c>
      <c r="S113" s="24" t="s">
        <v>2308</v>
      </c>
      <c r="T113" s="24" t="s">
        <v>2308</v>
      </c>
      <c r="U113" s="24" t="s">
        <v>2308</v>
      </c>
      <c r="V113" s="52" t="s">
        <v>2308</v>
      </c>
      <c r="W113" s="5" t="s">
        <v>1519</v>
      </c>
    </row>
    <row r="114" spans="1:23" ht="103.5" customHeight="1">
      <c r="A114" s="24" t="s">
        <v>518</v>
      </c>
      <c r="B114" s="24" t="s">
        <v>526</v>
      </c>
      <c r="C114" s="24" t="s">
        <v>24</v>
      </c>
      <c r="D114" s="24" t="s">
        <v>136</v>
      </c>
      <c r="E114" s="24" t="s">
        <v>27</v>
      </c>
      <c r="F114" s="24" t="s">
        <v>167</v>
      </c>
      <c r="G114" s="24"/>
      <c r="H114" s="27" t="s">
        <v>549</v>
      </c>
      <c r="I114" s="24" t="s">
        <v>2308</v>
      </c>
      <c r="J114" s="24" t="s">
        <v>2308</v>
      </c>
      <c r="K114" s="24" t="s">
        <v>2308</v>
      </c>
      <c r="L114" s="24" t="s">
        <v>2308</v>
      </c>
      <c r="M114" s="24" t="s">
        <v>2704</v>
      </c>
      <c r="N114" s="24" t="s">
        <v>542</v>
      </c>
      <c r="O114" s="24" t="s">
        <v>542</v>
      </c>
      <c r="P114" s="24" t="s">
        <v>2308</v>
      </c>
      <c r="Q114" s="24">
        <v>3</v>
      </c>
      <c r="R114" s="24" t="s">
        <v>2308</v>
      </c>
      <c r="S114" s="24" t="s">
        <v>2308</v>
      </c>
      <c r="T114" s="24" t="s">
        <v>2308</v>
      </c>
      <c r="U114" s="24" t="s">
        <v>2308</v>
      </c>
      <c r="V114" s="52" t="s">
        <v>2308</v>
      </c>
      <c r="W114" s="5" t="s">
        <v>1520</v>
      </c>
    </row>
    <row r="115" spans="1:23" ht="47.5" customHeight="1">
      <c r="A115" s="20" t="s">
        <v>528</v>
      </c>
      <c r="B115" s="20" t="s">
        <v>546</v>
      </c>
      <c r="C115" s="24" t="s">
        <v>24</v>
      </c>
      <c r="D115" s="24" t="s">
        <v>136</v>
      </c>
      <c r="E115" s="4" t="s">
        <v>149</v>
      </c>
      <c r="F115" s="4" t="s">
        <v>74</v>
      </c>
      <c r="G115" s="4"/>
      <c r="H115" s="5" t="s">
        <v>549</v>
      </c>
      <c r="I115" s="4" t="s">
        <v>2308</v>
      </c>
      <c r="J115" s="4" t="s">
        <v>2308</v>
      </c>
      <c r="K115" s="4" t="s">
        <v>2308</v>
      </c>
      <c r="L115" s="4" t="s">
        <v>2308</v>
      </c>
      <c r="M115" s="4" t="s">
        <v>2308</v>
      </c>
      <c r="N115" s="4" t="s">
        <v>2308</v>
      </c>
      <c r="O115" s="4" t="s">
        <v>2308</v>
      </c>
      <c r="P115" s="4" t="s">
        <v>2308</v>
      </c>
      <c r="Q115" s="4" t="s">
        <v>2308</v>
      </c>
      <c r="R115" s="24" t="s">
        <v>542</v>
      </c>
      <c r="S115" s="24" t="s">
        <v>2308</v>
      </c>
      <c r="T115" s="24" t="s">
        <v>542</v>
      </c>
      <c r="U115" s="4" t="s">
        <v>2308</v>
      </c>
      <c r="V115" s="53">
        <v>3</v>
      </c>
      <c r="W115" s="4"/>
    </row>
    <row r="116" spans="1:23" ht="67.5" customHeight="1">
      <c r="A116" s="20" t="s">
        <v>528</v>
      </c>
      <c r="B116" s="20" t="s">
        <v>547</v>
      </c>
      <c r="C116" s="24" t="s">
        <v>24</v>
      </c>
      <c r="D116" s="24" t="s">
        <v>136</v>
      </c>
      <c r="E116" s="4" t="s">
        <v>149</v>
      </c>
      <c r="F116" s="4" t="s">
        <v>74</v>
      </c>
      <c r="G116" s="4"/>
      <c r="H116" s="5"/>
      <c r="I116" s="4" t="s">
        <v>2308</v>
      </c>
      <c r="J116" s="4" t="s">
        <v>2308</v>
      </c>
      <c r="K116" s="4" t="s">
        <v>2308</v>
      </c>
      <c r="L116" s="4" t="s">
        <v>2308</v>
      </c>
      <c r="M116" s="4" t="s">
        <v>2308</v>
      </c>
      <c r="N116" s="4" t="s">
        <v>2308</v>
      </c>
      <c r="O116" s="4" t="s">
        <v>2308</v>
      </c>
      <c r="P116" s="4" t="s">
        <v>2308</v>
      </c>
      <c r="Q116" s="4" t="s">
        <v>2308</v>
      </c>
      <c r="R116" s="24" t="s">
        <v>542</v>
      </c>
      <c r="S116" s="24" t="s">
        <v>2308</v>
      </c>
      <c r="T116" s="24" t="s">
        <v>542</v>
      </c>
      <c r="U116" s="4" t="s">
        <v>2308</v>
      </c>
      <c r="V116" s="53">
        <v>5</v>
      </c>
      <c r="W116" s="5" t="s">
        <v>1524</v>
      </c>
    </row>
    <row r="117" spans="1:23" ht="42" customHeight="1">
      <c r="A117" s="12" t="s">
        <v>597</v>
      </c>
      <c r="B117" s="12" t="s">
        <v>600</v>
      </c>
      <c r="C117" s="24" t="s">
        <v>24</v>
      </c>
      <c r="D117" s="24" t="s">
        <v>136</v>
      </c>
      <c r="E117" s="24" t="s">
        <v>27</v>
      </c>
      <c r="F117" s="20" t="s">
        <v>167</v>
      </c>
      <c r="G117" s="20"/>
      <c r="H117" s="5" t="s">
        <v>549</v>
      </c>
      <c r="I117" s="20" t="s">
        <v>545</v>
      </c>
      <c r="J117" s="4" t="s">
        <v>2308</v>
      </c>
      <c r="K117" s="4" t="s">
        <v>2308</v>
      </c>
      <c r="L117" s="4" t="s">
        <v>2308</v>
      </c>
      <c r="M117" s="4" t="s">
        <v>542</v>
      </c>
      <c r="N117" s="4" t="s">
        <v>542</v>
      </c>
      <c r="O117" s="4" t="s">
        <v>542</v>
      </c>
      <c r="P117" s="4" t="s">
        <v>2308</v>
      </c>
      <c r="Q117" s="4">
        <v>1</v>
      </c>
      <c r="R117" s="4" t="s">
        <v>2308</v>
      </c>
      <c r="S117" s="4" t="s">
        <v>2308</v>
      </c>
      <c r="T117" s="4" t="s">
        <v>2308</v>
      </c>
      <c r="U117" s="4" t="s">
        <v>2308</v>
      </c>
      <c r="V117" s="53" t="s">
        <v>2308</v>
      </c>
      <c r="W117" s="4"/>
    </row>
    <row r="118" spans="1:23" ht="27" customHeight="1">
      <c r="A118" s="12" t="s">
        <v>597</v>
      </c>
      <c r="B118" s="12" t="s">
        <v>602</v>
      </c>
      <c r="C118" s="24" t="s">
        <v>24</v>
      </c>
      <c r="D118" s="24" t="s">
        <v>136</v>
      </c>
      <c r="E118" s="24" t="s">
        <v>149</v>
      </c>
      <c r="F118" s="20" t="s">
        <v>74</v>
      </c>
      <c r="G118" s="20"/>
      <c r="H118" s="5" t="s">
        <v>549</v>
      </c>
      <c r="I118" s="20" t="s">
        <v>545</v>
      </c>
      <c r="J118" s="4" t="s">
        <v>2308</v>
      </c>
      <c r="K118" s="4" t="s">
        <v>2308</v>
      </c>
      <c r="L118" s="4" t="s">
        <v>2308</v>
      </c>
      <c r="M118" s="4" t="s">
        <v>542</v>
      </c>
      <c r="N118" s="4" t="s">
        <v>542</v>
      </c>
      <c r="O118" s="4" t="s">
        <v>542</v>
      </c>
      <c r="P118" s="4" t="s">
        <v>2308</v>
      </c>
      <c r="Q118" s="4">
        <v>2</v>
      </c>
      <c r="R118" s="4" t="s">
        <v>542</v>
      </c>
      <c r="S118" s="4" t="s">
        <v>542</v>
      </c>
      <c r="T118" s="4" t="s">
        <v>542</v>
      </c>
      <c r="U118" s="4" t="s">
        <v>2308</v>
      </c>
      <c r="V118" s="53">
        <v>2</v>
      </c>
      <c r="W118" s="4"/>
    </row>
    <row r="119" spans="1:23">
      <c r="A119" s="12" t="s">
        <v>601</v>
      </c>
      <c r="B119" s="12" t="s">
        <v>607</v>
      </c>
      <c r="C119" s="24" t="s">
        <v>24</v>
      </c>
      <c r="D119" s="24" t="s">
        <v>136</v>
      </c>
      <c r="E119" s="24" t="s">
        <v>27</v>
      </c>
      <c r="F119" s="20" t="s">
        <v>167</v>
      </c>
      <c r="G119" s="20"/>
      <c r="H119" s="5" t="s">
        <v>549</v>
      </c>
      <c r="I119" s="20" t="s">
        <v>545</v>
      </c>
      <c r="J119" s="4" t="s">
        <v>2308</v>
      </c>
      <c r="K119" s="4" t="s">
        <v>2308</v>
      </c>
      <c r="L119" s="4" t="s">
        <v>2308</v>
      </c>
      <c r="M119" s="4" t="s">
        <v>542</v>
      </c>
      <c r="N119" s="4" t="s">
        <v>542</v>
      </c>
      <c r="O119" s="4" t="s">
        <v>542</v>
      </c>
      <c r="P119" s="4" t="s">
        <v>2308</v>
      </c>
      <c r="Q119" s="4">
        <v>1</v>
      </c>
      <c r="R119" s="4" t="s">
        <v>2308</v>
      </c>
      <c r="S119" s="4" t="s">
        <v>2308</v>
      </c>
      <c r="T119" s="4" t="s">
        <v>2308</v>
      </c>
      <c r="U119" s="4" t="s">
        <v>2308</v>
      </c>
      <c r="V119" s="53" t="s">
        <v>2308</v>
      </c>
      <c r="W119" s="4"/>
    </row>
    <row r="120" spans="1:23">
      <c r="A120" s="12" t="s">
        <v>601</v>
      </c>
      <c r="B120" s="12" t="s">
        <v>627</v>
      </c>
      <c r="C120" s="24" t="s">
        <v>24</v>
      </c>
      <c r="D120" s="24" t="s">
        <v>136</v>
      </c>
      <c r="E120" s="24" t="s">
        <v>149</v>
      </c>
      <c r="F120" s="20" t="s">
        <v>74</v>
      </c>
      <c r="G120" s="20"/>
      <c r="H120" s="5" t="s">
        <v>549</v>
      </c>
      <c r="I120" s="20" t="s">
        <v>545</v>
      </c>
      <c r="J120" s="4" t="s">
        <v>2308</v>
      </c>
      <c r="K120" s="4" t="s">
        <v>2308</v>
      </c>
      <c r="L120" s="4" t="s">
        <v>2308</v>
      </c>
      <c r="M120" s="4" t="s">
        <v>542</v>
      </c>
      <c r="N120" s="4" t="s">
        <v>542</v>
      </c>
      <c r="O120" s="4" t="s">
        <v>542</v>
      </c>
      <c r="P120" s="4" t="s">
        <v>2308</v>
      </c>
      <c r="Q120" s="4">
        <v>2</v>
      </c>
      <c r="R120" s="4" t="s">
        <v>542</v>
      </c>
      <c r="S120" s="4" t="s">
        <v>542</v>
      </c>
      <c r="T120" s="4" t="s">
        <v>542</v>
      </c>
      <c r="U120" s="4" t="s">
        <v>2308</v>
      </c>
      <c r="V120" s="53">
        <v>2</v>
      </c>
      <c r="W120" s="4"/>
    </row>
    <row r="121" spans="1:23">
      <c r="A121" s="12" t="s">
        <v>603</v>
      </c>
      <c r="B121" s="12" t="s">
        <v>605</v>
      </c>
      <c r="C121" s="24" t="s">
        <v>24</v>
      </c>
      <c r="D121" s="24" t="s">
        <v>136</v>
      </c>
      <c r="E121" s="24" t="s">
        <v>27</v>
      </c>
      <c r="F121" s="20" t="s">
        <v>167</v>
      </c>
      <c r="G121" s="20"/>
      <c r="H121" s="5" t="s">
        <v>549</v>
      </c>
      <c r="I121" s="20" t="s">
        <v>545</v>
      </c>
      <c r="J121" s="4" t="s">
        <v>2308</v>
      </c>
      <c r="K121" s="4" t="s">
        <v>2308</v>
      </c>
      <c r="L121" s="4" t="s">
        <v>2308</v>
      </c>
      <c r="M121" s="4" t="s">
        <v>542</v>
      </c>
      <c r="N121" s="4" t="s">
        <v>542</v>
      </c>
      <c r="O121" s="4" t="s">
        <v>542</v>
      </c>
      <c r="P121" s="4" t="s">
        <v>2308</v>
      </c>
      <c r="Q121" s="4">
        <v>1</v>
      </c>
      <c r="R121" s="4" t="s">
        <v>2308</v>
      </c>
      <c r="S121" s="4" t="s">
        <v>2308</v>
      </c>
      <c r="T121" s="4" t="s">
        <v>2308</v>
      </c>
      <c r="U121" s="4" t="s">
        <v>2308</v>
      </c>
      <c r="V121" s="53" t="s">
        <v>2308</v>
      </c>
      <c r="W121" s="4"/>
    </row>
    <row r="122" spans="1:23">
      <c r="A122" s="12" t="s">
        <v>603</v>
      </c>
      <c r="B122" s="12" t="s">
        <v>628</v>
      </c>
      <c r="C122" s="24" t="s">
        <v>24</v>
      </c>
      <c r="D122" s="24" t="s">
        <v>136</v>
      </c>
      <c r="E122" s="24" t="s">
        <v>149</v>
      </c>
      <c r="F122" s="20" t="s">
        <v>74</v>
      </c>
      <c r="G122" s="20"/>
      <c r="H122" s="5" t="s">
        <v>549</v>
      </c>
      <c r="I122" s="20" t="s">
        <v>545</v>
      </c>
      <c r="J122" s="4" t="s">
        <v>2308</v>
      </c>
      <c r="K122" s="4" t="s">
        <v>2308</v>
      </c>
      <c r="L122" s="4" t="s">
        <v>2308</v>
      </c>
      <c r="M122" s="4" t="s">
        <v>542</v>
      </c>
      <c r="N122" s="4" t="s">
        <v>542</v>
      </c>
      <c r="O122" s="4" t="s">
        <v>542</v>
      </c>
      <c r="P122" s="4" t="s">
        <v>2308</v>
      </c>
      <c r="Q122" s="4">
        <v>2</v>
      </c>
      <c r="R122" s="4" t="s">
        <v>542</v>
      </c>
      <c r="S122" s="4" t="s">
        <v>542</v>
      </c>
      <c r="T122" s="4" t="s">
        <v>542</v>
      </c>
      <c r="U122" s="4" t="s">
        <v>2308</v>
      </c>
      <c r="V122" s="53">
        <v>2</v>
      </c>
      <c r="W122" s="4"/>
    </row>
    <row r="123" spans="1:23">
      <c r="A123" s="12" t="s">
        <v>606</v>
      </c>
      <c r="B123" s="12" t="s">
        <v>608</v>
      </c>
      <c r="C123" s="24" t="s">
        <v>24</v>
      </c>
      <c r="D123" s="24" t="s">
        <v>136</v>
      </c>
      <c r="E123" s="24" t="s">
        <v>27</v>
      </c>
      <c r="F123" s="20" t="s">
        <v>167</v>
      </c>
      <c r="G123" s="20"/>
      <c r="H123" s="5" t="s">
        <v>549</v>
      </c>
      <c r="I123" s="20" t="s">
        <v>545</v>
      </c>
      <c r="J123" s="4" t="s">
        <v>2308</v>
      </c>
      <c r="K123" s="4" t="s">
        <v>2308</v>
      </c>
      <c r="L123" s="4" t="s">
        <v>2308</v>
      </c>
      <c r="M123" s="4" t="s">
        <v>542</v>
      </c>
      <c r="N123" s="4" t="s">
        <v>542</v>
      </c>
      <c r="O123" s="4" t="s">
        <v>542</v>
      </c>
      <c r="P123" s="4" t="s">
        <v>2308</v>
      </c>
      <c r="Q123" s="4">
        <v>1</v>
      </c>
      <c r="R123" s="4" t="s">
        <v>2308</v>
      </c>
      <c r="S123" s="4" t="s">
        <v>2308</v>
      </c>
      <c r="T123" s="4" t="s">
        <v>2308</v>
      </c>
      <c r="U123" s="4" t="s">
        <v>2308</v>
      </c>
      <c r="V123" s="53" t="s">
        <v>2308</v>
      </c>
      <c r="W123" s="4"/>
    </row>
    <row r="124" spans="1:23">
      <c r="A124" s="12" t="s">
        <v>606</v>
      </c>
      <c r="B124" s="12" t="s">
        <v>629</v>
      </c>
      <c r="C124" s="24" t="s">
        <v>24</v>
      </c>
      <c r="D124" s="24" t="s">
        <v>136</v>
      </c>
      <c r="E124" s="24" t="s">
        <v>149</v>
      </c>
      <c r="F124" s="20" t="s">
        <v>74</v>
      </c>
      <c r="G124" s="20"/>
      <c r="H124" s="5" t="s">
        <v>549</v>
      </c>
      <c r="I124" s="20" t="s">
        <v>545</v>
      </c>
      <c r="J124" s="4" t="s">
        <v>2308</v>
      </c>
      <c r="K124" s="4" t="s">
        <v>2308</v>
      </c>
      <c r="L124" s="4" t="s">
        <v>2308</v>
      </c>
      <c r="M124" s="4" t="s">
        <v>542</v>
      </c>
      <c r="N124" s="4" t="s">
        <v>542</v>
      </c>
      <c r="O124" s="4" t="s">
        <v>542</v>
      </c>
      <c r="P124" s="4" t="s">
        <v>2308</v>
      </c>
      <c r="Q124" s="4">
        <v>2</v>
      </c>
      <c r="R124" s="4" t="s">
        <v>542</v>
      </c>
      <c r="S124" s="4" t="s">
        <v>542</v>
      </c>
      <c r="T124" s="4" t="s">
        <v>542</v>
      </c>
      <c r="U124" s="4" t="s">
        <v>2308</v>
      </c>
      <c r="V124" s="53">
        <v>2</v>
      </c>
      <c r="W124" s="4"/>
    </row>
    <row r="125" spans="1:23">
      <c r="A125" s="12" t="s">
        <v>609</v>
      </c>
      <c r="B125" s="12" t="s">
        <v>610</v>
      </c>
      <c r="C125" s="24" t="s">
        <v>24</v>
      </c>
      <c r="D125" s="24" t="s">
        <v>136</v>
      </c>
      <c r="E125" s="24" t="s">
        <v>27</v>
      </c>
      <c r="F125" s="20" t="s">
        <v>167</v>
      </c>
      <c r="G125" s="20"/>
      <c r="H125" s="5" t="s">
        <v>549</v>
      </c>
      <c r="I125" s="20" t="s">
        <v>545</v>
      </c>
      <c r="J125" s="4" t="s">
        <v>2308</v>
      </c>
      <c r="K125" s="4" t="s">
        <v>2308</v>
      </c>
      <c r="L125" s="4" t="s">
        <v>2308</v>
      </c>
      <c r="M125" s="4" t="s">
        <v>542</v>
      </c>
      <c r="N125" s="4" t="s">
        <v>542</v>
      </c>
      <c r="O125" s="4" t="s">
        <v>542</v>
      </c>
      <c r="P125" s="4" t="s">
        <v>2308</v>
      </c>
      <c r="Q125" s="4">
        <v>1</v>
      </c>
      <c r="R125" s="4" t="s">
        <v>2308</v>
      </c>
      <c r="S125" s="4" t="s">
        <v>2308</v>
      </c>
      <c r="T125" s="4" t="s">
        <v>2308</v>
      </c>
      <c r="U125" s="4" t="s">
        <v>2308</v>
      </c>
      <c r="V125" s="53" t="s">
        <v>2308</v>
      </c>
      <c r="W125" s="4"/>
    </row>
    <row r="126" spans="1:23">
      <c r="A126" s="12" t="s">
        <v>609</v>
      </c>
      <c r="B126" s="12" t="s">
        <v>630</v>
      </c>
      <c r="C126" s="24" t="s">
        <v>24</v>
      </c>
      <c r="D126" s="24" t="s">
        <v>136</v>
      </c>
      <c r="E126" s="24" t="s">
        <v>149</v>
      </c>
      <c r="F126" s="20" t="s">
        <v>74</v>
      </c>
      <c r="G126" s="20"/>
      <c r="H126" s="5" t="s">
        <v>549</v>
      </c>
      <c r="I126" s="20" t="s">
        <v>545</v>
      </c>
      <c r="J126" s="4" t="s">
        <v>2308</v>
      </c>
      <c r="K126" s="4" t="s">
        <v>2308</v>
      </c>
      <c r="L126" s="4" t="s">
        <v>2308</v>
      </c>
      <c r="M126" s="4" t="s">
        <v>542</v>
      </c>
      <c r="N126" s="4" t="s">
        <v>542</v>
      </c>
      <c r="O126" s="4" t="s">
        <v>542</v>
      </c>
      <c r="P126" s="4" t="s">
        <v>2308</v>
      </c>
      <c r="Q126" s="4">
        <v>2</v>
      </c>
      <c r="R126" s="4" t="s">
        <v>542</v>
      </c>
      <c r="S126" s="4" t="s">
        <v>542</v>
      </c>
      <c r="T126" s="4" t="s">
        <v>542</v>
      </c>
      <c r="U126" s="4" t="s">
        <v>2308</v>
      </c>
      <c r="V126" s="53">
        <v>2</v>
      </c>
      <c r="W126" s="4"/>
    </row>
    <row r="127" spans="1:23" ht="27" customHeight="1">
      <c r="A127" s="12" t="s">
        <v>671</v>
      </c>
      <c r="B127" s="12" t="s">
        <v>675</v>
      </c>
      <c r="C127" s="24" t="s">
        <v>24</v>
      </c>
      <c r="D127" s="24" t="s">
        <v>136</v>
      </c>
      <c r="E127" s="24" t="s">
        <v>27</v>
      </c>
      <c r="F127" s="20" t="s">
        <v>167</v>
      </c>
      <c r="G127" s="20"/>
      <c r="H127" s="5" t="s">
        <v>549</v>
      </c>
      <c r="I127" s="4" t="s">
        <v>2308</v>
      </c>
      <c r="J127" s="4" t="s">
        <v>2308</v>
      </c>
      <c r="K127" s="4" t="s">
        <v>2308</v>
      </c>
      <c r="L127" s="4" t="s">
        <v>2308</v>
      </c>
      <c r="M127" s="4" t="s">
        <v>545</v>
      </c>
      <c r="N127" s="4" t="s">
        <v>2308</v>
      </c>
      <c r="O127" s="4" t="s">
        <v>2308</v>
      </c>
      <c r="P127" s="4" t="s">
        <v>2308</v>
      </c>
      <c r="Q127" s="4" t="s">
        <v>2308</v>
      </c>
      <c r="R127" s="4" t="s">
        <v>545</v>
      </c>
      <c r="S127" s="4" t="s">
        <v>2308</v>
      </c>
      <c r="T127" s="4" t="s">
        <v>2308</v>
      </c>
      <c r="U127" s="4" t="s">
        <v>2308</v>
      </c>
      <c r="V127" s="53" t="s">
        <v>2308</v>
      </c>
      <c r="W127" s="4"/>
    </row>
    <row r="128" spans="1:23" ht="32.5" customHeight="1">
      <c r="A128" s="12" t="s">
        <v>671</v>
      </c>
      <c r="B128" s="12" t="s">
        <v>674</v>
      </c>
      <c r="C128" s="24" t="s">
        <v>24</v>
      </c>
      <c r="D128" s="24" t="s">
        <v>136</v>
      </c>
      <c r="E128" s="24" t="s">
        <v>27</v>
      </c>
      <c r="F128" s="20" t="s">
        <v>74</v>
      </c>
      <c r="G128" s="20"/>
      <c r="H128" s="5" t="s">
        <v>549</v>
      </c>
      <c r="I128" s="4" t="s">
        <v>2308</v>
      </c>
      <c r="J128" s="4" t="s">
        <v>2308</v>
      </c>
      <c r="K128" s="4" t="s">
        <v>2308</v>
      </c>
      <c r="L128" s="4" t="s">
        <v>2308</v>
      </c>
      <c r="M128" s="4" t="s">
        <v>2308</v>
      </c>
      <c r="N128" s="4" t="s">
        <v>2308</v>
      </c>
      <c r="O128" s="4" t="s">
        <v>2308</v>
      </c>
      <c r="P128" s="4" t="s">
        <v>2308</v>
      </c>
      <c r="Q128" s="4" t="s">
        <v>2308</v>
      </c>
      <c r="R128" s="4" t="s">
        <v>542</v>
      </c>
      <c r="S128" s="4" t="s">
        <v>2308</v>
      </c>
      <c r="T128" s="4" t="s">
        <v>542</v>
      </c>
      <c r="U128" s="4" t="s">
        <v>2308</v>
      </c>
      <c r="V128" s="53" t="s">
        <v>2308</v>
      </c>
      <c r="W128" s="4"/>
    </row>
    <row r="129" spans="1:23" ht="84" customHeight="1">
      <c r="A129" s="12" t="s">
        <v>687</v>
      </c>
      <c r="B129" s="12" t="s">
        <v>693</v>
      </c>
      <c r="C129" s="24" t="s">
        <v>24</v>
      </c>
      <c r="D129" s="100" t="s">
        <v>136</v>
      </c>
      <c r="E129" s="24" t="s">
        <v>27</v>
      </c>
      <c r="F129" s="20" t="s">
        <v>74</v>
      </c>
      <c r="G129" s="20"/>
      <c r="H129" s="5" t="s">
        <v>549</v>
      </c>
      <c r="I129" s="4" t="s">
        <v>2308</v>
      </c>
      <c r="J129" s="4" t="s">
        <v>2308</v>
      </c>
      <c r="K129" s="4" t="s">
        <v>2308</v>
      </c>
      <c r="L129" s="4" t="s">
        <v>2308</v>
      </c>
      <c r="M129" s="4" t="s">
        <v>2308</v>
      </c>
      <c r="N129" s="4" t="s">
        <v>2308</v>
      </c>
      <c r="O129" s="4" t="s">
        <v>2308</v>
      </c>
      <c r="P129" s="4" t="s">
        <v>2308</v>
      </c>
      <c r="Q129" s="4" t="s">
        <v>2308</v>
      </c>
      <c r="R129" s="4" t="s">
        <v>542</v>
      </c>
      <c r="S129" s="4" t="s">
        <v>542</v>
      </c>
      <c r="T129" s="4" t="s">
        <v>542</v>
      </c>
      <c r="U129" s="4" t="s">
        <v>2308</v>
      </c>
      <c r="V129" s="53">
        <v>4</v>
      </c>
      <c r="W129" s="5" t="s">
        <v>2051</v>
      </c>
    </row>
    <row r="130" spans="1:23" ht="21" customHeight="1">
      <c r="A130" s="4" t="s">
        <v>708</v>
      </c>
      <c r="B130" s="12" t="s">
        <v>729</v>
      </c>
      <c r="C130" s="24" t="s">
        <v>24</v>
      </c>
      <c r="D130" s="100" t="s">
        <v>136</v>
      </c>
      <c r="E130" s="24" t="s">
        <v>149</v>
      </c>
      <c r="F130" s="20" t="s">
        <v>74</v>
      </c>
      <c r="G130" s="20"/>
      <c r="H130" s="5" t="s">
        <v>549</v>
      </c>
      <c r="I130" s="4" t="s">
        <v>2308</v>
      </c>
      <c r="J130" s="4" t="s">
        <v>2308</v>
      </c>
      <c r="K130" s="4" t="s">
        <v>2308</v>
      </c>
      <c r="L130" s="4" t="s">
        <v>2308</v>
      </c>
      <c r="M130" s="4" t="s">
        <v>2308</v>
      </c>
      <c r="N130" s="4" t="s">
        <v>2308</v>
      </c>
      <c r="O130" s="4" t="s">
        <v>2308</v>
      </c>
      <c r="P130" s="4" t="s">
        <v>2308</v>
      </c>
      <c r="Q130" s="4" t="s">
        <v>2308</v>
      </c>
      <c r="R130" s="4" t="s">
        <v>542</v>
      </c>
      <c r="S130" s="4" t="s">
        <v>542</v>
      </c>
      <c r="T130" s="4" t="s">
        <v>542</v>
      </c>
      <c r="U130" s="4" t="s">
        <v>2308</v>
      </c>
      <c r="V130" s="53" t="s">
        <v>2</v>
      </c>
      <c r="W130" s="4"/>
    </row>
    <row r="131" spans="1:23" ht="25.5" customHeight="1">
      <c r="A131" s="4" t="s">
        <v>708</v>
      </c>
      <c r="B131" s="12" t="s">
        <v>732</v>
      </c>
      <c r="C131" s="24" t="s">
        <v>24</v>
      </c>
      <c r="D131" s="100" t="s">
        <v>136</v>
      </c>
      <c r="E131" s="24" t="s">
        <v>27</v>
      </c>
      <c r="F131" s="20" t="s">
        <v>74</v>
      </c>
      <c r="G131" s="20"/>
      <c r="H131" s="5" t="s">
        <v>549</v>
      </c>
      <c r="I131" s="4" t="s">
        <v>2308</v>
      </c>
      <c r="J131" s="4" t="s">
        <v>2308</v>
      </c>
      <c r="K131" s="4" t="s">
        <v>2308</v>
      </c>
      <c r="L131" s="4" t="s">
        <v>2308</v>
      </c>
      <c r="M131" s="4" t="s">
        <v>2308</v>
      </c>
      <c r="N131" s="4" t="s">
        <v>2308</v>
      </c>
      <c r="O131" s="4" t="s">
        <v>2308</v>
      </c>
      <c r="P131" s="4" t="s">
        <v>2308</v>
      </c>
      <c r="Q131" s="4" t="s">
        <v>2308</v>
      </c>
      <c r="R131" s="4" t="s">
        <v>542</v>
      </c>
      <c r="S131" s="4" t="s">
        <v>542</v>
      </c>
      <c r="T131" s="4" t="s">
        <v>542</v>
      </c>
      <c r="U131" s="4" t="s">
        <v>2308</v>
      </c>
      <c r="V131" s="53" t="s">
        <v>2</v>
      </c>
      <c r="W131" s="4"/>
    </row>
    <row r="132" spans="1:23">
      <c r="A132" s="4" t="s">
        <v>709</v>
      </c>
      <c r="B132" s="12" t="s">
        <v>730</v>
      </c>
      <c r="C132" s="24" t="s">
        <v>24</v>
      </c>
      <c r="D132" s="100" t="s">
        <v>136</v>
      </c>
      <c r="E132" s="24" t="s">
        <v>149</v>
      </c>
      <c r="F132" s="20" t="s">
        <v>74</v>
      </c>
      <c r="G132" s="20"/>
      <c r="H132" s="5" t="s">
        <v>549</v>
      </c>
      <c r="I132" s="4" t="s">
        <v>2308</v>
      </c>
      <c r="J132" s="4" t="s">
        <v>2308</v>
      </c>
      <c r="K132" s="4" t="s">
        <v>2308</v>
      </c>
      <c r="L132" s="4" t="s">
        <v>2308</v>
      </c>
      <c r="M132" s="4" t="s">
        <v>2308</v>
      </c>
      <c r="N132" s="4" t="s">
        <v>2308</v>
      </c>
      <c r="O132" s="4" t="s">
        <v>2308</v>
      </c>
      <c r="P132" s="4" t="s">
        <v>2308</v>
      </c>
      <c r="Q132" s="4" t="s">
        <v>2308</v>
      </c>
      <c r="R132" s="4" t="s">
        <v>542</v>
      </c>
      <c r="S132" s="4" t="s">
        <v>542</v>
      </c>
      <c r="T132" s="4" t="s">
        <v>542</v>
      </c>
      <c r="U132" s="4" t="s">
        <v>2308</v>
      </c>
      <c r="V132" s="53" t="s">
        <v>2</v>
      </c>
      <c r="W132" s="4"/>
    </row>
    <row r="133" spans="1:23">
      <c r="A133" s="4" t="s">
        <v>709</v>
      </c>
      <c r="B133" s="12" t="s">
        <v>733</v>
      </c>
      <c r="C133" s="24" t="s">
        <v>24</v>
      </c>
      <c r="D133" s="100" t="s">
        <v>136</v>
      </c>
      <c r="E133" s="24" t="s">
        <v>27</v>
      </c>
      <c r="F133" s="20" t="s">
        <v>74</v>
      </c>
      <c r="G133" s="20"/>
      <c r="H133" s="5" t="s">
        <v>549</v>
      </c>
      <c r="I133" s="4" t="s">
        <v>2308</v>
      </c>
      <c r="J133" s="4" t="s">
        <v>2308</v>
      </c>
      <c r="K133" s="4" t="s">
        <v>2308</v>
      </c>
      <c r="L133" s="4" t="s">
        <v>2308</v>
      </c>
      <c r="M133" s="4" t="s">
        <v>2308</v>
      </c>
      <c r="N133" s="4" t="s">
        <v>2308</v>
      </c>
      <c r="O133" s="4" t="s">
        <v>2308</v>
      </c>
      <c r="P133" s="4" t="s">
        <v>2308</v>
      </c>
      <c r="Q133" s="4" t="s">
        <v>2308</v>
      </c>
      <c r="R133" s="4" t="s">
        <v>542</v>
      </c>
      <c r="S133" s="4" t="s">
        <v>542</v>
      </c>
      <c r="T133" s="4" t="s">
        <v>542</v>
      </c>
      <c r="U133" s="4" t="s">
        <v>2308</v>
      </c>
      <c r="V133" s="53" t="s">
        <v>2</v>
      </c>
      <c r="W133" s="4"/>
    </row>
    <row r="134" spans="1:23">
      <c r="A134" s="4" t="s">
        <v>710</v>
      </c>
      <c r="B134" s="12" t="s">
        <v>731</v>
      </c>
      <c r="C134" s="24" t="s">
        <v>24</v>
      </c>
      <c r="D134" s="100" t="s">
        <v>136</v>
      </c>
      <c r="E134" s="24" t="s">
        <v>149</v>
      </c>
      <c r="F134" s="20" t="s">
        <v>74</v>
      </c>
      <c r="G134" s="20"/>
      <c r="H134" s="5" t="s">
        <v>549</v>
      </c>
      <c r="I134" s="4" t="s">
        <v>2308</v>
      </c>
      <c r="J134" s="4" t="s">
        <v>2308</v>
      </c>
      <c r="K134" s="4" t="s">
        <v>2308</v>
      </c>
      <c r="L134" s="4" t="s">
        <v>2308</v>
      </c>
      <c r="M134" s="4" t="s">
        <v>2308</v>
      </c>
      <c r="N134" s="4" t="s">
        <v>2308</v>
      </c>
      <c r="O134" s="4" t="s">
        <v>2308</v>
      </c>
      <c r="P134" s="4" t="s">
        <v>2308</v>
      </c>
      <c r="Q134" s="4" t="s">
        <v>2308</v>
      </c>
      <c r="R134" s="4" t="s">
        <v>542</v>
      </c>
      <c r="S134" s="4" t="s">
        <v>542</v>
      </c>
      <c r="T134" s="4" t="s">
        <v>542</v>
      </c>
      <c r="U134" s="4" t="s">
        <v>2308</v>
      </c>
      <c r="V134" s="53" t="s">
        <v>2</v>
      </c>
      <c r="W134" s="4"/>
    </row>
    <row r="135" spans="1:23">
      <c r="A135" s="12" t="s">
        <v>710</v>
      </c>
      <c r="B135" s="12" t="s">
        <v>734</v>
      </c>
      <c r="C135" s="24" t="s">
        <v>24</v>
      </c>
      <c r="D135" s="24" t="s">
        <v>136</v>
      </c>
      <c r="E135" s="24" t="s">
        <v>27</v>
      </c>
      <c r="F135" s="20" t="s">
        <v>74</v>
      </c>
      <c r="G135" s="20"/>
      <c r="H135" s="5" t="s">
        <v>549</v>
      </c>
      <c r="I135" s="4" t="s">
        <v>2308</v>
      </c>
      <c r="J135" s="4" t="s">
        <v>2308</v>
      </c>
      <c r="K135" s="4" t="s">
        <v>2308</v>
      </c>
      <c r="L135" s="4" t="s">
        <v>2308</v>
      </c>
      <c r="M135" s="4" t="s">
        <v>2308</v>
      </c>
      <c r="N135" s="4" t="s">
        <v>2308</v>
      </c>
      <c r="O135" s="4" t="s">
        <v>2308</v>
      </c>
      <c r="P135" s="4" t="s">
        <v>2308</v>
      </c>
      <c r="Q135" s="4" t="s">
        <v>2308</v>
      </c>
      <c r="R135" s="4" t="s">
        <v>542</v>
      </c>
      <c r="S135" s="4" t="s">
        <v>542</v>
      </c>
      <c r="T135" s="4" t="s">
        <v>542</v>
      </c>
      <c r="U135" s="4" t="s">
        <v>2308</v>
      </c>
      <c r="V135" s="53" t="s">
        <v>2</v>
      </c>
      <c r="W135" s="4"/>
    </row>
    <row r="136" spans="1:23" ht="22" customHeight="1">
      <c r="A136" s="12" t="s">
        <v>763</v>
      </c>
      <c r="B136" s="12" t="s">
        <v>773</v>
      </c>
      <c r="C136" s="24" t="s">
        <v>24</v>
      </c>
      <c r="D136" s="24" t="s">
        <v>136</v>
      </c>
      <c r="E136" s="24" t="s">
        <v>27</v>
      </c>
      <c r="F136" s="20" t="s">
        <v>74</v>
      </c>
      <c r="G136" s="20"/>
      <c r="H136" s="5" t="s">
        <v>549</v>
      </c>
      <c r="I136" s="4" t="s">
        <v>2308</v>
      </c>
      <c r="J136" s="4" t="s">
        <v>2308</v>
      </c>
      <c r="K136" s="4" t="s">
        <v>2308</v>
      </c>
      <c r="L136" s="4" t="s">
        <v>2308</v>
      </c>
      <c r="M136" s="4" t="s">
        <v>2308</v>
      </c>
      <c r="N136" s="4" t="s">
        <v>2308</v>
      </c>
      <c r="O136" s="4" t="s">
        <v>2308</v>
      </c>
      <c r="P136" s="4" t="s">
        <v>2308</v>
      </c>
      <c r="Q136" s="4" t="s">
        <v>2308</v>
      </c>
      <c r="R136" s="4" t="s">
        <v>542</v>
      </c>
      <c r="S136" s="4" t="s">
        <v>542</v>
      </c>
      <c r="T136" s="4" t="s">
        <v>542</v>
      </c>
      <c r="U136" s="4" t="s">
        <v>2308</v>
      </c>
      <c r="V136" s="53" t="s">
        <v>2</v>
      </c>
      <c r="W136" s="4"/>
    </row>
    <row r="137" spans="1:23" ht="22.5" customHeight="1">
      <c r="A137" s="12" t="s">
        <v>766</v>
      </c>
      <c r="B137" s="12" t="s">
        <v>774</v>
      </c>
      <c r="C137" s="24" t="s">
        <v>24</v>
      </c>
      <c r="D137" s="24" t="s">
        <v>136</v>
      </c>
      <c r="E137" s="24" t="s">
        <v>27</v>
      </c>
      <c r="F137" s="20" t="s">
        <v>74</v>
      </c>
      <c r="G137" s="20"/>
      <c r="H137" s="5" t="s">
        <v>549</v>
      </c>
      <c r="I137" s="4" t="s">
        <v>2308</v>
      </c>
      <c r="J137" s="4" t="s">
        <v>2308</v>
      </c>
      <c r="K137" s="4" t="s">
        <v>2308</v>
      </c>
      <c r="L137" s="4" t="s">
        <v>2308</v>
      </c>
      <c r="M137" s="4" t="s">
        <v>2308</v>
      </c>
      <c r="N137" s="4" t="s">
        <v>2308</v>
      </c>
      <c r="O137" s="4" t="s">
        <v>2308</v>
      </c>
      <c r="P137" s="4" t="s">
        <v>2308</v>
      </c>
      <c r="Q137" s="4" t="s">
        <v>2308</v>
      </c>
      <c r="R137" s="4" t="s">
        <v>542</v>
      </c>
      <c r="S137" s="4" t="s">
        <v>542</v>
      </c>
      <c r="T137" s="4" t="s">
        <v>542</v>
      </c>
      <c r="U137" s="4" t="s">
        <v>2308</v>
      </c>
      <c r="V137" s="53" t="s">
        <v>2</v>
      </c>
      <c r="W137" s="4"/>
    </row>
    <row r="138" spans="1:23" ht="23.5" customHeight="1">
      <c r="A138" s="12" t="s">
        <v>767</v>
      </c>
      <c r="B138" s="12" t="s">
        <v>775</v>
      </c>
      <c r="C138" s="24" t="s">
        <v>24</v>
      </c>
      <c r="D138" s="24" t="s">
        <v>136</v>
      </c>
      <c r="E138" s="24" t="s">
        <v>27</v>
      </c>
      <c r="F138" s="20" t="s">
        <v>74</v>
      </c>
      <c r="G138" s="20"/>
      <c r="H138" s="5" t="s">
        <v>549</v>
      </c>
      <c r="I138" s="4" t="s">
        <v>2308</v>
      </c>
      <c r="J138" s="4" t="s">
        <v>2308</v>
      </c>
      <c r="K138" s="4" t="s">
        <v>2308</v>
      </c>
      <c r="L138" s="4" t="s">
        <v>2308</v>
      </c>
      <c r="M138" s="4" t="s">
        <v>2308</v>
      </c>
      <c r="N138" s="4" t="s">
        <v>2308</v>
      </c>
      <c r="O138" s="4" t="s">
        <v>2308</v>
      </c>
      <c r="P138" s="4" t="s">
        <v>2308</v>
      </c>
      <c r="Q138" s="4" t="s">
        <v>2308</v>
      </c>
      <c r="R138" s="4" t="s">
        <v>542</v>
      </c>
      <c r="S138" s="4" t="s">
        <v>542</v>
      </c>
      <c r="T138" s="4" t="s">
        <v>542</v>
      </c>
      <c r="U138" s="4" t="s">
        <v>2308</v>
      </c>
      <c r="V138" s="53" t="s">
        <v>2</v>
      </c>
      <c r="W138" s="4"/>
    </row>
    <row r="139" spans="1:23" ht="64" customHeight="1">
      <c r="A139" s="12" t="s">
        <v>809</v>
      </c>
      <c r="B139" s="12" t="s">
        <v>822</v>
      </c>
      <c r="C139" s="24" t="s">
        <v>24</v>
      </c>
      <c r="D139" s="24" t="s">
        <v>136</v>
      </c>
      <c r="E139" s="24" t="s">
        <v>27</v>
      </c>
      <c r="F139" s="20" t="s">
        <v>167</v>
      </c>
      <c r="G139" s="20"/>
      <c r="H139" s="5" t="s">
        <v>549</v>
      </c>
      <c r="I139" s="4" t="s">
        <v>2723</v>
      </c>
      <c r="J139" s="4" t="s">
        <v>542</v>
      </c>
      <c r="K139" s="4" t="s">
        <v>2308</v>
      </c>
      <c r="L139" s="4" t="s">
        <v>2308</v>
      </c>
      <c r="M139" s="4" t="s">
        <v>2308</v>
      </c>
      <c r="N139" s="4" t="s">
        <v>2308</v>
      </c>
      <c r="O139" s="4" t="s">
        <v>2308</v>
      </c>
      <c r="P139" s="4" t="s">
        <v>2308</v>
      </c>
      <c r="Q139" s="4" t="s">
        <v>2308</v>
      </c>
      <c r="R139" s="4" t="s">
        <v>2308</v>
      </c>
      <c r="S139" s="4" t="s">
        <v>2308</v>
      </c>
      <c r="T139" s="4" t="s">
        <v>2308</v>
      </c>
      <c r="U139" s="4" t="s">
        <v>2308</v>
      </c>
      <c r="V139" s="53" t="s">
        <v>2308</v>
      </c>
      <c r="W139" s="5" t="s">
        <v>2091</v>
      </c>
    </row>
    <row r="140" spans="1:23" ht="59" customHeight="1">
      <c r="A140" s="12" t="s">
        <v>810</v>
      </c>
      <c r="B140" s="12" t="s">
        <v>823</v>
      </c>
      <c r="C140" s="24" t="s">
        <v>24</v>
      </c>
      <c r="D140" s="24" t="s">
        <v>136</v>
      </c>
      <c r="E140" s="24" t="s">
        <v>27</v>
      </c>
      <c r="F140" s="20" t="s">
        <v>167</v>
      </c>
      <c r="G140" s="20"/>
      <c r="H140" s="5" t="s">
        <v>549</v>
      </c>
      <c r="I140" s="4" t="s">
        <v>2723</v>
      </c>
      <c r="J140" s="4" t="s">
        <v>542</v>
      </c>
      <c r="K140" s="4" t="s">
        <v>2308</v>
      </c>
      <c r="L140" s="4" t="s">
        <v>2308</v>
      </c>
      <c r="M140" s="4" t="s">
        <v>2308</v>
      </c>
      <c r="N140" s="4" t="s">
        <v>2308</v>
      </c>
      <c r="O140" s="4" t="s">
        <v>2308</v>
      </c>
      <c r="P140" s="4" t="s">
        <v>2308</v>
      </c>
      <c r="Q140" s="4" t="s">
        <v>2308</v>
      </c>
      <c r="R140" s="4" t="s">
        <v>2308</v>
      </c>
      <c r="S140" s="4" t="s">
        <v>2308</v>
      </c>
      <c r="T140" s="4" t="s">
        <v>2308</v>
      </c>
      <c r="U140" s="4" t="s">
        <v>2308</v>
      </c>
      <c r="V140" s="53" t="s">
        <v>2308</v>
      </c>
      <c r="W140" s="5" t="s">
        <v>2091</v>
      </c>
    </row>
    <row r="141" spans="1:23" ht="64.5" customHeight="1">
      <c r="A141" s="12" t="s">
        <v>811</v>
      </c>
      <c r="B141" s="12" t="s">
        <v>824</v>
      </c>
      <c r="C141" s="24" t="s">
        <v>24</v>
      </c>
      <c r="D141" s="24" t="s">
        <v>136</v>
      </c>
      <c r="E141" s="24" t="s">
        <v>27</v>
      </c>
      <c r="F141" s="20" t="s">
        <v>167</v>
      </c>
      <c r="G141" s="20"/>
      <c r="H141" s="5" t="s">
        <v>549</v>
      </c>
      <c r="I141" s="4" t="s">
        <v>2723</v>
      </c>
      <c r="J141" s="4" t="s">
        <v>542</v>
      </c>
      <c r="K141" s="4" t="s">
        <v>2308</v>
      </c>
      <c r="L141" s="4" t="s">
        <v>2308</v>
      </c>
      <c r="M141" s="4" t="s">
        <v>2308</v>
      </c>
      <c r="N141" s="4" t="s">
        <v>2308</v>
      </c>
      <c r="O141" s="4" t="s">
        <v>2308</v>
      </c>
      <c r="P141" s="4" t="s">
        <v>2308</v>
      </c>
      <c r="Q141" s="4" t="s">
        <v>2308</v>
      </c>
      <c r="R141" s="4" t="s">
        <v>2308</v>
      </c>
      <c r="S141" s="4" t="s">
        <v>2308</v>
      </c>
      <c r="T141" s="4" t="s">
        <v>2308</v>
      </c>
      <c r="U141" s="4" t="s">
        <v>2308</v>
      </c>
      <c r="V141" s="53" t="s">
        <v>2308</v>
      </c>
      <c r="W141" s="5" t="s">
        <v>2091</v>
      </c>
    </row>
    <row r="142" spans="1:23" ht="64.5" customHeight="1">
      <c r="A142" s="12" t="s">
        <v>812</v>
      </c>
      <c r="B142" s="12" t="s">
        <v>825</v>
      </c>
      <c r="C142" s="24" t="s">
        <v>24</v>
      </c>
      <c r="D142" s="24" t="s">
        <v>136</v>
      </c>
      <c r="E142" s="24" t="s">
        <v>27</v>
      </c>
      <c r="F142" s="20" t="s">
        <v>167</v>
      </c>
      <c r="G142" s="20"/>
      <c r="H142" s="5" t="s">
        <v>549</v>
      </c>
      <c r="I142" s="4" t="s">
        <v>2723</v>
      </c>
      <c r="J142" s="4" t="s">
        <v>542</v>
      </c>
      <c r="K142" s="4" t="s">
        <v>2308</v>
      </c>
      <c r="L142" s="4" t="s">
        <v>2308</v>
      </c>
      <c r="M142" s="4" t="s">
        <v>2308</v>
      </c>
      <c r="N142" s="4" t="s">
        <v>2308</v>
      </c>
      <c r="O142" s="4" t="s">
        <v>2308</v>
      </c>
      <c r="P142" s="4" t="s">
        <v>2308</v>
      </c>
      <c r="Q142" s="4" t="s">
        <v>2308</v>
      </c>
      <c r="R142" s="4" t="s">
        <v>2308</v>
      </c>
      <c r="S142" s="4" t="s">
        <v>2308</v>
      </c>
      <c r="T142" s="4" t="s">
        <v>2308</v>
      </c>
      <c r="U142" s="4" t="s">
        <v>2308</v>
      </c>
      <c r="V142" s="53" t="s">
        <v>2308</v>
      </c>
      <c r="W142" s="5" t="s">
        <v>2091</v>
      </c>
    </row>
    <row r="143" spans="1:23" ht="65" customHeight="1">
      <c r="A143" s="12" t="s">
        <v>813</v>
      </c>
      <c r="B143" s="12" t="s">
        <v>826</v>
      </c>
      <c r="C143" s="24" t="s">
        <v>24</v>
      </c>
      <c r="D143" s="24" t="s">
        <v>136</v>
      </c>
      <c r="E143" s="24" t="s">
        <v>27</v>
      </c>
      <c r="F143" s="20" t="s">
        <v>167</v>
      </c>
      <c r="G143" s="20"/>
      <c r="H143" s="5" t="s">
        <v>549</v>
      </c>
      <c r="I143" s="4" t="s">
        <v>2723</v>
      </c>
      <c r="J143" s="4" t="s">
        <v>542</v>
      </c>
      <c r="K143" s="4" t="s">
        <v>2308</v>
      </c>
      <c r="L143" s="4" t="s">
        <v>2308</v>
      </c>
      <c r="M143" s="4" t="s">
        <v>2308</v>
      </c>
      <c r="N143" s="4" t="s">
        <v>2308</v>
      </c>
      <c r="O143" s="4" t="s">
        <v>2308</v>
      </c>
      <c r="P143" s="4" t="s">
        <v>2308</v>
      </c>
      <c r="Q143" s="4" t="s">
        <v>2308</v>
      </c>
      <c r="R143" s="4" t="s">
        <v>2308</v>
      </c>
      <c r="S143" s="4" t="s">
        <v>2308</v>
      </c>
      <c r="T143" s="4" t="s">
        <v>2308</v>
      </c>
      <c r="U143" s="4" t="s">
        <v>2308</v>
      </c>
      <c r="V143" s="53" t="s">
        <v>2308</v>
      </c>
      <c r="W143" s="5" t="s">
        <v>2091</v>
      </c>
    </row>
    <row r="144" spans="1:23" ht="65" customHeight="1">
      <c r="A144" s="12" t="s">
        <v>814</v>
      </c>
      <c r="B144" s="12" t="s">
        <v>827</v>
      </c>
      <c r="C144" s="24" t="s">
        <v>24</v>
      </c>
      <c r="D144" s="24" t="s">
        <v>136</v>
      </c>
      <c r="E144" s="24" t="s">
        <v>27</v>
      </c>
      <c r="F144" s="20" t="s">
        <v>167</v>
      </c>
      <c r="G144" s="20"/>
      <c r="H144" s="5" t="s">
        <v>549</v>
      </c>
      <c r="I144" s="4" t="s">
        <v>2723</v>
      </c>
      <c r="J144" s="4" t="s">
        <v>542</v>
      </c>
      <c r="K144" s="4" t="s">
        <v>2308</v>
      </c>
      <c r="L144" s="4" t="s">
        <v>2308</v>
      </c>
      <c r="M144" s="4" t="s">
        <v>2308</v>
      </c>
      <c r="N144" s="4" t="s">
        <v>2308</v>
      </c>
      <c r="O144" s="4" t="s">
        <v>2308</v>
      </c>
      <c r="P144" s="4" t="s">
        <v>2308</v>
      </c>
      <c r="Q144" s="4" t="s">
        <v>2308</v>
      </c>
      <c r="R144" s="4" t="s">
        <v>2308</v>
      </c>
      <c r="S144" s="4" t="s">
        <v>2308</v>
      </c>
      <c r="T144" s="4" t="s">
        <v>2308</v>
      </c>
      <c r="U144" s="4" t="s">
        <v>2308</v>
      </c>
      <c r="V144" s="53" t="s">
        <v>2308</v>
      </c>
      <c r="W144" s="5" t="s">
        <v>2091</v>
      </c>
    </row>
    <row r="145" spans="1:23" ht="23.5" customHeight="1">
      <c r="A145" s="12" t="s">
        <v>837</v>
      </c>
      <c r="B145" s="12" t="s">
        <v>838</v>
      </c>
      <c r="C145" s="24" t="s">
        <v>24</v>
      </c>
      <c r="D145" s="24" t="s">
        <v>136</v>
      </c>
      <c r="E145" s="24" t="s">
        <v>27</v>
      </c>
      <c r="F145" s="20" t="s">
        <v>74</v>
      </c>
      <c r="G145" s="20"/>
      <c r="H145" s="5" t="s">
        <v>549</v>
      </c>
      <c r="I145" s="4" t="s">
        <v>2308</v>
      </c>
      <c r="J145" s="4" t="s">
        <v>2308</v>
      </c>
      <c r="K145" s="4" t="s">
        <v>2308</v>
      </c>
      <c r="L145" s="4" t="s">
        <v>2308</v>
      </c>
      <c r="M145" s="4" t="s">
        <v>2308</v>
      </c>
      <c r="N145" s="4" t="s">
        <v>2308</v>
      </c>
      <c r="O145" s="4" t="s">
        <v>2308</v>
      </c>
      <c r="P145" s="4" t="s">
        <v>2308</v>
      </c>
      <c r="Q145" s="4" t="s">
        <v>2308</v>
      </c>
      <c r="R145" s="4" t="s">
        <v>542</v>
      </c>
      <c r="S145" s="4" t="s">
        <v>2308</v>
      </c>
      <c r="T145" s="4" t="s">
        <v>542</v>
      </c>
      <c r="U145" s="4" t="s">
        <v>2308</v>
      </c>
      <c r="V145" s="53" t="s">
        <v>2308</v>
      </c>
      <c r="W145" s="4"/>
    </row>
    <row r="146" spans="1:23" ht="28" customHeight="1">
      <c r="A146" s="12" t="s">
        <v>837</v>
      </c>
      <c r="B146" s="12" t="s">
        <v>839</v>
      </c>
      <c r="C146" s="24" t="s">
        <v>24</v>
      </c>
      <c r="D146" s="24" t="s">
        <v>136</v>
      </c>
      <c r="E146" s="24" t="s">
        <v>27</v>
      </c>
      <c r="F146" s="20" t="s">
        <v>74</v>
      </c>
      <c r="G146" s="20"/>
      <c r="H146" s="5" t="s">
        <v>549</v>
      </c>
      <c r="I146" s="4" t="s">
        <v>2308</v>
      </c>
      <c r="J146" s="4" t="s">
        <v>2308</v>
      </c>
      <c r="K146" s="4" t="s">
        <v>2308</v>
      </c>
      <c r="L146" s="4" t="s">
        <v>2308</v>
      </c>
      <c r="M146" s="4" t="s">
        <v>2308</v>
      </c>
      <c r="N146" s="4" t="s">
        <v>2308</v>
      </c>
      <c r="O146" s="4" t="s">
        <v>2308</v>
      </c>
      <c r="P146" s="4" t="s">
        <v>2308</v>
      </c>
      <c r="Q146" s="4" t="s">
        <v>2308</v>
      </c>
      <c r="R146" s="4" t="s">
        <v>542</v>
      </c>
      <c r="S146" s="4" t="s">
        <v>2308</v>
      </c>
      <c r="T146" s="4" t="s">
        <v>542</v>
      </c>
      <c r="U146" s="4" t="s">
        <v>2308</v>
      </c>
      <c r="V146" s="53" t="s">
        <v>2308</v>
      </c>
      <c r="W146" s="4"/>
    </row>
    <row r="147" spans="1:23" ht="45" customHeight="1">
      <c r="A147" s="12" t="s">
        <v>841</v>
      </c>
      <c r="B147" s="12" t="s">
        <v>845</v>
      </c>
      <c r="C147" s="24" t="s">
        <v>24</v>
      </c>
      <c r="D147" s="24" t="s">
        <v>136</v>
      </c>
      <c r="E147" s="24" t="s">
        <v>27</v>
      </c>
      <c r="F147" s="20" t="s">
        <v>167</v>
      </c>
      <c r="G147" s="20"/>
      <c r="H147" s="5" t="s">
        <v>549</v>
      </c>
      <c r="I147" s="12" t="s">
        <v>2723</v>
      </c>
      <c r="J147" s="12" t="s">
        <v>542</v>
      </c>
      <c r="K147" s="4" t="s">
        <v>2308</v>
      </c>
      <c r="L147" s="4" t="s">
        <v>2308</v>
      </c>
      <c r="M147" s="4" t="s">
        <v>2308</v>
      </c>
      <c r="N147" s="4" t="s">
        <v>2308</v>
      </c>
      <c r="O147" s="4" t="s">
        <v>2308</v>
      </c>
      <c r="P147" s="4" t="s">
        <v>2308</v>
      </c>
      <c r="Q147" s="4" t="s">
        <v>2308</v>
      </c>
      <c r="R147" s="4" t="s">
        <v>2308</v>
      </c>
      <c r="S147" s="4" t="s">
        <v>2308</v>
      </c>
      <c r="T147" s="4" t="s">
        <v>2308</v>
      </c>
      <c r="U147" s="4" t="s">
        <v>2308</v>
      </c>
      <c r="V147" s="4" t="s">
        <v>2308</v>
      </c>
      <c r="W147" s="5" t="s">
        <v>848</v>
      </c>
    </row>
    <row r="148" spans="1:23" ht="43.5">
      <c r="A148" s="12" t="s">
        <v>856</v>
      </c>
      <c r="B148" s="12" t="s">
        <v>865</v>
      </c>
      <c r="C148" s="24" t="s">
        <v>24</v>
      </c>
      <c r="D148" s="24" t="s">
        <v>136</v>
      </c>
      <c r="E148" s="24" t="s">
        <v>27</v>
      </c>
      <c r="F148" s="20" t="s">
        <v>167</v>
      </c>
      <c r="G148" s="20"/>
      <c r="H148" s="5" t="s">
        <v>549</v>
      </c>
      <c r="I148" s="12" t="s">
        <v>2723</v>
      </c>
      <c r="J148" s="12" t="s">
        <v>542</v>
      </c>
      <c r="K148" s="4" t="s">
        <v>2308</v>
      </c>
      <c r="L148" s="4" t="s">
        <v>2308</v>
      </c>
      <c r="M148" s="4" t="s">
        <v>2308</v>
      </c>
      <c r="N148" s="4" t="s">
        <v>2308</v>
      </c>
      <c r="O148" s="4" t="s">
        <v>2308</v>
      </c>
      <c r="P148" s="4" t="s">
        <v>2308</v>
      </c>
      <c r="Q148" s="4" t="s">
        <v>2308</v>
      </c>
      <c r="R148" s="4" t="s">
        <v>2308</v>
      </c>
      <c r="S148" s="4" t="s">
        <v>2308</v>
      </c>
      <c r="T148" s="4" t="s">
        <v>2308</v>
      </c>
      <c r="U148" s="4" t="s">
        <v>2308</v>
      </c>
      <c r="V148" s="4" t="s">
        <v>2308</v>
      </c>
      <c r="W148" s="5" t="s">
        <v>848</v>
      </c>
    </row>
    <row r="149" spans="1:23" ht="34.5" customHeight="1">
      <c r="A149" s="12" t="s">
        <v>856</v>
      </c>
      <c r="B149" s="12" t="s">
        <v>868</v>
      </c>
      <c r="C149" s="24" t="s">
        <v>24</v>
      </c>
      <c r="D149" s="24" t="s">
        <v>136</v>
      </c>
      <c r="E149" s="24" t="s">
        <v>149</v>
      </c>
      <c r="F149" s="20" t="s">
        <v>74</v>
      </c>
      <c r="G149" s="20"/>
      <c r="H149" s="5" t="s">
        <v>549</v>
      </c>
      <c r="I149" s="12" t="s">
        <v>2723</v>
      </c>
      <c r="J149" s="12" t="s">
        <v>542</v>
      </c>
      <c r="K149" s="4" t="s">
        <v>2308</v>
      </c>
      <c r="L149" s="4" t="s">
        <v>2308</v>
      </c>
      <c r="M149" s="4" t="s">
        <v>2308</v>
      </c>
      <c r="N149" s="4" t="s">
        <v>2308</v>
      </c>
      <c r="O149" s="4" t="s">
        <v>2308</v>
      </c>
      <c r="P149" s="4" t="s">
        <v>2308</v>
      </c>
      <c r="Q149" s="4" t="s">
        <v>2308</v>
      </c>
      <c r="R149" s="4" t="s">
        <v>542</v>
      </c>
      <c r="S149" s="4" t="s">
        <v>542</v>
      </c>
      <c r="T149" s="4" t="s">
        <v>542</v>
      </c>
      <c r="U149" s="4" t="s">
        <v>2308</v>
      </c>
      <c r="V149" s="4" t="s">
        <v>2308</v>
      </c>
      <c r="W149" s="5" t="s">
        <v>867</v>
      </c>
    </row>
    <row r="150" spans="1:23" ht="43.5">
      <c r="A150" s="12" t="s">
        <v>858</v>
      </c>
      <c r="B150" s="12" t="s">
        <v>863</v>
      </c>
      <c r="C150" s="24" t="s">
        <v>24</v>
      </c>
      <c r="D150" s="24" t="s">
        <v>136</v>
      </c>
      <c r="E150" s="24" t="s">
        <v>27</v>
      </c>
      <c r="F150" s="20" t="s">
        <v>167</v>
      </c>
      <c r="G150" s="20"/>
      <c r="H150" s="5" t="s">
        <v>549</v>
      </c>
      <c r="I150" s="12" t="s">
        <v>2723</v>
      </c>
      <c r="J150" s="12" t="s">
        <v>542</v>
      </c>
      <c r="K150" s="4" t="s">
        <v>2308</v>
      </c>
      <c r="L150" s="4" t="s">
        <v>2308</v>
      </c>
      <c r="M150" s="4" t="s">
        <v>2308</v>
      </c>
      <c r="N150" s="4" t="s">
        <v>2308</v>
      </c>
      <c r="O150" s="4" t="s">
        <v>2308</v>
      </c>
      <c r="P150" s="4" t="s">
        <v>2308</v>
      </c>
      <c r="Q150" s="4" t="s">
        <v>2308</v>
      </c>
      <c r="R150" s="4" t="s">
        <v>2308</v>
      </c>
      <c r="S150" s="4" t="s">
        <v>2308</v>
      </c>
      <c r="T150" s="4" t="s">
        <v>2308</v>
      </c>
      <c r="U150" s="4" t="s">
        <v>2308</v>
      </c>
      <c r="V150" s="4" t="s">
        <v>2308</v>
      </c>
      <c r="W150" s="5" t="s">
        <v>848</v>
      </c>
    </row>
    <row r="151" spans="1:23" ht="35.5" customHeight="1">
      <c r="A151" s="12" t="s">
        <v>858</v>
      </c>
      <c r="B151" s="12" t="s">
        <v>870</v>
      </c>
      <c r="C151" s="24" t="s">
        <v>24</v>
      </c>
      <c r="D151" s="24" t="s">
        <v>136</v>
      </c>
      <c r="E151" s="24" t="s">
        <v>149</v>
      </c>
      <c r="F151" s="20" t="s">
        <v>74</v>
      </c>
      <c r="G151" s="20"/>
      <c r="H151" s="5" t="s">
        <v>549</v>
      </c>
      <c r="I151" s="12" t="s">
        <v>2723</v>
      </c>
      <c r="J151" s="12" t="s">
        <v>542</v>
      </c>
      <c r="K151" s="4" t="s">
        <v>2308</v>
      </c>
      <c r="L151" s="4" t="s">
        <v>2308</v>
      </c>
      <c r="M151" s="4" t="s">
        <v>2308</v>
      </c>
      <c r="N151" s="4" t="s">
        <v>2308</v>
      </c>
      <c r="O151" s="4" t="s">
        <v>2308</v>
      </c>
      <c r="P151" s="4" t="s">
        <v>2308</v>
      </c>
      <c r="Q151" s="4" t="s">
        <v>2308</v>
      </c>
      <c r="R151" s="4" t="s">
        <v>542</v>
      </c>
      <c r="S151" s="4" t="s">
        <v>542</v>
      </c>
      <c r="T151" s="4" t="s">
        <v>542</v>
      </c>
      <c r="U151" s="4" t="s">
        <v>2308</v>
      </c>
      <c r="V151" s="4" t="s">
        <v>2308</v>
      </c>
      <c r="W151" s="5" t="s">
        <v>867</v>
      </c>
    </row>
    <row r="152" spans="1:23" ht="56.5" customHeight="1">
      <c r="A152" s="12" t="s">
        <v>860</v>
      </c>
      <c r="B152" s="12" t="s">
        <v>864</v>
      </c>
      <c r="C152" s="24" t="s">
        <v>24</v>
      </c>
      <c r="D152" s="24" t="s">
        <v>136</v>
      </c>
      <c r="E152" s="24" t="s">
        <v>27</v>
      </c>
      <c r="F152" s="20" t="s">
        <v>167</v>
      </c>
      <c r="G152" s="20"/>
      <c r="H152" s="5" t="s">
        <v>549</v>
      </c>
      <c r="I152" s="12" t="s">
        <v>2723</v>
      </c>
      <c r="J152" s="12" t="s">
        <v>542</v>
      </c>
      <c r="K152" s="4" t="s">
        <v>2308</v>
      </c>
      <c r="L152" s="4" t="s">
        <v>2308</v>
      </c>
      <c r="M152" s="4" t="s">
        <v>2308</v>
      </c>
      <c r="N152" s="4" t="s">
        <v>2308</v>
      </c>
      <c r="O152" s="4" t="s">
        <v>2308</v>
      </c>
      <c r="P152" s="4" t="s">
        <v>2308</v>
      </c>
      <c r="Q152" s="4" t="s">
        <v>2308</v>
      </c>
      <c r="R152" s="4" t="s">
        <v>2308</v>
      </c>
      <c r="S152" s="4" t="s">
        <v>2308</v>
      </c>
      <c r="T152" s="4" t="s">
        <v>2308</v>
      </c>
      <c r="U152" s="4" t="s">
        <v>2308</v>
      </c>
      <c r="V152" s="4" t="s">
        <v>2308</v>
      </c>
      <c r="W152" s="5" t="s">
        <v>848</v>
      </c>
    </row>
    <row r="153" spans="1:23" ht="39" customHeight="1">
      <c r="A153" s="12" t="s">
        <v>860</v>
      </c>
      <c r="B153" s="12" t="s">
        <v>869</v>
      </c>
      <c r="C153" s="24" t="s">
        <v>24</v>
      </c>
      <c r="D153" s="70"/>
      <c r="E153" s="24" t="s">
        <v>149</v>
      </c>
      <c r="F153" s="20" t="s">
        <v>74</v>
      </c>
      <c r="G153" s="20"/>
      <c r="H153" s="5" t="s">
        <v>549</v>
      </c>
      <c r="I153" s="12" t="s">
        <v>2723</v>
      </c>
      <c r="J153" s="12" t="s">
        <v>542</v>
      </c>
      <c r="K153" s="4" t="s">
        <v>2308</v>
      </c>
      <c r="L153" s="4" t="s">
        <v>2308</v>
      </c>
      <c r="M153" s="4" t="s">
        <v>2308</v>
      </c>
      <c r="N153" s="4" t="s">
        <v>2308</v>
      </c>
      <c r="O153" s="4" t="s">
        <v>2308</v>
      </c>
      <c r="P153" s="4" t="s">
        <v>2308</v>
      </c>
      <c r="Q153" s="4" t="s">
        <v>2308</v>
      </c>
      <c r="R153" s="4" t="s">
        <v>542</v>
      </c>
      <c r="S153" s="4" t="s">
        <v>542</v>
      </c>
      <c r="T153" s="4" t="s">
        <v>542</v>
      </c>
      <c r="U153" s="4" t="s">
        <v>2308</v>
      </c>
      <c r="V153" s="4" t="s">
        <v>2308</v>
      </c>
      <c r="W153" s="5" t="s">
        <v>867</v>
      </c>
    </row>
    <row r="154" spans="1:23" ht="52" customHeight="1">
      <c r="A154" s="12" t="s">
        <v>883</v>
      </c>
      <c r="B154" s="12" t="s">
        <v>888</v>
      </c>
      <c r="C154" s="24" t="s">
        <v>24</v>
      </c>
      <c r="D154" s="24" t="s">
        <v>136</v>
      </c>
      <c r="E154" s="24" t="s">
        <v>149</v>
      </c>
      <c r="F154" s="20" t="s">
        <v>74</v>
      </c>
      <c r="G154" s="20"/>
      <c r="H154" s="5" t="s">
        <v>549</v>
      </c>
      <c r="I154" s="4" t="s">
        <v>545</v>
      </c>
      <c r="J154" s="4" t="s">
        <v>545</v>
      </c>
      <c r="K154" s="4" t="s">
        <v>545</v>
      </c>
      <c r="L154" s="4" t="s">
        <v>2308</v>
      </c>
      <c r="M154" s="4" t="s">
        <v>2308</v>
      </c>
      <c r="N154" s="4" t="s">
        <v>2308</v>
      </c>
      <c r="O154" s="4" t="s">
        <v>2308</v>
      </c>
      <c r="P154" s="4" t="s">
        <v>2308</v>
      </c>
      <c r="Q154" s="4" t="s">
        <v>2308</v>
      </c>
      <c r="R154" s="4" t="s">
        <v>542</v>
      </c>
      <c r="S154" s="4" t="s">
        <v>542</v>
      </c>
      <c r="T154" s="4" t="s">
        <v>542</v>
      </c>
      <c r="U154" s="4" t="s">
        <v>2308</v>
      </c>
      <c r="V154" s="4" t="s">
        <v>2308</v>
      </c>
      <c r="W154" s="5" t="s">
        <v>889</v>
      </c>
    </row>
    <row r="155" spans="1:23" ht="52" customHeight="1">
      <c r="A155" s="12" t="s">
        <v>2104</v>
      </c>
      <c r="B155" s="12" t="s">
        <v>2158</v>
      </c>
      <c r="C155" s="24" t="s">
        <v>24</v>
      </c>
      <c r="D155" s="24" t="s">
        <v>136</v>
      </c>
      <c r="E155" s="24" t="s">
        <v>149</v>
      </c>
      <c r="F155" s="20" t="s">
        <v>74</v>
      </c>
      <c r="G155" s="20"/>
      <c r="H155" s="5" t="s">
        <v>549</v>
      </c>
      <c r="I155" s="4" t="s">
        <v>545</v>
      </c>
      <c r="J155" s="4" t="s">
        <v>545</v>
      </c>
      <c r="K155" s="4" t="s">
        <v>545</v>
      </c>
      <c r="L155" s="4" t="s">
        <v>2308</v>
      </c>
      <c r="M155" s="4" t="s">
        <v>2308</v>
      </c>
      <c r="N155" s="4" t="s">
        <v>2308</v>
      </c>
      <c r="O155" s="4" t="s">
        <v>2308</v>
      </c>
      <c r="P155" s="4" t="s">
        <v>2308</v>
      </c>
      <c r="Q155" s="4" t="s">
        <v>2308</v>
      </c>
      <c r="R155" s="4" t="s">
        <v>542</v>
      </c>
      <c r="S155" s="4" t="s">
        <v>542</v>
      </c>
      <c r="T155" s="4" t="s">
        <v>542</v>
      </c>
      <c r="U155" s="4" t="s">
        <v>2308</v>
      </c>
      <c r="V155" s="4" t="s">
        <v>2308</v>
      </c>
      <c r="W155" s="5" t="s">
        <v>889</v>
      </c>
    </row>
    <row r="156" spans="1:23" ht="52" customHeight="1">
      <c r="A156" s="12" t="s">
        <v>2105</v>
      </c>
      <c r="B156" s="12" t="s">
        <v>2159</v>
      </c>
      <c r="C156" s="24" t="s">
        <v>24</v>
      </c>
      <c r="D156" s="24" t="s">
        <v>136</v>
      </c>
      <c r="E156" s="24" t="s">
        <v>149</v>
      </c>
      <c r="F156" s="20" t="s">
        <v>74</v>
      </c>
      <c r="G156" s="20"/>
      <c r="H156" s="5" t="s">
        <v>549</v>
      </c>
      <c r="I156" s="4" t="s">
        <v>545</v>
      </c>
      <c r="J156" s="4" t="s">
        <v>545</v>
      </c>
      <c r="K156" s="4" t="s">
        <v>545</v>
      </c>
      <c r="L156" s="4" t="s">
        <v>2308</v>
      </c>
      <c r="M156" s="4" t="s">
        <v>2308</v>
      </c>
      <c r="N156" s="4" t="s">
        <v>2308</v>
      </c>
      <c r="O156" s="4" t="s">
        <v>2308</v>
      </c>
      <c r="P156" s="4" t="s">
        <v>2308</v>
      </c>
      <c r="Q156" s="4" t="s">
        <v>2308</v>
      </c>
      <c r="R156" s="4" t="s">
        <v>542</v>
      </c>
      <c r="S156" s="4" t="s">
        <v>542</v>
      </c>
      <c r="T156" s="4" t="s">
        <v>542</v>
      </c>
      <c r="U156" s="4" t="s">
        <v>2308</v>
      </c>
      <c r="V156" s="4" t="s">
        <v>2308</v>
      </c>
      <c r="W156" s="5" t="s">
        <v>889</v>
      </c>
    </row>
    <row r="157" spans="1:23" ht="52" customHeight="1">
      <c r="A157" s="12" t="s">
        <v>2106</v>
      </c>
      <c r="B157" s="12" t="s">
        <v>2160</v>
      </c>
      <c r="C157" s="24" t="s">
        <v>24</v>
      </c>
      <c r="D157" s="24" t="s">
        <v>136</v>
      </c>
      <c r="E157" s="24" t="s">
        <v>149</v>
      </c>
      <c r="F157" s="20" t="s">
        <v>74</v>
      </c>
      <c r="G157" s="20"/>
      <c r="H157" s="5" t="s">
        <v>549</v>
      </c>
      <c r="I157" s="4" t="s">
        <v>545</v>
      </c>
      <c r="J157" s="4" t="s">
        <v>545</v>
      </c>
      <c r="K157" s="4" t="s">
        <v>545</v>
      </c>
      <c r="L157" s="4" t="s">
        <v>2308</v>
      </c>
      <c r="M157" s="4" t="s">
        <v>2308</v>
      </c>
      <c r="N157" s="4" t="s">
        <v>2308</v>
      </c>
      <c r="O157" s="4" t="s">
        <v>2308</v>
      </c>
      <c r="P157" s="4" t="s">
        <v>2308</v>
      </c>
      <c r="Q157" s="4" t="s">
        <v>2308</v>
      </c>
      <c r="R157" s="4" t="s">
        <v>542</v>
      </c>
      <c r="S157" s="4" t="s">
        <v>542</v>
      </c>
      <c r="T157" s="4" t="s">
        <v>542</v>
      </c>
      <c r="U157" s="4" t="s">
        <v>2308</v>
      </c>
      <c r="V157" s="4" t="s">
        <v>2308</v>
      </c>
      <c r="W157" s="5" t="s">
        <v>889</v>
      </c>
    </row>
    <row r="158" spans="1:23" ht="52" customHeight="1">
      <c r="A158" s="12" t="s">
        <v>2107</v>
      </c>
      <c r="B158" s="12" t="s">
        <v>2161</v>
      </c>
      <c r="C158" s="24" t="s">
        <v>24</v>
      </c>
      <c r="D158" s="24" t="s">
        <v>136</v>
      </c>
      <c r="E158" s="24" t="s">
        <v>149</v>
      </c>
      <c r="F158" s="20" t="s">
        <v>74</v>
      </c>
      <c r="G158" s="20"/>
      <c r="H158" s="5" t="s">
        <v>549</v>
      </c>
      <c r="I158" s="4" t="s">
        <v>545</v>
      </c>
      <c r="J158" s="4" t="s">
        <v>545</v>
      </c>
      <c r="K158" s="4" t="s">
        <v>545</v>
      </c>
      <c r="L158" s="4" t="s">
        <v>2308</v>
      </c>
      <c r="M158" s="4" t="s">
        <v>2308</v>
      </c>
      <c r="N158" s="4" t="s">
        <v>2308</v>
      </c>
      <c r="O158" s="4" t="s">
        <v>2308</v>
      </c>
      <c r="P158" s="4" t="s">
        <v>2308</v>
      </c>
      <c r="Q158" s="4" t="s">
        <v>2308</v>
      </c>
      <c r="R158" s="4" t="s">
        <v>542</v>
      </c>
      <c r="S158" s="4" t="s">
        <v>542</v>
      </c>
      <c r="T158" s="4" t="s">
        <v>542</v>
      </c>
      <c r="U158" s="4" t="s">
        <v>2308</v>
      </c>
      <c r="V158" s="4" t="s">
        <v>2308</v>
      </c>
      <c r="W158" s="5" t="s">
        <v>889</v>
      </c>
    </row>
    <row r="159" spans="1:23" ht="52" customHeight="1">
      <c r="A159" s="12" t="s">
        <v>2108</v>
      </c>
      <c r="B159" s="12" t="s">
        <v>2162</v>
      </c>
      <c r="C159" s="24" t="s">
        <v>24</v>
      </c>
      <c r="D159" s="24" t="s">
        <v>136</v>
      </c>
      <c r="E159" s="24" t="s">
        <v>149</v>
      </c>
      <c r="F159" s="20" t="s">
        <v>74</v>
      </c>
      <c r="G159" s="20"/>
      <c r="H159" s="5" t="s">
        <v>549</v>
      </c>
      <c r="I159" s="4" t="s">
        <v>545</v>
      </c>
      <c r="J159" s="4" t="s">
        <v>545</v>
      </c>
      <c r="K159" s="4" t="s">
        <v>545</v>
      </c>
      <c r="L159" s="4" t="s">
        <v>2308</v>
      </c>
      <c r="M159" s="4" t="s">
        <v>2308</v>
      </c>
      <c r="N159" s="4" t="s">
        <v>2308</v>
      </c>
      <c r="O159" s="4" t="s">
        <v>2308</v>
      </c>
      <c r="P159" s="4" t="s">
        <v>2308</v>
      </c>
      <c r="Q159" s="4" t="s">
        <v>2308</v>
      </c>
      <c r="R159" s="4" t="s">
        <v>542</v>
      </c>
      <c r="S159" s="4" t="s">
        <v>542</v>
      </c>
      <c r="T159" s="4" t="s">
        <v>542</v>
      </c>
      <c r="U159" s="4" t="s">
        <v>2308</v>
      </c>
      <c r="V159" s="4" t="s">
        <v>2308</v>
      </c>
      <c r="W159" s="5" t="s">
        <v>889</v>
      </c>
    </row>
    <row r="160" spans="1:23" ht="52" customHeight="1">
      <c r="A160" s="12" t="s">
        <v>2109</v>
      </c>
      <c r="B160" s="12" t="s">
        <v>2163</v>
      </c>
      <c r="C160" s="24" t="s">
        <v>24</v>
      </c>
      <c r="D160" s="24" t="s">
        <v>136</v>
      </c>
      <c r="E160" s="24" t="s">
        <v>149</v>
      </c>
      <c r="F160" s="20" t="s">
        <v>74</v>
      </c>
      <c r="G160" s="20"/>
      <c r="H160" s="5" t="s">
        <v>549</v>
      </c>
      <c r="I160" s="4" t="s">
        <v>545</v>
      </c>
      <c r="J160" s="4" t="s">
        <v>545</v>
      </c>
      <c r="K160" s="4" t="s">
        <v>545</v>
      </c>
      <c r="L160" s="4" t="s">
        <v>2308</v>
      </c>
      <c r="M160" s="4" t="s">
        <v>2308</v>
      </c>
      <c r="N160" s="4" t="s">
        <v>2308</v>
      </c>
      <c r="O160" s="4" t="s">
        <v>2308</v>
      </c>
      <c r="P160" s="4" t="s">
        <v>2308</v>
      </c>
      <c r="Q160" s="4" t="s">
        <v>2308</v>
      </c>
      <c r="R160" s="4" t="s">
        <v>542</v>
      </c>
      <c r="S160" s="4" t="s">
        <v>542</v>
      </c>
      <c r="T160" s="4" t="s">
        <v>542</v>
      </c>
      <c r="U160" s="4" t="s">
        <v>2308</v>
      </c>
      <c r="V160" s="4" t="s">
        <v>2308</v>
      </c>
      <c r="W160" s="5" t="s">
        <v>889</v>
      </c>
    </row>
    <row r="161" spans="1:23" ht="52" customHeight="1">
      <c r="A161" s="12" t="s">
        <v>2110</v>
      </c>
      <c r="B161" s="12" t="s">
        <v>2164</v>
      </c>
      <c r="C161" s="24" t="s">
        <v>24</v>
      </c>
      <c r="D161" s="24" t="s">
        <v>136</v>
      </c>
      <c r="E161" s="24" t="s">
        <v>149</v>
      </c>
      <c r="F161" s="20" t="s">
        <v>74</v>
      </c>
      <c r="G161" s="20"/>
      <c r="H161" s="5" t="s">
        <v>549</v>
      </c>
      <c r="I161" s="4" t="s">
        <v>545</v>
      </c>
      <c r="J161" s="4" t="s">
        <v>545</v>
      </c>
      <c r="K161" s="4" t="s">
        <v>545</v>
      </c>
      <c r="L161" s="4" t="s">
        <v>2308</v>
      </c>
      <c r="M161" s="4" t="s">
        <v>2308</v>
      </c>
      <c r="N161" s="4" t="s">
        <v>2308</v>
      </c>
      <c r="O161" s="4" t="s">
        <v>2308</v>
      </c>
      <c r="P161" s="4" t="s">
        <v>2308</v>
      </c>
      <c r="Q161" s="4" t="s">
        <v>2308</v>
      </c>
      <c r="R161" s="4" t="s">
        <v>542</v>
      </c>
      <c r="S161" s="4" t="s">
        <v>542</v>
      </c>
      <c r="T161" s="4" t="s">
        <v>542</v>
      </c>
      <c r="U161" s="4" t="s">
        <v>2308</v>
      </c>
      <c r="V161" s="4" t="s">
        <v>2308</v>
      </c>
      <c r="W161" s="5" t="s">
        <v>889</v>
      </c>
    </row>
    <row r="162" spans="1:23" ht="52" customHeight="1">
      <c r="A162" s="12" t="s">
        <v>2111</v>
      </c>
      <c r="B162" s="12" t="s">
        <v>2165</v>
      </c>
      <c r="C162" s="24" t="s">
        <v>24</v>
      </c>
      <c r="D162" s="24" t="s">
        <v>136</v>
      </c>
      <c r="E162" s="24" t="s">
        <v>149</v>
      </c>
      <c r="F162" s="20" t="s">
        <v>74</v>
      </c>
      <c r="G162" s="20"/>
      <c r="H162" s="5" t="s">
        <v>549</v>
      </c>
      <c r="I162" s="4" t="s">
        <v>545</v>
      </c>
      <c r="J162" s="4" t="s">
        <v>545</v>
      </c>
      <c r="K162" s="4" t="s">
        <v>545</v>
      </c>
      <c r="L162" s="4" t="s">
        <v>2308</v>
      </c>
      <c r="M162" s="4" t="s">
        <v>2308</v>
      </c>
      <c r="N162" s="4" t="s">
        <v>2308</v>
      </c>
      <c r="O162" s="4" t="s">
        <v>2308</v>
      </c>
      <c r="P162" s="4" t="s">
        <v>2308</v>
      </c>
      <c r="Q162" s="4" t="s">
        <v>2308</v>
      </c>
      <c r="R162" s="4" t="s">
        <v>542</v>
      </c>
      <c r="S162" s="4" t="s">
        <v>542</v>
      </c>
      <c r="T162" s="4" t="s">
        <v>542</v>
      </c>
      <c r="U162" s="4" t="s">
        <v>2308</v>
      </c>
      <c r="V162" s="4" t="s">
        <v>2308</v>
      </c>
      <c r="W162" s="5" t="s">
        <v>889</v>
      </c>
    </row>
    <row r="163" spans="1:23" ht="52" customHeight="1">
      <c r="A163" s="12" t="s">
        <v>2112</v>
      </c>
      <c r="B163" s="12" t="s">
        <v>2166</v>
      </c>
      <c r="C163" s="24" t="s">
        <v>24</v>
      </c>
      <c r="D163" s="24" t="s">
        <v>136</v>
      </c>
      <c r="E163" s="24" t="s">
        <v>149</v>
      </c>
      <c r="F163" s="20" t="s">
        <v>74</v>
      </c>
      <c r="G163" s="20"/>
      <c r="H163" s="5" t="s">
        <v>549</v>
      </c>
      <c r="I163" s="4" t="s">
        <v>545</v>
      </c>
      <c r="J163" s="4" t="s">
        <v>545</v>
      </c>
      <c r="K163" s="4" t="s">
        <v>545</v>
      </c>
      <c r="L163" s="4" t="s">
        <v>2308</v>
      </c>
      <c r="M163" s="4" t="s">
        <v>2308</v>
      </c>
      <c r="N163" s="4" t="s">
        <v>2308</v>
      </c>
      <c r="O163" s="4" t="s">
        <v>2308</v>
      </c>
      <c r="P163" s="4" t="s">
        <v>2308</v>
      </c>
      <c r="Q163" s="4" t="s">
        <v>2308</v>
      </c>
      <c r="R163" s="4" t="s">
        <v>542</v>
      </c>
      <c r="S163" s="4" t="s">
        <v>542</v>
      </c>
      <c r="T163" s="4" t="s">
        <v>542</v>
      </c>
      <c r="U163" s="4" t="s">
        <v>2308</v>
      </c>
      <c r="V163" s="4" t="s">
        <v>2308</v>
      </c>
      <c r="W163" s="5" t="s">
        <v>889</v>
      </c>
    </row>
    <row r="164" spans="1:23" ht="52" customHeight="1">
      <c r="A164" s="12" t="s">
        <v>2113</v>
      </c>
      <c r="B164" s="12" t="s">
        <v>2167</v>
      </c>
      <c r="C164" s="24" t="s">
        <v>24</v>
      </c>
      <c r="D164" s="24" t="s">
        <v>136</v>
      </c>
      <c r="E164" s="24" t="s">
        <v>149</v>
      </c>
      <c r="F164" s="20" t="s">
        <v>74</v>
      </c>
      <c r="G164" s="20"/>
      <c r="H164" s="5" t="s">
        <v>549</v>
      </c>
      <c r="I164" s="4" t="s">
        <v>545</v>
      </c>
      <c r="J164" s="4" t="s">
        <v>545</v>
      </c>
      <c r="K164" s="4" t="s">
        <v>545</v>
      </c>
      <c r="L164" s="4" t="s">
        <v>2308</v>
      </c>
      <c r="M164" s="4" t="s">
        <v>2308</v>
      </c>
      <c r="N164" s="4" t="s">
        <v>2308</v>
      </c>
      <c r="O164" s="4" t="s">
        <v>2308</v>
      </c>
      <c r="P164" s="4" t="s">
        <v>2308</v>
      </c>
      <c r="Q164" s="4" t="s">
        <v>2308</v>
      </c>
      <c r="R164" s="4" t="s">
        <v>542</v>
      </c>
      <c r="S164" s="4" t="s">
        <v>542</v>
      </c>
      <c r="T164" s="4" t="s">
        <v>542</v>
      </c>
      <c r="U164" s="4" t="s">
        <v>2308</v>
      </c>
      <c r="V164" s="4" t="s">
        <v>2308</v>
      </c>
      <c r="W164" s="5" t="s">
        <v>889</v>
      </c>
    </row>
    <row r="165" spans="1:23" ht="52" customHeight="1">
      <c r="A165" s="12" t="s">
        <v>2114</v>
      </c>
      <c r="B165" s="12" t="s">
        <v>2168</v>
      </c>
      <c r="C165" s="24" t="s">
        <v>24</v>
      </c>
      <c r="D165" s="24" t="s">
        <v>136</v>
      </c>
      <c r="E165" s="24" t="s">
        <v>149</v>
      </c>
      <c r="F165" s="20" t="s">
        <v>74</v>
      </c>
      <c r="G165" s="20"/>
      <c r="H165" s="5" t="s">
        <v>549</v>
      </c>
      <c r="I165" s="4" t="s">
        <v>545</v>
      </c>
      <c r="J165" s="4" t="s">
        <v>545</v>
      </c>
      <c r="K165" s="4" t="s">
        <v>545</v>
      </c>
      <c r="L165" s="4" t="s">
        <v>2308</v>
      </c>
      <c r="M165" s="4" t="s">
        <v>2308</v>
      </c>
      <c r="N165" s="4" t="s">
        <v>2308</v>
      </c>
      <c r="O165" s="4" t="s">
        <v>2308</v>
      </c>
      <c r="P165" s="4" t="s">
        <v>2308</v>
      </c>
      <c r="Q165" s="4" t="s">
        <v>2308</v>
      </c>
      <c r="R165" s="4" t="s">
        <v>542</v>
      </c>
      <c r="S165" s="4" t="s">
        <v>542</v>
      </c>
      <c r="T165" s="4" t="s">
        <v>542</v>
      </c>
      <c r="U165" s="4" t="s">
        <v>2308</v>
      </c>
      <c r="V165" s="4" t="s">
        <v>2308</v>
      </c>
      <c r="W165" s="5" t="s">
        <v>889</v>
      </c>
    </row>
    <row r="166" spans="1:23" ht="52" customHeight="1">
      <c r="A166" s="12" t="s">
        <v>2115</v>
      </c>
      <c r="B166" s="12" t="s">
        <v>2169</v>
      </c>
      <c r="C166" s="24" t="s">
        <v>24</v>
      </c>
      <c r="D166" s="24" t="s">
        <v>136</v>
      </c>
      <c r="E166" s="24" t="s">
        <v>149</v>
      </c>
      <c r="F166" s="20" t="s">
        <v>74</v>
      </c>
      <c r="G166" s="20"/>
      <c r="H166" s="5" t="s">
        <v>549</v>
      </c>
      <c r="I166" s="4" t="s">
        <v>545</v>
      </c>
      <c r="J166" s="4" t="s">
        <v>545</v>
      </c>
      <c r="K166" s="4" t="s">
        <v>545</v>
      </c>
      <c r="L166" s="4" t="s">
        <v>2308</v>
      </c>
      <c r="M166" s="4" t="s">
        <v>2308</v>
      </c>
      <c r="N166" s="4" t="s">
        <v>2308</v>
      </c>
      <c r="O166" s="4" t="s">
        <v>2308</v>
      </c>
      <c r="P166" s="4" t="s">
        <v>2308</v>
      </c>
      <c r="Q166" s="4" t="s">
        <v>2308</v>
      </c>
      <c r="R166" s="4" t="s">
        <v>542</v>
      </c>
      <c r="S166" s="4" t="s">
        <v>542</v>
      </c>
      <c r="T166" s="4" t="s">
        <v>542</v>
      </c>
      <c r="U166" s="4" t="s">
        <v>2308</v>
      </c>
      <c r="V166" s="4" t="s">
        <v>2308</v>
      </c>
      <c r="W166" s="5" t="s">
        <v>889</v>
      </c>
    </row>
    <row r="167" spans="1:23" ht="52" customHeight="1">
      <c r="A167" s="12" t="s">
        <v>2116</v>
      </c>
      <c r="B167" s="12" t="s">
        <v>2170</v>
      </c>
      <c r="C167" s="24" t="s">
        <v>24</v>
      </c>
      <c r="D167" s="24" t="s">
        <v>136</v>
      </c>
      <c r="E167" s="24" t="s">
        <v>149</v>
      </c>
      <c r="F167" s="20" t="s">
        <v>74</v>
      </c>
      <c r="G167" s="20"/>
      <c r="H167" s="5" t="s">
        <v>549</v>
      </c>
      <c r="I167" s="4" t="s">
        <v>545</v>
      </c>
      <c r="J167" s="4" t="s">
        <v>545</v>
      </c>
      <c r="K167" s="4" t="s">
        <v>545</v>
      </c>
      <c r="L167" s="4" t="s">
        <v>2308</v>
      </c>
      <c r="M167" s="4" t="s">
        <v>2308</v>
      </c>
      <c r="N167" s="4" t="s">
        <v>2308</v>
      </c>
      <c r="O167" s="4" t="s">
        <v>2308</v>
      </c>
      <c r="P167" s="4" t="s">
        <v>2308</v>
      </c>
      <c r="Q167" s="4" t="s">
        <v>2308</v>
      </c>
      <c r="R167" s="4" t="s">
        <v>542</v>
      </c>
      <c r="S167" s="4" t="s">
        <v>542</v>
      </c>
      <c r="T167" s="4" t="s">
        <v>542</v>
      </c>
      <c r="U167" s="4" t="s">
        <v>2308</v>
      </c>
      <c r="V167" s="4" t="s">
        <v>2308</v>
      </c>
      <c r="W167" s="5" t="s">
        <v>889</v>
      </c>
    </row>
    <row r="168" spans="1:23" ht="52" customHeight="1">
      <c r="A168" s="12" t="s">
        <v>2117</v>
      </c>
      <c r="B168" s="12" t="s">
        <v>2171</v>
      </c>
      <c r="C168" s="24" t="s">
        <v>24</v>
      </c>
      <c r="D168" s="24" t="s">
        <v>136</v>
      </c>
      <c r="E168" s="24" t="s">
        <v>149</v>
      </c>
      <c r="F168" s="20" t="s">
        <v>74</v>
      </c>
      <c r="G168" s="20"/>
      <c r="H168" s="5" t="s">
        <v>549</v>
      </c>
      <c r="I168" s="4" t="s">
        <v>545</v>
      </c>
      <c r="J168" s="4" t="s">
        <v>545</v>
      </c>
      <c r="K168" s="4" t="s">
        <v>545</v>
      </c>
      <c r="L168" s="4" t="s">
        <v>2308</v>
      </c>
      <c r="M168" s="4" t="s">
        <v>2308</v>
      </c>
      <c r="N168" s="4" t="s">
        <v>2308</v>
      </c>
      <c r="O168" s="4" t="s">
        <v>2308</v>
      </c>
      <c r="P168" s="4" t="s">
        <v>2308</v>
      </c>
      <c r="Q168" s="4" t="s">
        <v>2308</v>
      </c>
      <c r="R168" s="4" t="s">
        <v>542</v>
      </c>
      <c r="S168" s="4" t="s">
        <v>542</v>
      </c>
      <c r="T168" s="4" t="s">
        <v>542</v>
      </c>
      <c r="U168" s="4" t="s">
        <v>2308</v>
      </c>
      <c r="V168" s="4" t="s">
        <v>2308</v>
      </c>
      <c r="W168" s="5" t="s">
        <v>889</v>
      </c>
    </row>
    <row r="169" spans="1:23" ht="52" customHeight="1">
      <c r="A169" s="12" t="s">
        <v>2118</v>
      </c>
      <c r="B169" s="12" t="s">
        <v>2172</v>
      </c>
      <c r="C169" s="24" t="s">
        <v>24</v>
      </c>
      <c r="D169" s="24" t="s">
        <v>136</v>
      </c>
      <c r="E169" s="24" t="s">
        <v>149</v>
      </c>
      <c r="F169" s="20" t="s">
        <v>74</v>
      </c>
      <c r="G169" s="20"/>
      <c r="H169" s="5" t="s">
        <v>549</v>
      </c>
      <c r="I169" s="4" t="s">
        <v>545</v>
      </c>
      <c r="J169" s="4" t="s">
        <v>545</v>
      </c>
      <c r="K169" s="4" t="s">
        <v>545</v>
      </c>
      <c r="L169" s="4" t="s">
        <v>2308</v>
      </c>
      <c r="M169" s="4" t="s">
        <v>2308</v>
      </c>
      <c r="N169" s="4" t="s">
        <v>2308</v>
      </c>
      <c r="O169" s="4" t="s">
        <v>2308</v>
      </c>
      <c r="P169" s="4" t="s">
        <v>2308</v>
      </c>
      <c r="Q169" s="4" t="s">
        <v>2308</v>
      </c>
      <c r="R169" s="4" t="s">
        <v>542</v>
      </c>
      <c r="S169" s="4" t="s">
        <v>542</v>
      </c>
      <c r="T169" s="4" t="s">
        <v>542</v>
      </c>
      <c r="U169" s="4" t="s">
        <v>2308</v>
      </c>
      <c r="V169" s="4" t="s">
        <v>2308</v>
      </c>
      <c r="W169" s="5" t="s">
        <v>889</v>
      </c>
    </row>
    <row r="170" spans="1:23" ht="52" customHeight="1">
      <c r="A170" s="12" t="s">
        <v>2119</v>
      </c>
      <c r="B170" s="12" t="s">
        <v>2173</v>
      </c>
      <c r="C170" s="24" t="s">
        <v>24</v>
      </c>
      <c r="D170" s="24" t="s">
        <v>136</v>
      </c>
      <c r="E170" s="24" t="s">
        <v>149</v>
      </c>
      <c r="F170" s="20" t="s">
        <v>74</v>
      </c>
      <c r="G170" s="20"/>
      <c r="H170" s="5" t="s">
        <v>549</v>
      </c>
      <c r="I170" s="4" t="s">
        <v>545</v>
      </c>
      <c r="J170" s="4" t="s">
        <v>545</v>
      </c>
      <c r="K170" s="4" t="s">
        <v>545</v>
      </c>
      <c r="L170" s="4" t="s">
        <v>2308</v>
      </c>
      <c r="M170" s="4" t="s">
        <v>2308</v>
      </c>
      <c r="N170" s="4" t="s">
        <v>2308</v>
      </c>
      <c r="O170" s="4" t="s">
        <v>2308</v>
      </c>
      <c r="P170" s="4" t="s">
        <v>2308</v>
      </c>
      <c r="Q170" s="4" t="s">
        <v>2308</v>
      </c>
      <c r="R170" s="4" t="s">
        <v>542</v>
      </c>
      <c r="S170" s="4" t="s">
        <v>542</v>
      </c>
      <c r="T170" s="4" t="s">
        <v>542</v>
      </c>
      <c r="U170" s="4" t="s">
        <v>2308</v>
      </c>
      <c r="V170" s="4" t="s">
        <v>2308</v>
      </c>
      <c r="W170" s="5" t="s">
        <v>889</v>
      </c>
    </row>
    <row r="171" spans="1:23" ht="52" customHeight="1">
      <c r="A171" s="12" t="s">
        <v>2120</v>
      </c>
      <c r="B171" s="12" t="s">
        <v>2174</v>
      </c>
      <c r="C171" s="24" t="s">
        <v>24</v>
      </c>
      <c r="D171" s="24" t="s">
        <v>136</v>
      </c>
      <c r="E171" s="24" t="s">
        <v>149</v>
      </c>
      <c r="F171" s="20" t="s">
        <v>74</v>
      </c>
      <c r="G171" s="20"/>
      <c r="H171" s="5" t="s">
        <v>549</v>
      </c>
      <c r="I171" s="4" t="s">
        <v>545</v>
      </c>
      <c r="J171" s="4" t="s">
        <v>545</v>
      </c>
      <c r="K171" s="4" t="s">
        <v>545</v>
      </c>
      <c r="L171" s="4" t="s">
        <v>2308</v>
      </c>
      <c r="M171" s="4" t="s">
        <v>2308</v>
      </c>
      <c r="N171" s="4" t="s">
        <v>2308</v>
      </c>
      <c r="O171" s="4" t="s">
        <v>2308</v>
      </c>
      <c r="P171" s="4" t="s">
        <v>2308</v>
      </c>
      <c r="Q171" s="4" t="s">
        <v>2308</v>
      </c>
      <c r="R171" s="4" t="s">
        <v>542</v>
      </c>
      <c r="S171" s="4" t="s">
        <v>542</v>
      </c>
      <c r="T171" s="4" t="s">
        <v>542</v>
      </c>
      <c r="U171" s="4" t="s">
        <v>2308</v>
      </c>
      <c r="V171" s="4" t="s">
        <v>2308</v>
      </c>
      <c r="W171" s="5" t="s">
        <v>889</v>
      </c>
    </row>
    <row r="172" spans="1:23" ht="52" customHeight="1">
      <c r="A172" s="12" t="s">
        <v>2121</v>
      </c>
      <c r="B172" s="12" t="s">
        <v>2175</v>
      </c>
      <c r="C172" s="24" t="s">
        <v>24</v>
      </c>
      <c r="D172" s="24" t="s">
        <v>136</v>
      </c>
      <c r="E172" s="24" t="s">
        <v>149</v>
      </c>
      <c r="F172" s="20" t="s">
        <v>74</v>
      </c>
      <c r="G172" s="20"/>
      <c r="H172" s="5" t="s">
        <v>549</v>
      </c>
      <c r="I172" s="4" t="s">
        <v>545</v>
      </c>
      <c r="J172" s="4" t="s">
        <v>545</v>
      </c>
      <c r="K172" s="4" t="s">
        <v>545</v>
      </c>
      <c r="L172" s="4" t="s">
        <v>2308</v>
      </c>
      <c r="M172" s="4" t="s">
        <v>2308</v>
      </c>
      <c r="N172" s="4" t="s">
        <v>2308</v>
      </c>
      <c r="O172" s="4" t="s">
        <v>2308</v>
      </c>
      <c r="P172" s="4" t="s">
        <v>2308</v>
      </c>
      <c r="Q172" s="4" t="s">
        <v>2308</v>
      </c>
      <c r="R172" s="4" t="s">
        <v>542</v>
      </c>
      <c r="S172" s="4" t="s">
        <v>542</v>
      </c>
      <c r="T172" s="4" t="s">
        <v>542</v>
      </c>
      <c r="U172" s="4" t="s">
        <v>2308</v>
      </c>
      <c r="V172" s="4" t="s">
        <v>2308</v>
      </c>
      <c r="W172" s="5" t="s">
        <v>889</v>
      </c>
    </row>
    <row r="173" spans="1:23" ht="52" customHeight="1">
      <c r="A173" s="12" t="s">
        <v>2122</v>
      </c>
      <c r="B173" s="12" t="s">
        <v>2176</v>
      </c>
      <c r="C173" s="24" t="s">
        <v>24</v>
      </c>
      <c r="D173" s="24" t="s">
        <v>136</v>
      </c>
      <c r="E173" s="24" t="s">
        <v>149</v>
      </c>
      <c r="F173" s="20" t="s">
        <v>74</v>
      </c>
      <c r="G173" s="20"/>
      <c r="H173" s="5" t="s">
        <v>549</v>
      </c>
      <c r="I173" s="4" t="s">
        <v>545</v>
      </c>
      <c r="J173" s="4" t="s">
        <v>545</v>
      </c>
      <c r="K173" s="4" t="s">
        <v>545</v>
      </c>
      <c r="L173" s="4" t="s">
        <v>2308</v>
      </c>
      <c r="M173" s="4" t="s">
        <v>2308</v>
      </c>
      <c r="N173" s="4" t="s">
        <v>2308</v>
      </c>
      <c r="O173" s="4" t="s">
        <v>2308</v>
      </c>
      <c r="P173" s="4" t="s">
        <v>2308</v>
      </c>
      <c r="Q173" s="4" t="s">
        <v>2308</v>
      </c>
      <c r="R173" s="4" t="s">
        <v>542</v>
      </c>
      <c r="S173" s="4" t="s">
        <v>542</v>
      </c>
      <c r="T173" s="4" t="s">
        <v>542</v>
      </c>
      <c r="U173" s="4" t="s">
        <v>2308</v>
      </c>
      <c r="V173" s="4" t="s">
        <v>2308</v>
      </c>
      <c r="W173" s="5" t="s">
        <v>889</v>
      </c>
    </row>
    <row r="174" spans="1:23" ht="52" customHeight="1">
      <c r="A174" s="12" t="s">
        <v>2123</v>
      </c>
      <c r="B174" s="12" t="s">
        <v>2177</v>
      </c>
      <c r="C174" s="24" t="s">
        <v>24</v>
      </c>
      <c r="D174" s="24" t="s">
        <v>136</v>
      </c>
      <c r="E174" s="24" t="s">
        <v>149</v>
      </c>
      <c r="F174" s="20" t="s">
        <v>74</v>
      </c>
      <c r="G174" s="20"/>
      <c r="H174" s="5" t="s">
        <v>549</v>
      </c>
      <c r="I174" s="4" t="s">
        <v>545</v>
      </c>
      <c r="J174" s="4" t="s">
        <v>545</v>
      </c>
      <c r="K174" s="4" t="s">
        <v>545</v>
      </c>
      <c r="L174" s="4" t="s">
        <v>2308</v>
      </c>
      <c r="M174" s="4" t="s">
        <v>2308</v>
      </c>
      <c r="N174" s="4" t="s">
        <v>2308</v>
      </c>
      <c r="O174" s="4" t="s">
        <v>2308</v>
      </c>
      <c r="P174" s="4" t="s">
        <v>2308</v>
      </c>
      <c r="Q174" s="4" t="s">
        <v>2308</v>
      </c>
      <c r="R174" s="4" t="s">
        <v>542</v>
      </c>
      <c r="S174" s="4" t="s">
        <v>542</v>
      </c>
      <c r="T174" s="4" t="s">
        <v>542</v>
      </c>
      <c r="U174" s="4" t="s">
        <v>2308</v>
      </c>
      <c r="V174" s="4" t="s">
        <v>2308</v>
      </c>
      <c r="W174" s="5" t="s">
        <v>889</v>
      </c>
    </row>
    <row r="175" spans="1:23" ht="52" customHeight="1">
      <c r="A175" s="12" t="s">
        <v>2124</v>
      </c>
      <c r="B175" s="12" t="s">
        <v>2178</v>
      </c>
      <c r="C175" s="24" t="s">
        <v>24</v>
      </c>
      <c r="D175" s="24" t="s">
        <v>136</v>
      </c>
      <c r="E175" s="24" t="s">
        <v>149</v>
      </c>
      <c r="F175" s="20" t="s">
        <v>74</v>
      </c>
      <c r="G175" s="20"/>
      <c r="H175" s="5" t="s">
        <v>549</v>
      </c>
      <c r="I175" s="4" t="s">
        <v>545</v>
      </c>
      <c r="J175" s="4" t="s">
        <v>545</v>
      </c>
      <c r="K175" s="4" t="s">
        <v>545</v>
      </c>
      <c r="L175" s="4" t="s">
        <v>2308</v>
      </c>
      <c r="M175" s="4" t="s">
        <v>2308</v>
      </c>
      <c r="N175" s="4" t="s">
        <v>2308</v>
      </c>
      <c r="O175" s="4" t="s">
        <v>2308</v>
      </c>
      <c r="P175" s="4" t="s">
        <v>2308</v>
      </c>
      <c r="Q175" s="4" t="s">
        <v>2308</v>
      </c>
      <c r="R175" s="4" t="s">
        <v>542</v>
      </c>
      <c r="S175" s="4" t="s">
        <v>542</v>
      </c>
      <c r="T175" s="4" t="s">
        <v>542</v>
      </c>
      <c r="U175" s="4" t="s">
        <v>2308</v>
      </c>
      <c r="V175" s="4" t="s">
        <v>2308</v>
      </c>
      <c r="W175" s="5" t="s">
        <v>889</v>
      </c>
    </row>
    <row r="176" spans="1:23" ht="52" customHeight="1">
      <c r="A176" s="12" t="s">
        <v>2125</v>
      </c>
      <c r="B176" s="12" t="s">
        <v>2179</v>
      </c>
      <c r="C176" s="24" t="s">
        <v>24</v>
      </c>
      <c r="D176" s="24" t="s">
        <v>136</v>
      </c>
      <c r="E176" s="24" t="s">
        <v>149</v>
      </c>
      <c r="F176" s="20" t="s">
        <v>74</v>
      </c>
      <c r="G176" s="20"/>
      <c r="H176" s="5" t="s">
        <v>549</v>
      </c>
      <c r="I176" s="4" t="s">
        <v>545</v>
      </c>
      <c r="J176" s="4" t="s">
        <v>545</v>
      </c>
      <c r="K176" s="4" t="s">
        <v>545</v>
      </c>
      <c r="L176" s="4" t="s">
        <v>2308</v>
      </c>
      <c r="M176" s="4" t="s">
        <v>2308</v>
      </c>
      <c r="N176" s="4" t="s">
        <v>2308</v>
      </c>
      <c r="O176" s="4" t="s">
        <v>2308</v>
      </c>
      <c r="P176" s="4" t="s">
        <v>2308</v>
      </c>
      <c r="Q176" s="4" t="s">
        <v>2308</v>
      </c>
      <c r="R176" s="4" t="s">
        <v>542</v>
      </c>
      <c r="S176" s="4" t="s">
        <v>542</v>
      </c>
      <c r="T176" s="4" t="s">
        <v>542</v>
      </c>
      <c r="U176" s="4" t="s">
        <v>2308</v>
      </c>
      <c r="V176" s="4" t="s">
        <v>2308</v>
      </c>
      <c r="W176" s="5" t="s">
        <v>889</v>
      </c>
    </row>
    <row r="177" spans="1:23" ht="52" customHeight="1">
      <c r="A177" s="12" t="s">
        <v>2126</v>
      </c>
      <c r="B177" s="12" t="s">
        <v>2180</v>
      </c>
      <c r="C177" s="24" t="s">
        <v>24</v>
      </c>
      <c r="D177" s="24" t="s">
        <v>136</v>
      </c>
      <c r="E177" s="24" t="s">
        <v>149</v>
      </c>
      <c r="F177" s="20" t="s">
        <v>74</v>
      </c>
      <c r="G177" s="20"/>
      <c r="H177" s="5" t="s">
        <v>549</v>
      </c>
      <c r="I177" s="4" t="s">
        <v>545</v>
      </c>
      <c r="J177" s="4" t="s">
        <v>545</v>
      </c>
      <c r="K177" s="4" t="s">
        <v>545</v>
      </c>
      <c r="L177" s="4" t="s">
        <v>2308</v>
      </c>
      <c r="M177" s="4" t="s">
        <v>2308</v>
      </c>
      <c r="N177" s="4" t="s">
        <v>2308</v>
      </c>
      <c r="O177" s="4" t="s">
        <v>2308</v>
      </c>
      <c r="P177" s="4" t="s">
        <v>2308</v>
      </c>
      <c r="Q177" s="4" t="s">
        <v>2308</v>
      </c>
      <c r="R177" s="4" t="s">
        <v>542</v>
      </c>
      <c r="S177" s="4" t="s">
        <v>542</v>
      </c>
      <c r="T177" s="4" t="s">
        <v>542</v>
      </c>
      <c r="U177" s="4" t="s">
        <v>2308</v>
      </c>
      <c r="V177" s="4" t="s">
        <v>2308</v>
      </c>
      <c r="W177" s="5" t="s">
        <v>889</v>
      </c>
    </row>
    <row r="178" spans="1:23" ht="52" customHeight="1">
      <c r="A178" s="12" t="s">
        <v>2127</v>
      </c>
      <c r="B178" s="12" t="s">
        <v>2181</v>
      </c>
      <c r="C178" s="24" t="s">
        <v>24</v>
      </c>
      <c r="D178" s="24" t="s">
        <v>136</v>
      </c>
      <c r="E178" s="24" t="s">
        <v>149</v>
      </c>
      <c r="F178" s="20" t="s">
        <v>74</v>
      </c>
      <c r="G178" s="20"/>
      <c r="H178" s="5" t="s">
        <v>549</v>
      </c>
      <c r="I178" s="4" t="s">
        <v>545</v>
      </c>
      <c r="J178" s="4" t="s">
        <v>545</v>
      </c>
      <c r="K178" s="4" t="s">
        <v>545</v>
      </c>
      <c r="L178" s="4" t="s">
        <v>2308</v>
      </c>
      <c r="M178" s="4" t="s">
        <v>2308</v>
      </c>
      <c r="N178" s="4" t="s">
        <v>2308</v>
      </c>
      <c r="O178" s="4" t="s">
        <v>2308</v>
      </c>
      <c r="P178" s="4" t="s">
        <v>2308</v>
      </c>
      <c r="Q178" s="4" t="s">
        <v>2308</v>
      </c>
      <c r="R178" s="4" t="s">
        <v>542</v>
      </c>
      <c r="S178" s="4" t="s">
        <v>542</v>
      </c>
      <c r="T178" s="4" t="s">
        <v>542</v>
      </c>
      <c r="U178" s="4" t="s">
        <v>2308</v>
      </c>
      <c r="V178" s="4" t="s">
        <v>2308</v>
      </c>
      <c r="W178" s="5" t="s">
        <v>889</v>
      </c>
    </row>
    <row r="179" spans="1:23" ht="52" customHeight="1">
      <c r="A179" s="12" t="s">
        <v>2128</v>
      </c>
      <c r="B179" s="12" t="s">
        <v>2182</v>
      </c>
      <c r="C179" s="24" t="s">
        <v>24</v>
      </c>
      <c r="D179" s="24" t="s">
        <v>136</v>
      </c>
      <c r="E179" s="24" t="s">
        <v>149</v>
      </c>
      <c r="F179" s="20" t="s">
        <v>74</v>
      </c>
      <c r="G179" s="20"/>
      <c r="H179" s="5" t="s">
        <v>549</v>
      </c>
      <c r="I179" s="4" t="s">
        <v>545</v>
      </c>
      <c r="J179" s="4" t="s">
        <v>545</v>
      </c>
      <c r="K179" s="4" t="s">
        <v>545</v>
      </c>
      <c r="L179" s="4" t="s">
        <v>2308</v>
      </c>
      <c r="M179" s="4" t="s">
        <v>2308</v>
      </c>
      <c r="N179" s="4" t="s">
        <v>2308</v>
      </c>
      <c r="O179" s="4" t="s">
        <v>2308</v>
      </c>
      <c r="P179" s="4" t="s">
        <v>2308</v>
      </c>
      <c r="Q179" s="4" t="s">
        <v>2308</v>
      </c>
      <c r="R179" s="4" t="s">
        <v>542</v>
      </c>
      <c r="S179" s="4" t="s">
        <v>542</v>
      </c>
      <c r="T179" s="4" t="s">
        <v>542</v>
      </c>
      <c r="U179" s="4" t="s">
        <v>2308</v>
      </c>
      <c r="V179" s="4" t="s">
        <v>2308</v>
      </c>
      <c r="W179" s="5" t="s">
        <v>889</v>
      </c>
    </row>
    <row r="180" spans="1:23" ht="67" customHeight="1">
      <c r="A180" s="12" t="s">
        <v>2129</v>
      </c>
      <c r="B180" s="12" t="s">
        <v>2183</v>
      </c>
      <c r="C180" s="24" t="s">
        <v>24</v>
      </c>
      <c r="D180" s="24" t="s">
        <v>136</v>
      </c>
      <c r="E180" s="24" t="s">
        <v>149</v>
      </c>
      <c r="F180" s="20" t="s">
        <v>74</v>
      </c>
      <c r="G180" s="20"/>
      <c r="H180" s="5" t="s">
        <v>549</v>
      </c>
      <c r="I180" s="4" t="s">
        <v>2723</v>
      </c>
      <c r="J180" s="4" t="s">
        <v>542</v>
      </c>
      <c r="K180" s="4" t="s">
        <v>2308</v>
      </c>
      <c r="L180" s="4" t="s">
        <v>2308</v>
      </c>
      <c r="M180" s="4" t="s">
        <v>2308</v>
      </c>
      <c r="N180" s="4" t="s">
        <v>2308</v>
      </c>
      <c r="O180" s="4" t="s">
        <v>2308</v>
      </c>
      <c r="P180" s="4" t="s">
        <v>2308</v>
      </c>
      <c r="Q180" s="4" t="s">
        <v>2308</v>
      </c>
      <c r="R180" s="4" t="s">
        <v>542</v>
      </c>
      <c r="S180" s="4" t="s">
        <v>542</v>
      </c>
      <c r="T180" s="4" t="s">
        <v>542</v>
      </c>
      <c r="U180" s="4" t="s">
        <v>2308</v>
      </c>
      <c r="V180" s="4" t="s">
        <v>2308</v>
      </c>
      <c r="W180" s="5" t="s">
        <v>2210</v>
      </c>
    </row>
    <row r="181" spans="1:23" ht="74.5" customHeight="1">
      <c r="A181" s="12" t="s">
        <v>2129</v>
      </c>
      <c r="B181" s="12" t="s">
        <v>2209</v>
      </c>
      <c r="C181" s="24" t="s">
        <v>24</v>
      </c>
      <c r="D181" s="24" t="s">
        <v>136</v>
      </c>
      <c r="E181" s="24" t="s">
        <v>27</v>
      </c>
      <c r="F181" s="20" t="s">
        <v>167</v>
      </c>
      <c r="G181" s="20"/>
      <c r="H181" s="5" t="s">
        <v>549</v>
      </c>
      <c r="I181" s="4" t="s">
        <v>2723</v>
      </c>
      <c r="J181" s="4" t="s">
        <v>542</v>
      </c>
      <c r="K181" s="4" t="s">
        <v>2308</v>
      </c>
      <c r="L181" s="4" t="s">
        <v>2308</v>
      </c>
      <c r="M181" s="4" t="s">
        <v>2308</v>
      </c>
      <c r="N181" s="4" t="s">
        <v>2308</v>
      </c>
      <c r="O181" s="4" t="s">
        <v>2308</v>
      </c>
      <c r="P181" s="4" t="s">
        <v>2308</v>
      </c>
      <c r="Q181" s="4" t="s">
        <v>2308</v>
      </c>
      <c r="R181" s="4" t="s">
        <v>2308</v>
      </c>
      <c r="S181" s="4" t="s">
        <v>2308</v>
      </c>
      <c r="T181" s="4" t="s">
        <v>2308</v>
      </c>
      <c r="U181" s="4" t="s">
        <v>2308</v>
      </c>
      <c r="V181" s="4" t="s">
        <v>2308</v>
      </c>
      <c r="W181" s="5" t="s">
        <v>2210</v>
      </c>
    </row>
    <row r="182" spans="1:23" ht="52" customHeight="1">
      <c r="A182" s="12" t="s">
        <v>2130</v>
      </c>
      <c r="B182" s="12" t="s">
        <v>2184</v>
      </c>
      <c r="C182" s="24" t="s">
        <v>24</v>
      </c>
      <c r="D182" s="24" t="s">
        <v>136</v>
      </c>
      <c r="E182" s="24" t="s">
        <v>149</v>
      </c>
      <c r="F182" s="20" t="s">
        <v>74</v>
      </c>
      <c r="G182" s="20"/>
      <c r="H182" s="5" t="s">
        <v>549</v>
      </c>
      <c r="I182" s="4" t="s">
        <v>2723</v>
      </c>
      <c r="J182" s="4" t="s">
        <v>542</v>
      </c>
      <c r="K182" s="4" t="s">
        <v>2308</v>
      </c>
      <c r="L182" s="4" t="s">
        <v>2308</v>
      </c>
      <c r="M182" s="4" t="s">
        <v>2308</v>
      </c>
      <c r="N182" s="4" t="s">
        <v>2308</v>
      </c>
      <c r="O182" s="4" t="s">
        <v>2308</v>
      </c>
      <c r="P182" s="4" t="s">
        <v>2308</v>
      </c>
      <c r="Q182" s="4" t="s">
        <v>2308</v>
      </c>
      <c r="R182" s="4" t="s">
        <v>542</v>
      </c>
      <c r="S182" s="4" t="s">
        <v>542</v>
      </c>
      <c r="T182" s="4" t="s">
        <v>542</v>
      </c>
      <c r="U182" s="4" t="s">
        <v>2308</v>
      </c>
      <c r="V182" s="4" t="s">
        <v>2308</v>
      </c>
      <c r="W182" s="5" t="s">
        <v>2210</v>
      </c>
    </row>
    <row r="183" spans="1:23" ht="52" customHeight="1">
      <c r="A183" s="12" t="s">
        <v>2130</v>
      </c>
      <c r="B183" s="12" t="s">
        <v>2211</v>
      </c>
      <c r="C183" s="24" t="s">
        <v>24</v>
      </c>
      <c r="D183" s="24" t="s">
        <v>136</v>
      </c>
      <c r="E183" s="24" t="s">
        <v>27</v>
      </c>
      <c r="F183" s="20" t="s">
        <v>167</v>
      </c>
      <c r="G183" s="20"/>
      <c r="H183" s="5" t="s">
        <v>549</v>
      </c>
      <c r="I183" s="4" t="s">
        <v>2723</v>
      </c>
      <c r="J183" s="4" t="s">
        <v>542</v>
      </c>
      <c r="K183" s="4" t="s">
        <v>2308</v>
      </c>
      <c r="L183" s="4" t="s">
        <v>2308</v>
      </c>
      <c r="M183" s="4" t="s">
        <v>2308</v>
      </c>
      <c r="N183" s="4" t="s">
        <v>2308</v>
      </c>
      <c r="O183" s="4" t="s">
        <v>2308</v>
      </c>
      <c r="P183" s="4" t="s">
        <v>2308</v>
      </c>
      <c r="Q183" s="4" t="s">
        <v>2308</v>
      </c>
      <c r="R183" s="4" t="s">
        <v>2308</v>
      </c>
      <c r="S183" s="4" t="s">
        <v>2308</v>
      </c>
      <c r="T183" s="4" t="s">
        <v>2308</v>
      </c>
      <c r="U183" s="4" t="s">
        <v>2308</v>
      </c>
      <c r="V183" s="4" t="s">
        <v>2308</v>
      </c>
      <c r="W183" s="5" t="s">
        <v>2210</v>
      </c>
    </row>
    <row r="184" spans="1:23" ht="52" customHeight="1">
      <c r="A184" s="12" t="s">
        <v>2131</v>
      </c>
      <c r="B184" s="12" t="s">
        <v>2185</v>
      </c>
      <c r="C184" s="24" t="s">
        <v>24</v>
      </c>
      <c r="D184" s="24" t="s">
        <v>136</v>
      </c>
      <c r="E184" s="24" t="s">
        <v>149</v>
      </c>
      <c r="F184" s="20" t="s">
        <v>74</v>
      </c>
      <c r="G184" s="20"/>
      <c r="H184" s="5" t="s">
        <v>549</v>
      </c>
      <c r="I184" s="4" t="s">
        <v>2723</v>
      </c>
      <c r="J184" s="4" t="s">
        <v>542</v>
      </c>
      <c r="K184" s="4" t="s">
        <v>2308</v>
      </c>
      <c r="L184" s="4" t="s">
        <v>2308</v>
      </c>
      <c r="M184" s="4" t="s">
        <v>2308</v>
      </c>
      <c r="N184" s="4" t="s">
        <v>2308</v>
      </c>
      <c r="O184" s="4" t="s">
        <v>2308</v>
      </c>
      <c r="P184" s="4" t="s">
        <v>2308</v>
      </c>
      <c r="Q184" s="4" t="s">
        <v>2308</v>
      </c>
      <c r="R184" s="4" t="s">
        <v>542</v>
      </c>
      <c r="S184" s="4" t="s">
        <v>542</v>
      </c>
      <c r="T184" s="4" t="s">
        <v>542</v>
      </c>
      <c r="U184" s="4" t="s">
        <v>2308</v>
      </c>
      <c r="V184" s="4" t="s">
        <v>2308</v>
      </c>
      <c r="W184" s="5" t="s">
        <v>2210</v>
      </c>
    </row>
    <row r="185" spans="1:23" ht="52" customHeight="1">
      <c r="A185" s="12" t="s">
        <v>2131</v>
      </c>
      <c r="B185" s="12" t="s">
        <v>2212</v>
      </c>
      <c r="C185" s="24" t="s">
        <v>24</v>
      </c>
      <c r="D185" s="24" t="s">
        <v>136</v>
      </c>
      <c r="E185" s="24" t="s">
        <v>27</v>
      </c>
      <c r="F185" s="20" t="s">
        <v>167</v>
      </c>
      <c r="G185" s="20"/>
      <c r="H185" s="5" t="s">
        <v>549</v>
      </c>
      <c r="I185" s="4" t="s">
        <v>2723</v>
      </c>
      <c r="J185" s="4" t="s">
        <v>542</v>
      </c>
      <c r="K185" s="4" t="s">
        <v>2308</v>
      </c>
      <c r="L185" s="4" t="s">
        <v>2308</v>
      </c>
      <c r="M185" s="4" t="s">
        <v>2308</v>
      </c>
      <c r="N185" s="4" t="s">
        <v>2308</v>
      </c>
      <c r="O185" s="4" t="s">
        <v>2308</v>
      </c>
      <c r="P185" s="4" t="s">
        <v>2308</v>
      </c>
      <c r="Q185" s="4" t="s">
        <v>2308</v>
      </c>
      <c r="R185" s="4" t="s">
        <v>2308</v>
      </c>
      <c r="S185" s="4" t="s">
        <v>2308</v>
      </c>
      <c r="T185" s="4" t="s">
        <v>2308</v>
      </c>
      <c r="U185" s="4" t="s">
        <v>2308</v>
      </c>
      <c r="V185" s="4" t="s">
        <v>2308</v>
      </c>
      <c r="W185" s="5" t="s">
        <v>2210</v>
      </c>
    </row>
    <row r="186" spans="1:23" ht="52" customHeight="1">
      <c r="A186" s="12" t="s">
        <v>2132</v>
      </c>
      <c r="B186" s="12" t="s">
        <v>2186</v>
      </c>
      <c r="C186" s="24" t="s">
        <v>24</v>
      </c>
      <c r="D186" s="24" t="s">
        <v>136</v>
      </c>
      <c r="E186" s="24" t="s">
        <v>149</v>
      </c>
      <c r="F186" s="20" t="s">
        <v>74</v>
      </c>
      <c r="G186" s="20"/>
      <c r="H186" s="5" t="s">
        <v>549</v>
      </c>
      <c r="I186" s="4" t="s">
        <v>2723</v>
      </c>
      <c r="J186" s="4" t="s">
        <v>542</v>
      </c>
      <c r="K186" s="4" t="s">
        <v>2308</v>
      </c>
      <c r="L186" s="4" t="s">
        <v>2308</v>
      </c>
      <c r="M186" s="4" t="s">
        <v>2308</v>
      </c>
      <c r="N186" s="4" t="s">
        <v>2308</v>
      </c>
      <c r="O186" s="4" t="s">
        <v>2308</v>
      </c>
      <c r="P186" s="4" t="s">
        <v>2308</v>
      </c>
      <c r="Q186" s="4" t="s">
        <v>2308</v>
      </c>
      <c r="R186" s="4" t="s">
        <v>542</v>
      </c>
      <c r="S186" s="4" t="s">
        <v>542</v>
      </c>
      <c r="T186" s="4" t="s">
        <v>542</v>
      </c>
      <c r="U186" s="4" t="s">
        <v>2308</v>
      </c>
      <c r="V186" s="4" t="s">
        <v>2308</v>
      </c>
      <c r="W186" s="5" t="s">
        <v>2210</v>
      </c>
    </row>
    <row r="187" spans="1:23" ht="52" customHeight="1">
      <c r="A187" s="12" t="s">
        <v>2132</v>
      </c>
      <c r="B187" s="12" t="s">
        <v>2213</v>
      </c>
      <c r="C187" s="24" t="s">
        <v>24</v>
      </c>
      <c r="D187" s="24" t="s">
        <v>136</v>
      </c>
      <c r="E187" s="24" t="s">
        <v>27</v>
      </c>
      <c r="F187" s="20" t="s">
        <v>167</v>
      </c>
      <c r="G187" s="20"/>
      <c r="H187" s="5" t="s">
        <v>549</v>
      </c>
      <c r="I187" s="4" t="s">
        <v>2723</v>
      </c>
      <c r="J187" s="4" t="s">
        <v>542</v>
      </c>
      <c r="K187" s="4" t="s">
        <v>2308</v>
      </c>
      <c r="L187" s="4" t="s">
        <v>2308</v>
      </c>
      <c r="M187" s="4" t="s">
        <v>2308</v>
      </c>
      <c r="N187" s="4" t="s">
        <v>2308</v>
      </c>
      <c r="O187" s="4" t="s">
        <v>2308</v>
      </c>
      <c r="P187" s="4" t="s">
        <v>2308</v>
      </c>
      <c r="Q187" s="4" t="s">
        <v>2308</v>
      </c>
      <c r="R187" s="4" t="s">
        <v>2308</v>
      </c>
      <c r="S187" s="4" t="s">
        <v>2308</v>
      </c>
      <c r="T187" s="4" t="s">
        <v>2308</v>
      </c>
      <c r="U187" s="4" t="s">
        <v>2308</v>
      </c>
      <c r="V187" s="4" t="s">
        <v>2308</v>
      </c>
      <c r="W187" s="5" t="s">
        <v>2210</v>
      </c>
    </row>
    <row r="188" spans="1:23" ht="52" customHeight="1">
      <c r="A188" s="12" t="s">
        <v>2133</v>
      </c>
      <c r="B188" s="12" t="s">
        <v>2187</v>
      </c>
      <c r="C188" s="24" t="s">
        <v>24</v>
      </c>
      <c r="D188" s="24" t="s">
        <v>136</v>
      </c>
      <c r="E188" s="24" t="s">
        <v>149</v>
      </c>
      <c r="F188" s="20" t="s">
        <v>74</v>
      </c>
      <c r="G188" s="20"/>
      <c r="H188" s="5" t="s">
        <v>549</v>
      </c>
      <c r="I188" s="4" t="s">
        <v>2723</v>
      </c>
      <c r="J188" s="4" t="s">
        <v>542</v>
      </c>
      <c r="K188" s="4" t="s">
        <v>2308</v>
      </c>
      <c r="L188" s="4" t="s">
        <v>2308</v>
      </c>
      <c r="M188" s="4" t="s">
        <v>2308</v>
      </c>
      <c r="N188" s="4" t="s">
        <v>2308</v>
      </c>
      <c r="O188" s="4" t="s">
        <v>2308</v>
      </c>
      <c r="P188" s="4" t="s">
        <v>2308</v>
      </c>
      <c r="Q188" s="4" t="s">
        <v>2308</v>
      </c>
      <c r="R188" s="4" t="s">
        <v>542</v>
      </c>
      <c r="S188" s="4" t="s">
        <v>542</v>
      </c>
      <c r="T188" s="4" t="s">
        <v>542</v>
      </c>
      <c r="U188" s="4" t="s">
        <v>2308</v>
      </c>
      <c r="V188" s="4" t="s">
        <v>2308</v>
      </c>
      <c r="W188" s="5" t="s">
        <v>2210</v>
      </c>
    </row>
    <row r="189" spans="1:23" ht="52" customHeight="1">
      <c r="A189" s="12" t="s">
        <v>2133</v>
      </c>
      <c r="B189" s="12" t="s">
        <v>2214</v>
      </c>
      <c r="C189" s="24" t="s">
        <v>24</v>
      </c>
      <c r="D189" s="24" t="s">
        <v>136</v>
      </c>
      <c r="E189" s="24" t="s">
        <v>27</v>
      </c>
      <c r="F189" s="20" t="s">
        <v>167</v>
      </c>
      <c r="G189" s="20"/>
      <c r="H189" s="5" t="s">
        <v>549</v>
      </c>
      <c r="I189" s="4" t="s">
        <v>2723</v>
      </c>
      <c r="J189" s="4" t="s">
        <v>542</v>
      </c>
      <c r="K189" s="4" t="s">
        <v>2308</v>
      </c>
      <c r="L189" s="4" t="s">
        <v>2308</v>
      </c>
      <c r="M189" s="4" t="s">
        <v>2308</v>
      </c>
      <c r="N189" s="4" t="s">
        <v>2308</v>
      </c>
      <c r="O189" s="4" t="s">
        <v>2308</v>
      </c>
      <c r="P189" s="4" t="s">
        <v>2308</v>
      </c>
      <c r="Q189" s="4" t="s">
        <v>2308</v>
      </c>
      <c r="R189" s="4" t="s">
        <v>2308</v>
      </c>
      <c r="S189" s="4" t="s">
        <v>2308</v>
      </c>
      <c r="T189" s="4" t="s">
        <v>2308</v>
      </c>
      <c r="U189" s="4" t="s">
        <v>2308</v>
      </c>
      <c r="V189" s="4" t="s">
        <v>2308</v>
      </c>
      <c r="W189" s="5" t="s">
        <v>2210</v>
      </c>
    </row>
    <row r="190" spans="1:23" ht="52" customHeight="1">
      <c r="A190" s="12" t="s">
        <v>2134</v>
      </c>
      <c r="B190" s="12" t="s">
        <v>2188</v>
      </c>
      <c r="C190" s="24" t="s">
        <v>24</v>
      </c>
      <c r="D190" s="24" t="s">
        <v>136</v>
      </c>
      <c r="E190" s="24" t="s">
        <v>149</v>
      </c>
      <c r="F190" s="20" t="s">
        <v>74</v>
      </c>
      <c r="G190" s="20"/>
      <c r="H190" s="5" t="s">
        <v>549</v>
      </c>
      <c r="I190" s="4" t="s">
        <v>2723</v>
      </c>
      <c r="J190" s="4" t="s">
        <v>542</v>
      </c>
      <c r="K190" s="4" t="s">
        <v>2308</v>
      </c>
      <c r="L190" s="4" t="s">
        <v>2308</v>
      </c>
      <c r="M190" s="4" t="s">
        <v>2308</v>
      </c>
      <c r="N190" s="4" t="s">
        <v>2308</v>
      </c>
      <c r="O190" s="4" t="s">
        <v>2308</v>
      </c>
      <c r="P190" s="4" t="s">
        <v>2308</v>
      </c>
      <c r="Q190" s="4" t="s">
        <v>2308</v>
      </c>
      <c r="R190" s="4" t="s">
        <v>542</v>
      </c>
      <c r="S190" s="4" t="s">
        <v>542</v>
      </c>
      <c r="T190" s="4" t="s">
        <v>542</v>
      </c>
      <c r="U190" s="4" t="s">
        <v>2308</v>
      </c>
      <c r="V190" s="4" t="s">
        <v>2308</v>
      </c>
      <c r="W190" s="5" t="s">
        <v>2210</v>
      </c>
    </row>
    <row r="191" spans="1:23" ht="52" customHeight="1">
      <c r="A191" s="12" t="s">
        <v>2134</v>
      </c>
      <c r="B191" s="12" t="s">
        <v>2215</v>
      </c>
      <c r="C191" s="24" t="s">
        <v>24</v>
      </c>
      <c r="D191" s="24" t="s">
        <v>136</v>
      </c>
      <c r="E191" s="24" t="s">
        <v>27</v>
      </c>
      <c r="F191" s="20" t="s">
        <v>167</v>
      </c>
      <c r="G191" s="20"/>
      <c r="H191" s="5" t="s">
        <v>549</v>
      </c>
      <c r="I191" s="4" t="s">
        <v>2723</v>
      </c>
      <c r="J191" s="4" t="s">
        <v>542</v>
      </c>
      <c r="K191" s="4" t="s">
        <v>2308</v>
      </c>
      <c r="L191" s="4" t="s">
        <v>2308</v>
      </c>
      <c r="M191" s="4" t="s">
        <v>2308</v>
      </c>
      <c r="N191" s="4" t="s">
        <v>2308</v>
      </c>
      <c r="O191" s="4" t="s">
        <v>2308</v>
      </c>
      <c r="P191" s="4" t="s">
        <v>2308</v>
      </c>
      <c r="Q191" s="4" t="s">
        <v>2308</v>
      </c>
      <c r="R191" s="4" t="s">
        <v>2308</v>
      </c>
      <c r="S191" s="4" t="s">
        <v>2308</v>
      </c>
      <c r="T191" s="4" t="s">
        <v>2308</v>
      </c>
      <c r="U191" s="4" t="s">
        <v>2308</v>
      </c>
      <c r="V191" s="4" t="s">
        <v>2308</v>
      </c>
      <c r="W191" s="5" t="s">
        <v>2210</v>
      </c>
    </row>
    <row r="192" spans="1:23" ht="52" customHeight="1">
      <c r="A192" s="12" t="s">
        <v>2135</v>
      </c>
      <c r="B192" s="12" t="s">
        <v>2189</v>
      </c>
      <c r="C192" s="24" t="s">
        <v>24</v>
      </c>
      <c r="D192" s="24" t="s">
        <v>136</v>
      </c>
      <c r="E192" s="24" t="s">
        <v>149</v>
      </c>
      <c r="F192" s="20" t="s">
        <v>74</v>
      </c>
      <c r="G192" s="20"/>
      <c r="H192" s="5" t="s">
        <v>549</v>
      </c>
      <c r="I192" s="4" t="s">
        <v>2723</v>
      </c>
      <c r="J192" s="4" t="s">
        <v>542</v>
      </c>
      <c r="K192" s="4" t="s">
        <v>2308</v>
      </c>
      <c r="L192" s="4" t="s">
        <v>2308</v>
      </c>
      <c r="M192" s="4" t="s">
        <v>2308</v>
      </c>
      <c r="N192" s="4" t="s">
        <v>2308</v>
      </c>
      <c r="O192" s="4" t="s">
        <v>2308</v>
      </c>
      <c r="P192" s="4" t="s">
        <v>2308</v>
      </c>
      <c r="Q192" s="4" t="s">
        <v>2308</v>
      </c>
      <c r="R192" s="4" t="s">
        <v>542</v>
      </c>
      <c r="S192" s="4" t="s">
        <v>542</v>
      </c>
      <c r="T192" s="4" t="s">
        <v>542</v>
      </c>
      <c r="U192" s="4" t="s">
        <v>2308</v>
      </c>
      <c r="V192" s="4" t="s">
        <v>2308</v>
      </c>
      <c r="W192" s="5" t="s">
        <v>2210</v>
      </c>
    </row>
    <row r="193" spans="1:23" ht="52" customHeight="1">
      <c r="A193" s="12" t="s">
        <v>2135</v>
      </c>
      <c r="B193" s="12" t="s">
        <v>2216</v>
      </c>
      <c r="C193" s="24" t="s">
        <v>24</v>
      </c>
      <c r="D193" s="24" t="s">
        <v>136</v>
      </c>
      <c r="E193" s="24" t="s">
        <v>27</v>
      </c>
      <c r="F193" s="20" t="s">
        <v>167</v>
      </c>
      <c r="G193" s="20"/>
      <c r="H193" s="5" t="s">
        <v>549</v>
      </c>
      <c r="I193" s="4" t="s">
        <v>2723</v>
      </c>
      <c r="J193" s="4" t="s">
        <v>542</v>
      </c>
      <c r="K193" s="4" t="s">
        <v>2308</v>
      </c>
      <c r="L193" s="4" t="s">
        <v>2308</v>
      </c>
      <c r="M193" s="4" t="s">
        <v>2308</v>
      </c>
      <c r="N193" s="4" t="s">
        <v>2308</v>
      </c>
      <c r="O193" s="4" t="s">
        <v>2308</v>
      </c>
      <c r="P193" s="4" t="s">
        <v>2308</v>
      </c>
      <c r="Q193" s="4" t="s">
        <v>2308</v>
      </c>
      <c r="R193" s="4" t="s">
        <v>2308</v>
      </c>
      <c r="S193" s="4" t="s">
        <v>2308</v>
      </c>
      <c r="T193" s="4" t="s">
        <v>2308</v>
      </c>
      <c r="U193" s="4" t="s">
        <v>2308</v>
      </c>
      <c r="V193" s="4" t="s">
        <v>2308</v>
      </c>
      <c r="W193" s="5" t="s">
        <v>2210</v>
      </c>
    </row>
    <row r="194" spans="1:23" ht="52" customHeight="1">
      <c r="A194" s="12" t="s">
        <v>2136</v>
      </c>
      <c r="B194" s="12" t="s">
        <v>2190</v>
      </c>
      <c r="C194" s="24" t="s">
        <v>24</v>
      </c>
      <c r="D194" s="24" t="s">
        <v>136</v>
      </c>
      <c r="E194" s="24" t="s">
        <v>149</v>
      </c>
      <c r="F194" s="20" t="s">
        <v>74</v>
      </c>
      <c r="G194" s="20"/>
      <c r="H194" s="5" t="s">
        <v>549</v>
      </c>
      <c r="I194" s="4" t="s">
        <v>2723</v>
      </c>
      <c r="J194" s="4" t="s">
        <v>542</v>
      </c>
      <c r="K194" s="4" t="s">
        <v>2308</v>
      </c>
      <c r="L194" s="4" t="s">
        <v>2308</v>
      </c>
      <c r="M194" s="4" t="s">
        <v>2308</v>
      </c>
      <c r="N194" s="4" t="s">
        <v>2308</v>
      </c>
      <c r="O194" s="4" t="s">
        <v>2308</v>
      </c>
      <c r="P194" s="4" t="s">
        <v>2308</v>
      </c>
      <c r="Q194" s="4" t="s">
        <v>2308</v>
      </c>
      <c r="R194" s="4" t="s">
        <v>542</v>
      </c>
      <c r="S194" s="4" t="s">
        <v>542</v>
      </c>
      <c r="T194" s="4" t="s">
        <v>542</v>
      </c>
      <c r="U194" s="4" t="s">
        <v>2308</v>
      </c>
      <c r="V194" s="4" t="s">
        <v>2308</v>
      </c>
      <c r="W194" s="5" t="s">
        <v>2210</v>
      </c>
    </row>
    <row r="195" spans="1:23" ht="52" customHeight="1">
      <c r="A195" s="12" t="s">
        <v>2136</v>
      </c>
      <c r="B195" s="12" t="s">
        <v>2217</v>
      </c>
      <c r="C195" s="24" t="s">
        <v>24</v>
      </c>
      <c r="D195" s="24" t="s">
        <v>136</v>
      </c>
      <c r="E195" s="24" t="s">
        <v>27</v>
      </c>
      <c r="F195" s="20" t="s">
        <v>167</v>
      </c>
      <c r="G195" s="20"/>
      <c r="H195" s="5" t="s">
        <v>549</v>
      </c>
      <c r="I195" s="4" t="s">
        <v>2723</v>
      </c>
      <c r="J195" s="4" t="s">
        <v>542</v>
      </c>
      <c r="K195" s="4" t="s">
        <v>2308</v>
      </c>
      <c r="L195" s="4" t="s">
        <v>2308</v>
      </c>
      <c r="M195" s="4" t="s">
        <v>2308</v>
      </c>
      <c r="N195" s="4" t="s">
        <v>2308</v>
      </c>
      <c r="O195" s="4" t="s">
        <v>2308</v>
      </c>
      <c r="P195" s="4" t="s">
        <v>2308</v>
      </c>
      <c r="Q195" s="4" t="s">
        <v>2308</v>
      </c>
      <c r="R195" s="4" t="s">
        <v>2308</v>
      </c>
      <c r="S195" s="4" t="s">
        <v>2308</v>
      </c>
      <c r="T195" s="4" t="s">
        <v>2308</v>
      </c>
      <c r="U195" s="4" t="s">
        <v>2308</v>
      </c>
      <c r="V195" s="4" t="s">
        <v>2308</v>
      </c>
      <c r="W195" s="5" t="s">
        <v>2210</v>
      </c>
    </row>
    <row r="196" spans="1:23" ht="52" customHeight="1">
      <c r="A196" s="12" t="s">
        <v>2137</v>
      </c>
      <c r="B196" s="12" t="s">
        <v>2191</v>
      </c>
      <c r="C196" s="24" t="s">
        <v>24</v>
      </c>
      <c r="D196" s="24" t="s">
        <v>136</v>
      </c>
      <c r="E196" s="24" t="s">
        <v>149</v>
      </c>
      <c r="F196" s="20" t="s">
        <v>74</v>
      </c>
      <c r="G196" s="20"/>
      <c r="H196" s="5" t="s">
        <v>549</v>
      </c>
      <c r="I196" s="4" t="s">
        <v>2723</v>
      </c>
      <c r="J196" s="4" t="s">
        <v>542</v>
      </c>
      <c r="K196" s="4" t="s">
        <v>2308</v>
      </c>
      <c r="L196" s="4" t="s">
        <v>2308</v>
      </c>
      <c r="M196" s="4" t="s">
        <v>2308</v>
      </c>
      <c r="N196" s="4" t="s">
        <v>2308</v>
      </c>
      <c r="O196" s="4" t="s">
        <v>2308</v>
      </c>
      <c r="P196" s="4" t="s">
        <v>2308</v>
      </c>
      <c r="Q196" s="4" t="s">
        <v>2308</v>
      </c>
      <c r="R196" s="4" t="s">
        <v>542</v>
      </c>
      <c r="S196" s="4" t="s">
        <v>542</v>
      </c>
      <c r="T196" s="4" t="s">
        <v>542</v>
      </c>
      <c r="U196" s="4" t="s">
        <v>2308</v>
      </c>
      <c r="V196" s="4" t="s">
        <v>2308</v>
      </c>
      <c r="W196" s="5" t="s">
        <v>2210</v>
      </c>
    </row>
    <row r="197" spans="1:23" ht="52" customHeight="1">
      <c r="A197" s="12" t="s">
        <v>2137</v>
      </c>
      <c r="B197" s="12" t="s">
        <v>2218</v>
      </c>
      <c r="C197" s="24" t="s">
        <v>24</v>
      </c>
      <c r="D197" s="24" t="s">
        <v>136</v>
      </c>
      <c r="E197" s="24" t="s">
        <v>27</v>
      </c>
      <c r="F197" s="20" t="s">
        <v>167</v>
      </c>
      <c r="G197" s="20"/>
      <c r="H197" s="5" t="s">
        <v>549</v>
      </c>
      <c r="I197" s="4" t="s">
        <v>2723</v>
      </c>
      <c r="J197" s="4" t="s">
        <v>542</v>
      </c>
      <c r="K197" s="4" t="s">
        <v>2308</v>
      </c>
      <c r="L197" s="4" t="s">
        <v>2308</v>
      </c>
      <c r="M197" s="4" t="s">
        <v>2308</v>
      </c>
      <c r="N197" s="4" t="s">
        <v>2308</v>
      </c>
      <c r="O197" s="4" t="s">
        <v>2308</v>
      </c>
      <c r="P197" s="4" t="s">
        <v>2308</v>
      </c>
      <c r="Q197" s="4" t="s">
        <v>2308</v>
      </c>
      <c r="R197" s="4" t="s">
        <v>2308</v>
      </c>
      <c r="S197" s="4" t="s">
        <v>2308</v>
      </c>
      <c r="T197" s="4" t="s">
        <v>2308</v>
      </c>
      <c r="U197" s="4" t="s">
        <v>2308</v>
      </c>
      <c r="V197" s="4" t="s">
        <v>2308</v>
      </c>
      <c r="W197" s="5" t="s">
        <v>2210</v>
      </c>
    </row>
    <row r="198" spans="1:23" ht="52" customHeight="1">
      <c r="A198" s="12" t="s">
        <v>2138</v>
      </c>
      <c r="B198" s="12" t="s">
        <v>2192</v>
      </c>
      <c r="C198" s="24" t="s">
        <v>24</v>
      </c>
      <c r="D198" s="24" t="s">
        <v>136</v>
      </c>
      <c r="E198" s="24" t="s">
        <v>149</v>
      </c>
      <c r="F198" s="20" t="s">
        <v>74</v>
      </c>
      <c r="G198" s="20"/>
      <c r="H198" s="5" t="s">
        <v>549</v>
      </c>
      <c r="I198" s="4" t="s">
        <v>2723</v>
      </c>
      <c r="J198" s="4" t="s">
        <v>542</v>
      </c>
      <c r="K198" s="4" t="s">
        <v>2308</v>
      </c>
      <c r="L198" s="4" t="s">
        <v>2308</v>
      </c>
      <c r="M198" s="4" t="s">
        <v>2308</v>
      </c>
      <c r="N198" s="4" t="s">
        <v>2308</v>
      </c>
      <c r="O198" s="4" t="s">
        <v>2308</v>
      </c>
      <c r="P198" s="4" t="s">
        <v>2308</v>
      </c>
      <c r="Q198" s="4" t="s">
        <v>2308</v>
      </c>
      <c r="R198" s="4" t="s">
        <v>542</v>
      </c>
      <c r="S198" s="4" t="s">
        <v>542</v>
      </c>
      <c r="T198" s="4" t="s">
        <v>542</v>
      </c>
      <c r="U198" s="4" t="s">
        <v>2308</v>
      </c>
      <c r="V198" s="4" t="s">
        <v>2308</v>
      </c>
      <c r="W198" s="5" t="s">
        <v>2210</v>
      </c>
    </row>
    <row r="199" spans="1:23" ht="52" customHeight="1">
      <c r="A199" s="12" t="s">
        <v>2138</v>
      </c>
      <c r="B199" s="12" t="s">
        <v>2219</v>
      </c>
      <c r="C199" s="24" t="s">
        <v>24</v>
      </c>
      <c r="D199" s="24" t="s">
        <v>136</v>
      </c>
      <c r="E199" s="24" t="s">
        <v>27</v>
      </c>
      <c r="F199" s="20" t="s">
        <v>167</v>
      </c>
      <c r="G199" s="20"/>
      <c r="H199" s="5" t="s">
        <v>549</v>
      </c>
      <c r="I199" s="4" t="s">
        <v>2723</v>
      </c>
      <c r="J199" s="4" t="s">
        <v>542</v>
      </c>
      <c r="K199" s="4" t="s">
        <v>2308</v>
      </c>
      <c r="L199" s="4" t="s">
        <v>2308</v>
      </c>
      <c r="M199" s="4" t="s">
        <v>2308</v>
      </c>
      <c r="N199" s="4" t="s">
        <v>2308</v>
      </c>
      <c r="O199" s="4" t="s">
        <v>2308</v>
      </c>
      <c r="P199" s="4" t="s">
        <v>2308</v>
      </c>
      <c r="Q199" s="4" t="s">
        <v>2308</v>
      </c>
      <c r="R199" s="4" t="s">
        <v>2308</v>
      </c>
      <c r="S199" s="4" t="s">
        <v>2308</v>
      </c>
      <c r="T199" s="4" t="s">
        <v>2308</v>
      </c>
      <c r="U199" s="4" t="s">
        <v>2308</v>
      </c>
      <c r="V199" s="4" t="s">
        <v>2308</v>
      </c>
      <c r="W199" s="5" t="s">
        <v>2210</v>
      </c>
    </row>
    <row r="200" spans="1:23" ht="52" customHeight="1">
      <c r="A200" s="12" t="s">
        <v>2139</v>
      </c>
      <c r="B200" s="12" t="s">
        <v>2193</v>
      </c>
      <c r="C200" s="24" t="s">
        <v>24</v>
      </c>
      <c r="D200" s="24" t="s">
        <v>136</v>
      </c>
      <c r="E200" s="24" t="s">
        <v>149</v>
      </c>
      <c r="F200" s="20" t="s">
        <v>74</v>
      </c>
      <c r="G200" s="20"/>
      <c r="H200" s="5" t="s">
        <v>549</v>
      </c>
      <c r="I200" s="4" t="s">
        <v>2723</v>
      </c>
      <c r="J200" s="4" t="s">
        <v>542</v>
      </c>
      <c r="K200" s="4" t="s">
        <v>2308</v>
      </c>
      <c r="L200" s="4" t="s">
        <v>2308</v>
      </c>
      <c r="M200" s="4" t="s">
        <v>2308</v>
      </c>
      <c r="N200" s="4" t="s">
        <v>2308</v>
      </c>
      <c r="O200" s="4" t="s">
        <v>2308</v>
      </c>
      <c r="P200" s="4" t="s">
        <v>2308</v>
      </c>
      <c r="Q200" s="4" t="s">
        <v>2308</v>
      </c>
      <c r="R200" s="4" t="s">
        <v>542</v>
      </c>
      <c r="S200" s="4" t="s">
        <v>542</v>
      </c>
      <c r="T200" s="4" t="s">
        <v>542</v>
      </c>
      <c r="U200" s="4" t="s">
        <v>2308</v>
      </c>
      <c r="V200" s="4" t="s">
        <v>2308</v>
      </c>
      <c r="W200" s="5" t="s">
        <v>2210</v>
      </c>
    </row>
    <row r="201" spans="1:23" ht="52" customHeight="1">
      <c r="A201" s="12" t="s">
        <v>2139</v>
      </c>
      <c r="B201" s="12" t="s">
        <v>2220</v>
      </c>
      <c r="C201" s="24" t="s">
        <v>24</v>
      </c>
      <c r="D201" s="24" t="s">
        <v>136</v>
      </c>
      <c r="E201" s="24" t="s">
        <v>27</v>
      </c>
      <c r="F201" s="20" t="s">
        <v>167</v>
      </c>
      <c r="G201" s="20"/>
      <c r="H201" s="5" t="s">
        <v>549</v>
      </c>
      <c r="I201" s="4" t="s">
        <v>2723</v>
      </c>
      <c r="J201" s="4" t="s">
        <v>542</v>
      </c>
      <c r="K201" s="4" t="s">
        <v>2308</v>
      </c>
      <c r="L201" s="4" t="s">
        <v>2308</v>
      </c>
      <c r="M201" s="4" t="s">
        <v>2308</v>
      </c>
      <c r="N201" s="4" t="s">
        <v>2308</v>
      </c>
      <c r="O201" s="4" t="s">
        <v>2308</v>
      </c>
      <c r="P201" s="4" t="s">
        <v>2308</v>
      </c>
      <c r="Q201" s="4" t="s">
        <v>2308</v>
      </c>
      <c r="R201" s="4" t="s">
        <v>2308</v>
      </c>
      <c r="S201" s="4" t="s">
        <v>2308</v>
      </c>
      <c r="T201" s="4" t="s">
        <v>2308</v>
      </c>
      <c r="U201" s="4" t="s">
        <v>2308</v>
      </c>
      <c r="V201" s="4" t="s">
        <v>2308</v>
      </c>
      <c r="W201" s="5" t="s">
        <v>2210</v>
      </c>
    </row>
    <row r="202" spans="1:23" ht="52" customHeight="1">
      <c r="A202" s="12" t="s">
        <v>2140</v>
      </c>
      <c r="B202" s="12" t="s">
        <v>2194</v>
      </c>
      <c r="C202" s="24" t="s">
        <v>24</v>
      </c>
      <c r="D202" s="24" t="s">
        <v>136</v>
      </c>
      <c r="E202" s="24" t="s">
        <v>149</v>
      </c>
      <c r="F202" s="20" t="s">
        <v>74</v>
      </c>
      <c r="G202" s="20"/>
      <c r="H202" s="5" t="s">
        <v>549</v>
      </c>
      <c r="I202" s="4" t="s">
        <v>2723</v>
      </c>
      <c r="J202" s="4" t="s">
        <v>542</v>
      </c>
      <c r="K202" s="4" t="s">
        <v>2308</v>
      </c>
      <c r="L202" s="4" t="s">
        <v>2308</v>
      </c>
      <c r="M202" s="4" t="s">
        <v>2308</v>
      </c>
      <c r="N202" s="4" t="s">
        <v>2308</v>
      </c>
      <c r="O202" s="4" t="s">
        <v>2308</v>
      </c>
      <c r="P202" s="4" t="s">
        <v>2308</v>
      </c>
      <c r="Q202" s="4" t="s">
        <v>2308</v>
      </c>
      <c r="R202" s="4" t="s">
        <v>542</v>
      </c>
      <c r="S202" s="4" t="s">
        <v>542</v>
      </c>
      <c r="T202" s="4" t="s">
        <v>542</v>
      </c>
      <c r="U202" s="4" t="s">
        <v>2308</v>
      </c>
      <c r="V202" s="4" t="s">
        <v>2308</v>
      </c>
      <c r="W202" s="5" t="s">
        <v>2210</v>
      </c>
    </row>
    <row r="203" spans="1:23" ht="52" customHeight="1">
      <c r="A203" s="12" t="s">
        <v>2140</v>
      </c>
      <c r="B203" s="12" t="s">
        <v>2221</v>
      </c>
      <c r="C203" s="24" t="s">
        <v>24</v>
      </c>
      <c r="D203" s="24" t="s">
        <v>136</v>
      </c>
      <c r="E203" s="24" t="s">
        <v>27</v>
      </c>
      <c r="F203" s="20" t="s">
        <v>167</v>
      </c>
      <c r="G203" s="20"/>
      <c r="H203" s="5" t="s">
        <v>549</v>
      </c>
      <c r="I203" s="4" t="s">
        <v>2723</v>
      </c>
      <c r="J203" s="4" t="s">
        <v>542</v>
      </c>
      <c r="K203" s="4" t="s">
        <v>2308</v>
      </c>
      <c r="L203" s="4" t="s">
        <v>2308</v>
      </c>
      <c r="M203" s="4" t="s">
        <v>2308</v>
      </c>
      <c r="N203" s="4" t="s">
        <v>2308</v>
      </c>
      <c r="O203" s="4" t="s">
        <v>2308</v>
      </c>
      <c r="P203" s="4" t="s">
        <v>2308</v>
      </c>
      <c r="Q203" s="4" t="s">
        <v>2308</v>
      </c>
      <c r="R203" s="4" t="s">
        <v>2308</v>
      </c>
      <c r="S203" s="4" t="s">
        <v>2308</v>
      </c>
      <c r="T203" s="4" t="s">
        <v>2308</v>
      </c>
      <c r="U203" s="4" t="s">
        <v>2308</v>
      </c>
      <c r="V203" s="4" t="s">
        <v>2308</v>
      </c>
      <c r="W203" s="5" t="s">
        <v>2210</v>
      </c>
    </row>
    <row r="204" spans="1:23" ht="52" customHeight="1">
      <c r="A204" s="12" t="s">
        <v>2141</v>
      </c>
      <c r="B204" s="12" t="s">
        <v>2195</v>
      </c>
      <c r="C204" s="24" t="s">
        <v>24</v>
      </c>
      <c r="D204" s="24" t="s">
        <v>136</v>
      </c>
      <c r="E204" s="24" t="s">
        <v>149</v>
      </c>
      <c r="F204" s="20" t="s">
        <v>74</v>
      </c>
      <c r="G204" s="20"/>
      <c r="H204" s="5" t="s">
        <v>549</v>
      </c>
      <c r="I204" s="4" t="s">
        <v>2723</v>
      </c>
      <c r="J204" s="4" t="s">
        <v>542</v>
      </c>
      <c r="K204" s="4" t="s">
        <v>2308</v>
      </c>
      <c r="L204" s="4" t="s">
        <v>2308</v>
      </c>
      <c r="M204" s="4" t="s">
        <v>2308</v>
      </c>
      <c r="N204" s="4" t="s">
        <v>2308</v>
      </c>
      <c r="O204" s="4" t="s">
        <v>2308</v>
      </c>
      <c r="P204" s="4" t="s">
        <v>2308</v>
      </c>
      <c r="Q204" s="4" t="s">
        <v>2308</v>
      </c>
      <c r="R204" s="4" t="s">
        <v>542</v>
      </c>
      <c r="S204" s="4" t="s">
        <v>542</v>
      </c>
      <c r="T204" s="4" t="s">
        <v>542</v>
      </c>
      <c r="U204" s="4" t="s">
        <v>2308</v>
      </c>
      <c r="V204" s="4" t="s">
        <v>2308</v>
      </c>
      <c r="W204" s="5" t="s">
        <v>2210</v>
      </c>
    </row>
    <row r="205" spans="1:23" ht="52" customHeight="1">
      <c r="A205" s="12" t="s">
        <v>2141</v>
      </c>
      <c r="B205" s="12" t="s">
        <v>2222</v>
      </c>
      <c r="C205" s="24" t="s">
        <v>24</v>
      </c>
      <c r="D205" s="24" t="s">
        <v>136</v>
      </c>
      <c r="E205" s="24" t="s">
        <v>27</v>
      </c>
      <c r="F205" s="20" t="s">
        <v>167</v>
      </c>
      <c r="G205" s="20"/>
      <c r="H205" s="5" t="s">
        <v>549</v>
      </c>
      <c r="I205" s="4" t="s">
        <v>2723</v>
      </c>
      <c r="J205" s="4" t="s">
        <v>542</v>
      </c>
      <c r="K205" s="4" t="s">
        <v>2308</v>
      </c>
      <c r="L205" s="4" t="s">
        <v>2308</v>
      </c>
      <c r="M205" s="4" t="s">
        <v>2308</v>
      </c>
      <c r="N205" s="4" t="s">
        <v>2308</v>
      </c>
      <c r="O205" s="4" t="s">
        <v>2308</v>
      </c>
      <c r="P205" s="4" t="s">
        <v>2308</v>
      </c>
      <c r="Q205" s="4" t="s">
        <v>2308</v>
      </c>
      <c r="R205" s="4" t="s">
        <v>2308</v>
      </c>
      <c r="S205" s="4" t="s">
        <v>2308</v>
      </c>
      <c r="T205" s="4" t="s">
        <v>2308</v>
      </c>
      <c r="U205" s="4" t="s">
        <v>2308</v>
      </c>
      <c r="V205" s="4" t="s">
        <v>2308</v>
      </c>
      <c r="W205" s="5" t="s">
        <v>2210</v>
      </c>
    </row>
    <row r="206" spans="1:23" ht="52" customHeight="1">
      <c r="A206" s="12" t="s">
        <v>2142</v>
      </c>
      <c r="B206" s="12" t="s">
        <v>2196</v>
      </c>
      <c r="C206" s="24" t="s">
        <v>24</v>
      </c>
      <c r="D206" s="24" t="s">
        <v>136</v>
      </c>
      <c r="E206" s="24" t="s">
        <v>149</v>
      </c>
      <c r="F206" s="20" t="s">
        <v>74</v>
      </c>
      <c r="G206" s="20"/>
      <c r="H206" s="5" t="s">
        <v>549</v>
      </c>
      <c r="I206" s="4" t="s">
        <v>2723</v>
      </c>
      <c r="J206" s="4" t="s">
        <v>542</v>
      </c>
      <c r="K206" s="4" t="s">
        <v>2308</v>
      </c>
      <c r="L206" s="4" t="s">
        <v>2308</v>
      </c>
      <c r="M206" s="4" t="s">
        <v>2308</v>
      </c>
      <c r="N206" s="4" t="s">
        <v>2308</v>
      </c>
      <c r="O206" s="4" t="s">
        <v>2308</v>
      </c>
      <c r="P206" s="4" t="s">
        <v>2308</v>
      </c>
      <c r="Q206" s="4" t="s">
        <v>2308</v>
      </c>
      <c r="R206" s="4" t="s">
        <v>542</v>
      </c>
      <c r="S206" s="4" t="s">
        <v>542</v>
      </c>
      <c r="T206" s="4" t="s">
        <v>542</v>
      </c>
      <c r="U206" s="4" t="s">
        <v>2308</v>
      </c>
      <c r="V206" s="4" t="s">
        <v>2308</v>
      </c>
      <c r="W206" s="5" t="s">
        <v>2210</v>
      </c>
    </row>
    <row r="207" spans="1:23" ht="52" customHeight="1">
      <c r="A207" s="12" t="s">
        <v>2142</v>
      </c>
      <c r="B207" s="12" t="s">
        <v>2223</v>
      </c>
      <c r="C207" s="24" t="s">
        <v>24</v>
      </c>
      <c r="D207" s="24" t="s">
        <v>136</v>
      </c>
      <c r="E207" s="24" t="s">
        <v>27</v>
      </c>
      <c r="F207" s="20" t="s">
        <v>167</v>
      </c>
      <c r="G207" s="20"/>
      <c r="H207" s="5" t="s">
        <v>549</v>
      </c>
      <c r="I207" s="4" t="s">
        <v>2723</v>
      </c>
      <c r="J207" s="4" t="s">
        <v>542</v>
      </c>
      <c r="K207" s="4" t="s">
        <v>2308</v>
      </c>
      <c r="L207" s="4" t="s">
        <v>2308</v>
      </c>
      <c r="M207" s="4" t="s">
        <v>2308</v>
      </c>
      <c r="N207" s="4" t="s">
        <v>2308</v>
      </c>
      <c r="O207" s="4" t="s">
        <v>2308</v>
      </c>
      <c r="P207" s="4" t="s">
        <v>2308</v>
      </c>
      <c r="Q207" s="4" t="s">
        <v>2308</v>
      </c>
      <c r="R207" s="4" t="s">
        <v>2308</v>
      </c>
      <c r="S207" s="4" t="s">
        <v>2308</v>
      </c>
      <c r="T207" s="4" t="s">
        <v>2308</v>
      </c>
      <c r="U207" s="4" t="s">
        <v>2308</v>
      </c>
      <c r="V207" s="4" t="s">
        <v>2308</v>
      </c>
      <c r="W207" s="5" t="s">
        <v>2210</v>
      </c>
    </row>
    <row r="208" spans="1:23" ht="52" customHeight="1">
      <c r="A208" s="12" t="s">
        <v>2143</v>
      </c>
      <c r="B208" s="12" t="s">
        <v>2197</v>
      </c>
      <c r="C208" s="24" t="s">
        <v>24</v>
      </c>
      <c r="D208" s="24" t="s">
        <v>136</v>
      </c>
      <c r="E208" s="24" t="s">
        <v>149</v>
      </c>
      <c r="F208" s="20" t="s">
        <v>74</v>
      </c>
      <c r="G208" s="20"/>
      <c r="H208" s="5" t="s">
        <v>549</v>
      </c>
      <c r="I208" s="4" t="s">
        <v>2723</v>
      </c>
      <c r="J208" s="4" t="s">
        <v>542</v>
      </c>
      <c r="K208" s="4" t="s">
        <v>2308</v>
      </c>
      <c r="L208" s="4" t="s">
        <v>2308</v>
      </c>
      <c r="M208" s="4" t="s">
        <v>2308</v>
      </c>
      <c r="N208" s="4" t="s">
        <v>2308</v>
      </c>
      <c r="O208" s="4" t="s">
        <v>2308</v>
      </c>
      <c r="P208" s="4" t="s">
        <v>2308</v>
      </c>
      <c r="Q208" s="4" t="s">
        <v>2308</v>
      </c>
      <c r="R208" s="4" t="s">
        <v>542</v>
      </c>
      <c r="S208" s="4" t="s">
        <v>542</v>
      </c>
      <c r="T208" s="4" t="s">
        <v>542</v>
      </c>
      <c r="U208" s="4" t="s">
        <v>2308</v>
      </c>
      <c r="V208" s="4" t="s">
        <v>2308</v>
      </c>
      <c r="W208" s="5" t="s">
        <v>2210</v>
      </c>
    </row>
    <row r="209" spans="1:23" ht="52" customHeight="1">
      <c r="A209" s="12" t="s">
        <v>2143</v>
      </c>
      <c r="B209" s="12" t="s">
        <v>2224</v>
      </c>
      <c r="C209" s="24" t="s">
        <v>24</v>
      </c>
      <c r="D209" s="24" t="s">
        <v>136</v>
      </c>
      <c r="E209" s="24" t="s">
        <v>27</v>
      </c>
      <c r="F209" s="20" t="s">
        <v>167</v>
      </c>
      <c r="G209" s="20"/>
      <c r="H209" s="5" t="s">
        <v>549</v>
      </c>
      <c r="I209" s="4" t="s">
        <v>2723</v>
      </c>
      <c r="J209" s="4" t="s">
        <v>542</v>
      </c>
      <c r="K209" s="4" t="s">
        <v>2308</v>
      </c>
      <c r="L209" s="4" t="s">
        <v>2308</v>
      </c>
      <c r="M209" s="4" t="s">
        <v>2308</v>
      </c>
      <c r="N209" s="4" t="s">
        <v>2308</v>
      </c>
      <c r="O209" s="4" t="s">
        <v>2308</v>
      </c>
      <c r="P209" s="4" t="s">
        <v>2308</v>
      </c>
      <c r="Q209" s="4" t="s">
        <v>2308</v>
      </c>
      <c r="R209" s="4" t="s">
        <v>2308</v>
      </c>
      <c r="S209" s="4" t="s">
        <v>2308</v>
      </c>
      <c r="T209" s="4" t="s">
        <v>2308</v>
      </c>
      <c r="U209" s="4" t="s">
        <v>2308</v>
      </c>
      <c r="V209" s="4" t="s">
        <v>2308</v>
      </c>
      <c r="W209" s="5" t="s">
        <v>2210</v>
      </c>
    </row>
    <row r="210" spans="1:23" ht="52" customHeight="1">
      <c r="A210" s="12" t="s">
        <v>2144</v>
      </c>
      <c r="B210" s="12" t="s">
        <v>2198</v>
      </c>
      <c r="C210" s="24" t="s">
        <v>24</v>
      </c>
      <c r="D210" s="24" t="s">
        <v>136</v>
      </c>
      <c r="E210" s="24" t="s">
        <v>149</v>
      </c>
      <c r="F210" s="20" t="s">
        <v>74</v>
      </c>
      <c r="G210" s="20"/>
      <c r="H210" s="5" t="s">
        <v>549</v>
      </c>
      <c r="I210" s="4" t="s">
        <v>2723</v>
      </c>
      <c r="J210" s="4" t="s">
        <v>542</v>
      </c>
      <c r="K210" s="4" t="s">
        <v>2308</v>
      </c>
      <c r="L210" s="4" t="s">
        <v>2308</v>
      </c>
      <c r="M210" s="4" t="s">
        <v>2308</v>
      </c>
      <c r="N210" s="4" t="s">
        <v>2308</v>
      </c>
      <c r="O210" s="4" t="s">
        <v>2308</v>
      </c>
      <c r="P210" s="4" t="s">
        <v>2308</v>
      </c>
      <c r="Q210" s="4" t="s">
        <v>2308</v>
      </c>
      <c r="R210" s="4" t="s">
        <v>542</v>
      </c>
      <c r="S210" s="4" t="s">
        <v>542</v>
      </c>
      <c r="T210" s="4" t="s">
        <v>542</v>
      </c>
      <c r="U210" s="4" t="s">
        <v>2308</v>
      </c>
      <c r="V210" s="4" t="s">
        <v>2308</v>
      </c>
      <c r="W210" s="5" t="s">
        <v>2210</v>
      </c>
    </row>
    <row r="211" spans="1:23" ht="52" customHeight="1">
      <c r="A211" s="12" t="s">
        <v>2144</v>
      </c>
      <c r="B211" s="12" t="s">
        <v>2225</v>
      </c>
      <c r="C211" s="24" t="s">
        <v>24</v>
      </c>
      <c r="D211" s="24" t="s">
        <v>136</v>
      </c>
      <c r="E211" s="24" t="s">
        <v>27</v>
      </c>
      <c r="F211" s="20" t="s">
        <v>167</v>
      </c>
      <c r="G211" s="20"/>
      <c r="H211" s="5" t="s">
        <v>549</v>
      </c>
      <c r="I211" s="4" t="s">
        <v>2723</v>
      </c>
      <c r="J211" s="4" t="s">
        <v>542</v>
      </c>
      <c r="K211" s="4" t="s">
        <v>2308</v>
      </c>
      <c r="L211" s="4" t="s">
        <v>2308</v>
      </c>
      <c r="M211" s="4" t="s">
        <v>2308</v>
      </c>
      <c r="N211" s="4" t="s">
        <v>2308</v>
      </c>
      <c r="O211" s="4" t="s">
        <v>2308</v>
      </c>
      <c r="P211" s="4" t="s">
        <v>2308</v>
      </c>
      <c r="Q211" s="4" t="s">
        <v>2308</v>
      </c>
      <c r="R211" s="4" t="s">
        <v>2308</v>
      </c>
      <c r="S211" s="4" t="s">
        <v>2308</v>
      </c>
      <c r="T211" s="4" t="s">
        <v>2308</v>
      </c>
      <c r="U211" s="4" t="s">
        <v>2308</v>
      </c>
      <c r="V211" s="4" t="s">
        <v>2308</v>
      </c>
      <c r="W211" s="5" t="s">
        <v>2210</v>
      </c>
    </row>
    <row r="212" spans="1:23" ht="52" customHeight="1">
      <c r="A212" s="12" t="s">
        <v>2145</v>
      </c>
      <c r="B212" s="12" t="s">
        <v>2199</v>
      </c>
      <c r="C212" s="24" t="s">
        <v>24</v>
      </c>
      <c r="D212" s="24" t="s">
        <v>136</v>
      </c>
      <c r="E212" s="24" t="s">
        <v>149</v>
      </c>
      <c r="F212" s="20" t="s">
        <v>74</v>
      </c>
      <c r="G212" s="20"/>
      <c r="H212" s="5" t="s">
        <v>549</v>
      </c>
      <c r="I212" s="4" t="s">
        <v>2723</v>
      </c>
      <c r="J212" s="4" t="s">
        <v>542</v>
      </c>
      <c r="K212" s="4" t="s">
        <v>2308</v>
      </c>
      <c r="L212" s="4" t="s">
        <v>2308</v>
      </c>
      <c r="M212" s="4" t="s">
        <v>2308</v>
      </c>
      <c r="N212" s="4" t="s">
        <v>2308</v>
      </c>
      <c r="O212" s="4" t="s">
        <v>2308</v>
      </c>
      <c r="P212" s="4" t="s">
        <v>2308</v>
      </c>
      <c r="Q212" s="4" t="s">
        <v>2308</v>
      </c>
      <c r="R212" s="4" t="s">
        <v>542</v>
      </c>
      <c r="S212" s="4" t="s">
        <v>542</v>
      </c>
      <c r="T212" s="4" t="s">
        <v>542</v>
      </c>
      <c r="U212" s="4" t="s">
        <v>2308</v>
      </c>
      <c r="V212" s="4" t="s">
        <v>2308</v>
      </c>
      <c r="W212" s="5" t="s">
        <v>2210</v>
      </c>
    </row>
    <row r="213" spans="1:23" ht="52" customHeight="1">
      <c r="A213" s="12" t="s">
        <v>2145</v>
      </c>
      <c r="B213" s="12" t="s">
        <v>2226</v>
      </c>
      <c r="C213" s="24" t="s">
        <v>24</v>
      </c>
      <c r="D213" s="24" t="s">
        <v>136</v>
      </c>
      <c r="E213" s="24" t="s">
        <v>27</v>
      </c>
      <c r="F213" s="20" t="s">
        <v>167</v>
      </c>
      <c r="G213" s="20"/>
      <c r="H213" s="5" t="s">
        <v>549</v>
      </c>
      <c r="I213" s="4" t="s">
        <v>2723</v>
      </c>
      <c r="J213" s="4" t="s">
        <v>542</v>
      </c>
      <c r="K213" s="4" t="s">
        <v>2308</v>
      </c>
      <c r="L213" s="4" t="s">
        <v>2308</v>
      </c>
      <c r="M213" s="4" t="s">
        <v>2308</v>
      </c>
      <c r="N213" s="4" t="s">
        <v>2308</v>
      </c>
      <c r="O213" s="4" t="s">
        <v>2308</v>
      </c>
      <c r="P213" s="4" t="s">
        <v>2308</v>
      </c>
      <c r="Q213" s="4" t="s">
        <v>2308</v>
      </c>
      <c r="R213" s="4" t="s">
        <v>2308</v>
      </c>
      <c r="S213" s="4" t="s">
        <v>2308</v>
      </c>
      <c r="T213" s="4" t="s">
        <v>2308</v>
      </c>
      <c r="U213" s="4" t="s">
        <v>2308</v>
      </c>
      <c r="V213" s="4" t="s">
        <v>2308</v>
      </c>
      <c r="W213" s="5" t="s">
        <v>2210</v>
      </c>
    </row>
    <row r="214" spans="1:23" ht="52" customHeight="1">
      <c r="A214" s="12" t="s">
        <v>2146</v>
      </c>
      <c r="B214" s="12" t="s">
        <v>2200</v>
      </c>
      <c r="C214" s="24" t="s">
        <v>24</v>
      </c>
      <c r="D214" s="24" t="s">
        <v>136</v>
      </c>
      <c r="E214" s="24" t="s">
        <v>149</v>
      </c>
      <c r="F214" s="20" t="s">
        <v>74</v>
      </c>
      <c r="G214" s="20"/>
      <c r="H214" s="5" t="s">
        <v>549</v>
      </c>
      <c r="I214" s="4" t="s">
        <v>2723</v>
      </c>
      <c r="J214" s="4" t="s">
        <v>542</v>
      </c>
      <c r="K214" s="4" t="s">
        <v>2308</v>
      </c>
      <c r="L214" s="4" t="s">
        <v>2308</v>
      </c>
      <c r="M214" s="4" t="s">
        <v>2308</v>
      </c>
      <c r="N214" s="4" t="s">
        <v>2308</v>
      </c>
      <c r="O214" s="4" t="s">
        <v>2308</v>
      </c>
      <c r="P214" s="4" t="s">
        <v>2308</v>
      </c>
      <c r="Q214" s="4" t="s">
        <v>2308</v>
      </c>
      <c r="R214" s="4" t="s">
        <v>542</v>
      </c>
      <c r="S214" s="4" t="s">
        <v>542</v>
      </c>
      <c r="T214" s="4" t="s">
        <v>542</v>
      </c>
      <c r="U214" s="4" t="s">
        <v>2308</v>
      </c>
      <c r="V214" s="4" t="s">
        <v>2308</v>
      </c>
      <c r="W214" s="5" t="s">
        <v>2210</v>
      </c>
    </row>
    <row r="215" spans="1:23" ht="52" customHeight="1">
      <c r="A215" s="12" t="s">
        <v>2146</v>
      </c>
      <c r="B215" s="12" t="s">
        <v>2227</v>
      </c>
      <c r="C215" s="24" t="s">
        <v>24</v>
      </c>
      <c r="D215" s="24" t="s">
        <v>136</v>
      </c>
      <c r="E215" s="24" t="s">
        <v>27</v>
      </c>
      <c r="F215" s="20" t="s">
        <v>167</v>
      </c>
      <c r="G215" s="20"/>
      <c r="H215" s="5" t="s">
        <v>549</v>
      </c>
      <c r="I215" s="4" t="s">
        <v>2723</v>
      </c>
      <c r="J215" s="4" t="s">
        <v>542</v>
      </c>
      <c r="K215" s="4" t="s">
        <v>2308</v>
      </c>
      <c r="L215" s="4" t="s">
        <v>2308</v>
      </c>
      <c r="M215" s="4" t="s">
        <v>2308</v>
      </c>
      <c r="N215" s="4" t="s">
        <v>2308</v>
      </c>
      <c r="O215" s="4" t="s">
        <v>2308</v>
      </c>
      <c r="P215" s="4" t="s">
        <v>2308</v>
      </c>
      <c r="Q215" s="4" t="s">
        <v>2308</v>
      </c>
      <c r="R215" s="4" t="s">
        <v>2308</v>
      </c>
      <c r="S215" s="4" t="s">
        <v>2308</v>
      </c>
      <c r="T215" s="4" t="s">
        <v>2308</v>
      </c>
      <c r="U215" s="4" t="s">
        <v>2308</v>
      </c>
      <c r="V215" s="4" t="s">
        <v>2308</v>
      </c>
      <c r="W215" s="5" t="s">
        <v>2210</v>
      </c>
    </row>
    <row r="216" spans="1:23" ht="52" customHeight="1">
      <c r="A216" s="12" t="s">
        <v>2147</v>
      </c>
      <c r="B216" s="12" t="s">
        <v>2201</v>
      </c>
      <c r="C216" s="24" t="s">
        <v>24</v>
      </c>
      <c r="D216" s="24" t="s">
        <v>136</v>
      </c>
      <c r="E216" s="24" t="s">
        <v>149</v>
      </c>
      <c r="F216" s="20" t="s">
        <v>74</v>
      </c>
      <c r="G216" s="20"/>
      <c r="H216" s="5" t="s">
        <v>549</v>
      </c>
      <c r="I216" s="4" t="s">
        <v>2723</v>
      </c>
      <c r="J216" s="4" t="s">
        <v>542</v>
      </c>
      <c r="K216" s="4" t="s">
        <v>2308</v>
      </c>
      <c r="L216" s="4" t="s">
        <v>2308</v>
      </c>
      <c r="M216" s="4" t="s">
        <v>2308</v>
      </c>
      <c r="N216" s="4" t="s">
        <v>2308</v>
      </c>
      <c r="O216" s="4" t="s">
        <v>2308</v>
      </c>
      <c r="P216" s="4" t="s">
        <v>2308</v>
      </c>
      <c r="Q216" s="4" t="s">
        <v>2308</v>
      </c>
      <c r="R216" s="4" t="s">
        <v>542</v>
      </c>
      <c r="S216" s="4" t="s">
        <v>542</v>
      </c>
      <c r="T216" s="4" t="s">
        <v>542</v>
      </c>
      <c r="U216" s="4" t="s">
        <v>2308</v>
      </c>
      <c r="V216" s="4" t="s">
        <v>2308</v>
      </c>
      <c r="W216" s="5" t="s">
        <v>2210</v>
      </c>
    </row>
    <row r="217" spans="1:23" ht="52" customHeight="1">
      <c r="A217" s="12" t="s">
        <v>2147</v>
      </c>
      <c r="B217" s="12" t="s">
        <v>2228</v>
      </c>
      <c r="C217" s="24" t="s">
        <v>24</v>
      </c>
      <c r="D217" s="24" t="s">
        <v>136</v>
      </c>
      <c r="E217" s="24" t="s">
        <v>27</v>
      </c>
      <c r="F217" s="20" t="s">
        <v>167</v>
      </c>
      <c r="G217" s="20"/>
      <c r="H217" s="5" t="s">
        <v>549</v>
      </c>
      <c r="I217" s="4" t="s">
        <v>2723</v>
      </c>
      <c r="J217" s="4" t="s">
        <v>542</v>
      </c>
      <c r="K217" s="4" t="s">
        <v>2308</v>
      </c>
      <c r="L217" s="4" t="s">
        <v>2308</v>
      </c>
      <c r="M217" s="4" t="s">
        <v>2308</v>
      </c>
      <c r="N217" s="4" t="s">
        <v>2308</v>
      </c>
      <c r="O217" s="4" t="s">
        <v>2308</v>
      </c>
      <c r="P217" s="4" t="s">
        <v>2308</v>
      </c>
      <c r="Q217" s="4" t="s">
        <v>2308</v>
      </c>
      <c r="R217" s="4" t="s">
        <v>2308</v>
      </c>
      <c r="S217" s="4" t="s">
        <v>2308</v>
      </c>
      <c r="T217" s="4" t="s">
        <v>2308</v>
      </c>
      <c r="U217" s="4" t="s">
        <v>2308</v>
      </c>
      <c r="V217" s="4" t="s">
        <v>2308</v>
      </c>
      <c r="W217" s="5" t="s">
        <v>2210</v>
      </c>
    </row>
    <row r="218" spans="1:23" ht="52" customHeight="1">
      <c r="A218" s="12" t="s">
        <v>2148</v>
      </c>
      <c r="B218" s="12" t="s">
        <v>2202</v>
      </c>
      <c r="C218" s="24" t="s">
        <v>24</v>
      </c>
      <c r="D218" s="24" t="s">
        <v>136</v>
      </c>
      <c r="E218" s="24" t="s">
        <v>149</v>
      </c>
      <c r="F218" s="20" t="s">
        <v>74</v>
      </c>
      <c r="G218" s="20"/>
      <c r="H218" s="5" t="s">
        <v>549</v>
      </c>
      <c r="I218" s="4" t="s">
        <v>2723</v>
      </c>
      <c r="J218" s="4" t="s">
        <v>542</v>
      </c>
      <c r="K218" s="4" t="s">
        <v>2308</v>
      </c>
      <c r="L218" s="4" t="s">
        <v>2308</v>
      </c>
      <c r="M218" s="4" t="s">
        <v>2308</v>
      </c>
      <c r="N218" s="4" t="s">
        <v>2308</v>
      </c>
      <c r="O218" s="4" t="s">
        <v>2308</v>
      </c>
      <c r="P218" s="4" t="s">
        <v>2308</v>
      </c>
      <c r="Q218" s="4" t="s">
        <v>2308</v>
      </c>
      <c r="R218" s="4" t="s">
        <v>542</v>
      </c>
      <c r="S218" s="4" t="s">
        <v>542</v>
      </c>
      <c r="T218" s="4" t="s">
        <v>542</v>
      </c>
      <c r="U218" s="4" t="s">
        <v>2308</v>
      </c>
      <c r="V218" s="4" t="s">
        <v>2308</v>
      </c>
      <c r="W218" s="5" t="s">
        <v>2210</v>
      </c>
    </row>
    <row r="219" spans="1:23" ht="52" customHeight="1">
      <c r="A219" s="12" t="s">
        <v>2148</v>
      </c>
      <c r="B219" s="12" t="s">
        <v>2229</v>
      </c>
      <c r="C219" s="24" t="s">
        <v>24</v>
      </c>
      <c r="D219" s="24" t="s">
        <v>136</v>
      </c>
      <c r="E219" s="24" t="s">
        <v>27</v>
      </c>
      <c r="F219" s="20" t="s">
        <v>167</v>
      </c>
      <c r="G219" s="20"/>
      <c r="H219" s="5" t="s">
        <v>549</v>
      </c>
      <c r="I219" s="4" t="s">
        <v>2723</v>
      </c>
      <c r="J219" s="4" t="s">
        <v>542</v>
      </c>
      <c r="K219" s="4" t="s">
        <v>2308</v>
      </c>
      <c r="L219" s="4" t="s">
        <v>2308</v>
      </c>
      <c r="M219" s="4" t="s">
        <v>2308</v>
      </c>
      <c r="N219" s="4" t="s">
        <v>2308</v>
      </c>
      <c r="O219" s="4" t="s">
        <v>2308</v>
      </c>
      <c r="P219" s="4" t="s">
        <v>2308</v>
      </c>
      <c r="Q219" s="4" t="s">
        <v>2308</v>
      </c>
      <c r="R219" s="4" t="s">
        <v>2308</v>
      </c>
      <c r="S219" s="4" t="s">
        <v>2308</v>
      </c>
      <c r="T219" s="4" t="s">
        <v>2308</v>
      </c>
      <c r="U219" s="4" t="s">
        <v>2308</v>
      </c>
      <c r="V219" s="4" t="s">
        <v>2308</v>
      </c>
      <c r="W219" s="5" t="s">
        <v>2210</v>
      </c>
    </row>
    <row r="220" spans="1:23" ht="52" customHeight="1">
      <c r="A220" s="12" t="s">
        <v>2149</v>
      </c>
      <c r="B220" s="12" t="s">
        <v>2203</v>
      </c>
      <c r="C220" s="24" t="s">
        <v>24</v>
      </c>
      <c r="D220" s="24" t="s">
        <v>136</v>
      </c>
      <c r="E220" s="24" t="s">
        <v>149</v>
      </c>
      <c r="F220" s="20" t="s">
        <v>74</v>
      </c>
      <c r="G220" s="20"/>
      <c r="H220" s="5" t="s">
        <v>549</v>
      </c>
      <c r="I220" s="4" t="s">
        <v>2723</v>
      </c>
      <c r="J220" s="4" t="s">
        <v>542</v>
      </c>
      <c r="K220" s="4" t="s">
        <v>2308</v>
      </c>
      <c r="L220" s="4" t="s">
        <v>2308</v>
      </c>
      <c r="M220" s="4" t="s">
        <v>2308</v>
      </c>
      <c r="N220" s="4" t="s">
        <v>2308</v>
      </c>
      <c r="O220" s="4" t="s">
        <v>2308</v>
      </c>
      <c r="P220" s="4" t="s">
        <v>2308</v>
      </c>
      <c r="Q220" s="4" t="s">
        <v>2308</v>
      </c>
      <c r="R220" s="4" t="s">
        <v>542</v>
      </c>
      <c r="S220" s="4" t="s">
        <v>542</v>
      </c>
      <c r="T220" s="4" t="s">
        <v>542</v>
      </c>
      <c r="U220" s="4" t="s">
        <v>2308</v>
      </c>
      <c r="V220" s="4" t="s">
        <v>2308</v>
      </c>
      <c r="W220" s="5" t="s">
        <v>2210</v>
      </c>
    </row>
    <row r="221" spans="1:23" ht="52" customHeight="1">
      <c r="A221" s="12" t="s">
        <v>2149</v>
      </c>
      <c r="B221" s="12" t="s">
        <v>2230</v>
      </c>
      <c r="C221" s="24" t="s">
        <v>24</v>
      </c>
      <c r="D221" s="24" t="s">
        <v>136</v>
      </c>
      <c r="E221" s="24" t="s">
        <v>27</v>
      </c>
      <c r="F221" s="20" t="s">
        <v>167</v>
      </c>
      <c r="G221" s="20"/>
      <c r="H221" s="5" t="s">
        <v>549</v>
      </c>
      <c r="I221" s="4" t="s">
        <v>2723</v>
      </c>
      <c r="J221" s="4" t="s">
        <v>542</v>
      </c>
      <c r="K221" s="4" t="s">
        <v>2308</v>
      </c>
      <c r="L221" s="4" t="s">
        <v>2308</v>
      </c>
      <c r="M221" s="4" t="s">
        <v>2308</v>
      </c>
      <c r="N221" s="4" t="s">
        <v>2308</v>
      </c>
      <c r="O221" s="4" t="s">
        <v>2308</v>
      </c>
      <c r="P221" s="4" t="s">
        <v>2308</v>
      </c>
      <c r="Q221" s="4" t="s">
        <v>2308</v>
      </c>
      <c r="R221" s="4" t="s">
        <v>2308</v>
      </c>
      <c r="S221" s="4" t="s">
        <v>2308</v>
      </c>
      <c r="T221" s="4" t="s">
        <v>2308</v>
      </c>
      <c r="U221" s="4" t="s">
        <v>2308</v>
      </c>
      <c r="V221" s="4" t="s">
        <v>2308</v>
      </c>
      <c r="W221" s="5" t="s">
        <v>2210</v>
      </c>
    </row>
    <row r="222" spans="1:23" ht="52" customHeight="1">
      <c r="A222" s="12" t="s">
        <v>2150</v>
      </c>
      <c r="B222" s="12" t="s">
        <v>2204</v>
      </c>
      <c r="C222" s="24" t="s">
        <v>24</v>
      </c>
      <c r="D222" s="24" t="s">
        <v>136</v>
      </c>
      <c r="E222" s="24" t="s">
        <v>149</v>
      </c>
      <c r="F222" s="20" t="s">
        <v>74</v>
      </c>
      <c r="G222" s="20"/>
      <c r="H222" s="5" t="s">
        <v>549</v>
      </c>
      <c r="I222" s="4" t="s">
        <v>2723</v>
      </c>
      <c r="J222" s="4" t="s">
        <v>542</v>
      </c>
      <c r="K222" s="4" t="s">
        <v>2308</v>
      </c>
      <c r="L222" s="4" t="s">
        <v>2308</v>
      </c>
      <c r="M222" s="4" t="s">
        <v>2308</v>
      </c>
      <c r="N222" s="4" t="s">
        <v>2308</v>
      </c>
      <c r="O222" s="4" t="s">
        <v>2308</v>
      </c>
      <c r="P222" s="4" t="s">
        <v>2308</v>
      </c>
      <c r="Q222" s="4" t="s">
        <v>2308</v>
      </c>
      <c r="R222" s="4" t="s">
        <v>542</v>
      </c>
      <c r="S222" s="4" t="s">
        <v>542</v>
      </c>
      <c r="T222" s="4" t="s">
        <v>542</v>
      </c>
      <c r="U222" s="4" t="s">
        <v>2308</v>
      </c>
      <c r="V222" s="4" t="s">
        <v>2308</v>
      </c>
      <c r="W222" s="5" t="s">
        <v>2210</v>
      </c>
    </row>
    <row r="223" spans="1:23" ht="52" customHeight="1">
      <c r="A223" s="12" t="s">
        <v>2150</v>
      </c>
      <c r="B223" s="12" t="s">
        <v>2231</v>
      </c>
      <c r="C223" s="24" t="s">
        <v>24</v>
      </c>
      <c r="D223" s="24" t="s">
        <v>136</v>
      </c>
      <c r="E223" s="24" t="s">
        <v>27</v>
      </c>
      <c r="F223" s="20" t="s">
        <v>167</v>
      </c>
      <c r="G223" s="20"/>
      <c r="H223" s="5" t="s">
        <v>549</v>
      </c>
      <c r="I223" s="4" t="s">
        <v>2723</v>
      </c>
      <c r="J223" s="4" t="s">
        <v>542</v>
      </c>
      <c r="K223" s="4" t="s">
        <v>2308</v>
      </c>
      <c r="L223" s="4" t="s">
        <v>2308</v>
      </c>
      <c r="M223" s="4" t="s">
        <v>2308</v>
      </c>
      <c r="N223" s="4" t="s">
        <v>2308</v>
      </c>
      <c r="O223" s="4" t="s">
        <v>2308</v>
      </c>
      <c r="P223" s="4" t="s">
        <v>2308</v>
      </c>
      <c r="Q223" s="4" t="s">
        <v>2308</v>
      </c>
      <c r="R223" s="4" t="s">
        <v>2308</v>
      </c>
      <c r="S223" s="4" t="s">
        <v>2308</v>
      </c>
      <c r="T223" s="4" t="s">
        <v>2308</v>
      </c>
      <c r="U223" s="4" t="s">
        <v>2308</v>
      </c>
      <c r="V223" s="4" t="s">
        <v>2308</v>
      </c>
      <c r="W223" s="5" t="s">
        <v>2210</v>
      </c>
    </row>
    <row r="224" spans="1:23" ht="52" customHeight="1">
      <c r="A224" s="12" t="s">
        <v>2151</v>
      </c>
      <c r="B224" s="12" t="s">
        <v>2205</v>
      </c>
      <c r="C224" s="24" t="s">
        <v>24</v>
      </c>
      <c r="D224" s="24" t="s">
        <v>136</v>
      </c>
      <c r="E224" s="24" t="s">
        <v>149</v>
      </c>
      <c r="F224" s="20" t="s">
        <v>74</v>
      </c>
      <c r="G224" s="20"/>
      <c r="H224" s="5" t="s">
        <v>549</v>
      </c>
      <c r="I224" s="4" t="s">
        <v>2723</v>
      </c>
      <c r="J224" s="4" t="s">
        <v>542</v>
      </c>
      <c r="K224" s="4" t="s">
        <v>2308</v>
      </c>
      <c r="L224" s="4" t="s">
        <v>2308</v>
      </c>
      <c r="M224" s="4" t="s">
        <v>2308</v>
      </c>
      <c r="N224" s="4" t="s">
        <v>2308</v>
      </c>
      <c r="O224" s="4" t="s">
        <v>2308</v>
      </c>
      <c r="P224" s="4" t="s">
        <v>2308</v>
      </c>
      <c r="Q224" s="4" t="s">
        <v>2308</v>
      </c>
      <c r="R224" s="4" t="s">
        <v>542</v>
      </c>
      <c r="S224" s="4" t="s">
        <v>542</v>
      </c>
      <c r="T224" s="4" t="s">
        <v>542</v>
      </c>
      <c r="U224" s="4" t="s">
        <v>2308</v>
      </c>
      <c r="V224" s="4" t="s">
        <v>2308</v>
      </c>
      <c r="W224" s="5" t="s">
        <v>2210</v>
      </c>
    </row>
    <row r="225" spans="1:23" ht="52" customHeight="1">
      <c r="A225" s="12" t="s">
        <v>2151</v>
      </c>
      <c r="B225" s="12" t="s">
        <v>2232</v>
      </c>
      <c r="C225" s="24" t="s">
        <v>24</v>
      </c>
      <c r="D225" s="24" t="s">
        <v>136</v>
      </c>
      <c r="E225" s="24" t="s">
        <v>27</v>
      </c>
      <c r="F225" s="20" t="s">
        <v>167</v>
      </c>
      <c r="G225" s="20"/>
      <c r="H225" s="5" t="s">
        <v>549</v>
      </c>
      <c r="I225" s="4" t="s">
        <v>2723</v>
      </c>
      <c r="J225" s="4" t="s">
        <v>542</v>
      </c>
      <c r="K225" s="4" t="s">
        <v>2308</v>
      </c>
      <c r="L225" s="4" t="s">
        <v>2308</v>
      </c>
      <c r="M225" s="4" t="s">
        <v>2308</v>
      </c>
      <c r="N225" s="4" t="s">
        <v>2308</v>
      </c>
      <c r="O225" s="4" t="s">
        <v>2308</v>
      </c>
      <c r="P225" s="4" t="s">
        <v>2308</v>
      </c>
      <c r="Q225" s="4" t="s">
        <v>2308</v>
      </c>
      <c r="R225" s="4" t="s">
        <v>2308</v>
      </c>
      <c r="S225" s="4" t="s">
        <v>2308</v>
      </c>
      <c r="T225" s="4" t="s">
        <v>2308</v>
      </c>
      <c r="U225" s="4" t="s">
        <v>2308</v>
      </c>
      <c r="V225" s="4" t="s">
        <v>2308</v>
      </c>
      <c r="W225" s="5" t="s">
        <v>2210</v>
      </c>
    </row>
    <row r="226" spans="1:23" ht="52" customHeight="1">
      <c r="A226" s="12" t="s">
        <v>2152</v>
      </c>
      <c r="B226" s="12" t="s">
        <v>2206</v>
      </c>
      <c r="C226" s="24" t="s">
        <v>24</v>
      </c>
      <c r="D226" s="24" t="s">
        <v>136</v>
      </c>
      <c r="E226" s="24" t="s">
        <v>149</v>
      </c>
      <c r="F226" s="20" t="s">
        <v>74</v>
      </c>
      <c r="G226" s="20"/>
      <c r="H226" s="5" t="s">
        <v>549</v>
      </c>
      <c r="I226" s="4" t="s">
        <v>2723</v>
      </c>
      <c r="J226" s="4" t="s">
        <v>542</v>
      </c>
      <c r="K226" s="4" t="s">
        <v>2308</v>
      </c>
      <c r="L226" s="4" t="s">
        <v>2308</v>
      </c>
      <c r="M226" s="4" t="s">
        <v>2308</v>
      </c>
      <c r="N226" s="4" t="s">
        <v>2308</v>
      </c>
      <c r="O226" s="4" t="s">
        <v>2308</v>
      </c>
      <c r="P226" s="4" t="s">
        <v>2308</v>
      </c>
      <c r="Q226" s="4" t="s">
        <v>2308</v>
      </c>
      <c r="R226" s="4" t="s">
        <v>542</v>
      </c>
      <c r="S226" s="4" t="s">
        <v>542</v>
      </c>
      <c r="T226" s="4" t="s">
        <v>542</v>
      </c>
      <c r="U226" s="4" t="s">
        <v>2308</v>
      </c>
      <c r="V226" s="4" t="s">
        <v>2308</v>
      </c>
      <c r="W226" s="5" t="s">
        <v>2210</v>
      </c>
    </row>
    <row r="227" spans="1:23" ht="52" customHeight="1">
      <c r="A227" s="12" t="s">
        <v>2152</v>
      </c>
      <c r="B227" s="12" t="s">
        <v>2233</v>
      </c>
      <c r="C227" s="24" t="s">
        <v>24</v>
      </c>
      <c r="D227" s="24" t="s">
        <v>136</v>
      </c>
      <c r="E227" s="24" t="s">
        <v>27</v>
      </c>
      <c r="F227" s="20" t="s">
        <v>167</v>
      </c>
      <c r="G227" s="20"/>
      <c r="H227" s="5" t="s">
        <v>549</v>
      </c>
      <c r="I227" s="4" t="s">
        <v>2723</v>
      </c>
      <c r="J227" s="4" t="s">
        <v>542</v>
      </c>
      <c r="K227" s="4" t="s">
        <v>2308</v>
      </c>
      <c r="L227" s="4" t="s">
        <v>2308</v>
      </c>
      <c r="M227" s="4" t="s">
        <v>2308</v>
      </c>
      <c r="N227" s="4" t="s">
        <v>2308</v>
      </c>
      <c r="O227" s="4" t="s">
        <v>2308</v>
      </c>
      <c r="P227" s="4" t="s">
        <v>2308</v>
      </c>
      <c r="Q227" s="4" t="s">
        <v>2308</v>
      </c>
      <c r="R227" s="4" t="s">
        <v>2308</v>
      </c>
      <c r="S227" s="4" t="s">
        <v>2308</v>
      </c>
      <c r="T227" s="4" t="s">
        <v>2308</v>
      </c>
      <c r="U227" s="4" t="s">
        <v>2308</v>
      </c>
      <c r="V227" s="4" t="s">
        <v>2308</v>
      </c>
      <c r="W227" s="5" t="s">
        <v>2210</v>
      </c>
    </row>
    <row r="228" spans="1:23" ht="52" customHeight="1">
      <c r="A228" s="12" t="s">
        <v>2153</v>
      </c>
      <c r="B228" s="12" t="s">
        <v>2207</v>
      </c>
      <c r="C228" s="24" t="s">
        <v>24</v>
      </c>
      <c r="D228" s="24" t="s">
        <v>136</v>
      </c>
      <c r="E228" s="24" t="s">
        <v>149</v>
      </c>
      <c r="F228" s="20" t="s">
        <v>74</v>
      </c>
      <c r="G228" s="20"/>
      <c r="H228" s="5" t="s">
        <v>549</v>
      </c>
      <c r="I228" s="4" t="s">
        <v>2723</v>
      </c>
      <c r="J228" s="4" t="s">
        <v>542</v>
      </c>
      <c r="K228" s="4" t="s">
        <v>2308</v>
      </c>
      <c r="L228" s="4" t="s">
        <v>2308</v>
      </c>
      <c r="M228" s="4" t="s">
        <v>2308</v>
      </c>
      <c r="N228" s="4" t="s">
        <v>2308</v>
      </c>
      <c r="O228" s="4" t="s">
        <v>2308</v>
      </c>
      <c r="P228" s="4" t="s">
        <v>2308</v>
      </c>
      <c r="Q228" s="4" t="s">
        <v>2308</v>
      </c>
      <c r="R228" s="4" t="s">
        <v>542</v>
      </c>
      <c r="S228" s="4" t="s">
        <v>542</v>
      </c>
      <c r="T228" s="4" t="s">
        <v>542</v>
      </c>
      <c r="U228" s="4" t="s">
        <v>2308</v>
      </c>
      <c r="V228" s="4" t="s">
        <v>2308</v>
      </c>
      <c r="W228" s="5" t="s">
        <v>2210</v>
      </c>
    </row>
    <row r="229" spans="1:23" ht="52" customHeight="1">
      <c r="A229" s="12" t="s">
        <v>2153</v>
      </c>
      <c r="B229" s="12" t="s">
        <v>2234</v>
      </c>
      <c r="C229" s="24" t="s">
        <v>24</v>
      </c>
      <c r="D229" s="24" t="s">
        <v>136</v>
      </c>
      <c r="E229" s="24" t="s">
        <v>27</v>
      </c>
      <c r="F229" s="20" t="s">
        <v>167</v>
      </c>
      <c r="G229" s="20"/>
      <c r="H229" s="5" t="s">
        <v>549</v>
      </c>
      <c r="I229" s="4" t="s">
        <v>2723</v>
      </c>
      <c r="J229" s="4" t="s">
        <v>542</v>
      </c>
      <c r="K229" s="4" t="s">
        <v>2308</v>
      </c>
      <c r="L229" s="4" t="s">
        <v>2308</v>
      </c>
      <c r="M229" s="4" t="s">
        <v>2308</v>
      </c>
      <c r="N229" s="4" t="s">
        <v>2308</v>
      </c>
      <c r="O229" s="4" t="s">
        <v>2308</v>
      </c>
      <c r="P229" s="4" t="s">
        <v>2308</v>
      </c>
      <c r="Q229" s="4" t="s">
        <v>2308</v>
      </c>
      <c r="R229" s="4" t="s">
        <v>2308</v>
      </c>
      <c r="S229" s="4" t="s">
        <v>2308</v>
      </c>
      <c r="T229" s="4" t="s">
        <v>2308</v>
      </c>
      <c r="U229" s="4" t="s">
        <v>2308</v>
      </c>
      <c r="V229" s="4" t="s">
        <v>2308</v>
      </c>
      <c r="W229" s="5" t="s">
        <v>2210</v>
      </c>
    </row>
    <row r="230" spans="1:23" ht="64.5" customHeight="1">
      <c r="A230" s="12" t="s">
        <v>2154</v>
      </c>
      <c r="B230" s="12" t="s">
        <v>2208</v>
      </c>
      <c r="C230" s="24" t="s">
        <v>24</v>
      </c>
      <c r="D230" s="24" t="s">
        <v>136</v>
      </c>
      <c r="E230" s="24" t="s">
        <v>149</v>
      </c>
      <c r="F230" s="20" t="s">
        <v>74</v>
      </c>
      <c r="G230" s="20"/>
      <c r="H230" s="5" t="s">
        <v>549</v>
      </c>
      <c r="I230" s="4" t="s">
        <v>2723</v>
      </c>
      <c r="J230" s="4" t="s">
        <v>542</v>
      </c>
      <c r="K230" s="4" t="s">
        <v>2308</v>
      </c>
      <c r="L230" s="4" t="s">
        <v>2308</v>
      </c>
      <c r="M230" s="4" t="s">
        <v>2308</v>
      </c>
      <c r="N230" s="4" t="s">
        <v>2308</v>
      </c>
      <c r="O230" s="4" t="s">
        <v>2308</v>
      </c>
      <c r="P230" s="4" t="s">
        <v>2308</v>
      </c>
      <c r="Q230" s="4" t="s">
        <v>2308</v>
      </c>
      <c r="R230" s="4" t="s">
        <v>542</v>
      </c>
      <c r="S230" s="4" t="s">
        <v>542</v>
      </c>
      <c r="T230" s="4" t="s">
        <v>542</v>
      </c>
      <c r="U230" s="4" t="s">
        <v>2308</v>
      </c>
      <c r="V230" s="4" t="s">
        <v>2308</v>
      </c>
      <c r="W230" s="5" t="s">
        <v>2210</v>
      </c>
    </row>
    <row r="231" spans="1:23" ht="66" customHeight="1">
      <c r="A231" s="12" t="s">
        <v>2154</v>
      </c>
      <c r="B231" s="12" t="s">
        <v>2235</v>
      </c>
      <c r="C231" s="24" t="s">
        <v>24</v>
      </c>
      <c r="D231" s="24" t="s">
        <v>136</v>
      </c>
      <c r="E231" s="24" t="s">
        <v>27</v>
      </c>
      <c r="F231" s="20" t="s">
        <v>167</v>
      </c>
      <c r="G231" s="20"/>
      <c r="H231" s="5" t="s">
        <v>549</v>
      </c>
      <c r="I231" s="4" t="s">
        <v>2723</v>
      </c>
      <c r="J231" s="4" t="s">
        <v>542</v>
      </c>
      <c r="K231" s="4" t="s">
        <v>2308</v>
      </c>
      <c r="L231" s="4" t="s">
        <v>2308</v>
      </c>
      <c r="M231" s="4" t="s">
        <v>2308</v>
      </c>
      <c r="N231" s="4" t="s">
        <v>2308</v>
      </c>
      <c r="O231" s="4" t="s">
        <v>2308</v>
      </c>
      <c r="P231" s="4" t="s">
        <v>2308</v>
      </c>
      <c r="Q231" s="4" t="s">
        <v>2308</v>
      </c>
      <c r="R231" s="4" t="s">
        <v>2308</v>
      </c>
      <c r="S231" s="4" t="s">
        <v>2308</v>
      </c>
      <c r="T231" s="4" t="s">
        <v>2308</v>
      </c>
      <c r="U231" s="4" t="s">
        <v>2308</v>
      </c>
      <c r="V231" s="4" t="s">
        <v>2308</v>
      </c>
      <c r="W231" s="5" t="s">
        <v>2210</v>
      </c>
    </row>
    <row r="232" spans="1:23" ht="50.5" customHeight="1">
      <c r="A232" s="12" t="s">
        <v>945</v>
      </c>
      <c r="B232" s="12" t="s">
        <v>952</v>
      </c>
      <c r="C232" s="24" t="s">
        <v>24</v>
      </c>
      <c r="D232" s="24" t="s">
        <v>136</v>
      </c>
      <c r="E232" s="24" t="s">
        <v>27</v>
      </c>
      <c r="F232" s="20" t="s">
        <v>167</v>
      </c>
      <c r="G232" s="20"/>
      <c r="H232" s="5" t="s">
        <v>549</v>
      </c>
      <c r="I232" s="4" t="s">
        <v>2723</v>
      </c>
      <c r="J232" s="12" t="s">
        <v>542</v>
      </c>
      <c r="K232" s="4" t="s">
        <v>2308</v>
      </c>
      <c r="L232" s="4" t="s">
        <v>2308</v>
      </c>
      <c r="M232" s="4" t="s">
        <v>2308</v>
      </c>
      <c r="N232" s="4" t="s">
        <v>2308</v>
      </c>
      <c r="O232" s="4" t="s">
        <v>2308</v>
      </c>
      <c r="P232" s="4" t="s">
        <v>2308</v>
      </c>
      <c r="Q232" s="4" t="s">
        <v>2308</v>
      </c>
      <c r="R232" s="4" t="s">
        <v>2308</v>
      </c>
      <c r="S232" s="4" t="s">
        <v>2308</v>
      </c>
      <c r="T232" s="4" t="s">
        <v>2308</v>
      </c>
      <c r="U232" s="4" t="s">
        <v>2308</v>
      </c>
      <c r="V232" s="4" t="s">
        <v>2308</v>
      </c>
      <c r="W232" s="5" t="s">
        <v>2244</v>
      </c>
    </row>
    <row r="233" spans="1:23" ht="42" customHeight="1">
      <c r="A233" s="12" t="s">
        <v>950</v>
      </c>
      <c r="B233" s="12" t="s">
        <v>953</v>
      </c>
      <c r="C233" s="24" t="s">
        <v>24</v>
      </c>
      <c r="D233" s="24" t="s">
        <v>136</v>
      </c>
      <c r="E233" s="24" t="s">
        <v>27</v>
      </c>
      <c r="F233" s="20" t="s">
        <v>167</v>
      </c>
      <c r="G233" s="20"/>
      <c r="H233" s="5" t="s">
        <v>549</v>
      </c>
      <c r="I233" s="12" t="s">
        <v>545</v>
      </c>
      <c r="J233" s="12" t="s">
        <v>545</v>
      </c>
      <c r="K233" s="4" t="s">
        <v>2308</v>
      </c>
      <c r="L233" s="4" t="s">
        <v>2308</v>
      </c>
      <c r="M233" s="4" t="s">
        <v>2308</v>
      </c>
      <c r="N233" s="4" t="s">
        <v>2308</v>
      </c>
      <c r="O233" s="4" t="s">
        <v>2308</v>
      </c>
      <c r="P233" s="4" t="s">
        <v>2308</v>
      </c>
      <c r="Q233" s="4" t="s">
        <v>2308</v>
      </c>
      <c r="R233" s="4" t="s">
        <v>2308</v>
      </c>
      <c r="S233" s="4" t="s">
        <v>2308</v>
      </c>
      <c r="T233" s="4" t="s">
        <v>2308</v>
      </c>
      <c r="U233" s="4" t="s">
        <v>2308</v>
      </c>
      <c r="V233" s="4" t="s">
        <v>2308</v>
      </c>
      <c r="W233" s="5" t="s">
        <v>954</v>
      </c>
    </row>
    <row r="234" spans="1:23" ht="40.5" customHeight="1">
      <c r="A234" s="12" t="s">
        <v>956</v>
      </c>
      <c r="B234" s="12" t="s">
        <v>960</v>
      </c>
      <c r="C234" s="24" t="s">
        <v>24</v>
      </c>
      <c r="D234" s="24" t="s">
        <v>136</v>
      </c>
      <c r="E234" s="24" t="s">
        <v>27</v>
      </c>
      <c r="F234" s="20" t="s">
        <v>167</v>
      </c>
      <c r="G234" s="20"/>
      <c r="H234" s="5" t="s">
        <v>549</v>
      </c>
      <c r="I234" s="4" t="s">
        <v>2723</v>
      </c>
      <c r="J234" s="12" t="s">
        <v>542</v>
      </c>
      <c r="K234" s="4" t="s">
        <v>2308</v>
      </c>
      <c r="L234" s="4" t="s">
        <v>2308</v>
      </c>
      <c r="M234" s="4" t="s">
        <v>2308</v>
      </c>
      <c r="N234" s="4" t="s">
        <v>2308</v>
      </c>
      <c r="O234" s="4" t="s">
        <v>2308</v>
      </c>
      <c r="P234" s="4" t="s">
        <v>2308</v>
      </c>
      <c r="Q234" s="4" t="s">
        <v>2308</v>
      </c>
      <c r="R234" s="4" t="s">
        <v>2308</v>
      </c>
      <c r="S234" s="4" t="s">
        <v>2308</v>
      </c>
      <c r="T234" s="4" t="s">
        <v>2308</v>
      </c>
      <c r="U234" s="4" t="s">
        <v>2308</v>
      </c>
      <c r="V234" s="4" t="s">
        <v>2308</v>
      </c>
      <c r="W234" s="5" t="s">
        <v>961</v>
      </c>
    </row>
    <row r="235" spans="1:23" ht="66.5" customHeight="1">
      <c r="A235" s="12" t="s">
        <v>962</v>
      </c>
      <c r="B235" s="12" t="s">
        <v>966</v>
      </c>
      <c r="C235" s="24" t="s">
        <v>24</v>
      </c>
      <c r="D235" s="24" t="s">
        <v>136</v>
      </c>
      <c r="E235" s="24" t="s">
        <v>27</v>
      </c>
      <c r="F235" s="20" t="s">
        <v>167</v>
      </c>
      <c r="G235" s="20"/>
      <c r="H235" s="5" t="s">
        <v>549</v>
      </c>
      <c r="I235" s="12" t="s">
        <v>545</v>
      </c>
      <c r="J235" s="12" t="s">
        <v>545</v>
      </c>
      <c r="K235" s="4" t="s">
        <v>2308</v>
      </c>
      <c r="L235" s="4" t="s">
        <v>2308</v>
      </c>
      <c r="M235" s="4" t="s">
        <v>2308</v>
      </c>
      <c r="N235" s="4" t="s">
        <v>2308</v>
      </c>
      <c r="O235" s="4" t="s">
        <v>2308</v>
      </c>
      <c r="P235" s="4" t="s">
        <v>2308</v>
      </c>
      <c r="Q235" s="4" t="s">
        <v>2308</v>
      </c>
      <c r="R235" s="4" t="s">
        <v>2308</v>
      </c>
      <c r="S235" s="4" t="s">
        <v>2308</v>
      </c>
      <c r="T235" s="4" t="s">
        <v>2308</v>
      </c>
      <c r="U235" s="4" t="s">
        <v>2308</v>
      </c>
      <c r="V235" s="4" t="s">
        <v>2308</v>
      </c>
      <c r="W235" s="20" t="s">
        <v>970</v>
      </c>
    </row>
    <row r="236" spans="1:23" ht="66.5" customHeight="1">
      <c r="A236" s="12" t="s">
        <v>964</v>
      </c>
      <c r="B236" s="12" t="s">
        <v>967</v>
      </c>
      <c r="C236" s="24" t="s">
        <v>24</v>
      </c>
      <c r="D236" s="24" t="s">
        <v>136</v>
      </c>
      <c r="E236" s="24" t="s">
        <v>27</v>
      </c>
      <c r="F236" s="20" t="s">
        <v>167</v>
      </c>
      <c r="G236" s="20"/>
      <c r="H236" s="5" t="s">
        <v>549</v>
      </c>
      <c r="I236" s="12" t="s">
        <v>545</v>
      </c>
      <c r="J236" s="12" t="s">
        <v>545</v>
      </c>
      <c r="K236" s="4" t="s">
        <v>2308</v>
      </c>
      <c r="L236" s="4" t="s">
        <v>2308</v>
      </c>
      <c r="M236" s="4" t="s">
        <v>2308</v>
      </c>
      <c r="N236" s="4" t="s">
        <v>2308</v>
      </c>
      <c r="O236" s="4" t="s">
        <v>2308</v>
      </c>
      <c r="P236" s="4" t="s">
        <v>2308</v>
      </c>
      <c r="Q236" s="4" t="s">
        <v>2308</v>
      </c>
      <c r="R236" s="4" t="s">
        <v>2308</v>
      </c>
      <c r="S236" s="4" t="s">
        <v>2308</v>
      </c>
      <c r="T236" s="4" t="s">
        <v>2308</v>
      </c>
      <c r="U236" s="4" t="s">
        <v>2308</v>
      </c>
      <c r="V236" s="4" t="s">
        <v>2308</v>
      </c>
      <c r="W236" s="20" t="s">
        <v>970</v>
      </c>
    </row>
    <row r="237" spans="1:23" ht="86" customHeight="1">
      <c r="A237" s="12" t="s">
        <v>978</v>
      </c>
      <c r="B237" s="12" t="s">
        <v>983</v>
      </c>
      <c r="C237" s="24" t="s">
        <v>24</v>
      </c>
      <c r="D237" s="24" t="s">
        <v>136</v>
      </c>
      <c r="E237" s="24" t="s">
        <v>27</v>
      </c>
      <c r="F237" s="20" t="s">
        <v>167</v>
      </c>
      <c r="G237" s="20"/>
      <c r="H237" s="5" t="s">
        <v>549</v>
      </c>
      <c r="I237" s="4" t="s">
        <v>2723</v>
      </c>
      <c r="J237" s="4" t="s">
        <v>542</v>
      </c>
      <c r="K237" s="4" t="s">
        <v>2308</v>
      </c>
      <c r="L237" s="4" t="s">
        <v>2308</v>
      </c>
      <c r="M237" s="4" t="s">
        <v>542</v>
      </c>
      <c r="N237" s="4" t="s">
        <v>542</v>
      </c>
      <c r="O237" s="4" t="s">
        <v>2308</v>
      </c>
      <c r="P237" s="4" t="s">
        <v>2308</v>
      </c>
      <c r="Q237" s="4">
        <v>4</v>
      </c>
      <c r="R237" s="4" t="s">
        <v>542</v>
      </c>
      <c r="S237" s="4" t="s">
        <v>542</v>
      </c>
      <c r="T237" s="4" t="s">
        <v>2308</v>
      </c>
      <c r="U237" s="4" t="s">
        <v>2308</v>
      </c>
      <c r="V237" s="4" t="s">
        <v>2308</v>
      </c>
      <c r="W237" s="5" t="s">
        <v>2253</v>
      </c>
    </row>
    <row r="238" spans="1:23" ht="82.5" customHeight="1">
      <c r="A238" s="12" t="s">
        <v>984</v>
      </c>
      <c r="B238" s="12" t="s">
        <v>988</v>
      </c>
      <c r="C238" s="24" t="s">
        <v>24</v>
      </c>
      <c r="D238" s="24" t="s">
        <v>136</v>
      </c>
      <c r="E238" s="24" t="s">
        <v>27</v>
      </c>
      <c r="F238" s="20" t="s">
        <v>167</v>
      </c>
      <c r="G238" s="20"/>
      <c r="H238" s="5" t="s">
        <v>549</v>
      </c>
      <c r="I238" s="4" t="s">
        <v>2723</v>
      </c>
      <c r="J238" s="4" t="s">
        <v>542</v>
      </c>
      <c r="K238" s="4" t="s">
        <v>2308</v>
      </c>
      <c r="L238" s="4" t="s">
        <v>2308</v>
      </c>
      <c r="M238" s="4" t="s">
        <v>542</v>
      </c>
      <c r="N238" s="4" t="s">
        <v>542</v>
      </c>
      <c r="O238" s="4" t="s">
        <v>2308</v>
      </c>
      <c r="P238" s="4" t="s">
        <v>2308</v>
      </c>
      <c r="Q238" s="4">
        <v>4</v>
      </c>
      <c r="R238" s="4" t="s">
        <v>542</v>
      </c>
      <c r="S238" s="4" t="s">
        <v>542</v>
      </c>
      <c r="T238" s="4" t="s">
        <v>2308</v>
      </c>
      <c r="U238" s="4" t="s">
        <v>2308</v>
      </c>
      <c r="V238" s="4" t="s">
        <v>2308</v>
      </c>
      <c r="W238" s="5" t="s">
        <v>2253</v>
      </c>
    </row>
    <row r="239" spans="1:23" ht="87.5" customHeight="1">
      <c r="A239" s="12" t="s">
        <v>985</v>
      </c>
      <c r="B239" s="12" t="s">
        <v>989</v>
      </c>
      <c r="C239" s="24" t="s">
        <v>24</v>
      </c>
      <c r="D239" s="24" t="s">
        <v>136</v>
      </c>
      <c r="E239" s="24" t="s">
        <v>27</v>
      </c>
      <c r="F239" s="20" t="s">
        <v>167</v>
      </c>
      <c r="G239" s="20"/>
      <c r="H239" s="5" t="s">
        <v>549</v>
      </c>
      <c r="I239" s="4" t="s">
        <v>2723</v>
      </c>
      <c r="J239" s="4" t="s">
        <v>542</v>
      </c>
      <c r="K239" s="4" t="s">
        <v>2308</v>
      </c>
      <c r="L239" s="4" t="s">
        <v>2308</v>
      </c>
      <c r="M239" s="4" t="s">
        <v>542</v>
      </c>
      <c r="N239" s="4" t="s">
        <v>542</v>
      </c>
      <c r="O239" s="4" t="s">
        <v>2308</v>
      </c>
      <c r="P239" s="4" t="s">
        <v>2308</v>
      </c>
      <c r="Q239" s="4">
        <v>4</v>
      </c>
      <c r="R239" s="4" t="s">
        <v>542</v>
      </c>
      <c r="S239" s="4" t="s">
        <v>542</v>
      </c>
      <c r="T239" s="4" t="s">
        <v>2308</v>
      </c>
      <c r="U239" s="4" t="s">
        <v>2308</v>
      </c>
      <c r="V239" s="4" t="s">
        <v>2308</v>
      </c>
      <c r="W239" s="5" t="s">
        <v>2253</v>
      </c>
    </row>
    <row r="240" spans="1:23" ht="83" customHeight="1">
      <c r="A240" s="12" t="s">
        <v>1036</v>
      </c>
      <c r="B240" s="12" t="s">
        <v>1041</v>
      </c>
      <c r="C240" s="24" t="s">
        <v>24</v>
      </c>
      <c r="D240" s="24" t="s">
        <v>136</v>
      </c>
      <c r="E240" s="24" t="s">
        <v>27</v>
      </c>
      <c r="F240" s="20" t="s">
        <v>167</v>
      </c>
      <c r="G240" s="20"/>
      <c r="H240" s="5" t="s">
        <v>549</v>
      </c>
      <c r="I240" s="4" t="s">
        <v>2308</v>
      </c>
      <c r="J240" s="4" t="s">
        <v>2308</v>
      </c>
      <c r="K240" s="4" t="s">
        <v>2308</v>
      </c>
      <c r="L240" s="4" t="s">
        <v>2308</v>
      </c>
      <c r="M240" s="4" t="s">
        <v>2308</v>
      </c>
      <c r="N240" s="4" t="s">
        <v>2308</v>
      </c>
      <c r="O240" s="4" t="s">
        <v>2308</v>
      </c>
      <c r="P240" s="4" t="s">
        <v>2308</v>
      </c>
      <c r="Q240" s="4" t="s">
        <v>2308</v>
      </c>
      <c r="R240" s="4" t="s">
        <v>542</v>
      </c>
      <c r="S240" s="4" t="s">
        <v>542</v>
      </c>
      <c r="T240" s="4" t="s">
        <v>542</v>
      </c>
      <c r="U240" s="4" t="s">
        <v>2308</v>
      </c>
      <c r="V240" s="4" t="s">
        <v>2308</v>
      </c>
      <c r="W240" s="5" t="s">
        <v>2277</v>
      </c>
    </row>
    <row r="241" spans="1:23" ht="83" customHeight="1">
      <c r="A241" s="12" t="s">
        <v>1039</v>
      </c>
      <c r="B241" s="12" t="s">
        <v>1042</v>
      </c>
      <c r="C241" s="24" t="s">
        <v>24</v>
      </c>
      <c r="D241" s="24" t="s">
        <v>136</v>
      </c>
      <c r="E241" s="24" t="s">
        <v>27</v>
      </c>
      <c r="F241" s="20" t="s">
        <v>167</v>
      </c>
      <c r="G241" s="20"/>
      <c r="H241" s="5" t="s">
        <v>549</v>
      </c>
      <c r="I241" s="4" t="s">
        <v>2308</v>
      </c>
      <c r="J241" s="4" t="s">
        <v>2308</v>
      </c>
      <c r="K241" s="4" t="s">
        <v>2308</v>
      </c>
      <c r="L241" s="4" t="s">
        <v>2308</v>
      </c>
      <c r="M241" s="4" t="s">
        <v>2308</v>
      </c>
      <c r="N241" s="4" t="s">
        <v>2308</v>
      </c>
      <c r="O241" s="4" t="s">
        <v>2308</v>
      </c>
      <c r="P241" s="4" t="s">
        <v>2308</v>
      </c>
      <c r="Q241" s="4" t="s">
        <v>2308</v>
      </c>
      <c r="R241" s="4" t="s">
        <v>542</v>
      </c>
      <c r="S241" s="4" t="s">
        <v>542</v>
      </c>
      <c r="T241" s="4" t="s">
        <v>542</v>
      </c>
      <c r="U241" s="4" t="s">
        <v>2308</v>
      </c>
      <c r="V241" t="s">
        <v>2308</v>
      </c>
      <c r="W241" s="5" t="s">
        <v>2277</v>
      </c>
    </row>
    <row r="242" spans="1:23" ht="69" customHeight="1">
      <c r="A242" s="12" t="s">
        <v>1043</v>
      </c>
      <c r="B242" s="12" t="s">
        <v>1048</v>
      </c>
      <c r="C242" s="24" t="s">
        <v>24</v>
      </c>
      <c r="D242" s="24" t="s">
        <v>136</v>
      </c>
      <c r="E242" s="24" t="s">
        <v>27</v>
      </c>
      <c r="F242" s="20" t="s">
        <v>167</v>
      </c>
      <c r="G242" s="20"/>
      <c r="H242" s="5" t="s">
        <v>1051</v>
      </c>
      <c r="I242" s="4" t="s">
        <v>2308</v>
      </c>
      <c r="J242" s="4" t="s">
        <v>2308</v>
      </c>
      <c r="K242" s="4" t="s">
        <v>2308</v>
      </c>
      <c r="L242" s="4" t="s">
        <v>2308</v>
      </c>
      <c r="M242" s="4" t="s">
        <v>542</v>
      </c>
      <c r="N242" s="4" t="s">
        <v>542</v>
      </c>
      <c r="O242" s="4" t="s">
        <v>542</v>
      </c>
      <c r="P242" s="4" t="s">
        <v>542</v>
      </c>
      <c r="Q242" s="4">
        <v>5</v>
      </c>
      <c r="R242" s="4" t="s">
        <v>2308</v>
      </c>
      <c r="S242" s="4" t="s">
        <v>2308</v>
      </c>
      <c r="T242" s="4" t="s">
        <v>2308</v>
      </c>
      <c r="U242" s="4" t="s">
        <v>2308</v>
      </c>
      <c r="V242" s="4" t="s">
        <v>2308</v>
      </c>
      <c r="W242" s="5" t="s">
        <v>1058</v>
      </c>
    </row>
    <row r="243" spans="1:23" ht="68.5" customHeight="1">
      <c r="A243" s="12" t="s">
        <v>1043</v>
      </c>
      <c r="B243" s="12" t="s">
        <v>1052</v>
      </c>
      <c r="C243" s="24" t="s">
        <v>24</v>
      </c>
      <c r="D243" s="24" t="s">
        <v>136</v>
      </c>
      <c r="E243" s="24" t="s">
        <v>27</v>
      </c>
      <c r="F243" s="20" t="s">
        <v>74</v>
      </c>
      <c r="G243" s="20"/>
      <c r="H243" s="5" t="s">
        <v>1051</v>
      </c>
      <c r="I243" s="4" t="s">
        <v>2308</v>
      </c>
      <c r="J243" s="4" t="s">
        <v>2308</v>
      </c>
      <c r="K243" s="4" t="s">
        <v>2308</v>
      </c>
      <c r="L243" s="4" t="s">
        <v>2308</v>
      </c>
      <c r="M243" s="4" t="s">
        <v>542</v>
      </c>
      <c r="N243" s="4" t="s">
        <v>542</v>
      </c>
      <c r="O243" s="4" t="s">
        <v>542</v>
      </c>
      <c r="P243" s="4" t="s">
        <v>542</v>
      </c>
      <c r="Q243" s="4">
        <v>5</v>
      </c>
      <c r="R243" s="4" t="s">
        <v>2308</v>
      </c>
      <c r="S243" s="4" t="s">
        <v>2308</v>
      </c>
      <c r="T243" s="4" t="s">
        <v>2308</v>
      </c>
      <c r="U243" s="4" t="s">
        <v>2308</v>
      </c>
      <c r="V243" s="4" t="s">
        <v>2308</v>
      </c>
      <c r="W243" s="5" t="s">
        <v>1059</v>
      </c>
    </row>
    <row r="244" spans="1:23" ht="68.5" customHeight="1">
      <c r="A244" s="12" t="s">
        <v>1043</v>
      </c>
      <c r="B244" s="12" t="s">
        <v>1054</v>
      </c>
      <c r="C244" s="24" t="s">
        <v>24</v>
      </c>
      <c r="D244" s="24" t="s">
        <v>136</v>
      </c>
      <c r="E244" s="24" t="s">
        <v>27</v>
      </c>
      <c r="F244" s="20" t="s">
        <v>167</v>
      </c>
      <c r="G244" s="20"/>
      <c r="H244" s="5" t="s">
        <v>549</v>
      </c>
      <c r="I244" s="4" t="s">
        <v>2308</v>
      </c>
      <c r="J244" s="4" t="s">
        <v>2308</v>
      </c>
      <c r="K244" s="4" t="s">
        <v>2308</v>
      </c>
      <c r="L244" s="4" t="s">
        <v>2308</v>
      </c>
      <c r="M244" s="4" t="s">
        <v>542</v>
      </c>
      <c r="N244" s="4" t="s">
        <v>542</v>
      </c>
      <c r="O244" s="4" t="s">
        <v>542</v>
      </c>
      <c r="P244" s="4" t="s">
        <v>2308</v>
      </c>
      <c r="Q244" s="4">
        <v>3</v>
      </c>
      <c r="R244" s="4" t="s">
        <v>2308</v>
      </c>
      <c r="S244" s="4" t="s">
        <v>2308</v>
      </c>
      <c r="T244" s="4" t="s">
        <v>2308</v>
      </c>
      <c r="U244" s="4" t="s">
        <v>2308</v>
      </c>
      <c r="V244" s="4" t="s">
        <v>2308</v>
      </c>
      <c r="W244" s="5" t="s">
        <v>1060</v>
      </c>
    </row>
    <row r="245" spans="1:23" ht="68.5" customHeight="1">
      <c r="A245" s="12" t="s">
        <v>1043</v>
      </c>
      <c r="B245" s="12" t="s">
        <v>1055</v>
      </c>
      <c r="C245" s="24" t="s">
        <v>24</v>
      </c>
      <c r="D245" s="24" t="s">
        <v>136</v>
      </c>
      <c r="E245" s="24" t="s">
        <v>27</v>
      </c>
      <c r="F245" s="20" t="s">
        <v>74</v>
      </c>
      <c r="G245" s="20"/>
      <c r="H245" s="5" t="s">
        <v>549</v>
      </c>
      <c r="I245" s="4" t="s">
        <v>2308</v>
      </c>
      <c r="J245" s="4" t="s">
        <v>2308</v>
      </c>
      <c r="K245" s="4" t="s">
        <v>2308</v>
      </c>
      <c r="L245" s="4" t="s">
        <v>2308</v>
      </c>
      <c r="M245" s="4" t="s">
        <v>542</v>
      </c>
      <c r="N245" s="4" t="s">
        <v>542</v>
      </c>
      <c r="O245" s="4" t="s">
        <v>542</v>
      </c>
      <c r="P245" s="4" t="s">
        <v>2308</v>
      </c>
      <c r="Q245" s="4">
        <v>3</v>
      </c>
      <c r="R245" s="4" t="s">
        <v>2308</v>
      </c>
      <c r="S245" s="4" t="s">
        <v>2308</v>
      </c>
      <c r="T245" s="4" t="s">
        <v>2308</v>
      </c>
      <c r="U245" s="4" t="s">
        <v>2308</v>
      </c>
      <c r="V245" s="4" t="s">
        <v>2308</v>
      </c>
      <c r="W245" s="5" t="s">
        <v>1060</v>
      </c>
    </row>
    <row r="246" spans="1:23" ht="61" customHeight="1">
      <c r="A246" s="12" t="s">
        <v>1044</v>
      </c>
      <c r="B246" s="12" t="s">
        <v>1049</v>
      </c>
      <c r="C246" s="24" t="s">
        <v>24</v>
      </c>
      <c r="D246" s="24" t="s">
        <v>136</v>
      </c>
      <c r="E246" s="24" t="s">
        <v>27</v>
      </c>
      <c r="F246" s="20" t="s">
        <v>167</v>
      </c>
      <c r="G246" s="20"/>
      <c r="H246" s="5" t="s">
        <v>1051</v>
      </c>
      <c r="I246" s="4" t="s">
        <v>2308</v>
      </c>
      <c r="J246" s="4" t="s">
        <v>2308</v>
      </c>
      <c r="K246" s="4" t="s">
        <v>2308</v>
      </c>
      <c r="L246" s="4" t="s">
        <v>2308</v>
      </c>
      <c r="M246" s="4" t="s">
        <v>542</v>
      </c>
      <c r="N246" s="4" t="s">
        <v>542</v>
      </c>
      <c r="O246" s="4" t="s">
        <v>542</v>
      </c>
      <c r="P246" s="4" t="s">
        <v>2308</v>
      </c>
      <c r="Q246" s="4">
        <v>5</v>
      </c>
      <c r="R246" s="4" t="s">
        <v>2308</v>
      </c>
      <c r="S246" s="4" t="s">
        <v>2308</v>
      </c>
      <c r="T246" s="4" t="s">
        <v>2308</v>
      </c>
      <c r="U246" s="4" t="s">
        <v>2308</v>
      </c>
      <c r="V246" s="4" t="s">
        <v>2308</v>
      </c>
      <c r="W246" s="5" t="s">
        <v>1058</v>
      </c>
    </row>
    <row r="247" spans="1:23" ht="62" customHeight="1">
      <c r="A247" s="12" t="s">
        <v>1044</v>
      </c>
      <c r="B247" s="12" t="s">
        <v>1053</v>
      </c>
      <c r="C247" s="24" t="s">
        <v>24</v>
      </c>
      <c r="D247" s="24" t="s">
        <v>136</v>
      </c>
      <c r="E247" s="24" t="s">
        <v>27</v>
      </c>
      <c r="F247" s="20" t="s">
        <v>74</v>
      </c>
      <c r="G247" s="20"/>
      <c r="H247" s="5" t="s">
        <v>1051</v>
      </c>
      <c r="I247" s="4" t="s">
        <v>2308</v>
      </c>
      <c r="J247" s="4" t="s">
        <v>2308</v>
      </c>
      <c r="K247" s="4" t="s">
        <v>2308</v>
      </c>
      <c r="L247" s="4" t="s">
        <v>2308</v>
      </c>
      <c r="M247" s="4" t="s">
        <v>542</v>
      </c>
      <c r="N247" s="4" t="s">
        <v>542</v>
      </c>
      <c r="O247" s="4" t="s">
        <v>542</v>
      </c>
      <c r="P247" s="4" t="s">
        <v>2308</v>
      </c>
      <c r="Q247" s="4">
        <v>5</v>
      </c>
      <c r="R247" s="4" t="s">
        <v>2308</v>
      </c>
      <c r="S247" s="4" t="s">
        <v>2308</v>
      </c>
      <c r="T247" s="4" t="s">
        <v>2308</v>
      </c>
      <c r="U247" s="4" t="s">
        <v>2308</v>
      </c>
      <c r="V247" s="4" t="s">
        <v>2308</v>
      </c>
      <c r="W247" s="5" t="s">
        <v>1059</v>
      </c>
    </row>
    <row r="248" spans="1:23" ht="74.5" customHeight="1">
      <c r="A248" s="12" t="s">
        <v>1044</v>
      </c>
      <c r="B248" s="12" t="s">
        <v>1056</v>
      </c>
      <c r="C248" s="24" t="s">
        <v>24</v>
      </c>
      <c r="D248" s="24" t="s">
        <v>136</v>
      </c>
      <c r="E248" s="24" t="s">
        <v>27</v>
      </c>
      <c r="F248" s="20" t="s">
        <v>167</v>
      </c>
      <c r="G248" s="20"/>
      <c r="H248" s="5" t="s">
        <v>549</v>
      </c>
      <c r="I248" s="4" t="s">
        <v>2308</v>
      </c>
      <c r="J248" s="4" t="s">
        <v>2308</v>
      </c>
      <c r="K248" s="4" t="s">
        <v>2308</v>
      </c>
      <c r="L248" s="4" t="s">
        <v>2308</v>
      </c>
      <c r="M248" s="4" t="s">
        <v>542</v>
      </c>
      <c r="N248" s="4" t="s">
        <v>542</v>
      </c>
      <c r="O248" s="4" t="s">
        <v>542</v>
      </c>
      <c r="P248" s="4" t="s">
        <v>2308</v>
      </c>
      <c r="Q248" s="4">
        <v>3</v>
      </c>
      <c r="R248" s="4" t="s">
        <v>2308</v>
      </c>
      <c r="S248" s="4" t="s">
        <v>2308</v>
      </c>
      <c r="T248" s="4" t="s">
        <v>2308</v>
      </c>
      <c r="U248" s="4" t="s">
        <v>2308</v>
      </c>
      <c r="V248" s="4" t="s">
        <v>2308</v>
      </c>
      <c r="W248" s="5" t="s">
        <v>1060</v>
      </c>
    </row>
    <row r="249" spans="1:23" ht="67" customHeight="1">
      <c r="A249" s="12" t="s">
        <v>1044</v>
      </c>
      <c r="B249" s="12" t="s">
        <v>1057</v>
      </c>
      <c r="C249" s="24" t="s">
        <v>24</v>
      </c>
      <c r="D249" s="24" t="s">
        <v>136</v>
      </c>
      <c r="E249" s="24" t="s">
        <v>27</v>
      </c>
      <c r="F249" s="20" t="s">
        <v>74</v>
      </c>
      <c r="G249" s="20"/>
      <c r="H249" s="5" t="s">
        <v>549</v>
      </c>
      <c r="I249" s="4" t="s">
        <v>2308</v>
      </c>
      <c r="J249" s="4" t="s">
        <v>2308</v>
      </c>
      <c r="K249" s="4" t="s">
        <v>2308</v>
      </c>
      <c r="L249" s="4" t="s">
        <v>2308</v>
      </c>
      <c r="M249" s="4" t="s">
        <v>542</v>
      </c>
      <c r="N249" s="4" t="s">
        <v>542</v>
      </c>
      <c r="O249" s="4" t="s">
        <v>542</v>
      </c>
      <c r="P249" s="4" t="s">
        <v>2308</v>
      </c>
      <c r="Q249" s="4">
        <v>3</v>
      </c>
      <c r="R249" s="4" t="s">
        <v>2308</v>
      </c>
      <c r="S249" s="4" t="s">
        <v>2308</v>
      </c>
      <c r="T249" s="4" t="s">
        <v>2308</v>
      </c>
      <c r="U249" s="4" t="s">
        <v>2308</v>
      </c>
      <c r="V249" s="4" t="s">
        <v>2308</v>
      </c>
      <c r="W249" s="5" t="s">
        <v>1060</v>
      </c>
    </row>
    <row r="250" spans="1:23" ht="73" customHeight="1">
      <c r="A250" s="4" t="s">
        <v>1061</v>
      </c>
      <c r="B250" s="4" t="s">
        <v>1078</v>
      </c>
      <c r="C250" s="24" t="s">
        <v>24</v>
      </c>
      <c r="D250" s="24" t="s">
        <v>136</v>
      </c>
      <c r="E250" s="24" t="s">
        <v>27</v>
      </c>
      <c r="F250" s="20" t="s">
        <v>167</v>
      </c>
      <c r="G250" s="20"/>
      <c r="H250" s="5" t="s">
        <v>549</v>
      </c>
      <c r="I250" s="4" t="s">
        <v>2723</v>
      </c>
      <c r="J250" s="4" t="s">
        <v>2308</v>
      </c>
      <c r="K250" s="4" t="s">
        <v>542</v>
      </c>
      <c r="L250" s="4" t="s">
        <v>2308</v>
      </c>
      <c r="M250" s="4" t="s">
        <v>2308</v>
      </c>
      <c r="N250" s="4" t="s">
        <v>2308</v>
      </c>
      <c r="O250" s="4" t="s">
        <v>2308</v>
      </c>
      <c r="P250" s="4" t="s">
        <v>2308</v>
      </c>
      <c r="Q250" s="4" t="s">
        <v>2308</v>
      </c>
      <c r="R250" s="4" t="s">
        <v>2308</v>
      </c>
      <c r="S250" s="4" t="s">
        <v>2308</v>
      </c>
      <c r="T250" s="4" t="s">
        <v>2308</v>
      </c>
      <c r="U250" s="4" t="s">
        <v>2308</v>
      </c>
      <c r="V250" s="4" t="s">
        <v>2308</v>
      </c>
      <c r="W250" s="5" t="s">
        <v>1086</v>
      </c>
    </row>
    <row r="251" spans="1:23" ht="95.5" customHeight="1">
      <c r="A251" s="4" t="s">
        <v>1064</v>
      </c>
      <c r="B251" s="4" t="s">
        <v>1079</v>
      </c>
      <c r="C251" s="24" t="s">
        <v>24</v>
      </c>
      <c r="D251" s="24" t="s">
        <v>136</v>
      </c>
      <c r="E251" s="24" t="s">
        <v>27</v>
      </c>
      <c r="F251" s="20" t="s">
        <v>167</v>
      </c>
      <c r="G251" s="20">
        <v>2005</v>
      </c>
      <c r="H251" s="5" t="s">
        <v>549</v>
      </c>
      <c r="I251" s="4" t="s">
        <v>2723</v>
      </c>
      <c r="J251" s="4" t="s">
        <v>542</v>
      </c>
      <c r="K251" s="4" t="s">
        <v>2308</v>
      </c>
      <c r="L251" s="4" t="s">
        <v>2308</v>
      </c>
      <c r="M251" s="4" t="s">
        <v>2308</v>
      </c>
      <c r="N251" s="4" t="s">
        <v>2308</v>
      </c>
      <c r="O251" s="4" t="s">
        <v>2308</v>
      </c>
      <c r="P251" s="4" t="s">
        <v>2308</v>
      </c>
      <c r="Q251" s="4" t="s">
        <v>2308</v>
      </c>
      <c r="R251" s="4" t="s">
        <v>542</v>
      </c>
      <c r="S251" s="4" t="s">
        <v>542</v>
      </c>
      <c r="T251" s="4" t="s">
        <v>542</v>
      </c>
      <c r="U251" s="4" t="s">
        <v>542</v>
      </c>
      <c r="V251" s="4">
        <v>5</v>
      </c>
      <c r="W251" s="5" t="s">
        <v>1087</v>
      </c>
    </row>
    <row r="252" spans="1:23" ht="95.5" customHeight="1">
      <c r="A252" s="4" t="s">
        <v>1064</v>
      </c>
      <c r="B252" s="4" t="s">
        <v>2279</v>
      </c>
      <c r="C252" s="24" t="s">
        <v>24</v>
      </c>
      <c r="D252" s="24" t="s">
        <v>136</v>
      </c>
      <c r="E252" s="24" t="s">
        <v>27</v>
      </c>
      <c r="F252" s="20" t="s">
        <v>167</v>
      </c>
      <c r="G252" s="20">
        <v>1990</v>
      </c>
      <c r="H252" s="5" t="s">
        <v>549</v>
      </c>
      <c r="I252" s="4" t="s">
        <v>2308</v>
      </c>
      <c r="J252" s="4" t="s">
        <v>2308</v>
      </c>
      <c r="K252" s="4" t="s">
        <v>2308</v>
      </c>
      <c r="L252" s="4" t="s">
        <v>2308</v>
      </c>
      <c r="M252" s="4" t="s">
        <v>542</v>
      </c>
      <c r="N252" s="4" t="s">
        <v>542</v>
      </c>
      <c r="O252" s="4" t="s">
        <v>542</v>
      </c>
      <c r="P252" s="4" t="s">
        <v>2308</v>
      </c>
      <c r="Q252" s="4" t="s">
        <v>2308</v>
      </c>
      <c r="R252" s="4" t="s">
        <v>2308</v>
      </c>
      <c r="S252" s="4" t="s">
        <v>2308</v>
      </c>
      <c r="T252" s="4" t="s">
        <v>2308</v>
      </c>
      <c r="U252" s="4" t="s">
        <v>2308</v>
      </c>
      <c r="V252" s="4" t="s">
        <v>2308</v>
      </c>
      <c r="W252" s="5" t="s">
        <v>2280</v>
      </c>
    </row>
    <row r="253" spans="1:23" ht="95.5" customHeight="1">
      <c r="A253" s="4" t="s">
        <v>1064</v>
      </c>
      <c r="B253" s="4" t="s">
        <v>2281</v>
      </c>
      <c r="C253" s="24" t="s">
        <v>24</v>
      </c>
      <c r="D253" s="24" t="s">
        <v>136</v>
      </c>
      <c r="E253" s="24" t="s">
        <v>27</v>
      </c>
      <c r="F253" s="20" t="s">
        <v>167</v>
      </c>
      <c r="G253" s="20">
        <v>1991</v>
      </c>
      <c r="H253" s="5" t="s">
        <v>549</v>
      </c>
      <c r="I253" s="4" t="s">
        <v>2308</v>
      </c>
      <c r="J253" s="4" t="s">
        <v>2308</v>
      </c>
      <c r="K253" s="4" t="s">
        <v>2308</v>
      </c>
      <c r="L253" s="4" t="s">
        <v>2308</v>
      </c>
      <c r="M253" s="4" t="s">
        <v>542</v>
      </c>
      <c r="N253" s="4" t="s">
        <v>542</v>
      </c>
      <c r="O253" s="4" t="s">
        <v>542</v>
      </c>
      <c r="P253" s="4" t="s">
        <v>2308</v>
      </c>
      <c r="Q253" s="4" t="s">
        <v>2308</v>
      </c>
      <c r="R253" s="4" t="s">
        <v>2308</v>
      </c>
      <c r="S253" s="4" t="s">
        <v>2308</v>
      </c>
      <c r="T253" s="4" t="s">
        <v>2308</v>
      </c>
      <c r="U253" s="4" t="s">
        <v>2308</v>
      </c>
      <c r="V253" s="4" t="s">
        <v>2308</v>
      </c>
      <c r="W253" s="5" t="s">
        <v>2280</v>
      </c>
    </row>
    <row r="254" spans="1:23" ht="95.5" customHeight="1">
      <c r="A254" s="4" t="s">
        <v>1064</v>
      </c>
      <c r="B254" s="4" t="s">
        <v>2282</v>
      </c>
      <c r="C254" s="24" t="s">
        <v>24</v>
      </c>
      <c r="D254" s="24" t="s">
        <v>136</v>
      </c>
      <c r="E254" s="24" t="s">
        <v>27</v>
      </c>
      <c r="F254" s="20" t="s">
        <v>167</v>
      </c>
      <c r="G254" s="20">
        <v>1992</v>
      </c>
      <c r="H254" s="5" t="s">
        <v>549</v>
      </c>
      <c r="I254" s="4" t="s">
        <v>2308</v>
      </c>
      <c r="J254" s="4" t="s">
        <v>2308</v>
      </c>
      <c r="K254" s="4" t="s">
        <v>2308</v>
      </c>
      <c r="L254" s="4" t="s">
        <v>2308</v>
      </c>
      <c r="M254" s="4" t="s">
        <v>542</v>
      </c>
      <c r="N254" s="4" t="s">
        <v>542</v>
      </c>
      <c r="O254" s="4" t="s">
        <v>542</v>
      </c>
      <c r="P254" s="4" t="s">
        <v>2308</v>
      </c>
      <c r="Q254" s="4" t="s">
        <v>2308</v>
      </c>
      <c r="R254" s="4" t="s">
        <v>2308</v>
      </c>
      <c r="S254" s="4" t="s">
        <v>2308</v>
      </c>
      <c r="T254" s="4" t="s">
        <v>2308</v>
      </c>
      <c r="U254" s="4" t="s">
        <v>2308</v>
      </c>
      <c r="V254" s="4" t="s">
        <v>2308</v>
      </c>
      <c r="W254" s="5" t="s">
        <v>2280</v>
      </c>
    </row>
    <row r="255" spans="1:23" ht="95.5" customHeight="1">
      <c r="A255" s="4" t="s">
        <v>1064</v>
      </c>
      <c r="B255" s="4" t="s">
        <v>2283</v>
      </c>
      <c r="C255" s="24" t="s">
        <v>24</v>
      </c>
      <c r="D255" s="24" t="s">
        <v>136</v>
      </c>
      <c r="E255" s="24" t="s">
        <v>27</v>
      </c>
      <c r="F255" s="20" t="s">
        <v>167</v>
      </c>
      <c r="G255" s="20">
        <v>1993</v>
      </c>
      <c r="H255" s="5" t="s">
        <v>549</v>
      </c>
      <c r="I255" s="4" t="s">
        <v>2308</v>
      </c>
      <c r="J255" s="4" t="s">
        <v>2308</v>
      </c>
      <c r="K255" s="4" t="s">
        <v>2308</v>
      </c>
      <c r="L255" s="4" t="s">
        <v>2308</v>
      </c>
      <c r="M255" s="4" t="s">
        <v>542</v>
      </c>
      <c r="N255" s="4" t="s">
        <v>542</v>
      </c>
      <c r="O255" s="4" t="s">
        <v>542</v>
      </c>
      <c r="P255" s="4" t="s">
        <v>2308</v>
      </c>
      <c r="Q255" s="4" t="s">
        <v>2308</v>
      </c>
      <c r="R255" s="4" t="s">
        <v>2308</v>
      </c>
      <c r="S255" s="4" t="s">
        <v>2308</v>
      </c>
      <c r="T255" s="4" t="s">
        <v>2308</v>
      </c>
      <c r="U255" s="4" t="s">
        <v>2308</v>
      </c>
      <c r="V255" s="4" t="s">
        <v>2308</v>
      </c>
      <c r="W255" s="5" t="s">
        <v>2280</v>
      </c>
    </row>
    <row r="256" spans="1:23" ht="95.5" customHeight="1">
      <c r="A256" s="4" t="s">
        <v>1064</v>
      </c>
      <c r="B256" s="4" t="s">
        <v>2284</v>
      </c>
      <c r="C256" s="24" t="s">
        <v>24</v>
      </c>
      <c r="D256" s="24" t="s">
        <v>136</v>
      </c>
      <c r="E256" s="24" t="s">
        <v>27</v>
      </c>
      <c r="F256" s="20" t="s">
        <v>167</v>
      </c>
      <c r="G256" s="20">
        <v>1994</v>
      </c>
      <c r="H256" s="5" t="s">
        <v>549</v>
      </c>
      <c r="I256" s="4" t="s">
        <v>2308</v>
      </c>
      <c r="J256" s="4" t="s">
        <v>2308</v>
      </c>
      <c r="K256" s="4" t="s">
        <v>2308</v>
      </c>
      <c r="L256" s="4" t="s">
        <v>2308</v>
      </c>
      <c r="M256" s="4" t="s">
        <v>542</v>
      </c>
      <c r="N256" s="4" t="s">
        <v>542</v>
      </c>
      <c r="O256" s="4" t="s">
        <v>542</v>
      </c>
      <c r="P256" s="4" t="s">
        <v>2308</v>
      </c>
      <c r="Q256" s="4" t="s">
        <v>2308</v>
      </c>
      <c r="R256" s="4" t="s">
        <v>2308</v>
      </c>
      <c r="S256" s="4" t="s">
        <v>2308</v>
      </c>
      <c r="T256" s="4" t="s">
        <v>2308</v>
      </c>
      <c r="U256" s="4" t="s">
        <v>2308</v>
      </c>
      <c r="V256" s="4" t="s">
        <v>2308</v>
      </c>
      <c r="W256" s="5" t="s">
        <v>2280</v>
      </c>
    </row>
    <row r="257" spans="1:23" ht="95.5" customHeight="1">
      <c r="A257" s="4" t="s">
        <v>1064</v>
      </c>
      <c r="B257" s="4" t="s">
        <v>2285</v>
      </c>
      <c r="C257" s="24" t="s">
        <v>24</v>
      </c>
      <c r="D257" s="24" t="s">
        <v>136</v>
      </c>
      <c r="E257" s="24" t="s">
        <v>27</v>
      </c>
      <c r="F257" s="20" t="s">
        <v>167</v>
      </c>
      <c r="G257" s="20">
        <v>1995</v>
      </c>
      <c r="H257" s="5" t="s">
        <v>549</v>
      </c>
      <c r="I257" s="4" t="s">
        <v>2308</v>
      </c>
      <c r="J257" s="4" t="s">
        <v>2308</v>
      </c>
      <c r="K257" s="4" t="s">
        <v>2308</v>
      </c>
      <c r="L257" s="4" t="s">
        <v>2308</v>
      </c>
      <c r="M257" s="4" t="s">
        <v>542</v>
      </c>
      <c r="N257" s="4" t="s">
        <v>542</v>
      </c>
      <c r="O257" s="4" t="s">
        <v>542</v>
      </c>
      <c r="P257" s="4" t="s">
        <v>2308</v>
      </c>
      <c r="Q257" s="4" t="s">
        <v>2308</v>
      </c>
      <c r="R257" s="4" t="s">
        <v>2308</v>
      </c>
      <c r="S257" s="4" t="s">
        <v>2308</v>
      </c>
      <c r="T257" s="4" t="s">
        <v>2308</v>
      </c>
      <c r="U257" s="4" t="s">
        <v>2308</v>
      </c>
      <c r="V257" s="4" t="s">
        <v>2308</v>
      </c>
      <c r="W257" s="5" t="s">
        <v>2280</v>
      </c>
    </row>
    <row r="258" spans="1:23" ht="95.5" customHeight="1">
      <c r="A258" s="4" t="s">
        <v>1064</v>
      </c>
      <c r="B258" s="4" t="s">
        <v>2286</v>
      </c>
      <c r="C258" s="24" t="s">
        <v>24</v>
      </c>
      <c r="D258" s="24" t="s">
        <v>136</v>
      </c>
      <c r="E258" s="24" t="s">
        <v>27</v>
      </c>
      <c r="F258" s="20" t="s">
        <v>167</v>
      </c>
      <c r="G258" s="20">
        <v>1996</v>
      </c>
      <c r="H258" s="5" t="s">
        <v>549</v>
      </c>
      <c r="I258" s="4" t="s">
        <v>2308</v>
      </c>
      <c r="J258" s="4" t="s">
        <v>2308</v>
      </c>
      <c r="K258" s="4" t="s">
        <v>2308</v>
      </c>
      <c r="L258" s="4" t="s">
        <v>2308</v>
      </c>
      <c r="M258" s="4" t="s">
        <v>542</v>
      </c>
      <c r="N258" s="4" t="s">
        <v>542</v>
      </c>
      <c r="O258" s="4" t="s">
        <v>542</v>
      </c>
      <c r="P258" s="4" t="s">
        <v>2308</v>
      </c>
      <c r="Q258" s="4" t="s">
        <v>2308</v>
      </c>
      <c r="R258" s="4" t="s">
        <v>2308</v>
      </c>
      <c r="S258" s="4" t="s">
        <v>2308</v>
      </c>
      <c r="T258" s="4" t="s">
        <v>2308</v>
      </c>
      <c r="U258" s="4" t="s">
        <v>2308</v>
      </c>
      <c r="V258" s="4" t="s">
        <v>2308</v>
      </c>
      <c r="W258" s="5" t="s">
        <v>2280</v>
      </c>
    </row>
    <row r="259" spans="1:23" ht="95.5" customHeight="1">
      <c r="A259" s="4" t="s">
        <v>1064</v>
      </c>
      <c r="B259" s="4" t="s">
        <v>2287</v>
      </c>
      <c r="C259" s="24" t="s">
        <v>24</v>
      </c>
      <c r="D259" s="24" t="s">
        <v>136</v>
      </c>
      <c r="E259" s="24" t="s">
        <v>27</v>
      </c>
      <c r="F259" s="20" t="s">
        <v>167</v>
      </c>
      <c r="G259" s="20">
        <v>1997</v>
      </c>
      <c r="H259" s="5" t="s">
        <v>549</v>
      </c>
      <c r="I259" s="4" t="s">
        <v>2308</v>
      </c>
      <c r="J259" s="4" t="s">
        <v>2308</v>
      </c>
      <c r="K259" s="4" t="s">
        <v>2308</v>
      </c>
      <c r="L259" s="4" t="s">
        <v>2308</v>
      </c>
      <c r="M259" s="4" t="s">
        <v>542</v>
      </c>
      <c r="N259" s="4" t="s">
        <v>542</v>
      </c>
      <c r="O259" s="4" t="s">
        <v>542</v>
      </c>
      <c r="P259" s="4" t="s">
        <v>2308</v>
      </c>
      <c r="Q259" s="4" t="s">
        <v>2308</v>
      </c>
      <c r="R259" s="4" t="s">
        <v>2308</v>
      </c>
      <c r="S259" s="4" t="s">
        <v>2308</v>
      </c>
      <c r="T259" s="4" t="s">
        <v>2308</v>
      </c>
      <c r="U259" s="4" t="s">
        <v>2308</v>
      </c>
      <c r="V259" s="4" t="s">
        <v>2308</v>
      </c>
      <c r="W259" s="5" t="s">
        <v>2280</v>
      </c>
    </row>
    <row r="260" spans="1:23" ht="95.5" customHeight="1">
      <c r="A260" s="4" t="s">
        <v>1064</v>
      </c>
      <c r="B260" s="4" t="s">
        <v>2288</v>
      </c>
      <c r="C260" s="24" t="s">
        <v>24</v>
      </c>
      <c r="D260" s="24" t="s">
        <v>136</v>
      </c>
      <c r="E260" s="24" t="s">
        <v>27</v>
      </c>
      <c r="F260" s="20" t="s">
        <v>167</v>
      </c>
      <c r="G260" s="20">
        <v>1998</v>
      </c>
      <c r="H260" s="5" t="s">
        <v>549</v>
      </c>
      <c r="I260" s="4" t="s">
        <v>2308</v>
      </c>
      <c r="J260" s="4" t="s">
        <v>2308</v>
      </c>
      <c r="K260" s="4" t="s">
        <v>2308</v>
      </c>
      <c r="L260" s="4" t="s">
        <v>2308</v>
      </c>
      <c r="M260" s="4" t="s">
        <v>542</v>
      </c>
      <c r="N260" s="4" t="s">
        <v>542</v>
      </c>
      <c r="O260" s="4" t="s">
        <v>542</v>
      </c>
      <c r="P260" s="4" t="s">
        <v>2308</v>
      </c>
      <c r="Q260" s="4" t="s">
        <v>2308</v>
      </c>
      <c r="R260" s="4" t="s">
        <v>2308</v>
      </c>
      <c r="S260" s="4" t="s">
        <v>2308</v>
      </c>
      <c r="T260" s="4" t="s">
        <v>2308</v>
      </c>
      <c r="U260" s="4" t="s">
        <v>2308</v>
      </c>
      <c r="V260" s="4" t="s">
        <v>2308</v>
      </c>
      <c r="W260" s="5" t="s">
        <v>2280</v>
      </c>
    </row>
    <row r="261" spans="1:23" ht="95.5" customHeight="1">
      <c r="A261" s="4" t="s">
        <v>1064</v>
      </c>
      <c r="B261" s="4" t="s">
        <v>2289</v>
      </c>
      <c r="C261" s="24" t="s">
        <v>24</v>
      </c>
      <c r="D261" s="24" t="s">
        <v>136</v>
      </c>
      <c r="E261" s="24" t="s">
        <v>27</v>
      </c>
      <c r="F261" s="20" t="s">
        <v>167</v>
      </c>
      <c r="G261" s="20">
        <v>1999</v>
      </c>
      <c r="H261" s="5" t="s">
        <v>549</v>
      </c>
      <c r="I261" s="4" t="s">
        <v>2308</v>
      </c>
      <c r="J261" s="4" t="s">
        <v>2308</v>
      </c>
      <c r="K261" s="4" t="s">
        <v>2308</v>
      </c>
      <c r="L261" s="4" t="s">
        <v>2308</v>
      </c>
      <c r="M261" s="4" t="s">
        <v>542</v>
      </c>
      <c r="N261" s="4" t="s">
        <v>542</v>
      </c>
      <c r="O261" s="4" t="s">
        <v>542</v>
      </c>
      <c r="P261" s="4" t="s">
        <v>2308</v>
      </c>
      <c r="Q261" s="4" t="s">
        <v>2308</v>
      </c>
      <c r="R261" s="4" t="s">
        <v>2308</v>
      </c>
      <c r="S261" s="4" t="s">
        <v>2308</v>
      </c>
      <c r="T261" s="4" t="s">
        <v>2308</v>
      </c>
      <c r="U261" s="4" t="s">
        <v>2308</v>
      </c>
      <c r="V261" s="4" t="s">
        <v>2308</v>
      </c>
      <c r="W261" s="5" t="s">
        <v>2280</v>
      </c>
    </row>
    <row r="262" spans="1:23" ht="152.5" customHeight="1">
      <c r="A262" s="4" t="s">
        <v>1065</v>
      </c>
      <c r="B262" s="4" t="s">
        <v>1080</v>
      </c>
      <c r="C262" s="24" t="s">
        <v>24</v>
      </c>
      <c r="D262" s="24" t="s">
        <v>136</v>
      </c>
      <c r="E262" s="24" t="s">
        <v>27</v>
      </c>
      <c r="F262" s="20" t="s">
        <v>167</v>
      </c>
      <c r="G262" s="20"/>
      <c r="H262" s="5" t="s">
        <v>549</v>
      </c>
      <c r="I262" s="4" t="s">
        <v>2308</v>
      </c>
      <c r="J262" s="4" t="s">
        <v>2308</v>
      </c>
      <c r="K262" s="4" t="s">
        <v>2308</v>
      </c>
      <c r="L262" s="4" t="s">
        <v>2308</v>
      </c>
      <c r="M262" s="4" t="s">
        <v>2308</v>
      </c>
      <c r="N262" s="4" t="s">
        <v>2308</v>
      </c>
      <c r="O262" s="4" t="s">
        <v>2308</v>
      </c>
      <c r="P262" s="4" t="s">
        <v>2308</v>
      </c>
      <c r="Q262" s="4" t="s">
        <v>2308</v>
      </c>
      <c r="R262" s="4" t="s">
        <v>542</v>
      </c>
      <c r="S262" s="4" t="s">
        <v>542</v>
      </c>
      <c r="T262" s="4" t="s">
        <v>542</v>
      </c>
      <c r="U262" s="4" t="s">
        <v>2308</v>
      </c>
      <c r="V262" s="4">
        <v>1</v>
      </c>
      <c r="W262" s="5" t="s">
        <v>1088</v>
      </c>
    </row>
    <row r="263" spans="1:23" ht="112.5" customHeight="1">
      <c r="A263" s="4" t="s">
        <v>1066</v>
      </c>
      <c r="B263" s="4" t="s">
        <v>1081</v>
      </c>
      <c r="C263" s="24" t="s">
        <v>24</v>
      </c>
      <c r="D263" s="24" t="s">
        <v>136</v>
      </c>
      <c r="E263" s="24" t="s">
        <v>27</v>
      </c>
      <c r="F263" s="20" t="s">
        <v>167</v>
      </c>
      <c r="G263" s="20"/>
      <c r="H263" s="5" t="s">
        <v>1089</v>
      </c>
      <c r="I263" s="4" t="s">
        <v>542</v>
      </c>
      <c r="J263" s="4" t="s">
        <v>542</v>
      </c>
      <c r="K263" s="4" t="s">
        <v>2308</v>
      </c>
      <c r="L263" s="4" t="s">
        <v>2308</v>
      </c>
      <c r="M263" s="4" t="s">
        <v>2308</v>
      </c>
      <c r="N263" s="4" t="s">
        <v>2308</v>
      </c>
      <c r="O263" s="4" t="s">
        <v>2308</v>
      </c>
      <c r="P263" s="4" t="s">
        <v>2308</v>
      </c>
      <c r="Q263" s="4" t="s">
        <v>2308</v>
      </c>
      <c r="R263" s="4" t="s">
        <v>2308</v>
      </c>
      <c r="S263" s="4" t="s">
        <v>2308</v>
      </c>
      <c r="T263" s="4" t="s">
        <v>2308</v>
      </c>
      <c r="U263" s="4" t="s">
        <v>2308</v>
      </c>
      <c r="V263" s="4" t="s">
        <v>2308</v>
      </c>
      <c r="W263" s="5" t="s">
        <v>1090</v>
      </c>
    </row>
    <row r="264" spans="1:23" ht="126" customHeight="1">
      <c r="A264" s="4" t="s">
        <v>1067</v>
      </c>
      <c r="B264" s="4" t="s">
        <v>1082</v>
      </c>
      <c r="C264" s="24" t="s">
        <v>24</v>
      </c>
      <c r="D264" s="24" t="s">
        <v>136</v>
      </c>
      <c r="E264" s="24" t="s">
        <v>27</v>
      </c>
      <c r="F264" s="20" t="s">
        <v>167</v>
      </c>
      <c r="G264" s="20">
        <v>1990</v>
      </c>
      <c r="H264" s="5" t="s">
        <v>1089</v>
      </c>
      <c r="I264" s="4" t="s">
        <v>542</v>
      </c>
      <c r="J264" s="4" t="s">
        <v>542</v>
      </c>
      <c r="K264" s="4" t="s">
        <v>2308</v>
      </c>
      <c r="L264" s="4" t="s">
        <v>2308</v>
      </c>
      <c r="M264" s="4" t="s">
        <v>2308</v>
      </c>
      <c r="N264" s="4" t="s">
        <v>2308</v>
      </c>
      <c r="O264" s="4" t="s">
        <v>2308</v>
      </c>
      <c r="P264" s="4" t="s">
        <v>2308</v>
      </c>
      <c r="Q264" s="4" t="s">
        <v>2308</v>
      </c>
      <c r="R264" s="4" t="s">
        <v>2308</v>
      </c>
      <c r="S264" s="4" t="s">
        <v>2308</v>
      </c>
      <c r="T264" s="4" t="s">
        <v>2308</v>
      </c>
      <c r="U264" s="4" t="s">
        <v>2308</v>
      </c>
      <c r="V264" s="4" t="s">
        <v>2308</v>
      </c>
      <c r="W264" s="5" t="s">
        <v>2291</v>
      </c>
    </row>
    <row r="265" spans="1:23" ht="126" customHeight="1">
      <c r="A265" s="4" t="s">
        <v>1067</v>
      </c>
      <c r="B265" s="4" t="s">
        <v>1084</v>
      </c>
      <c r="C265" s="24" t="s">
        <v>24</v>
      </c>
      <c r="D265" s="24" t="s">
        <v>136</v>
      </c>
      <c r="E265" s="24" t="s">
        <v>27</v>
      </c>
      <c r="F265" s="20" t="s">
        <v>167</v>
      </c>
      <c r="G265" s="20">
        <v>2004</v>
      </c>
      <c r="H265" s="5" t="s">
        <v>1089</v>
      </c>
      <c r="I265" s="4" t="s">
        <v>545</v>
      </c>
      <c r="J265" s="4" t="s">
        <v>545</v>
      </c>
      <c r="K265" s="4" t="s">
        <v>2308</v>
      </c>
      <c r="L265" s="4" t="s">
        <v>2308</v>
      </c>
      <c r="M265" s="4" t="s">
        <v>2308</v>
      </c>
      <c r="N265" s="4" t="s">
        <v>2308</v>
      </c>
      <c r="O265" s="4" t="s">
        <v>2308</v>
      </c>
      <c r="P265" s="4" t="s">
        <v>2308</v>
      </c>
      <c r="Q265" s="4" t="s">
        <v>2308</v>
      </c>
      <c r="R265" s="4" t="s">
        <v>2308</v>
      </c>
      <c r="S265" s="4" t="s">
        <v>2308</v>
      </c>
      <c r="T265" s="4" t="s">
        <v>2308</v>
      </c>
      <c r="U265" s="4" t="s">
        <v>2308</v>
      </c>
      <c r="V265" s="4" t="s">
        <v>2308</v>
      </c>
      <c r="W265" s="5" t="s">
        <v>2292</v>
      </c>
    </row>
    <row r="266" spans="1:23" ht="74.5" customHeight="1">
      <c r="A266" s="4" t="s">
        <v>1067</v>
      </c>
      <c r="B266" s="4" t="s">
        <v>1084</v>
      </c>
      <c r="C266" s="24" t="s">
        <v>24</v>
      </c>
      <c r="D266" s="24" t="s">
        <v>136</v>
      </c>
      <c r="E266" s="24" t="s">
        <v>27</v>
      </c>
      <c r="F266" s="24" t="s">
        <v>74</v>
      </c>
      <c r="G266" s="24"/>
      <c r="H266" s="5" t="s">
        <v>549</v>
      </c>
      <c r="I266" s="4" t="s">
        <v>2308</v>
      </c>
      <c r="J266" s="4" t="s">
        <v>2308</v>
      </c>
      <c r="K266" s="4" t="s">
        <v>2308</v>
      </c>
      <c r="L266" s="4" t="s">
        <v>2308</v>
      </c>
      <c r="M266" s="4" t="s">
        <v>542</v>
      </c>
      <c r="N266" s="4" t="s">
        <v>542</v>
      </c>
      <c r="O266" s="4" t="s">
        <v>2308</v>
      </c>
      <c r="P266" s="4" t="s">
        <v>2308</v>
      </c>
      <c r="Q266" s="4">
        <v>2</v>
      </c>
      <c r="R266" s="4" t="s">
        <v>2308</v>
      </c>
      <c r="S266" s="4" t="s">
        <v>2308</v>
      </c>
      <c r="T266" s="4" t="s">
        <v>2308</v>
      </c>
      <c r="U266" s="4" t="s">
        <v>2308</v>
      </c>
      <c r="V266" s="4" t="s">
        <v>2308</v>
      </c>
      <c r="W266" s="5" t="s">
        <v>1085</v>
      </c>
    </row>
    <row r="267" spans="1:23" ht="265" customHeight="1">
      <c r="A267" s="12" t="s">
        <v>1074</v>
      </c>
      <c r="B267" s="4" t="s">
        <v>1083</v>
      </c>
      <c r="C267" s="24" t="s">
        <v>24</v>
      </c>
      <c r="D267" s="27" t="s">
        <v>403</v>
      </c>
      <c r="E267" s="24" t="s">
        <v>149</v>
      </c>
      <c r="F267" s="24" t="s">
        <v>74</v>
      </c>
      <c r="G267" s="24"/>
      <c r="H267" s="5" t="s">
        <v>549</v>
      </c>
      <c r="I267" s="4" t="s">
        <v>2724</v>
      </c>
      <c r="J267" s="4" t="s">
        <v>542</v>
      </c>
      <c r="K267" s="4" t="s">
        <v>2308</v>
      </c>
      <c r="L267" s="4" t="s">
        <v>2308</v>
      </c>
      <c r="M267" s="4" t="s">
        <v>2308</v>
      </c>
      <c r="N267" s="4" t="s">
        <v>2308</v>
      </c>
      <c r="O267" s="4" t="s">
        <v>2308</v>
      </c>
      <c r="P267" s="4" t="s">
        <v>2308</v>
      </c>
      <c r="Q267" s="4" t="s">
        <v>2308</v>
      </c>
      <c r="R267" s="4" t="s">
        <v>2308</v>
      </c>
      <c r="S267" s="4" t="s">
        <v>2308</v>
      </c>
      <c r="T267" s="4" t="s">
        <v>2308</v>
      </c>
      <c r="U267" s="4" t="s">
        <v>2308</v>
      </c>
      <c r="V267" s="4" t="s">
        <v>2308</v>
      </c>
      <c r="W267" s="5" t="s">
        <v>2321</v>
      </c>
    </row>
    <row r="268" spans="1:23" ht="247.5" customHeight="1">
      <c r="A268" s="12" t="s">
        <v>1074</v>
      </c>
      <c r="B268" s="4" t="s">
        <v>5068</v>
      </c>
      <c r="C268" s="24" t="s">
        <v>24</v>
      </c>
      <c r="D268" s="27" t="s">
        <v>2680</v>
      </c>
      <c r="E268" s="24" t="s">
        <v>149</v>
      </c>
      <c r="F268" s="24" t="s">
        <v>74</v>
      </c>
      <c r="G268" s="24"/>
      <c r="H268" s="5" t="s">
        <v>549</v>
      </c>
      <c r="I268" s="4" t="s">
        <v>2724</v>
      </c>
      <c r="J268" s="4" t="s">
        <v>542</v>
      </c>
      <c r="K268" s="4" t="s">
        <v>2308</v>
      </c>
      <c r="L268" s="4" t="s">
        <v>2308</v>
      </c>
      <c r="M268" s="4" t="s">
        <v>2308</v>
      </c>
      <c r="N268" s="4" t="s">
        <v>2308</v>
      </c>
      <c r="O268" s="4" t="s">
        <v>2308</v>
      </c>
      <c r="P268" s="4" t="s">
        <v>2308</v>
      </c>
      <c r="Q268" s="4" t="s">
        <v>2308</v>
      </c>
      <c r="R268" s="4" t="s">
        <v>2308</v>
      </c>
      <c r="S268" s="4" t="s">
        <v>2308</v>
      </c>
      <c r="T268" s="4" t="s">
        <v>2308</v>
      </c>
      <c r="U268" s="4" t="s">
        <v>2308</v>
      </c>
      <c r="V268" s="4" t="s">
        <v>2308</v>
      </c>
      <c r="W268" s="5" t="s">
        <v>2321</v>
      </c>
    </row>
    <row r="269" spans="1:23" ht="53.5" customHeight="1">
      <c r="A269" s="12" t="s">
        <v>1091</v>
      </c>
      <c r="B269" s="12" t="s">
        <v>1096</v>
      </c>
      <c r="C269" s="24" t="s">
        <v>24</v>
      </c>
      <c r="D269" s="100" t="s">
        <v>1125</v>
      </c>
      <c r="E269" s="24" t="s">
        <v>27</v>
      </c>
      <c r="F269" s="24" t="s">
        <v>74</v>
      </c>
      <c r="G269" s="24"/>
      <c r="H269" s="5" t="s">
        <v>549</v>
      </c>
      <c r="I269" s="4" t="s">
        <v>2723</v>
      </c>
      <c r="J269" s="4" t="s">
        <v>2308</v>
      </c>
      <c r="K269" s="4" t="s">
        <v>542</v>
      </c>
      <c r="L269" s="4" t="s">
        <v>2308</v>
      </c>
      <c r="M269" s="4" t="s">
        <v>2308</v>
      </c>
      <c r="N269" s="4" t="s">
        <v>2308</v>
      </c>
      <c r="O269" s="4" t="s">
        <v>2308</v>
      </c>
      <c r="P269" s="4" t="s">
        <v>2308</v>
      </c>
      <c r="Q269" s="4" t="s">
        <v>2308</v>
      </c>
      <c r="R269" s="4" t="s">
        <v>542</v>
      </c>
      <c r="S269" s="4" t="s">
        <v>2308</v>
      </c>
      <c r="T269" s="4" t="s">
        <v>542</v>
      </c>
      <c r="U269" s="4" t="s">
        <v>542</v>
      </c>
      <c r="V269" s="4">
        <v>4</v>
      </c>
      <c r="W269" s="5" t="s">
        <v>1243</v>
      </c>
    </row>
    <row r="270" spans="1:23" ht="50" customHeight="1">
      <c r="A270" s="12" t="s">
        <v>1091</v>
      </c>
      <c r="B270" s="12" t="s">
        <v>1098</v>
      </c>
      <c r="C270" s="24" t="s">
        <v>24</v>
      </c>
      <c r="D270" s="100" t="s">
        <v>136</v>
      </c>
      <c r="E270" s="24" t="s">
        <v>27</v>
      </c>
      <c r="F270" s="24" t="s">
        <v>167</v>
      </c>
      <c r="G270" s="24"/>
      <c r="H270" s="5" t="s">
        <v>549</v>
      </c>
      <c r="I270" s="4" t="s">
        <v>2723</v>
      </c>
      <c r="J270" s="4" t="s">
        <v>542</v>
      </c>
      <c r="K270" s="4" t="s">
        <v>542</v>
      </c>
      <c r="L270" s="4" t="s">
        <v>2308</v>
      </c>
      <c r="M270" s="4" t="s">
        <v>2308</v>
      </c>
      <c r="N270" s="4" t="s">
        <v>2308</v>
      </c>
      <c r="O270" s="4" t="s">
        <v>2308</v>
      </c>
      <c r="P270" s="4" t="s">
        <v>2308</v>
      </c>
      <c r="Q270" s="4" t="s">
        <v>2308</v>
      </c>
      <c r="R270" s="4" t="s">
        <v>542</v>
      </c>
      <c r="S270" s="4" t="s">
        <v>2308</v>
      </c>
      <c r="T270" s="4" t="s">
        <v>542</v>
      </c>
      <c r="U270" s="4" t="s">
        <v>542</v>
      </c>
      <c r="V270" s="4">
        <v>4</v>
      </c>
      <c r="W270" s="5" t="s">
        <v>2323</v>
      </c>
    </row>
    <row r="271" spans="1:23" ht="56.5" customHeight="1">
      <c r="A271" s="12" t="s">
        <v>1091</v>
      </c>
      <c r="B271" s="12" t="s">
        <v>1100</v>
      </c>
      <c r="C271" s="24" t="s">
        <v>24</v>
      </c>
      <c r="D271" s="100" t="s">
        <v>1125</v>
      </c>
      <c r="E271" s="24" t="s">
        <v>149</v>
      </c>
      <c r="F271" s="24" t="s">
        <v>74</v>
      </c>
      <c r="G271" s="24"/>
      <c r="H271" s="5" t="s">
        <v>549</v>
      </c>
      <c r="I271" s="4" t="s">
        <v>2723</v>
      </c>
      <c r="J271" s="4" t="s">
        <v>2308</v>
      </c>
      <c r="K271" s="4" t="s">
        <v>542</v>
      </c>
      <c r="L271" s="4" t="s">
        <v>2308</v>
      </c>
      <c r="M271" s="4" t="s">
        <v>2308</v>
      </c>
      <c r="N271" s="4" t="s">
        <v>2308</v>
      </c>
      <c r="O271" s="4" t="s">
        <v>2308</v>
      </c>
      <c r="P271" s="4" t="s">
        <v>2308</v>
      </c>
      <c r="Q271" s="4" t="s">
        <v>2308</v>
      </c>
      <c r="R271" s="4" t="s">
        <v>542</v>
      </c>
      <c r="S271" s="4" t="s">
        <v>2308</v>
      </c>
      <c r="T271" s="4" t="s">
        <v>542</v>
      </c>
      <c r="U271" s="4" t="s">
        <v>542</v>
      </c>
      <c r="V271" s="4">
        <v>4</v>
      </c>
      <c r="W271" s="5" t="s">
        <v>1243</v>
      </c>
    </row>
    <row r="272" spans="1:23" ht="53.5" customHeight="1">
      <c r="A272" s="12" t="s">
        <v>1095</v>
      </c>
      <c r="B272" s="12" t="s">
        <v>1097</v>
      </c>
      <c r="C272" s="24" t="s">
        <v>24</v>
      </c>
      <c r="D272" s="100" t="s">
        <v>136</v>
      </c>
      <c r="E272" s="24" t="s">
        <v>27</v>
      </c>
      <c r="F272" s="24" t="s">
        <v>167</v>
      </c>
      <c r="G272" s="24"/>
      <c r="H272" s="5" t="s">
        <v>549</v>
      </c>
      <c r="I272" s="4" t="s">
        <v>2723</v>
      </c>
      <c r="J272" s="4" t="s">
        <v>542</v>
      </c>
      <c r="K272" s="4" t="s">
        <v>2308</v>
      </c>
      <c r="L272" s="4" t="s">
        <v>2308</v>
      </c>
      <c r="M272" s="4" t="s">
        <v>2308</v>
      </c>
      <c r="N272" s="4" t="s">
        <v>2308</v>
      </c>
      <c r="O272" s="4" t="s">
        <v>2308</v>
      </c>
      <c r="P272" s="4" t="s">
        <v>2308</v>
      </c>
      <c r="Q272" s="4" t="s">
        <v>2308</v>
      </c>
      <c r="R272" s="4" t="s">
        <v>2308</v>
      </c>
      <c r="S272" s="4" t="s">
        <v>2308</v>
      </c>
      <c r="T272" s="4" t="s">
        <v>2308</v>
      </c>
      <c r="U272" s="4" t="s">
        <v>2308</v>
      </c>
      <c r="V272" s="4" t="s">
        <v>2308</v>
      </c>
      <c r="W272" s="5" t="s">
        <v>2323</v>
      </c>
    </row>
    <row r="273" spans="1:23" ht="39.5" customHeight="1">
      <c r="A273" s="12" t="s">
        <v>1105</v>
      </c>
      <c r="B273" s="12" t="s">
        <v>1107</v>
      </c>
      <c r="C273" s="24" t="s">
        <v>24</v>
      </c>
      <c r="D273" s="100" t="s">
        <v>136</v>
      </c>
      <c r="E273" s="24" t="s">
        <v>27</v>
      </c>
      <c r="F273" s="24" t="s">
        <v>167</v>
      </c>
      <c r="G273" s="4">
        <v>1975</v>
      </c>
      <c r="H273" s="20" t="s">
        <v>549</v>
      </c>
      <c r="I273" s="4" t="s">
        <v>2308</v>
      </c>
      <c r="J273" s="4" t="s">
        <v>2308</v>
      </c>
      <c r="K273" s="4" t="s">
        <v>2308</v>
      </c>
      <c r="L273" s="4" t="s">
        <v>2308</v>
      </c>
      <c r="M273" s="4" t="s">
        <v>2308</v>
      </c>
      <c r="N273" s="4" t="s">
        <v>2308</v>
      </c>
      <c r="O273" s="4" t="s">
        <v>2308</v>
      </c>
      <c r="P273" s="4" t="s">
        <v>2308</v>
      </c>
      <c r="Q273" s="4" t="s">
        <v>2308</v>
      </c>
      <c r="R273" s="12" t="s">
        <v>542</v>
      </c>
      <c r="S273" s="4" t="s">
        <v>542</v>
      </c>
      <c r="T273" s="4" t="s">
        <v>2308</v>
      </c>
      <c r="U273" s="4" t="s">
        <v>2308</v>
      </c>
      <c r="V273" s="12">
        <v>3</v>
      </c>
      <c r="W273" s="5" t="s">
        <v>1116</v>
      </c>
    </row>
    <row r="274" spans="1:23" ht="48" customHeight="1">
      <c r="A274" s="12" t="s">
        <v>1105</v>
      </c>
      <c r="B274" s="12" t="s">
        <v>1108</v>
      </c>
      <c r="C274" s="24" t="s">
        <v>24</v>
      </c>
      <c r="D274" s="100" t="s">
        <v>136</v>
      </c>
      <c r="E274" s="24" t="s">
        <v>27</v>
      </c>
      <c r="F274" s="24" t="s">
        <v>74</v>
      </c>
      <c r="G274" s="4">
        <v>1975</v>
      </c>
      <c r="H274" s="20" t="s">
        <v>549</v>
      </c>
      <c r="I274" s="4" t="s">
        <v>2308</v>
      </c>
      <c r="J274" s="4" t="s">
        <v>2308</v>
      </c>
      <c r="K274" s="4" t="s">
        <v>2308</v>
      </c>
      <c r="L274" s="4" t="s">
        <v>2308</v>
      </c>
      <c r="M274" s="4" t="s">
        <v>2308</v>
      </c>
      <c r="N274" s="4" t="s">
        <v>2308</v>
      </c>
      <c r="O274" s="4" t="s">
        <v>2308</v>
      </c>
      <c r="P274" s="4" t="s">
        <v>2308</v>
      </c>
      <c r="Q274" s="4" t="s">
        <v>2308</v>
      </c>
      <c r="R274" s="12" t="s">
        <v>542</v>
      </c>
      <c r="S274" s="4" t="s">
        <v>542</v>
      </c>
      <c r="T274" s="4" t="s">
        <v>2308</v>
      </c>
      <c r="U274" s="4" t="s">
        <v>2308</v>
      </c>
      <c r="V274" s="12">
        <v>3</v>
      </c>
      <c r="W274" s="5" t="s">
        <v>1116</v>
      </c>
    </row>
    <row r="275" spans="1:23" ht="36.5" customHeight="1">
      <c r="A275" s="12" t="s">
        <v>1105</v>
      </c>
      <c r="B275" s="12" t="s">
        <v>1109</v>
      </c>
      <c r="C275" s="24" t="s">
        <v>24</v>
      </c>
      <c r="D275" s="100" t="s">
        <v>136</v>
      </c>
      <c r="E275" s="24" t="s">
        <v>27</v>
      </c>
      <c r="F275" s="24" t="s">
        <v>167</v>
      </c>
      <c r="G275" s="4">
        <v>2006</v>
      </c>
      <c r="H275" s="20" t="s">
        <v>549</v>
      </c>
      <c r="I275" s="4" t="s">
        <v>2308</v>
      </c>
      <c r="J275" s="4" t="s">
        <v>2308</v>
      </c>
      <c r="K275" s="4" t="s">
        <v>2308</v>
      </c>
      <c r="L275" s="4" t="s">
        <v>2308</v>
      </c>
      <c r="M275" s="4" t="s">
        <v>2308</v>
      </c>
      <c r="N275" s="4" t="s">
        <v>2308</v>
      </c>
      <c r="O275" s="4" t="s">
        <v>2308</v>
      </c>
      <c r="P275" s="4" t="s">
        <v>2308</v>
      </c>
      <c r="Q275" s="4" t="s">
        <v>2308</v>
      </c>
      <c r="R275" s="12" t="s">
        <v>542</v>
      </c>
      <c r="S275" s="4" t="s">
        <v>542</v>
      </c>
      <c r="T275" s="4" t="s">
        <v>2308</v>
      </c>
      <c r="U275" s="4" t="s">
        <v>2308</v>
      </c>
      <c r="V275" s="12">
        <v>3</v>
      </c>
      <c r="W275" s="5" t="s">
        <v>1116</v>
      </c>
    </row>
    <row r="276" spans="1:23" ht="55.5" customHeight="1">
      <c r="A276" s="12" t="s">
        <v>1105</v>
      </c>
      <c r="B276" s="12" t="s">
        <v>1110</v>
      </c>
      <c r="C276" s="24" t="s">
        <v>24</v>
      </c>
      <c r="D276" s="100" t="s">
        <v>136</v>
      </c>
      <c r="E276" s="24" t="s">
        <v>27</v>
      </c>
      <c r="F276" s="24" t="s">
        <v>167</v>
      </c>
      <c r="G276" s="4">
        <v>2006</v>
      </c>
      <c r="H276" s="20" t="s">
        <v>1051</v>
      </c>
      <c r="I276" s="4" t="s">
        <v>2308</v>
      </c>
      <c r="J276" s="4" t="s">
        <v>2308</v>
      </c>
      <c r="K276" s="4" t="s">
        <v>2308</v>
      </c>
      <c r="L276" s="4" t="s">
        <v>2308</v>
      </c>
      <c r="M276" s="4" t="s">
        <v>2308</v>
      </c>
      <c r="N276" s="4" t="s">
        <v>2308</v>
      </c>
      <c r="O276" s="4" t="s">
        <v>2308</v>
      </c>
      <c r="P276" s="4" t="s">
        <v>2308</v>
      </c>
      <c r="Q276" s="4" t="s">
        <v>2308</v>
      </c>
      <c r="R276" s="12" t="s">
        <v>542</v>
      </c>
      <c r="S276" s="4" t="s">
        <v>542</v>
      </c>
      <c r="T276" s="4" t="s">
        <v>2308</v>
      </c>
      <c r="U276" s="4" t="s">
        <v>2308</v>
      </c>
      <c r="V276" s="12">
        <v>1</v>
      </c>
      <c r="W276" s="5" t="s">
        <v>1117</v>
      </c>
    </row>
    <row r="277" spans="1:23" ht="53.5" customHeight="1">
      <c r="A277" s="12" t="s">
        <v>1105</v>
      </c>
      <c r="B277" s="12" t="s">
        <v>1111</v>
      </c>
      <c r="C277" s="24" t="s">
        <v>24</v>
      </c>
      <c r="D277" s="100" t="s">
        <v>136</v>
      </c>
      <c r="E277" s="24" t="s">
        <v>27</v>
      </c>
      <c r="F277" s="24" t="s">
        <v>167</v>
      </c>
      <c r="G277" s="4">
        <v>2006</v>
      </c>
      <c r="H277" s="20" t="s">
        <v>1113</v>
      </c>
      <c r="I277" s="4" t="s">
        <v>2308</v>
      </c>
      <c r="J277" s="4" t="s">
        <v>2308</v>
      </c>
      <c r="K277" s="4" t="s">
        <v>2308</v>
      </c>
      <c r="L277" s="4" t="s">
        <v>2308</v>
      </c>
      <c r="M277" s="4" t="s">
        <v>2308</v>
      </c>
      <c r="N277" s="4" t="s">
        <v>2308</v>
      </c>
      <c r="O277" s="4" t="s">
        <v>2308</v>
      </c>
      <c r="P277" s="4" t="s">
        <v>2308</v>
      </c>
      <c r="Q277" s="4" t="s">
        <v>2308</v>
      </c>
      <c r="R277" s="12" t="s">
        <v>542</v>
      </c>
      <c r="S277" s="4" t="s">
        <v>542</v>
      </c>
      <c r="T277" s="4" t="s">
        <v>2308</v>
      </c>
      <c r="U277" s="4" t="s">
        <v>2308</v>
      </c>
      <c r="V277" s="12">
        <v>1</v>
      </c>
      <c r="W277" s="5" t="s">
        <v>1117</v>
      </c>
    </row>
    <row r="278" spans="1:23" ht="43.5" customHeight="1">
      <c r="A278" s="12" t="s">
        <v>1105</v>
      </c>
      <c r="B278" s="12" t="s">
        <v>1112</v>
      </c>
      <c r="C278" s="24" t="s">
        <v>24</v>
      </c>
      <c r="D278" s="100" t="s">
        <v>136</v>
      </c>
      <c r="E278" s="24" t="s">
        <v>27</v>
      </c>
      <c r="F278" s="24" t="s">
        <v>74</v>
      </c>
      <c r="G278" s="4">
        <v>2006</v>
      </c>
      <c r="H278" s="20" t="s">
        <v>549</v>
      </c>
      <c r="I278" s="4" t="s">
        <v>2308</v>
      </c>
      <c r="J278" s="4" t="s">
        <v>2308</v>
      </c>
      <c r="K278" s="4" t="s">
        <v>2308</v>
      </c>
      <c r="L278" s="4" t="s">
        <v>2308</v>
      </c>
      <c r="M278" s="4" t="s">
        <v>2308</v>
      </c>
      <c r="N278" s="4" t="s">
        <v>2308</v>
      </c>
      <c r="O278" s="4" t="s">
        <v>2308</v>
      </c>
      <c r="P278" s="4" t="s">
        <v>2308</v>
      </c>
      <c r="Q278" s="4" t="s">
        <v>2308</v>
      </c>
      <c r="R278" s="12" t="s">
        <v>542</v>
      </c>
      <c r="S278" s="4" t="s">
        <v>542</v>
      </c>
      <c r="T278" s="4" t="s">
        <v>2308</v>
      </c>
      <c r="U278" s="4" t="s">
        <v>2308</v>
      </c>
      <c r="V278" s="12">
        <v>1</v>
      </c>
      <c r="W278" s="5" t="s">
        <v>1117</v>
      </c>
    </row>
    <row r="279" spans="1:23" ht="46.5" customHeight="1">
      <c r="A279" s="12" t="s">
        <v>1105</v>
      </c>
      <c r="B279" s="12" t="s">
        <v>1114</v>
      </c>
      <c r="C279" s="24" t="s">
        <v>24</v>
      </c>
      <c r="D279" s="100" t="s">
        <v>136</v>
      </c>
      <c r="E279" s="24" t="s">
        <v>27</v>
      </c>
      <c r="F279" s="24" t="s">
        <v>74</v>
      </c>
      <c r="G279" s="4">
        <v>2006</v>
      </c>
      <c r="H279" s="20" t="s">
        <v>1051</v>
      </c>
      <c r="I279" s="4" t="s">
        <v>2308</v>
      </c>
      <c r="J279" s="4" t="s">
        <v>2308</v>
      </c>
      <c r="K279" s="4" t="s">
        <v>2308</v>
      </c>
      <c r="L279" s="4" t="s">
        <v>2308</v>
      </c>
      <c r="M279" s="4" t="s">
        <v>2308</v>
      </c>
      <c r="N279" s="4" t="s">
        <v>2308</v>
      </c>
      <c r="O279" s="4" t="s">
        <v>2308</v>
      </c>
      <c r="P279" s="4" t="s">
        <v>2308</v>
      </c>
      <c r="Q279" s="4" t="s">
        <v>2308</v>
      </c>
      <c r="R279" s="12" t="s">
        <v>542</v>
      </c>
      <c r="S279" s="4" t="s">
        <v>542</v>
      </c>
      <c r="T279" s="4" t="s">
        <v>2308</v>
      </c>
      <c r="U279" s="4" t="s">
        <v>2308</v>
      </c>
      <c r="V279" s="12">
        <v>1</v>
      </c>
      <c r="W279" s="5" t="s">
        <v>1117</v>
      </c>
    </row>
    <row r="280" spans="1:23" ht="49" customHeight="1">
      <c r="A280" s="12" t="s">
        <v>1105</v>
      </c>
      <c r="B280" s="12" t="s">
        <v>1115</v>
      </c>
      <c r="C280" s="24" t="s">
        <v>24</v>
      </c>
      <c r="D280" s="100" t="s">
        <v>136</v>
      </c>
      <c r="E280" s="24" t="s">
        <v>27</v>
      </c>
      <c r="F280" s="24" t="s">
        <v>74</v>
      </c>
      <c r="G280" s="4">
        <v>2006</v>
      </c>
      <c r="H280" s="20" t="s">
        <v>1113</v>
      </c>
      <c r="I280" s="4" t="s">
        <v>2308</v>
      </c>
      <c r="J280" s="4" t="s">
        <v>2308</v>
      </c>
      <c r="K280" s="4" t="s">
        <v>2308</v>
      </c>
      <c r="L280" s="4" t="s">
        <v>2308</v>
      </c>
      <c r="M280" s="4" t="s">
        <v>2308</v>
      </c>
      <c r="N280" s="4" t="s">
        <v>2308</v>
      </c>
      <c r="O280" s="4" t="s">
        <v>2308</v>
      </c>
      <c r="P280" s="4" t="s">
        <v>2308</v>
      </c>
      <c r="Q280" s="4" t="s">
        <v>2308</v>
      </c>
      <c r="R280" s="12" t="s">
        <v>542</v>
      </c>
      <c r="S280" s="4" t="s">
        <v>542</v>
      </c>
      <c r="T280" s="4" t="s">
        <v>2308</v>
      </c>
      <c r="U280" s="4" t="s">
        <v>2308</v>
      </c>
      <c r="V280" s="12">
        <v>1</v>
      </c>
      <c r="W280" s="5" t="s">
        <v>1117</v>
      </c>
    </row>
    <row r="281" spans="1:23" ht="49" customHeight="1">
      <c r="A281" s="12" t="s">
        <v>1137</v>
      </c>
      <c r="B281" s="12" t="s">
        <v>2363</v>
      </c>
      <c r="C281" s="24" t="s">
        <v>24</v>
      </c>
      <c r="D281" s="20" t="s">
        <v>1125</v>
      </c>
      <c r="E281" s="20" t="s">
        <v>1125</v>
      </c>
      <c r="F281" s="20" t="s">
        <v>1125</v>
      </c>
      <c r="G281" s="4"/>
      <c r="H281" s="20" t="s">
        <v>549</v>
      </c>
      <c r="I281" s="4" t="s">
        <v>545</v>
      </c>
      <c r="J281" s="4" t="s">
        <v>545</v>
      </c>
      <c r="K281" s="4" t="s">
        <v>545</v>
      </c>
      <c r="L281" s="4" t="s">
        <v>545</v>
      </c>
      <c r="M281" s="4" t="s">
        <v>545</v>
      </c>
      <c r="N281" s="4" t="s">
        <v>545</v>
      </c>
      <c r="O281" s="4" t="s">
        <v>545</v>
      </c>
      <c r="P281" s="4" t="s">
        <v>545</v>
      </c>
      <c r="Q281" s="4" t="s">
        <v>2308</v>
      </c>
      <c r="R281" s="4" t="s">
        <v>545</v>
      </c>
      <c r="S281" s="4" t="s">
        <v>545</v>
      </c>
      <c r="T281" s="4" t="s">
        <v>545</v>
      </c>
      <c r="U281" s="4" t="s">
        <v>545</v>
      </c>
      <c r="V281" s="4" t="s">
        <v>2308</v>
      </c>
      <c r="W281" s="5" t="s">
        <v>2383</v>
      </c>
    </row>
    <row r="282" spans="1:23" ht="49" customHeight="1">
      <c r="A282" s="12" t="s">
        <v>1138</v>
      </c>
      <c r="B282" s="12" t="s">
        <v>2365</v>
      </c>
      <c r="C282" s="24" t="s">
        <v>24</v>
      </c>
      <c r="D282" s="20" t="s">
        <v>1125</v>
      </c>
      <c r="E282" s="20" t="s">
        <v>1125</v>
      </c>
      <c r="F282" s="20" t="s">
        <v>1125</v>
      </c>
      <c r="G282" s="4"/>
      <c r="H282" s="20" t="s">
        <v>549</v>
      </c>
      <c r="I282" s="4" t="s">
        <v>545</v>
      </c>
      <c r="J282" s="4" t="s">
        <v>545</v>
      </c>
      <c r="K282" s="4" t="s">
        <v>545</v>
      </c>
      <c r="L282" s="4" t="s">
        <v>545</v>
      </c>
      <c r="M282" s="4" t="s">
        <v>545</v>
      </c>
      <c r="N282" s="4" t="s">
        <v>545</v>
      </c>
      <c r="O282" s="4" t="s">
        <v>545</v>
      </c>
      <c r="P282" s="4" t="s">
        <v>545</v>
      </c>
      <c r="Q282" s="4" t="s">
        <v>2308</v>
      </c>
      <c r="R282" s="4" t="s">
        <v>545</v>
      </c>
      <c r="S282" s="4" t="s">
        <v>545</v>
      </c>
      <c r="T282" s="4" t="s">
        <v>545</v>
      </c>
      <c r="U282" s="4" t="s">
        <v>545</v>
      </c>
      <c r="V282" s="4" t="s">
        <v>2308</v>
      </c>
      <c r="W282" s="5" t="s">
        <v>2383</v>
      </c>
    </row>
    <row r="283" spans="1:23" ht="49" customHeight="1">
      <c r="A283" s="12" t="s">
        <v>1145</v>
      </c>
      <c r="B283" s="12" t="s">
        <v>1147</v>
      </c>
      <c r="C283" s="24" t="s">
        <v>24</v>
      </c>
      <c r="D283" s="100" t="s">
        <v>136</v>
      </c>
      <c r="E283" s="24" t="s">
        <v>149</v>
      </c>
      <c r="F283" s="4" t="s">
        <v>74</v>
      </c>
      <c r="G283" s="4">
        <v>1980</v>
      </c>
      <c r="H283" s="5" t="s">
        <v>549</v>
      </c>
      <c r="I283" s="4" t="s">
        <v>2724</v>
      </c>
      <c r="J283" s="4" t="s">
        <v>542</v>
      </c>
      <c r="K283" s="4" t="s">
        <v>2308</v>
      </c>
      <c r="L283" s="4" t="s">
        <v>2308</v>
      </c>
      <c r="M283" s="4" t="s">
        <v>545</v>
      </c>
      <c r="N283" s="4" t="s">
        <v>2308</v>
      </c>
      <c r="O283" s="4" t="s">
        <v>2308</v>
      </c>
      <c r="P283" s="4" t="s">
        <v>2308</v>
      </c>
      <c r="Q283" s="4" t="s">
        <v>2308</v>
      </c>
      <c r="R283" s="4" t="s">
        <v>545</v>
      </c>
      <c r="S283" s="4" t="s">
        <v>2308</v>
      </c>
      <c r="T283" s="4" t="s">
        <v>2308</v>
      </c>
      <c r="U283" s="4" t="s">
        <v>2308</v>
      </c>
      <c r="V283" s="4" t="s">
        <v>2308</v>
      </c>
      <c r="W283" s="5" t="s">
        <v>1159</v>
      </c>
    </row>
    <row r="284" spans="1:23" ht="110" customHeight="1">
      <c r="A284" s="12" t="s">
        <v>1145</v>
      </c>
      <c r="B284" s="12" t="s">
        <v>1149</v>
      </c>
      <c r="C284" s="24" t="s">
        <v>24</v>
      </c>
      <c r="D284" s="100" t="s">
        <v>136</v>
      </c>
      <c r="E284" s="24" t="s">
        <v>149</v>
      </c>
      <c r="F284" s="4" t="s">
        <v>74</v>
      </c>
      <c r="G284" s="4">
        <v>1990</v>
      </c>
      <c r="H284" s="5" t="s">
        <v>549</v>
      </c>
      <c r="I284" s="4" t="s">
        <v>545</v>
      </c>
      <c r="J284" s="4" t="s">
        <v>545</v>
      </c>
      <c r="K284" s="4" t="s">
        <v>2308</v>
      </c>
      <c r="L284" s="4" t="s">
        <v>2308</v>
      </c>
      <c r="M284" s="4" t="s">
        <v>545</v>
      </c>
      <c r="N284" s="4" t="s">
        <v>2308</v>
      </c>
      <c r="O284" s="4" t="s">
        <v>2308</v>
      </c>
      <c r="P284" s="4" t="s">
        <v>2308</v>
      </c>
      <c r="Q284" s="4" t="s">
        <v>2308</v>
      </c>
      <c r="R284" s="4" t="s">
        <v>545</v>
      </c>
      <c r="S284" s="4" t="s">
        <v>2308</v>
      </c>
      <c r="T284" s="4" t="s">
        <v>2308</v>
      </c>
      <c r="U284" s="4" t="s">
        <v>2308</v>
      </c>
      <c r="V284" s="4" t="s">
        <v>2308</v>
      </c>
      <c r="W284" s="5" t="s">
        <v>1160</v>
      </c>
    </row>
    <row r="285" spans="1:23" ht="75" customHeight="1">
      <c r="A285" s="12" t="s">
        <v>1163</v>
      </c>
      <c r="B285" s="12" t="s">
        <v>1168</v>
      </c>
      <c r="C285" s="24" t="s">
        <v>24</v>
      </c>
      <c r="D285" s="100" t="s">
        <v>136</v>
      </c>
      <c r="E285" s="24" t="s">
        <v>149</v>
      </c>
      <c r="F285" s="4" t="s">
        <v>74</v>
      </c>
      <c r="G285" s="4">
        <v>1985</v>
      </c>
      <c r="H285" s="5" t="s">
        <v>549</v>
      </c>
      <c r="I285" s="4" t="s">
        <v>545</v>
      </c>
      <c r="J285" s="4" t="s">
        <v>545</v>
      </c>
      <c r="K285" s="4" t="s">
        <v>545</v>
      </c>
      <c r="L285" s="4" t="s">
        <v>2308</v>
      </c>
      <c r="M285" s="4" t="s">
        <v>2308</v>
      </c>
      <c r="N285" s="4" t="s">
        <v>2308</v>
      </c>
      <c r="O285" s="4" t="s">
        <v>2308</v>
      </c>
      <c r="P285" s="4" t="s">
        <v>2308</v>
      </c>
      <c r="Q285" s="4" t="s">
        <v>2308</v>
      </c>
      <c r="R285" s="4" t="s">
        <v>2308</v>
      </c>
      <c r="S285" s="4" t="s">
        <v>2308</v>
      </c>
      <c r="T285" s="4" t="s">
        <v>2308</v>
      </c>
      <c r="U285" s="4" t="s">
        <v>2308</v>
      </c>
      <c r="V285" s="4" t="s">
        <v>2308</v>
      </c>
      <c r="W285" s="5" t="s">
        <v>1184</v>
      </c>
    </row>
    <row r="286" spans="1:23" ht="82.5" customHeight="1">
      <c r="A286" s="12" t="s">
        <v>1163</v>
      </c>
      <c r="B286" s="12" t="s">
        <v>1170</v>
      </c>
      <c r="C286" s="24" t="s">
        <v>24</v>
      </c>
      <c r="D286" s="100" t="s">
        <v>136</v>
      </c>
      <c r="E286" s="24" t="s">
        <v>149</v>
      </c>
      <c r="F286" s="4" t="s">
        <v>74</v>
      </c>
      <c r="G286" s="4">
        <v>1990</v>
      </c>
      <c r="H286" s="5" t="s">
        <v>1172</v>
      </c>
      <c r="I286" s="4" t="s">
        <v>2723</v>
      </c>
      <c r="J286" s="4" t="s">
        <v>542</v>
      </c>
      <c r="K286" s="4" t="s">
        <v>542</v>
      </c>
      <c r="L286" s="4" t="s">
        <v>2308</v>
      </c>
      <c r="M286" s="4" t="s">
        <v>2308</v>
      </c>
      <c r="N286" s="4" t="s">
        <v>2308</v>
      </c>
      <c r="O286" s="4" t="s">
        <v>2308</v>
      </c>
      <c r="P286" s="4" t="s">
        <v>2308</v>
      </c>
      <c r="Q286" s="4" t="s">
        <v>2308</v>
      </c>
      <c r="R286" s="4" t="s">
        <v>2308</v>
      </c>
      <c r="S286" s="4" t="s">
        <v>2308</v>
      </c>
      <c r="T286" s="4" t="s">
        <v>2308</v>
      </c>
      <c r="U286" s="4" t="s">
        <v>2308</v>
      </c>
      <c r="V286" s="4" t="s">
        <v>2308</v>
      </c>
      <c r="W286" s="5" t="s">
        <v>1173</v>
      </c>
    </row>
    <row r="287" spans="1:23" ht="51.5" customHeight="1">
      <c r="A287" s="12" t="s">
        <v>1176</v>
      </c>
      <c r="B287" s="12" t="s">
        <v>1177</v>
      </c>
      <c r="C287" s="24" t="s">
        <v>24</v>
      </c>
      <c r="D287" s="24" t="s">
        <v>1125</v>
      </c>
      <c r="E287" s="24" t="s">
        <v>149</v>
      </c>
      <c r="F287" s="4" t="s">
        <v>74</v>
      </c>
      <c r="G287" s="4"/>
      <c r="H287" s="5" t="s">
        <v>549</v>
      </c>
      <c r="I287" s="4" t="s">
        <v>545</v>
      </c>
      <c r="J287" s="4" t="s">
        <v>545</v>
      </c>
      <c r="K287" s="4" t="s">
        <v>545</v>
      </c>
      <c r="L287" s="4" t="s">
        <v>2308</v>
      </c>
      <c r="M287" s="4" t="s">
        <v>545</v>
      </c>
      <c r="N287" s="4" t="s">
        <v>2308</v>
      </c>
      <c r="O287" s="4" t="s">
        <v>2308</v>
      </c>
      <c r="P287" s="4" t="s">
        <v>2308</v>
      </c>
      <c r="Q287" s="4" t="s">
        <v>2308</v>
      </c>
      <c r="R287" s="4" t="s">
        <v>545</v>
      </c>
      <c r="S287" s="4" t="s">
        <v>2308</v>
      </c>
      <c r="T287" s="4" t="s">
        <v>2308</v>
      </c>
      <c r="U287" s="4" t="s">
        <v>2308</v>
      </c>
      <c r="V287" s="4" t="s">
        <v>2308</v>
      </c>
      <c r="W287" s="5"/>
    </row>
    <row r="288" spans="1:23" ht="67" customHeight="1">
      <c r="A288" s="45" t="s">
        <v>1180</v>
      </c>
      <c r="B288" s="45" t="s">
        <v>1182</v>
      </c>
      <c r="C288" s="70" t="s">
        <v>24</v>
      </c>
      <c r="D288" s="70" t="s">
        <v>1125</v>
      </c>
      <c r="E288" s="70" t="s">
        <v>149</v>
      </c>
      <c r="F288" s="45" t="s">
        <v>74</v>
      </c>
      <c r="G288" s="45"/>
      <c r="H288" s="59"/>
      <c r="I288" s="45" t="s">
        <v>2308</v>
      </c>
      <c r="J288" s="45" t="s">
        <v>2308</v>
      </c>
      <c r="K288" s="45" t="s">
        <v>2308</v>
      </c>
      <c r="L288" s="45" t="s">
        <v>2308</v>
      </c>
      <c r="M288" s="45" t="s">
        <v>2308</v>
      </c>
      <c r="N288" s="45" t="s">
        <v>2308</v>
      </c>
      <c r="O288" s="45" t="s">
        <v>2308</v>
      </c>
      <c r="P288" s="45" t="s">
        <v>2308</v>
      </c>
      <c r="Q288" s="45" t="s">
        <v>2308</v>
      </c>
      <c r="R288" s="45" t="s">
        <v>2308</v>
      </c>
      <c r="S288" s="45" t="s">
        <v>2308</v>
      </c>
      <c r="T288" s="45" t="s">
        <v>2308</v>
      </c>
      <c r="U288" s="45" t="s">
        <v>2308</v>
      </c>
      <c r="V288" s="45" t="s">
        <v>2308</v>
      </c>
      <c r="W288" s="59"/>
    </row>
    <row r="289" spans="1:23" ht="55.5" customHeight="1">
      <c r="A289" s="20" t="s">
        <v>1165</v>
      </c>
      <c r="B289" s="20" t="s">
        <v>1169</v>
      </c>
      <c r="C289" s="24" t="s">
        <v>24</v>
      </c>
      <c r="D289" s="4" t="s">
        <v>1125</v>
      </c>
      <c r="E289" s="4"/>
      <c r="F289" s="4" t="s">
        <v>74</v>
      </c>
      <c r="G289" s="4"/>
      <c r="H289" s="5" t="s">
        <v>549</v>
      </c>
      <c r="I289" s="4" t="s">
        <v>2308</v>
      </c>
      <c r="J289" s="4" t="s">
        <v>2308</v>
      </c>
      <c r="K289" s="4" t="s">
        <v>2308</v>
      </c>
      <c r="L289" s="4" t="s">
        <v>2308</v>
      </c>
      <c r="M289" s="4" t="s">
        <v>542</v>
      </c>
      <c r="N289" s="4" t="s">
        <v>542</v>
      </c>
      <c r="O289" s="4" t="s">
        <v>542</v>
      </c>
      <c r="P289" s="4" t="s">
        <v>2308</v>
      </c>
      <c r="Q289" s="4">
        <v>1</v>
      </c>
      <c r="R289" s="4" t="s">
        <v>2308</v>
      </c>
      <c r="S289" s="4" t="s">
        <v>2308</v>
      </c>
      <c r="T289" s="4" t="s">
        <v>2308</v>
      </c>
      <c r="U289" s="4" t="s">
        <v>2308</v>
      </c>
      <c r="V289" s="4" t="s">
        <v>2308</v>
      </c>
      <c r="W289" s="5" t="s">
        <v>1185</v>
      </c>
    </row>
    <row r="290" spans="1:23" ht="45.5" customHeight="1">
      <c r="A290" s="20" t="s">
        <v>1174</v>
      </c>
      <c r="B290" s="20" t="s">
        <v>1178</v>
      </c>
      <c r="C290" s="24" t="s">
        <v>24</v>
      </c>
      <c r="D290" s="4" t="s">
        <v>1125</v>
      </c>
      <c r="E290" s="24" t="s">
        <v>149</v>
      </c>
      <c r="F290" s="4" t="s">
        <v>74</v>
      </c>
      <c r="G290" s="4"/>
      <c r="H290" s="5" t="s">
        <v>549</v>
      </c>
      <c r="I290" s="4" t="s">
        <v>2308</v>
      </c>
      <c r="J290" s="4" t="s">
        <v>2308</v>
      </c>
      <c r="K290" s="4" t="s">
        <v>2308</v>
      </c>
      <c r="L290" s="4" t="s">
        <v>2308</v>
      </c>
      <c r="M290" s="4" t="s">
        <v>2308</v>
      </c>
      <c r="N290" s="4" t="s">
        <v>2308</v>
      </c>
      <c r="O290" s="4" t="s">
        <v>2308</v>
      </c>
      <c r="P290" s="4" t="s">
        <v>2308</v>
      </c>
      <c r="Q290" s="4" t="s">
        <v>2308</v>
      </c>
      <c r="R290" s="4" t="s">
        <v>542</v>
      </c>
      <c r="S290" s="4" t="s">
        <v>2308</v>
      </c>
      <c r="T290" s="4" t="s">
        <v>542</v>
      </c>
      <c r="U290" s="4" t="s">
        <v>2308</v>
      </c>
      <c r="V290" s="4">
        <v>1</v>
      </c>
      <c r="W290" s="4"/>
    </row>
    <row r="291" spans="1:23" ht="40" customHeight="1">
      <c r="A291" s="20" t="s">
        <v>1190</v>
      </c>
      <c r="B291" s="20" t="s">
        <v>1196</v>
      </c>
      <c r="C291" s="24" t="s">
        <v>24</v>
      </c>
      <c r="D291" s="4" t="s">
        <v>1125</v>
      </c>
      <c r="E291" s="24" t="s">
        <v>149</v>
      </c>
      <c r="F291" s="4" t="s">
        <v>74</v>
      </c>
      <c r="G291" s="4"/>
      <c r="H291" s="5" t="s">
        <v>549</v>
      </c>
      <c r="I291" s="4" t="s">
        <v>2308</v>
      </c>
      <c r="J291" s="4" t="s">
        <v>2308</v>
      </c>
      <c r="K291" s="4" t="s">
        <v>2308</v>
      </c>
      <c r="L291" s="4" t="s">
        <v>2308</v>
      </c>
      <c r="M291" s="4" t="s">
        <v>2308</v>
      </c>
      <c r="N291" s="4" t="s">
        <v>2308</v>
      </c>
      <c r="O291" s="4" t="s">
        <v>2308</v>
      </c>
      <c r="P291" s="4" t="s">
        <v>2308</v>
      </c>
      <c r="Q291" s="4" t="s">
        <v>2308</v>
      </c>
      <c r="R291" s="4" t="s">
        <v>542</v>
      </c>
      <c r="S291" s="4" t="s">
        <v>2308</v>
      </c>
      <c r="T291" s="4" t="s">
        <v>542</v>
      </c>
      <c r="U291" s="4" t="s">
        <v>2308</v>
      </c>
      <c r="V291" s="4">
        <v>1</v>
      </c>
      <c r="W291" s="4"/>
    </row>
    <row r="292" spans="1:23" ht="42" customHeight="1">
      <c r="A292" s="4" t="s">
        <v>1192</v>
      </c>
      <c r="B292" s="20" t="s">
        <v>1198</v>
      </c>
      <c r="C292" s="24" t="s">
        <v>24</v>
      </c>
      <c r="D292" s="4" t="s">
        <v>1125</v>
      </c>
      <c r="E292" s="24" t="s">
        <v>149</v>
      </c>
      <c r="F292" s="4" t="s">
        <v>74</v>
      </c>
      <c r="G292" s="4"/>
      <c r="H292" s="5" t="s">
        <v>549</v>
      </c>
      <c r="I292" s="4" t="s">
        <v>2308</v>
      </c>
      <c r="J292" s="4" t="s">
        <v>2308</v>
      </c>
      <c r="K292" s="4" t="s">
        <v>2308</v>
      </c>
      <c r="L292" s="4" t="s">
        <v>2308</v>
      </c>
      <c r="M292" s="4" t="s">
        <v>2308</v>
      </c>
      <c r="N292" s="4" t="s">
        <v>2308</v>
      </c>
      <c r="O292" s="4" t="s">
        <v>2308</v>
      </c>
      <c r="P292" s="4" t="s">
        <v>2308</v>
      </c>
      <c r="Q292" s="4" t="s">
        <v>2308</v>
      </c>
      <c r="R292" s="4" t="s">
        <v>542</v>
      </c>
      <c r="S292" s="4" t="s">
        <v>2308</v>
      </c>
      <c r="T292" s="4" t="s">
        <v>542</v>
      </c>
      <c r="U292" s="4" t="s">
        <v>2308</v>
      </c>
      <c r="V292" s="4">
        <v>1</v>
      </c>
      <c r="W292" s="4"/>
    </row>
    <row r="293" spans="1:23" ht="36.5" customHeight="1">
      <c r="A293" s="20" t="s">
        <v>1212</v>
      </c>
      <c r="B293" s="20" t="s">
        <v>1220</v>
      </c>
      <c r="C293" s="24" t="s">
        <v>24</v>
      </c>
      <c r="D293" s="4" t="s">
        <v>136</v>
      </c>
      <c r="E293" s="4" t="s">
        <v>27</v>
      </c>
      <c r="F293" s="4" t="s">
        <v>74</v>
      </c>
      <c r="G293" s="4">
        <v>1988</v>
      </c>
      <c r="H293" s="5" t="s">
        <v>549</v>
      </c>
      <c r="I293" s="9" t="s">
        <v>2723</v>
      </c>
      <c r="J293" s="4" t="s">
        <v>542</v>
      </c>
      <c r="K293" s="4" t="s">
        <v>2308</v>
      </c>
      <c r="L293" s="4" t="s">
        <v>2308</v>
      </c>
      <c r="M293" s="4" t="s">
        <v>545</v>
      </c>
      <c r="N293" s="4" t="s">
        <v>2308</v>
      </c>
      <c r="O293" s="4" t="s">
        <v>2308</v>
      </c>
      <c r="P293" s="4" t="s">
        <v>2308</v>
      </c>
      <c r="Q293" s="4" t="s">
        <v>2308</v>
      </c>
      <c r="R293" s="4" t="s">
        <v>545</v>
      </c>
      <c r="S293" s="4" t="s">
        <v>2308</v>
      </c>
      <c r="T293" s="4" t="s">
        <v>2308</v>
      </c>
      <c r="U293" s="4" t="s">
        <v>2308</v>
      </c>
      <c r="V293" s="4" t="s">
        <v>2308</v>
      </c>
      <c r="W293" s="4"/>
    </row>
    <row r="294" spans="1:23" ht="35.5" customHeight="1">
      <c r="A294" s="20" t="s">
        <v>1216</v>
      </c>
      <c r="B294" s="20" t="s">
        <v>1221</v>
      </c>
      <c r="C294" s="24" t="s">
        <v>24</v>
      </c>
      <c r="D294" s="4" t="s">
        <v>136</v>
      </c>
      <c r="E294" s="4" t="s">
        <v>27</v>
      </c>
      <c r="F294" s="4" t="s">
        <v>74</v>
      </c>
      <c r="G294" s="4">
        <v>1995</v>
      </c>
      <c r="H294" s="5" t="s">
        <v>549</v>
      </c>
      <c r="I294" s="9" t="s">
        <v>2723</v>
      </c>
      <c r="J294" s="4" t="s">
        <v>542</v>
      </c>
      <c r="K294" s="4" t="s">
        <v>2308</v>
      </c>
      <c r="L294" s="4" t="s">
        <v>2308</v>
      </c>
      <c r="M294" s="4" t="s">
        <v>542</v>
      </c>
      <c r="N294" s="4" t="s">
        <v>542</v>
      </c>
      <c r="O294" s="4" t="s">
        <v>542</v>
      </c>
      <c r="P294" s="4" t="s">
        <v>2308</v>
      </c>
      <c r="Q294" s="4">
        <v>3</v>
      </c>
      <c r="R294" s="4" t="s">
        <v>542</v>
      </c>
      <c r="S294" s="4" t="s">
        <v>542</v>
      </c>
      <c r="T294" s="4" t="s">
        <v>542</v>
      </c>
      <c r="U294" s="4" t="s">
        <v>2308</v>
      </c>
      <c r="V294" s="4">
        <v>3</v>
      </c>
      <c r="W294" s="4"/>
    </row>
    <row r="295" spans="1:23" ht="41.5" customHeight="1">
      <c r="A295" s="20" t="s">
        <v>1217</v>
      </c>
      <c r="B295" s="20" t="s">
        <v>1222</v>
      </c>
      <c r="C295" s="24" t="s">
        <v>24</v>
      </c>
      <c r="D295" s="4" t="s">
        <v>136</v>
      </c>
      <c r="E295" s="4" t="s">
        <v>27</v>
      </c>
      <c r="F295" s="4" t="s">
        <v>74</v>
      </c>
      <c r="G295" s="4">
        <v>2000</v>
      </c>
      <c r="H295" s="5" t="s">
        <v>549</v>
      </c>
      <c r="I295" s="9" t="s">
        <v>2723</v>
      </c>
      <c r="J295" s="4" t="s">
        <v>542</v>
      </c>
      <c r="K295" s="4" t="s">
        <v>2308</v>
      </c>
      <c r="L295" s="4" t="s">
        <v>2308</v>
      </c>
      <c r="M295" s="4" t="s">
        <v>542</v>
      </c>
      <c r="N295" s="4" t="s">
        <v>542</v>
      </c>
      <c r="O295" s="4" t="s">
        <v>542</v>
      </c>
      <c r="P295" s="4" t="s">
        <v>2308</v>
      </c>
      <c r="Q295" s="4">
        <v>3</v>
      </c>
      <c r="R295" s="4" t="s">
        <v>542</v>
      </c>
      <c r="S295" s="4" t="s">
        <v>542</v>
      </c>
      <c r="T295" s="4" t="s">
        <v>542</v>
      </c>
      <c r="U295" s="4" t="s">
        <v>2308</v>
      </c>
      <c r="V295" s="4">
        <v>3</v>
      </c>
      <c r="W295" s="4"/>
    </row>
    <row r="296" spans="1:23" ht="57.5" customHeight="1">
      <c r="A296" s="20" t="s">
        <v>1227</v>
      </c>
      <c r="B296" s="20" t="s">
        <v>1231</v>
      </c>
      <c r="C296" s="24" t="s">
        <v>24</v>
      </c>
      <c r="D296" s="4" t="s">
        <v>136</v>
      </c>
      <c r="E296" s="4" t="s">
        <v>27</v>
      </c>
      <c r="F296" s="4" t="s">
        <v>1125</v>
      </c>
      <c r="G296" s="4"/>
      <c r="H296" s="5" t="s">
        <v>549</v>
      </c>
      <c r="I296" s="4" t="s">
        <v>2723</v>
      </c>
      <c r="J296" s="4" t="s">
        <v>2308</v>
      </c>
      <c r="K296" s="4" t="s">
        <v>542</v>
      </c>
      <c r="L296" s="4" t="s">
        <v>542</v>
      </c>
      <c r="M296" s="4" t="s">
        <v>2308</v>
      </c>
      <c r="N296" s="4" t="s">
        <v>2308</v>
      </c>
      <c r="O296" s="4" t="s">
        <v>2308</v>
      </c>
      <c r="P296" s="4" t="s">
        <v>2308</v>
      </c>
      <c r="Q296" s="4" t="s">
        <v>2308</v>
      </c>
      <c r="R296" s="4" t="s">
        <v>2308</v>
      </c>
      <c r="S296" s="4" t="s">
        <v>2308</v>
      </c>
      <c r="T296" s="4" t="s">
        <v>2308</v>
      </c>
      <c r="U296" s="4" t="s">
        <v>2308</v>
      </c>
      <c r="V296" s="4" t="s">
        <v>2308</v>
      </c>
      <c r="W296" s="5" t="s">
        <v>1243</v>
      </c>
    </row>
    <row r="297" spans="1:23" ht="65.5" customHeight="1">
      <c r="A297" s="20" t="s">
        <v>1229</v>
      </c>
      <c r="B297" s="20" t="s">
        <v>1241</v>
      </c>
      <c r="C297" s="24" t="s">
        <v>24</v>
      </c>
      <c r="D297" s="4" t="s">
        <v>136</v>
      </c>
      <c r="E297" s="4" t="s">
        <v>27</v>
      </c>
      <c r="F297" s="4" t="s">
        <v>1125</v>
      </c>
      <c r="G297" s="4"/>
      <c r="H297" s="5" t="s">
        <v>549</v>
      </c>
      <c r="I297" s="4" t="s">
        <v>2723</v>
      </c>
      <c r="J297" s="4" t="s">
        <v>2308</v>
      </c>
      <c r="K297" s="4" t="s">
        <v>542</v>
      </c>
      <c r="L297" s="4" t="s">
        <v>542</v>
      </c>
      <c r="M297" s="4" t="s">
        <v>2308</v>
      </c>
      <c r="N297" s="4" t="s">
        <v>2308</v>
      </c>
      <c r="O297" s="4" t="s">
        <v>2308</v>
      </c>
      <c r="P297" s="4" t="s">
        <v>2308</v>
      </c>
      <c r="Q297" s="4" t="s">
        <v>2308</v>
      </c>
      <c r="R297" s="4" t="s">
        <v>2308</v>
      </c>
      <c r="S297" s="4" t="s">
        <v>2308</v>
      </c>
      <c r="T297" s="4" t="s">
        <v>2308</v>
      </c>
      <c r="U297" s="4" t="s">
        <v>2308</v>
      </c>
      <c r="V297" s="4" t="s">
        <v>2308</v>
      </c>
      <c r="W297" s="5" t="s">
        <v>1243</v>
      </c>
    </row>
    <row r="298" spans="1:23" ht="58.5" customHeight="1">
      <c r="A298" s="4" t="s">
        <v>2479</v>
      </c>
      <c r="B298" s="4" t="s">
        <v>2486</v>
      </c>
      <c r="C298" s="24" t="s">
        <v>24</v>
      </c>
      <c r="D298" s="4" t="s">
        <v>136</v>
      </c>
      <c r="E298" s="4" t="s">
        <v>27</v>
      </c>
      <c r="F298" s="4" t="s">
        <v>1125</v>
      </c>
      <c r="G298" s="4"/>
      <c r="H298" s="5" t="s">
        <v>551</v>
      </c>
      <c r="I298" s="4" t="s">
        <v>545</v>
      </c>
      <c r="J298" s="4" t="s">
        <v>545</v>
      </c>
      <c r="K298" s="4" t="s">
        <v>2308</v>
      </c>
      <c r="L298" s="4" t="s">
        <v>2308</v>
      </c>
      <c r="M298" s="4" t="s">
        <v>2308</v>
      </c>
      <c r="N298" s="4" t="s">
        <v>2308</v>
      </c>
      <c r="O298" s="4" t="s">
        <v>2308</v>
      </c>
      <c r="P298" s="4" t="s">
        <v>2308</v>
      </c>
      <c r="Q298" s="4" t="s">
        <v>2308</v>
      </c>
      <c r="R298" s="4" t="s">
        <v>2308</v>
      </c>
      <c r="S298" s="4" t="s">
        <v>2308</v>
      </c>
      <c r="T298" s="4" t="s">
        <v>2308</v>
      </c>
      <c r="U298" s="4" t="s">
        <v>2308</v>
      </c>
      <c r="V298" s="4" t="s">
        <v>2308</v>
      </c>
      <c r="W298" s="5" t="s">
        <v>2494</v>
      </c>
    </row>
    <row r="299" spans="1:23" ht="60" customHeight="1">
      <c r="A299" s="4" t="s">
        <v>2482</v>
      </c>
      <c r="B299" s="4" t="s">
        <v>2493</v>
      </c>
      <c r="C299" s="24" t="s">
        <v>24</v>
      </c>
      <c r="D299" s="4" t="s">
        <v>136</v>
      </c>
      <c r="E299" s="4" t="s">
        <v>27</v>
      </c>
      <c r="F299" s="4" t="s">
        <v>1125</v>
      </c>
      <c r="G299" s="4"/>
      <c r="H299" s="5" t="s">
        <v>551</v>
      </c>
      <c r="I299" s="4" t="s">
        <v>545</v>
      </c>
      <c r="J299" s="4" t="s">
        <v>545</v>
      </c>
      <c r="K299" s="4" t="s">
        <v>2308</v>
      </c>
      <c r="L299" s="4" t="s">
        <v>2308</v>
      </c>
      <c r="M299" s="4" t="s">
        <v>2308</v>
      </c>
      <c r="N299" s="4" t="s">
        <v>2308</v>
      </c>
      <c r="O299" s="4" t="s">
        <v>2308</v>
      </c>
      <c r="P299" s="4" t="s">
        <v>2308</v>
      </c>
      <c r="Q299" s="4" t="s">
        <v>2308</v>
      </c>
      <c r="R299" s="4" t="s">
        <v>2308</v>
      </c>
      <c r="S299" s="4" t="s">
        <v>2308</v>
      </c>
      <c r="T299" s="4" t="s">
        <v>2308</v>
      </c>
      <c r="U299" s="4" t="s">
        <v>2308</v>
      </c>
      <c r="V299" s="4" t="s">
        <v>2308</v>
      </c>
      <c r="W299" s="5" t="s">
        <v>2494</v>
      </c>
    </row>
    <row r="300" spans="1:23" ht="73" customHeight="1">
      <c r="A300" s="20" t="s">
        <v>2657</v>
      </c>
      <c r="B300" s="20" t="s">
        <v>2663</v>
      </c>
      <c r="C300" s="24" t="s">
        <v>24</v>
      </c>
      <c r="D300" s="4" t="s">
        <v>136</v>
      </c>
      <c r="E300" s="4" t="s">
        <v>27</v>
      </c>
      <c r="F300" s="12" t="s">
        <v>74</v>
      </c>
      <c r="G300" s="4"/>
      <c r="H300" s="5" t="s">
        <v>549</v>
      </c>
      <c r="I300" s="4" t="s">
        <v>2723</v>
      </c>
      <c r="J300" s="4" t="s">
        <v>542</v>
      </c>
      <c r="K300" s="4" t="s">
        <v>2308</v>
      </c>
      <c r="L300" s="4" t="s">
        <v>2308</v>
      </c>
      <c r="M300" s="4" t="s">
        <v>2308</v>
      </c>
      <c r="N300" s="4" t="s">
        <v>2308</v>
      </c>
      <c r="O300" s="4" t="s">
        <v>2308</v>
      </c>
      <c r="P300" s="4" t="s">
        <v>2308</v>
      </c>
      <c r="Q300" s="4" t="s">
        <v>2308</v>
      </c>
      <c r="R300" s="4" t="s">
        <v>542</v>
      </c>
      <c r="S300" s="4" t="s">
        <v>542</v>
      </c>
      <c r="T300" s="4" t="s">
        <v>2308</v>
      </c>
      <c r="U300" s="4" t="s">
        <v>2308</v>
      </c>
      <c r="V300" s="4" t="s">
        <v>2308</v>
      </c>
      <c r="W300" s="5" t="s">
        <v>2730</v>
      </c>
    </row>
    <row r="301" spans="1:23" ht="43.5" customHeight="1">
      <c r="A301" s="20" t="s">
        <v>2657</v>
      </c>
      <c r="B301" s="20" t="s">
        <v>2664</v>
      </c>
      <c r="C301" s="24" t="s">
        <v>24</v>
      </c>
      <c r="D301" s="4" t="s">
        <v>136</v>
      </c>
      <c r="E301" s="4" t="s">
        <v>27</v>
      </c>
      <c r="F301" s="12" t="s">
        <v>74</v>
      </c>
      <c r="G301" s="4"/>
      <c r="H301" s="5" t="s">
        <v>2665</v>
      </c>
      <c r="I301" s="4" t="s">
        <v>2723</v>
      </c>
      <c r="J301" s="4" t="s">
        <v>545</v>
      </c>
      <c r="K301" s="4" t="s">
        <v>542</v>
      </c>
      <c r="L301" s="4" t="s">
        <v>2308</v>
      </c>
      <c r="M301" s="4" t="s">
        <v>2308</v>
      </c>
      <c r="N301" s="4" t="s">
        <v>2308</v>
      </c>
      <c r="O301" s="4" t="s">
        <v>2308</v>
      </c>
      <c r="P301" s="4" t="s">
        <v>2308</v>
      </c>
      <c r="Q301" s="4" t="s">
        <v>2308</v>
      </c>
      <c r="R301" s="4" t="s">
        <v>2308</v>
      </c>
      <c r="S301" s="4" t="s">
        <v>2308</v>
      </c>
      <c r="T301" s="4" t="s">
        <v>2308</v>
      </c>
      <c r="U301" s="4" t="s">
        <v>2308</v>
      </c>
      <c r="V301" s="4" t="s">
        <v>2308</v>
      </c>
      <c r="W301" s="5" t="s">
        <v>2719</v>
      </c>
    </row>
    <row r="302" spans="1:23" ht="127" customHeight="1">
      <c r="A302" s="20" t="s">
        <v>2657</v>
      </c>
      <c r="B302" s="20" t="s">
        <v>2722</v>
      </c>
      <c r="C302" s="24" t="s">
        <v>24</v>
      </c>
      <c r="D302" s="4" t="s">
        <v>136</v>
      </c>
      <c r="E302" s="4" t="s">
        <v>27</v>
      </c>
      <c r="F302" s="12" t="s">
        <v>74</v>
      </c>
      <c r="G302" s="4"/>
      <c r="H302" s="5" t="s">
        <v>549</v>
      </c>
      <c r="I302" s="4" t="s">
        <v>2724</v>
      </c>
      <c r="J302" s="4" t="s">
        <v>542</v>
      </c>
      <c r="K302" s="4" t="s">
        <v>2308</v>
      </c>
      <c r="L302" s="4" t="s">
        <v>545</v>
      </c>
      <c r="M302" s="4" t="s">
        <v>2308</v>
      </c>
      <c r="N302" s="4" t="s">
        <v>2308</v>
      </c>
      <c r="O302" s="4" t="s">
        <v>2308</v>
      </c>
      <c r="P302" s="4" t="s">
        <v>2308</v>
      </c>
      <c r="Q302" s="4" t="s">
        <v>2308</v>
      </c>
      <c r="R302" s="4" t="s">
        <v>542</v>
      </c>
      <c r="S302" s="4" t="s">
        <v>542</v>
      </c>
      <c r="T302" s="4" t="s">
        <v>2308</v>
      </c>
      <c r="U302" s="4" t="s">
        <v>2308</v>
      </c>
      <c r="V302" s="4" t="s">
        <v>2308</v>
      </c>
      <c r="W302" s="5" t="s">
        <v>2729</v>
      </c>
    </row>
    <row r="303" spans="1:23" ht="88" customHeight="1">
      <c r="A303" s="20" t="s">
        <v>2657</v>
      </c>
      <c r="B303" s="20" t="s">
        <v>2731</v>
      </c>
      <c r="C303" s="24" t="s">
        <v>24</v>
      </c>
      <c r="D303" s="4" t="s">
        <v>84</v>
      </c>
      <c r="E303" s="4" t="s">
        <v>149</v>
      </c>
      <c r="F303" s="12" t="s">
        <v>74</v>
      </c>
      <c r="G303" s="4"/>
      <c r="H303" s="5" t="s">
        <v>549</v>
      </c>
      <c r="I303" s="4" t="s">
        <v>2308</v>
      </c>
      <c r="J303" s="4" t="s">
        <v>2308</v>
      </c>
      <c r="K303" s="4" t="s">
        <v>2308</v>
      </c>
      <c r="L303" s="4" t="s">
        <v>2308</v>
      </c>
      <c r="M303" s="4" t="s">
        <v>2702</v>
      </c>
      <c r="N303" s="4" t="s">
        <v>2308</v>
      </c>
      <c r="O303" s="4" t="s">
        <v>542</v>
      </c>
      <c r="P303" s="4" t="s">
        <v>2308</v>
      </c>
      <c r="Q303" s="4" t="s">
        <v>2308</v>
      </c>
      <c r="R303" s="4" t="s">
        <v>545</v>
      </c>
      <c r="S303" s="4" t="s">
        <v>545</v>
      </c>
      <c r="T303" s="4" t="s">
        <v>545</v>
      </c>
      <c r="U303" s="4" t="s">
        <v>545</v>
      </c>
      <c r="V303" s="4" t="s">
        <v>2308</v>
      </c>
      <c r="W303" s="5" t="s">
        <v>2732</v>
      </c>
    </row>
    <row r="304" spans="1:23" ht="81" customHeight="1">
      <c r="A304" s="20" t="s">
        <v>2658</v>
      </c>
      <c r="B304" s="20" t="s">
        <v>2662</v>
      </c>
      <c r="C304" s="24" t="s">
        <v>24</v>
      </c>
      <c r="D304" s="4" t="s">
        <v>136</v>
      </c>
      <c r="E304" s="4" t="s">
        <v>27</v>
      </c>
      <c r="F304" s="12" t="s">
        <v>74</v>
      </c>
      <c r="G304" s="4"/>
      <c r="H304" s="5" t="s">
        <v>549</v>
      </c>
      <c r="I304" s="4" t="s">
        <v>2723</v>
      </c>
      <c r="J304" s="4" t="s">
        <v>542</v>
      </c>
      <c r="K304" s="4" t="s">
        <v>2308</v>
      </c>
      <c r="L304" s="4" t="s">
        <v>2308</v>
      </c>
      <c r="M304" s="4" t="s">
        <v>2308</v>
      </c>
      <c r="N304" s="4" t="s">
        <v>2308</v>
      </c>
      <c r="O304" s="4" t="s">
        <v>2308</v>
      </c>
      <c r="P304" s="4" t="s">
        <v>2308</v>
      </c>
      <c r="Q304" s="4" t="s">
        <v>2308</v>
      </c>
      <c r="R304" s="4" t="s">
        <v>542</v>
      </c>
      <c r="S304" s="4" t="s">
        <v>542</v>
      </c>
      <c r="T304" s="4" t="s">
        <v>2308</v>
      </c>
      <c r="U304" s="4" t="s">
        <v>2308</v>
      </c>
      <c r="V304" s="4" t="s">
        <v>2308</v>
      </c>
      <c r="W304" s="5" t="s">
        <v>2730</v>
      </c>
    </row>
    <row r="305" spans="1:23" ht="101" customHeight="1">
      <c r="A305" s="20" t="s">
        <v>2658</v>
      </c>
      <c r="B305" s="20" t="s">
        <v>2720</v>
      </c>
      <c r="C305" s="24" t="s">
        <v>24</v>
      </c>
      <c r="D305" s="4" t="s">
        <v>136</v>
      </c>
      <c r="E305" s="4" t="s">
        <v>27</v>
      </c>
      <c r="F305" s="12" t="s">
        <v>74</v>
      </c>
      <c r="G305" s="4"/>
      <c r="H305" s="5" t="s">
        <v>2665</v>
      </c>
      <c r="I305" s="4" t="s">
        <v>2723</v>
      </c>
      <c r="J305" s="4" t="s">
        <v>545</v>
      </c>
      <c r="K305" s="4" t="s">
        <v>542</v>
      </c>
      <c r="L305" s="4" t="s">
        <v>2308</v>
      </c>
      <c r="M305" s="4" t="s">
        <v>2702</v>
      </c>
      <c r="N305" s="4" t="s">
        <v>2308</v>
      </c>
      <c r="O305" s="4" t="s">
        <v>542</v>
      </c>
      <c r="P305" s="4" t="s">
        <v>2308</v>
      </c>
      <c r="Q305" s="4" t="s">
        <v>2308</v>
      </c>
      <c r="R305" s="4" t="s">
        <v>2308</v>
      </c>
      <c r="S305" s="4" t="s">
        <v>2308</v>
      </c>
      <c r="T305" s="4" t="s">
        <v>2308</v>
      </c>
      <c r="U305" s="4" t="s">
        <v>2308</v>
      </c>
      <c r="V305" s="4" t="s">
        <v>2308</v>
      </c>
      <c r="W305" s="5" t="s">
        <v>2737</v>
      </c>
    </row>
    <row r="306" spans="1:23" ht="124" customHeight="1">
      <c r="A306" s="20" t="s">
        <v>2658</v>
      </c>
      <c r="B306" s="20" t="s">
        <v>2727</v>
      </c>
      <c r="C306" s="24" t="s">
        <v>24</v>
      </c>
      <c r="D306" s="4" t="s">
        <v>136</v>
      </c>
      <c r="E306" s="4" t="s">
        <v>27</v>
      </c>
      <c r="F306" s="12" t="s">
        <v>74</v>
      </c>
      <c r="G306" s="4"/>
      <c r="H306" s="5" t="s">
        <v>549</v>
      </c>
      <c r="I306" s="4" t="s">
        <v>2724</v>
      </c>
      <c r="J306" s="4" t="s">
        <v>542</v>
      </c>
      <c r="K306" s="4" t="s">
        <v>2308</v>
      </c>
      <c r="L306" s="4" t="s">
        <v>545</v>
      </c>
      <c r="M306" s="4" t="s">
        <v>2308</v>
      </c>
      <c r="N306" s="4" t="s">
        <v>2308</v>
      </c>
      <c r="O306" s="4" t="s">
        <v>2308</v>
      </c>
      <c r="P306" s="4" t="s">
        <v>2308</v>
      </c>
      <c r="Q306" s="4" t="s">
        <v>2308</v>
      </c>
      <c r="R306" s="4" t="s">
        <v>542</v>
      </c>
      <c r="S306" s="4" t="s">
        <v>542</v>
      </c>
      <c r="T306" s="4" t="s">
        <v>2308</v>
      </c>
      <c r="U306" s="4" t="s">
        <v>2308</v>
      </c>
      <c r="V306" s="4" t="s">
        <v>2308</v>
      </c>
      <c r="W306" s="5" t="s">
        <v>2729</v>
      </c>
    </row>
    <row r="307" spans="1:23" ht="72" customHeight="1">
      <c r="A307" s="20" t="s">
        <v>2658</v>
      </c>
      <c r="B307" s="20" t="s">
        <v>2733</v>
      </c>
      <c r="C307" s="24" t="s">
        <v>24</v>
      </c>
      <c r="D307" s="4" t="s">
        <v>84</v>
      </c>
      <c r="E307" s="4" t="s">
        <v>149</v>
      </c>
      <c r="F307" s="12" t="s">
        <v>74</v>
      </c>
      <c r="G307" s="4"/>
      <c r="H307" s="5" t="s">
        <v>549</v>
      </c>
      <c r="I307" s="4" t="s">
        <v>2308</v>
      </c>
      <c r="J307" s="4" t="s">
        <v>2308</v>
      </c>
      <c r="K307" s="4" t="s">
        <v>2308</v>
      </c>
      <c r="L307" s="4" t="s">
        <v>2308</v>
      </c>
      <c r="M307" s="4" t="s">
        <v>2702</v>
      </c>
      <c r="N307" s="4" t="s">
        <v>2308</v>
      </c>
      <c r="O307" s="4" t="s">
        <v>542</v>
      </c>
      <c r="P307" s="4" t="s">
        <v>2308</v>
      </c>
      <c r="Q307" s="4" t="s">
        <v>2308</v>
      </c>
      <c r="R307" s="4" t="s">
        <v>545</v>
      </c>
      <c r="S307" s="4" t="s">
        <v>545</v>
      </c>
      <c r="T307" s="4" t="s">
        <v>545</v>
      </c>
      <c r="U307" s="4" t="s">
        <v>545</v>
      </c>
      <c r="V307" s="4" t="s">
        <v>2308</v>
      </c>
      <c r="W307" s="5" t="s">
        <v>2732</v>
      </c>
    </row>
    <row r="308" spans="1:23" ht="59" customHeight="1">
      <c r="A308" s="20" t="s">
        <v>2711</v>
      </c>
      <c r="B308" s="20" t="s">
        <v>2714</v>
      </c>
      <c r="C308" s="24" t="s">
        <v>24</v>
      </c>
      <c r="D308" s="4" t="s">
        <v>84</v>
      </c>
      <c r="E308" s="4" t="s">
        <v>149</v>
      </c>
      <c r="F308" s="12" t="s">
        <v>74</v>
      </c>
      <c r="G308" s="4"/>
      <c r="H308" s="5" t="s">
        <v>549</v>
      </c>
      <c r="I308" s="4" t="s">
        <v>2308</v>
      </c>
      <c r="J308" s="4" t="s">
        <v>2308</v>
      </c>
      <c r="K308" s="4" t="s">
        <v>2308</v>
      </c>
      <c r="L308" s="4" t="s">
        <v>2308</v>
      </c>
      <c r="M308" s="4" t="s">
        <v>2702</v>
      </c>
      <c r="N308" s="4" t="s">
        <v>2308</v>
      </c>
      <c r="O308" s="4" t="s">
        <v>542</v>
      </c>
      <c r="P308" s="4" t="s">
        <v>2308</v>
      </c>
      <c r="Q308" s="4" t="s">
        <v>2308</v>
      </c>
      <c r="R308" s="4" t="s">
        <v>545</v>
      </c>
      <c r="S308" s="4" t="s">
        <v>545</v>
      </c>
      <c r="T308" s="4" t="s">
        <v>545</v>
      </c>
      <c r="U308" s="4" t="s">
        <v>545</v>
      </c>
      <c r="V308" s="4" t="s">
        <v>2308</v>
      </c>
      <c r="W308" s="5" t="s">
        <v>2732</v>
      </c>
    </row>
    <row r="309" spans="1:23" ht="60" customHeight="1">
      <c r="A309" s="20" t="s">
        <v>2711</v>
      </c>
      <c r="B309" s="20" t="s">
        <v>2734</v>
      </c>
      <c r="C309" s="24" t="s">
        <v>24</v>
      </c>
      <c r="D309" s="4" t="s">
        <v>136</v>
      </c>
      <c r="E309" s="4" t="s">
        <v>27</v>
      </c>
      <c r="F309" s="12" t="s">
        <v>74</v>
      </c>
      <c r="G309" s="4"/>
      <c r="H309" s="5" t="s">
        <v>549</v>
      </c>
      <c r="I309" s="4" t="s">
        <v>2308</v>
      </c>
      <c r="J309" s="4" t="s">
        <v>2308</v>
      </c>
      <c r="K309" s="4" t="s">
        <v>2308</v>
      </c>
      <c r="L309" s="4" t="s">
        <v>2308</v>
      </c>
      <c r="M309" s="4" t="s">
        <v>2308</v>
      </c>
      <c r="N309" s="4" t="s">
        <v>2308</v>
      </c>
      <c r="O309" s="4" t="s">
        <v>2308</v>
      </c>
      <c r="P309" s="4" t="s">
        <v>2308</v>
      </c>
      <c r="Q309" s="4" t="s">
        <v>2308</v>
      </c>
      <c r="R309" s="4" t="s">
        <v>542</v>
      </c>
      <c r="S309" s="4" t="s">
        <v>542</v>
      </c>
      <c r="T309" s="4" t="s">
        <v>2308</v>
      </c>
      <c r="U309" s="4" t="s">
        <v>2308</v>
      </c>
      <c r="V309" s="4" t="s">
        <v>2308</v>
      </c>
      <c r="W309" s="5" t="s">
        <v>2735</v>
      </c>
    </row>
    <row r="310" spans="1:23" ht="55.5" customHeight="1">
      <c r="A310" s="20" t="s">
        <v>2715</v>
      </c>
      <c r="B310" s="20" t="s">
        <v>2718</v>
      </c>
      <c r="C310" s="24" t="s">
        <v>24</v>
      </c>
      <c r="D310" s="4" t="s">
        <v>84</v>
      </c>
      <c r="E310" s="4" t="s">
        <v>149</v>
      </c>
      <c r="F310" s="12" t="s">
        <v>74</v>
      </c>
      <c r="G310" s="4"/>
      <c r="H310" s="5" t="s">
        <v>549</v>
      </c>
      <c r="I310" s="4" t="s">
        <v>2308</v>
      </c>
      <c r="J310" s="4" t="s">
        <v>2308</v>
      </c>
      <c r="K310" s="4" t="s">
        <v>2308</v>
      </c>
      <c r="L310" s="4" t="s">
        <v>2308</v>
      </c>
      <c r="M310" s="4" t="s">
        <v>2702</v>
      </c>
      <c r="N310" s="4" t="s">
        <v>2308</v>
      </c>
      <c r="O310" s="4" t="s">
        <v>542</v>
      </c>
      <c r="P310" s="4" t="s">
        <v>2308</v>
      </c>
      <c r="Q310" s="4" t="s">
        <v>2308</v>
      </c>
      <c r="R310" s="4" t="s">
        <v>545</v>
      </c>
      <c r="S310" s="4" t="s">
        <v>545</v>
      </c>
      <c r="T310" s="4" t="s">
        <v>545</v>
      </c>
      <c r="U310" s="4" t="s">
        <v>545</v>
      </c>
      <c r="V310" s="4" t="s">
        <v>2308</v>
      </c>
      <c r="W310" s="5" t="s">
        <v>2732</v>
      </c>
    </row>
    <row r="311" spans="1:23" ht="54.5" customHeight="1">
      <c r="A311" s="20" t="s">
        <v>2715</v>
      </c>
      <c r="B311" s="20" t="s">
        <v>2736</v>
      </c>
      <c r="C311" s="24" t="s">
        <v>24</v>
      </c>
      <c r="D311" s="4" t="s">
        <v>136</v>
      </c>
      <c r="E311" s="4" t="s">
        <v>27</v>
      </c>
      <c r="F311" s="12" t="s">
        <v>74</v>
      </c>
      <c r="G311" s="4"/>
      <c r="H311" s="5" t="s">
        <v>549</v>
      </c>
      <c r="I311" s="4" t="s">
        <v>2308</v>
      </c>
      <c r="J311" s="4" t="s">
        <v>2308</v>
      </c>
      <c r="K311" s="4" t="s">
        <v>2308</v>
      </c>
      <c r="L311" s="4" t="s">
        <v>2308</v>
      </c>
      <c r="M311" s="4" t="s">
        <v>2308</v>
      </c>
      <c r="N311" s="4" t="s">
        <v>2308</v>
      </c>
      <c r="O311" s="4" t="s">
        <v>2308</v>
      </c>
      <c r="P311" s="4" t="s">
        <v>2308</v>
      </c>
      <c r="Q311" s="4" t="s">
        <v>2308</v>
      </c>
      <c r="R311" s="4" t="s">
        <v>542</v>
      </c>
      <c r="S311" s="4" t="s">
        <v>542</v>
      </c>
      <c r="T311" s="4" t="s">
        <v>2308</v>
      </c>
      <c r="U311" s="4" t="s">
        <v>2308</v>
      </c>
      <c r="V311" s="4" t="s">
        <v>2308</v>
      </c>
      <c r="W311" s="5" t="s">
        <v>2735</v>
      </c>
    </row>
    <row r="312" spans="1:23" ht="49.5" customHeight="1">
      <c r="A312" s="4" t="s">
        <v>2740</v>
      </c>
      <c r="B312" s="4" t="s">
        <v>2754</v>
      </c>
      <c r="C312" s="4" t="s">
        <v>24</v>
      </c>
      <c r="D312" s="4" t="s">
        <v>1125</v>
      </c>
      <c r="E312" s="4" t="s">
        <v>1125</v>
      </c>
      <c r="F312" s="12" t="s">
        <v>74</v>
      </c>
      <c r="G312" s="4"/>
      <c r="H312" s="5" t="s">
        <v>549</v>
      </c>
      <c r="I312" s="4" t="s">
        <v>2308</v>
      </c>
      <c r="J312" s="4" t="s">
        <v>2308</v>
      </c>
      <c r="K312" s="4" t="s">
        <v>2308</v>
      </c>
      <c r="L312" s="4" t="s">
        <v>2308</v>
      </c>
      <c r="M312" s="4" t="s">
        <v>2761</v>
      </c>
      <c r="N312" s="4" t="s">
        <v>2308</v>
      </c>
      <c r="O312" s="4" t="s">
        <v>2308</v>
      </c>
      <c r="P312" s="4" t="s">
        <v>2308</v>
      </c>
      <c r="Q312" s="4">
        <v>4</v>
      </c>
      <c r="R312" s="4" t="s">
        <v>2308</v>
      </c>
      <c r="S312" s="4" t="s">
        <v>2308</v>
      </c>
      <c r="T312" s="4" t="s">
        <v>2308</v>
      </c>
      <c r="U312" s="4" t="s">
        <v>2308</v>
      </c>
      <c r="V312" s="4" t="s">
        <v>2308</v>
      </c>
      <c r="W312" s="5" t="s">
        <v>2774</v>
      </c>
    </row>
    <row r="313" spans="1:23" ht="49.5" customHeight="1">
      <c r="A313" s="4" t="s">
        <v>2740</v>
      </c>
      <c r="B313" s="4" t="s">
        <v>2755</v>
      </c>
      <c r="C313" s="4" t="s">
        <v>24</v>
      </c>
      <c r="D313" s="4" t="s">
        <v>136</v>
      </c>
      <c r="E313" s="4" t="s">
        <v>27</v>
      </c>
      <c r="F313" s="12" t="s">
        <v>74</v>
      </c>
      <c r="G313" s="4"/>
      <c r="H313" s="5" t="s">
        <v>2756</v>
      </c>
      <c r="I313" s="4" t="s">
        <v>542</v>
      </c>
      <c r="J313" s="4" t="s">
        <v>2308</v>
      </c>
      <c r="K313" s="4" t="s">
        <v>542</v>
      </c>
      <c r="L313" s="4" t="s">
        <v>2308</v>
      </c>
      <c r="M313" s="4" t="s">
        <v>2308</v>
      </c>
      <c r="N313" s="4" t="s">
        <v>2308</v>
      </c>
      <c r="O313" s="4" t="s">
        <v>2308</v>
      </c>
      <c r="P313" s="4" t="s">
        <v>2308</v>
      </c>
      <c r="Q313" s="4" t="s">
        <v>2308</v>
      </c>
      <c r="R313" s="4" t="s">
        <v>2308</v>
      </c>
      <c r="S313" s="4" t="s">
        <v>2308</v>
      </c>
      <c r="T313" s="4" t="s">
        <v>2308</v>
      </c>
      <c r="U313" s="4" t="s">
        <v>2308</v>
      </c>
      <c r="V313" s="4" t="s">
        <v>2308</v>
      </c>
      <c r="W313" s="5" t="s">
        <v>2759</v>
      </c>
    </row>
    <row r="314" spans="1:23" ht="91" customHeight="1">
      <c r="A314" s="20" t="s">
        <v>2741</v>
      </c>
      <c r="B314" s="20" t="s">
        <v>2753</v>
      </c>
      <c r="C314" s="4" t="s">
        <v>24</v>
      </c>
      <c r="D314" s="4" t="s">
        <v>1125</v>
      </c>
      <c r="E314" s="4" t="s">
        <v>1125</v>
      </c>
      <c r="F314" s="12" t="s">
        <v>74</v>
      </c>
      <c r="G314" s="4"/>
      <c r="H314" s="5" t="s">
        <v>549</v>
      </c>
      <c r="I314" s="4" t="s">
        <v>2723</v>
      </c>
      <c r="J314" s="4" t="s">
        <v>542</v>
      </c>
      <c r="K314" s="4" t="s">
        <v>542</v>
      </c>
      <c r="L314" s="4" t="s">
        <v>2308</v>
      </c>
      <c r="M314" s="4" t="s">
        <v>2761</v>
      </c>
      <c r="N314" s="4" t="s">
        <v>2308</v>
      </c>
      <c r="O314" s="4" t="s">
        <v>2308</v>
      </c>
      <c r="P314" s="4" t="s">
        <v>2308</v>
      </c>
      <c r="Q314" s="4">
        <v>4</v>
      </c>
      <c r="R314" s="4" t="s">
        <v>2308</v>
      </c>
      <c r="S314" s="4" t="s">
        <v>2308</v>
      </c>
      <c r="T314" s="4" t="s">
        <v>2308</v>
      </c>
      <c r="U314" s="4" t="s">
        <v>2308</v>
      </c>
      <c r="V314" s="4" t="s">
        <v>2308</v>
      </c>
      <c r="W314" s="5" t="s">
        <v>2775</v>
      </c>
    </row>
    <row r="315" spans="1:23" ht="79" customHeight="1">
      <c r="A315" s="20" t="s">
        <v>2741</v>
      </c>
      <c r="B315" s="20" t="s">
        <v>2760</v>
      </c>
      <c r="C315" s="4" t="s">
        <v>24</v>
      </c>
      <c r="D315" s="4" t="s">
        <v>136</v>
      </c>
      <c r="E315" s="4" t="s">
        <v>27</v>
      </c>
      <c r="F315" s="12" t="s">
        <v>74</v>
      </c>
      <c r="G315" s="4"/>
      <c r="H315" s="5" t="s">
        <v>2706</v>
      </c>
      <c r="I315" s="4" t="s">
        <v>2723</v>
      </c>
      <c r="J315" s="4" t="s">
        <v>2308</v>
      </c>
      <c r="K315" s="4" t="s">
        <v>542</v>
      </c>
      <c r="L315" s="4" t="s">
        <v>2308</v>
      </c>
      <c r="M315" s="4" t="s">
        <v>2761</v>
      </c>
      <c r="N315" s="4" t="s">
        <v>2308</v>
      </c>
      <c r="O315" s="4" t="s">
        <v>2308</v>
      </c>
      <c r="P315" s="4" t="s">
        <v>2308</v>
      </c>
      <c r="Q315" s="4" t="s">
        <v>2308</v>
      </c>
      <c r="R315" s="4" t="s">
        <v>2308</v>
      </c>
      <c r="S315" s="4" t="s">
        <v>2308</v>
      </c>
      <c r="T315" s="4" t="s">
        <v>2308</v>
      </c>
      <c r="U315" s="4" t="s">
        <v>2308</v>
      </c>
      <c r="V315" s="4" t="s">
        <v>2308</v>
      </c>
      <c r="W315" s="5" t="s">
        <v>2762</v>
      </c>
    </row>
    <row r="316" spans="1:23" ht="65" customHeight="1">
      <c r="A316" s="4" t="s">
        <v>2742</v>
      </c>
      <c r="B316" s="4" t="s">
        <v>2749</v>
      </c>
      <c r="C316" s="4" t="s">
        <v>24</v>
      </c>
      <c r="D316" s="4" t="s">
        <v>1125</v>
      </c>
      <c r="E316" s="4" t="s">
        <v>1125</v>
      </c>
      <c r="F316" s="12" t="s">
        <v>74</v>
      </c>
      <c r="G316" s="4"/>
      <c r="H316" s="5" t="s">
        <v>549</v>
      </c>
      <c r="I316" s="4" t="s">
        <v>2308</v>
      </c>
      <c r="J316" s="4" t="s">
        <v>2308</v>
      </c>
      <c r="K316" s="4" t="s">
        <v>2308</v>
      </c>
      <c r="L316" s="4" t="s">
        <v>2308</v>
      </c>
      <c r="M316" s="4" t="s">
        <v>2761</v>
      </c>
      <c r="N316" s="4" t="s">
        <v>2308</v>
      </c>
      <c r="O316" s="4" t="s">
        <v>2308</v>
      </c>
      <c r="P316" s="4" t="s">
        <v>2308</v>
      </c>
      <c r="Q316" s="4">
        <v>4</v>
      </c>
      <c r="R316" s="4" t="s">
        <v>2308</v>
      </c>
      <c r="S316" s="4" t="s">
        <v>2308</v>
      </c>
      <c r="T316" s="4" t="s">
        <v>2308</v>
      </c>
      <c r="U316" s="4" t="s">
        <v>2308</v>
      </c>
      <c r="V316" s="4" t="s">
        <v>2308</v>
      </c>
      <c r="W316" s="5" t="s">
        <v>2774</v>
      </c>
    </row>
    <row r="317" spans="1:23" ht="56" customHeight="1">
      <c r="A317" s="4" t="s">
        <v>2742</v>
      </c>
      <c r="B317" s="4" t="s">
        <v>2763</v>
      </c>
      <c r="C317" s="4" t="s">
        <v>24</v>
      </c>
      <c r="D317" s="5" t="s">
        <v>84</v>
      </c>
      <c r="E317" s="4" t="s">
        <v>1125</v>
      </c>
      <c r="F317" s="12" t="s">
        <v>1125</v>
      </c>
      <c r="G317" s="4"/>
      <c r="H317" s="5" t="s">
        <v>2706</v>
      </c>
      <c r="I317" s="4" t="s">
        <v>2308</v>
      </c>
      <c r="J317" s="4" t="s">
        <v>2308</v>
      </c>
      <c r="K317" s="4" t="s">
        <v>2308</v>
      </c>
      <c r="L317" s="4" t="s">
        <v>2308</v>
      </c>
      <c r="M317" s="4" t="s">
        <v>2308</v>
      </c>
      <c r="N317" s="4" t="s">
        <v>2308</v>
      </c>
      <c r="O317" s="4" t="s">
        <v>2308</v>
      </c>
      <c r="P317" s="4" t="s">
        <v>2308</v>
      </c>
      <c r="Q317" s="4" t="s">
        <v>2308</v>
      </c>
      <c r="R317" s="4" t="s">
        <v>542</v>
      </c>
      <c r="S317" s="4" t="s">
        <v>2308</v>
      </c>
      <c r="T317" s="4" t="s">
        <v>542</v>
      </c>
      <c r="U317" s="4" t="s">
        <v>2308</v>
      </c>
      <c r="V317" s="4">
        <v>4</v>
      </c>
      <c r="W317" s="5" t="s">
        <v>2772</v>
      </c>
    </row>
    <row r="318" spans="1:23" ht="56" customHeight="1">
      <c r="A318" s="4" t="s">
        <v>2742</v>
      </c>
      <c r="B318" s="4" t="s">
        <v>2768</v>
      </c>
      <c r="C318" s="4" t="s">
        <v>24</v>
      </c>
      <c r="D318" s="5" t="s">
        <v>84</v>
      </c>
      <c r="E318" s="4" t="s">
        <v>27</v>
      </c>
      <c r="F318" s="12" t="s">
        <v>28</v>
      </c>
      <c r="G318" s="4"/>
      <c r="H318" s="5" t="s">
        <v>2706</v>
      </c>
      <c r="I318" s="4" t="s">
        <v>2723</v>
      </c>
      <c r="J318" s="4" t="s">
        <v>542</v>
      </c>
      <c r="K318" s="4" t="s">
        <v>2308</v>
      </c>
      <c r="L318" s="4" t="s">
        <v>2308</v>
      </c>
      <c r="M318" s="4" t="s">
        <v>2308</v>
      </c>
      <c r="N318" s="4" t="s">
        <v>2308</v>
      </c>
      <c r="O318" s="4" t="s">
        <v>2308</v>
      </c>
      <c r="P318" s="4" t="s">
        <v>2308</v>
      </c>
      <c r="Q318" s="4" t="s">
        <v>2308</v>
      </c>
      <c r="R318" s="4" t="s">
        <v>2308</v>
      </c>
      <c r="S318" s="4" t="s">
        <v>2308</v>
      </c>
      <c r="T318" s="4" t="s">
        <v>2308</v>
      </c>
      <c r="U318" s="4" t="s">
        <v>2308</v>
      </c>
      <c r="V318" s="4" t="s">
        <v>2308</v>
      </c>
      <c r="W318" s="5" t="s">
        <v>2771</v>
      </c>
    </row>
    <row r="319" spans="1:23" ht="47" customHeight="1">
      <c r="A319" s="4" t="s">
        <v>2742</v>
      </c>
      <c r="B319" s="4" t="s">
        <v>2770</v>
      </c>
      <c r="C319" s="4" t="s">
        <v>24</v>
      </c>
      <c r="D319" s="4" t="s">
        <v>136</v>
      </c>
      <c r="E319" s="4" t="s">
        <v>27</v>
      </c>
      <c r="F319" s="12" t="s">
        <v>1125</v>
      </c>
      <c r="G319" s="4"/>
      <c r="H319" s="5" t="s">
        <v>2706</v>
      </c>
      <c r="I319" s="4" t="s">
        <v>2308</v>
      </c>
      <c r="J319" s="4" t="s">
        <v>2308</v>
      </c>
      <c r="K319" s="4" t="s">
        <v>2308</v>
      </c>
      <c r="L319" s="4" t="s">
        <v>2308</v>
      </c>
      <c r="M319" s="4" t="s">
        <v>2308</v>
      </c>
      <c r="N319" s="4" t="s">
        <v>2308</v>
      </c>
      <c r="O319" s="4" t="s">
        <v>2308</v>
      </c>
      <c r="P319" s="4" t="s">
        <v>2308</v>
      </c>
      <c r="Q319" s="4" t="s">
        <v>2308</v>
      </c>
      <c r="R319" s="4" t="s">
        <v>542</v>
      </c>
      <c r="S319" s="4" t="s">
        <v>2308</v>
      </c>
      <c r="T319" s="4" t="s">
        <v>542</v>
      </c>
      <c r="U319" s="4" t="s">
        <v>2308</v>
      </c>
      <c r="V319" s="4">
        <v>1</v>
      </c>
      <c r="W319" s="5" t="s">
        <v>2769</v>
      </c>
    </row>
    <row r="320" spans="1:23" ht="136" customHeight="1">
      <c r="A320" s="4" t="s">
        <v>2802</v>
      </c>
      <c r="B320" s="12" t="s">
        <v>2803</v>
      </c>
      <c r="C320" s="12" t="s">
        <v>24</v>
      </c>
      <c r="D320" s="4" t="s">
        <v>136</v>
      </c>
      <c r="E320" s="4" t="s">
        <v>27</v>
      </c>
      <c r="F320" s="4" t="s">
        <v>74</v>
      </c>
      <c r="G320" s="4"/>
      <c r="H320" s="5" t="s">
        <v>549</v>
      </c>
      <c r="I320" s="4" t="s">
        <v>2723</v>
      </c>
      <c r="J320" s="4" t="s">
        <v>542</v>
      </c>
      <c r="K320" s="4" t="s">
        <v>542</v>
      </c>
      <c r="L320" s="4" t="s">
        <v>2308</v>
      </c>
      <c r="M320" s="4" t="s">
        <v>2702</v>
      </c>
      <c r="N320" s="4" t="s">
        <v>2308</v>
      </c>
      <c r="O320" s="4" t="s">
        <v>542</v>
      </c>
      <c r="P320" s="4" t="s">
        <v>2308</v>
      </c>
      <c r="Q320" s="4" t="s">
        <v>2308</v>
      </c>
      <c r="R320" s="4" t="s">
        <v>542</v>
      </c>
      <c r="S320" s="4" t="s">
        <v>542</v>
      </c>
      <c r="T320" s="4" t="s">
        <v>542</v>
      </c>
      <c r="U320" s="4"/>
      <c r="V320" s="4">
        <v>1</v>
      </c>
      <c r="W320" s="20" t="s">
        <v>2821</v>
      </c>
    </row>
    <row r="321" spans="1:23" ht="63" customHeight="1">
      <c r="A321" s="4" t="s">
        <v>2802</v>
      </c>
      <c r="B321" s="12" t="s">
        <v>2804</v>
      </c>
      <c r="C321" s="12" t="s">
        <v>24</v>
      </c>
      <c r="D321" s="4" t="s">
        <v>136</v>
      </c>
      <c r="E321" s="4" t="s">
        <v>27</v>
      </c>
      <c r="F321" s="4" t="s">
        <v>74</v>
      </c>
      <c r="G321" s="4"/>
      <c r="H321" s="5" t="s">
        <v>2706</v>
      </c>
      <c r="I321" s="4" t="s">
        <v>2308</v>
      </c>
      <c r="J321" s="4" t="s">
        <v>2308</v>
      </c>
      <c r="K321" s="4" t="s">
        <v>2308</v>
      </c>
      <c r="L321" s="4" t="s">
        <v>2308</v>
      </c>
      <c r="M321" s="4" t="s">
        <v>545</v>
      </c>
      <c r="N321" s="4" t="s">
        <v>545</v>
      </c>
      <c r="O321" s="4" t="s">
        <v>545</v>
      </c>
      <c r="P321" s="4" t="s">
        <v>545</v>
      </c>
      <c r="Q321" s="4" t="s">
        <v>545</v>
      </c>
      <c r="R321" s="4" t="s">
        <v>545</v>
      </c>
      <c r="S321" s="4" t="s">
        <v>545</v>
      </c>
      <c r="T321" s="4" t="s">
        <v>545</v>
      </c>
      <c r="U321" s="4" t="s">
        <v>545</v>
      </c>
      <c r="V321" s="4">
        <v>2</v>
      </c>
      <c r="W321" s="20" t="s">
        <v>2805</v>
      </c>
    </row>
    <row r="322" spans="1:23" ht="116">
      <c r="A322" s="4" t="s">
        <v>2806</v>
      </c>
      <c r="B322" s="12" t="s">
        <v>2816</v>
      </c>
      <c r="C322" s="12" t="s">
        <v>24</v>
      </c>
      <c r="D322" s="4" t="s">
        <v>136</v>
      </c>
      <c r="E322" s="4" t="s">
        <v>27</v>
      </c>
      <c r="F322" s="4" t="s">
        <v>74</v>
      </c>
      <c r="G322" s="4"/>
      <c r="H322" s="5" t="s">
        <v>549</v>
      </c>
      <c r="I322" s="4" t="s">
        <v>2723</v>
      </c>
      <c r="J322" s="4" t="s">
        <v>542</v>
      </c>
      <c r="K322" s="4" t="s">
        <v>542</v>
      </c>
      <c r="L322" s="4" t="s">
        <v>2308</v>
      </c>
      <c r="M322" s="4" t="s">
        <v>2702</v>
      </c>
      <c r="N322" s="4" t="s">
        <v>2308</v>
      </c>
      <c r="O322" s="4" t="s">
        <v>542</v>
      </c>
      <c r="P322" s="4" t="s">
        <v>2308</v>
      </c>
      <c r="Q322" s="4" t="s">
        <v>2308</v>
      </c>
      <c r="R322" s="4" t="s">
        <v>542</v>
      </c>
      <c r="S322" s="4" t="s">
        <v>542</v>
      </c>
      <c r="T322" s="4" t="s">
        <v>542</v>
      </c>
      <c r="U322" s="4"/>
      <c r="V322" s="4">
        <v>1</v>
      </c>
      <c r="W322" s="20" t="s">
        <v>2821</v>
      </c>
    </row>
    <row r="323" spans="1:23" ht="43.5" customHeight="1">
      <c r="A323" s="4" t="s">
        <v>2806</v>
      </c>
      <c r="B323" s="12" t="s">
        <v>2824</v>
      </c>
      <c r="C323" s="12" t="s">
        <v>24</v>
      </c>
      <c r="D323" s="4" t="s">
        <v>136</v>
      </c>
      <c r="E323" s="4" t="s">
        <v>27</v>
      </c>
      <c r="F323" s="4" t="s">
        <v>74</v>
      </c>
      <c r="G323" s="4"/>
      <c r="H323" s="5" t="s">
        <v>2706</v>
      </c>
      <c r="I323" s="4" t="s">
        <v>2308</v>
      </c>
      <c r="J323" s="4" t="s">
        <v>2308</v>
      </c>
      <c r="K323" s="4" t="s">
        <v>2308</v>
      </c>
      <c r="L323" s="4" t="s">
        <v>2308</v>
      </c>
      <c r="M323" s="4" t="s">
        <v>545</v>
      </c>
      <c r="N323" s="4" t="s">
        <v>545</v>
      </c>
      <c r="O323" s="4" t="s">
        <v>545</v>
      </c>
      <c r="P323" s="4" t="s">
        <v>545</v>
      </c>
      <c r="Q323" s="4" t="s">
        <v>545</v>
      </c>
      <c r="R323" s="4" t="s">
        <v>545</v>
      </c>
      <c r="S323" s="4" t="s">
        <v>545</v>
      </c>
      <c r="T323" s="4" t="s">
        <v>545</v>
      </c>
      <c r="U323" s="4" t="s">
        <v>545</v>
      </c>
      <c r="V323" s="4">
        <v>2</v>
      </c>
      <c r="W323" s="20" t="s">
        <v>2805</v>
      </c>
    </row>
    <row r="324" spans="1:23" ht="116">
      <c r="A324" s="4" t="s">
        <v>2807</v>
      </c>
      <c r="B324" s="12" t="s">
        <v>2817</v>
      </c>
      <c r="C324" s="12" t="s">
        <v>24</v>
      </c>
      <c r="D324" s="4" t="s">
        <v>136</v>
      </c>
      <c r="E324" s="4" t="s">
        <v>27</v>
      </c>
      <c r="F324" s="4" t="s">
        <v>74</v>
      </c>
      <c r="G324" s="4"/>
      <c r="H324" s="5" t="s">
        <v>549</v>
      </c>
      <c r="I324" s="4" t="s">
        <v>2723</v>
      </c>
      <c r="J324" s="4" t="s">
        <v>542</v>
      </c>
      <c r="K324" s="4" t="s">
        <v>542</v>
      </c>
      <c r="L324" s="4" t="s">
        <v>2308</v>
      </c>
      <c r="M324" s="4" t="s">
        <v>2702</v>
      </c>
      <c r="N324" s="4" t="s">
        <v>2308</v>
      </c>
      <c r="O324" s="4" t="s">
        <v>542</v>
      </c>
      <c r="P324" s="4" t="s">
        <v>2308</v>
      </c>
      <c r="Q324" s="4" t="s">
        <v>2308</v>
      </c>
      <c r="R324" s="4" t="s">
        <v>542</v>
      </c>
      <c r="S324" s="4" t="s">
        <v>542</v>
      </c>
      <c r="T324" s="4" t="s">
        <v>542</v>
      </c>
      <c r="U324" s="4" t="s">
        <v>2308</v>
      </c>
      <c r="V324" s="4">
        <v>1</v>
      </c>
      <c r="W324" s="20" t="s">
        <v>2821</v>
      </c>
    </row>
    <row r="325" spans="1:23" ht="53.5" customHeight="1">
      <c r="A325" s="4" t="s">
        <v>2807</v>
      </c>
      <c r="B325" s="12" t="s">
        <v>2825</v>
      </c>
      <c r="C325" s="12" t="s">
        <v>24</v>
      </c>
      <c r="D325" s="4" t="s">
        <v>136</v>
      </c>
      <c r="E325" s="4" t="s">
        <v>27</v>
      </c>
      <c r="F325" s="4" t="s">
        <v>74</v>
      </c>
      <c r="G325" s="4"/>
      <c r="H325" s="5" t="s">
        <v>2706</v>
      </c>
      <c r="I325" s="4" t="s">
        <v>2308</v>
      </c>
      <c r="J325" s="4" t="s">
        <v>2308</v>
      </c>
      <c r="K325" s="4" t="s">
        <v>2308</v>
      </c>
      <c r="L325" s="4" t="s">
        <v>2308</v>
      </c>
      <c r="M325" s="4" t="s">
        <v>545</v>
      </c>
      <c r="N325" s="4" t="s">
        <v>545</v>
      </c>
      <c r="O325" s="4" t="s">
        <v>545</v>
      </c>
      <c r="P325" s="4" t="s">
        <v>545</v>
      </c>
      <c r="Q325" s="4" t="s">
        <v>545</v>
      </c>
      <c r="R325" s="4" t="s">
        <v>545</v>
      </c>
      <c r="S325" s="4" t="s">
        <v>545</v>
      </c>
      <c r="T325" s="4" t="s">
        <v>545</v>
      </c>
      <c r="U325" s="4" t="s">
        <v>545</v>
      </c>
      <c r="V325" s="4">
        <v>2</v>
      </c>
      <c r="W325" s="20" t="s">
        <v>2805</v>
      </c>
    </row>
    <row r="326" spans="1:23" ht="145" customHeight="1">
      <c r="A326" s="4" t="s">
        <v>2808</v>
      </c>
      <c r="B326" s="4" t="s">
        <v>2818</v>
      </c>
      <c r="C326" s="12" t="s">
        <v>24</v>
      </c>
      <c r="D326" s="4" t="s">
        <v>136</v>
      </c>
      <c r="E326" s="4" t="s">
        <v>27</v>
      </c>
      <c r="F326" s="4" t="s">
        <v>74</v>
      </c>
      <c r="G326" s="4"/>
      <c r="H326" s="5" t="s">
        <v>549</v>
      </c>
      <c r="I326" s="4" t="s">
        <v>2723</v>
      </c>
      <c r="J326" s="4" t="s">
        <v>542</v>
      </c>
      <c r="K326" s="4" t="s">
        <v>542</v>
      </c>
      <c r="L326" s="4" t="s">
        <v>2308</v>
      </c>
      <c r="M326" s="4" t="s">
        <v>2702</v>
      </c>
      <c r="N326" s="4" t="s">
        <v>2308</v>
      </c>
      <c r="O326" s="4" t="s">
        <v>542</v>
      </c>
      <c r="P326" s="4" t="s">
        <v>2308</v>
      </c>
      <c r="Q326" s="4" t="s">
        <v>2308</v>
      </c>
      <c r="R326" s="4" t="s">
        <v>542</v>
      </c>
      <c r="S326" s="4" t="s">
        <v>542</v>
      </c>
      <c r="T326" s="4" t="s">
        <v>542</v>
      </c>
      <c r="U326" s="4" t="s">
        <v>2308</v>
      </c>
      <c r="V326" s="4">
        <v>1</v>
      </c>
      <c r="W326" s="20" t="s">
        <v>2821</v>
      </c>
    </row>
    <row r="327" spans="1:23" ht="56.5" customHeight="1">
      <c r="A327" s="4" t="s">
        <v>2808</v>
      </c>
      <c r="B327" s="12" t="s">
        <v>2826</v>
      </c>
      <c r="C327" s="12" t="s">
        <v>24</v>
      </c>
      <c r="D327" s="4" t="s">
        <v>136</v>
      </c>
      <c r="E327" s="4" t="s">
        <v>27</v>
      </c>
      <c r="F327" s="4" t="s">
        <v>74</v>
      </c>
      <c r="G327" s="4"/>
      <c r="H327" s="5" t="s">
        <v>2706</v>
      </c>
      <c r="I327" s="4" t="s">
        <v>2308</v>
      </c>
      <c r="J327" s="4" t="s">
        <v>2308</v>
      </c>
      <c r="K327" s="4" t="s">
        <v>2308</v>
      </c>
      <c r="L327" s="4" t="s">
        <v>2308</v>
      </c>
      <c r="M327" s="4" t="s">
        <v>545</v>
      </c>
      <c r="N327" s="4" t="s">
        <v>545</v>
      </c>
      <c r="O327" s="4" t="s">
        <v>545</v>
      </c>
      <c r="P327" s="4" t="s">
        <v>545</v>
      </c>
      <c r="Q327" s="4" t="s">
        <v>545</v>
      </c>
      <c r="R327" s="4" t="s">
        <v>545</v>
      </c>
      <c r="S327" s="4" t="s">
        <v>545</v>
      </c>
      <c r="T327" s="4" t="s">
        <v>545</v>
      </c>
      <c r="U327" s="4" t="s">
        <v>545</v>
      </c>
      <c r="V327" s="4">
        <v>2</v>
      </c>
      <c r="W327" s="20" t="s">
        <v>2805</v>
      </c>
    </row>
    <row r="328" spans="1:23" ht="116">
      <c r="A328" s="4" t="s">
        <v>2809</v>
      </c>
      <c r="B328" s="12" t="s">
        <v>2819</v>
      </c>
      <c r="C328" s="12" t="s">
        <v>24</v>
      </c>
      <c r="D328" s="4" t="s">
        <v>136</v>
      </c>
      <c r="E328" s="4" t="s">
        <v>27</v>
      </c>
      <c r="F328" s="4" t="s">
        <v>74</v>
      </c>
      <c r="G328" s="4"/>
      <c r="H328" s="5" t="s">
        <v>549</v>
      </c>
      <c r="I328" s="4" t="s">
        <v>2723</v>
      </c>
      <c r="J328" s="4" t="s">
        <v>542</v>
      </c>
      <c r="K328" s="4" t="s">
        <v>542</v>
      </c>
      <c r="L328" s="4" t="s">
        <v>2308</v>
      </c>
      <c r="M328" s="4" t="s">
        <v>2702</v>
      </c>
      <c r="N328" s="4" t="s">
        <v>2308</v>
      </c>
      <c r="O328" s="4" t="s">
        <v>542</v>
      </c>
      <c r="P328" s="4" t="s">
        <v>2308</v>
      </c>
      <c r="Q328" s="4" t="s">
        <v>2308</v>
      </c>
      <c r="R328" s="4" t="s">
        <v>542</v>
      </c>
      <c r="S328" s="4" t="s">
        <v>542</v>
      </c>
      <c r="T328" s="4" t="s">
        <v>542</v>
      </c>
      <c r="U328" s="4"/>
      <c r="V328" s="4">
        <v>1</v>
      </c>
      <c r="W328" s="20" t="s">
        <v>2821</v>
      </c>
    </row>
    <row r="329" spans="1:23" ht="50" customHeight="1">
      <c r="A329" s="4" t="s">
        <v>2809</v>
      </c>
      <c r="B329" s="12" t="s">
        <v>2827</v>
      </c>
      <c r="C329" s="12" t="s">
        <v>24</v>
      </c>
      <c r="D329" s="4" t="s">
        <v>136</v>
      </c>
      <c r="E329" s="4" t="s">
        <v>27</v>
      </c>
      <c r="F329" s="4" t="s">
        <v>74</v>
      </c>
      <c r="G329" s="4"/>
      <c r="H329" s="5" t="s">
        <v>2706</v>
      </c>
      <c r="I329" s="4" t="s">
        <v>2308</v>
      </c>
      <c r="J329" s="4" t="s">
        <v>2308</v>
      </c>
      <c r="K329" s="4" t="s">
        <v>2308</v>
      </c>
      <c r="L329" s="4" t="s">
        <v>2308</v>
      </c>
      <c r="M329" s="4" t="s">
        <v>545</v>
      </c>
      <c r="N329" s="4" t="s">
        <v>545</v>
      </c>
      <c r="O329" s="4" t="s">
        <v>545</v>
      </c>
      <c r="P329" s="4" t="s">
        <v>545</v>
      </c>
      <c r="Q329" s="4" t="s">
        <v>545</v>
      </c>
      <c r="R329" s="4" t="s">
        <v>545</v>
      </c>
      <c r="S329" s="4" t="s">
        <v>545</v>
      </c>
      <c r="T329" s="4" t="s">
        <v>545</v>
      </c>
      <c r="U329" s="4" t="s">
        <v>545</v>
      </c>
      <c r="V329" s="4">
        <v>2</v>
      </c>
      <c r="W329" s="20" t="s">
        <v>2805</v>
      </c>
    </row>
    <row r="330" spans="1:23" ht="64.5" customHeight="1">
      <c r="A330" s="12" t="s">
        <v>2829</v>
      </c>
      <c r="B330" s="12" t="s">
        <v>2834</v>
      </c>
      <c r="C330" s="12" t="s">
        <v>24</v>
      </c>
      <c r="D330" s="4" t="s">
        <v>5065</v>
      </c>
      <c r="E330" s="4" t="s">
        <v>1125</v>
      </c>
      <c r="F330" s="5" t="s">
        <v>55</v>
      </c>
      <c r="G330" s="4"/>
      <c r="H330" s="5" t="s">
        <v>549</v>
      </c>
      <c r="I330" s="4" t="s">
        <v>2723</v>
      </c>
      <c r="J330" s="4" t="s">
        <v>542</v>
      </c>
      <c r="K330" s="4" t="s">
        <v>2308</v>
      </c>
      <c r="L330" s="4" t="s">
        <v>2308</v>
      </c>
      <c r="M330" s="4" t="s">
        <v>2308</v>
      </c>
      <c r="N330" s="4" t="s">
        <v>2308</v>
      </c>
      <c r="O330" s="4" t="s">
        <v>2308</v>
      </c>
      <c r="P330" s="4" t="s">
        <v>2308</v>
      </c>
      <c r="Q330" s="4" t="s">
        <v>2308</v>
      </c>
      <c r="R330" s="4" t="s">
        <v>542</v>
      </c>
      <c r="S330" s="4" t="s">
        <v>542</v>
      </c>
      <c r="T330" s="4" t="s">
        <v>2308</v>
      </c>
      <c r="U330" s="4" t="s">
        <v>2308</v>
      </c>
      <c r="V330" s="4">
        <v>5</v>
      </c>
      <c r="W330" s="5" t="s">
        <v>2841</v>
      </c>
    </row>
    <row r="331" spans="1:23" ht="94" customHeight="1">
      <c r="A331" s="12" t="s">
        <v>2829</v>
      </c>
      <c r="B331" s="12" t="s">
        <v>2840</v>
      </c>
      <c r="C331" s="12" t="s">
        <v>24</v>
      </c>
      <c r="D331" s="4" t="s">
        <v>5065</v>
      </c>
      <c r="E331" s="4" t="s">
        <v>1125</v>
      </c>
      <c r="F331" s="5" t="s">
        <v>2695</v>
      </c>
      <c r="G331" s="4"/>
      <c r="H331" s="5" t="s">
        <v>549</v>
      </c>
      <c r="I331" s="4" t="s">
        <v>2723</v>
      </c>
      <c r="J331" s="4" t="s">
        <v>542</v>
      </c>
      <c r="K331" s="4" t="s">
        <v>2308</v>
      </c>
      <c r="L331" s="4" t="s">
        <v>2308</v>
      </c>
      <c r="M331" s="4" t="s">
        <v>2308</v>
      </c>
      <c r="N331" s="4" t="s">
        <v>2308</v>
      </c>
      <c r="O331" s="4" t="s">
        <v>2308</v>
      </c>
      <c r="P331" s="4" t="s">
        <v>2308</v>
      </c>
      <c r="Q331" s="4" t="s">
        <v>2308</v>
      </c>
      <c r="R331" s="4" t="s">
        <v>542</v>
      </c>
      <c r="S331" s="4" t="s">
        <v>542</v>
      </c>
      <c r="T331" s="4" t="s">
        <v>2308</v>
      </c>
      <c r="U331" s="4" t="s">
        <v>2308</v>
      </c>
      <c r="V331" s="4">
        <v>5</v>
      </c>
      <c r="W331" s="5" t="s">
        <v>2842</v>
      </c>
    </row>
    <row r="332" spans="1:23" ht="97.5" customHeight="1">
      <c r="A332" s="12" t="s">
        <v>2832</v>
      </c>
      <c r="B332" s="12" t="s">
        <v>2835</v>
      </c>
      <c r="C332" s="12" t="s">
        <v>24</v>
      </c>
      <c r="D332" s="4" t="s">
        <v>5065</v>
      </c>
      <c r="E332" s="4" t="s">
        <v>1125</v>
      </c>
      <c r="F332" s="5" t="s">
        <v>55</v>
      </c>
      <c r="G332" s="4"/>
      <c r="H332" s="5" t="s">
        <v>549</v>
      </c>
      <c r="I332" s="4" t="s">
        <v>2723</v>
      </c>
      <c r="J332" s="4" t="s">
        <v>542</v>
      </c>
      <c r="K332" s="4" t="s">
        <v>2308</v>
      </c>
      <c r="L332" s="4" t="s">
        <v>2308</v>
      </c>
      <c r="M332" s="4" t="s">
        <v>2308</v>
      </c>
      <c r="N332" s="4" t="s">
        <v>2308</v>
      </c>
      <c r="O332" s="4" t="s">
        <v>2308</v>
      </c>
      <c r="P332" s="4" t="s">
        <v>2308</v>
      </c>
      <c r="Q332" s="4" t="s">
        <v>2308</v>
      </c>
      <c r="R332" s="4" t="s">
        <v>542</v>
      </c>
      <c r="S332" s="4" t="s">
        <v>542</v>
      </c>
      <c r="T332" s="4" t="s">
        <v>2308</v>
      </c>
      <c r="U332" s="4" t="s">
        <v>2308</v>
      </c>
      <c r="V332" s="4">
        <v>5</v>
      </c>
      <c r="W332" s="5" t="s">
        <v>2842</v>
      </c>
    </row>
    <row r="333" spans="1:23" ht="92.5" customHeight="1">
      <c r="A333" s="12" t="s">
        <v>2832</v>
      </c>
      <c r="B333" s="12" t="s">
        <v>2839</v>
      </c>
      <c r="C333" s="12" t="s">
        <v>24</v>
      </c>
      <c r="D333" s="4" t="s">
        <v>5065</v>
      </c>
      <c r="E333" s="4" t="s">
        <v>1125</v>
      </c>
      <c r="F333" s="5" t="s">
        <v>2695</v>
      </c>
      <c r="G333" s="4"/>
      <c r="H333" s="5" t="s">
        <v>549</v>
      </c>
      <c r="I333" s="4" t="s">
        <v>2723</v>
      </c>
      <c r="J333" s="4" t="s">
        <v>542</v>
      </c>
      <c r="K333" s="4" t="s">
        <v>2308</v>
      </c>
      <c r="L333" s="4" t="s">
        <v>2308</v>
      </c>
      <c r="M333" s="4" t="s">
        <v>2308</v>
      </c>
      <c r="N333" s="4" t="s">
        <v>2308</v>
      </c>
      <c r="O333" s="4" t="s">
        <v>2308</v>
      </c>
      <c r="P333" s="4" t="s">
        <v>2308</v>
      </c>
      <c r="Q333" s="4" t="s">
        <v>2308</v>
      </c>
      <c r="R333" s="4" t="s">
        <v>542</v>
      </c>
      <c r="S333" s="4" t="s">
        <v>542</v>
      </c>
      <c r="T333" s="4" t="s">
        <v>2308</v>
      </c>
      <c r="U333" s="4" t="s">
        <v>2308</v>
      </c>
      <c r="V333" s="4">
        <v>5</v>
      </c>
      <c r="W333" s="5" t="s">
        <v>2842</v>
      </c>
    </row>
    <row r="334" spans="1:23" ht="92.5" customHeight="1">
      <c r="A334" s="12" t="s">
        <v>2833</v>
      </c>
      <c r="B334" s="12" t="s">
        <v>2836</v>
      </c>
      <c r="C334" s="12" t="s">
        <v>24</v>
      </c>
      <c r="D334" s="4" t="s">
        <v>5065</v>
      </c>
      <c r="E334" s="4" t="s">
        <v>1125</v>
      </c>
      <c r="F334" s="5" t="s">
        <v>55</v>
      </c>
      <c r="G334" s="4"/>
      <c r="H334" s="5" t="s">
        <v>549</v>
      </c>
      <c r="I334" s="4" t="s">
        <v>2723</v>
      </c>
      <c r="J334" s="4" t="s">
        <v>542</v>
      </c>
      <c r="K334" s="4" t="s">
        <v>2308</v>
      </c>
      <c r="L334" s="4" t="s">
        <v>2308</v>
      </c>
      <c r="M334" s="4" t="s">
        <v>2308</v>
      </c>
      <c r="N334" s="4" t="s">
        <v>2308</v>
      </c>
      <c r="O334" s="4" t="s">
        <v>2308</v>
      </c>
      <c r="P334" s="4" t="s">
        <v>2308</v>
      </c>
      <c r="Q334" s="4" t="s">
        <v>2308</v>
      </c>
      <c r="R334" s="4" t="s">
        <v>542</v>
      </c>
      <c r="S334" s="4" t="s">
        <v>542</v>
      </c>
      <c r="T334" s="4" t="s">
        <v>2308</v>
      </c>
      <c r="U334" s="4" t="s">
        <v>2308</v>
      </c>
      <c r="V334" s="4">
        <v>5</v>
      </c>
      <c r="W334" s="5" t="s">
        <v>2842</v>
      </c>
    </row>
    <row r="335" spans="1:23" ht="96.5" customHeight="1">
      <c r="A335" s="12" t="s">
        <v>2833</v>
      </c>
      <c r="B335" s="12" t="s">
        <v>2838</v>
      </c>
      <c r="C335" s="12" t="s">
        <v>24</v>
      </c>
      <c r="D335" s="4" t="s">
        <v>5065</v>
      </c>
      <c r="E335" s="4" t="s">
        <v>1125</v>
      </c>
      <c r="F335" s="5" t="s">
        <v>2695</v>
      </c>
      <c r="G335" s="4"/>
      <c r="H335" s="5" t="s">
        <v>549</v>
      </c>
      <c r="I335" s="4" t="s">
        <v>2723</v>
      </c>
      <c r="J335" s="4" t="s">
        <v>542</v>
      </c>
      <c r="K335" s="4" t="s">
        <v>2308</v>
      </c>
      <c r="L335" s="4" t="s">
        <v>2308</v>
      </c>
      <c r="M335" s="4" t="s">
        <v>2308</v>
      </c>
      <c r="N335" s="4" t="s">
        <v>2308</v>
      </c>
      <c r="O335" s="4" t="s">
        <v>2308</v>
      </c>
      <c r="P335" s="4" t="s">
        <v>2308</v>
      </c>
      <c r="Q335" s="4" t="s">
        <v>2308</v>
      </c>
      <c r="R335" s="4" t="s">
        <v>542</v>
      </c>
      <c r="S335" s="4" t="s">
        <v>542</v>
      </c>
      <c r="T335" s="4" t="s">
        <v>2308</v>
      </c>
      <c r="U335" s="4" t="s">
        <v>2308</v>
      </c>
      <c r="V335" s="4">
        <v>5</v>
      </c>
      <c r="W335" s="5" t="s">
        <v>2842</v>
      </c>
    </row>
    <row r="336" spans="1:23" ht="50" customHeight="1">
      <c r="A336" s="12" t="s">
        <v>2843</v>
      </c>
      <c r="B336" s="12" t="s">
        <v>2856</v>
      </c>
      <c r="C336" s="12" t="s">
        <v>24</v>
      </c>
      <c r="D336" s="4" t="s">
        <v>5065</v>
      </c>
      <c r="E336" s="4" t="s">
        <v>1125</v>
      </c>
      <c r="F336" s="5" t="s">
        <v>55</v>
      </c>
      <c r="G336" s="4"/>
      <c r="H336" s="5" t="s">
        <v>549</v>
      </c>
      <c r="I336" s="4" t="s">
        <v>2308</v>
      </c>
      <c r="J336" s="4" t="s">
        <v>2308</v>
      </c>
      <c r="K336" s="4" t="s">
        <v>2308</v>
      </c>
      <c r="L336" s="4" t="s">
        <v>2308</v>
      </c>
      <c r="M336" s="4" t="s">
        <v>2308</v>
      </c>
      <c r="N336" s="4" t="s">
        <v>2308</v>
      </c>
      <c r="O336" s="4" t="s">
        <v>2308</v>
      </c>
      <c r="P336" s="4" t="s">
        <v>2308</v>
      </c>
      <c r="Q336" s="4" t="s">
        <v>2308</v>
      </c>
      <c r="R336" s="4" t="s">
        <v>542</v>
      </c>
      <c r="S336" s="4" t="s">
        <v>542</v>
      </c>
      <c r="T336" s="4" t="s">
        <v>2308</v>
      </c>
      <c r="U336" s="4" t="s">
        <v>2308</v>
      </c>
      <c r="V336" s="4">
        <v>5</v>
      </c>
      <c r="W336" s="20" t="s">
        <v>2868</v>
      </c>
    </row>
    <row r="337" spans="1:23" ht="49" customHeight="1">
      <c r="A337" s="12" t="s">
        <v>2843</v>
      </c>
      <c r="B337" s="12" t="s">
        <v>2857</v>
      </c>
      <c r="C337" s="12" t="s">
        <v>24</v>
      </c>
      <c r="D337" s="4" t="s">
        <v>5065</v>
      </c>
      <c r="E337" s="4" t="s">
        <v>1125</v>
      </c>
      <c r="F337" s="5" t="s">
        <v>2695</v>
      </c>
      <c r="G337" s="4"/>
      <c r="H337" s="5" t="s">
        <v>549</v>
      </c>
      <c r="I337" s="4" t="s">
        <v>2308</v>
      </c>
      <c r="J337" s="4" t="s">
        <v>2308</v>
      </c>
      <c r="K337" s="4" t="s">
        <v>2308</v>
      </c>
      <c r="L337" s="4" t="s">
        <v>2308</v>
      </c>
      <c r="M337" s="4" t="s">
        <v>2308</v>
      </c>
      <c r="N337" s="4" t="s">
        <v>2308</v>
      </c>
      <c r="O337" s="4" t="s">
        <v>2308</v>
      </c>
      <c r="P337" s="4" t="s">
        <v>2308</v>
      </c>
      <c r="Q337" s="4" t="s">
        <v>2308</v>
      </c>
      <c r="R337" s="4" t="s">
        <v>542</v>
      </c>
      <c r="S337" s="4" t="s">
        <v>542</v>
      </c>
      <c r="T337" s="4" t="s">
        <v>2308</v>
      </c>
      <c r="U337" s="4" t="s">
        <v>2308</v>
      </c>
      <c r="V337" s="4">
        <v>5</v>
      </c>
      <c r="W337" s="20" t="s">
        <v>2868</v>
      </c>
    </row>
    <row r="338" spans="1:23" ht="29">
      <c r="A338" s="12" t="s">
        <v>2844</v>
      </c>
      <c r="B338" s="12" t="s">
        <v>2858</v>
      </c>
      <c r="C338" s="12" t="s">
        <v>24</v>
      </c>
      <c r="D338" s="4" t="s">
        <v>5065</v>
      </c>
      <c r="E338" s="4" t="s">
        <v>1125</v>
      </c>
      <c r="F338" s="5" t="s">
        <v>55</v>
      </c>
      <c r="G338" s="4"/>
      <c r="H338" s="5" t="s">
        <v>549</v>
      </c>
      <c r="I338" s="4" t="s">
        <v>2308</v>
      </c>
      <c r="J338" s="4" t="s">
        <v>2308</v>
      </c>
      <c r="K338" s="4" t="s">
        <v>2308</v>
      </c>
      <c r="L338" s="4" t="s">
        <v>2308</v>
      </c>
      <c r="M338" s="4" t="s">
        <v>2308</v>
      </c>
      <c r="N338" s="4" t="s">
        <v>2308</v>
      </c>
      <c r="O338" s="4" t="s">
        <v>2308</v>
      </c>
      <c r="P338" s="4" t="s">
        <v>2308</v>
      </c>
      <c r="Q338" s="4" t="s">
        <v>2308</v>
      </c>
      <c r="R338" s="4" t="s">
        <v>542</v>
      </c>
      <c r="S338" s="4" t="s">
        <v>542</v>
      </c>
      <c r="T338" s="4" t="s">
        <v>2308</v>
      </c>
      <c r="U338" s="4" t="s">
        <v>2308</v>
      </c>
      <c r="V338" s="4">
        <v>5</v>
      </c>
      <c r="W338" s="20" t="s">
        <v>2868</v>
      </c>
    </row>
    <row r="339" spans="1:23" ht="29">
      <c r="A339" s="12" t="s">
        <v>2844</v>
      </c>
      <c r="B339" s="12" t="s">
        <v>2859</v>
      </c>
      <c r="C339" s="12" t="s">
        <v>24</v>
      </c>
      <c r="D339" s="4" t="s">
        <v>5065</v>
      </c>
      <c r="E339" s="4" t="s">
        <v>1125</v>
      </c>
      <c r="F339" s="5" t="s">
        <v>2695</v>
      </c>
      <c r="G339" s="4"/>
      <c r="H339" s="5" t="s">
        <v>549</v>
      </c>
      <c r="I339" s="4" t="s">
        <v>2308</v>
      </c>
      <c r="J339" s="4" t="s">
        <v>2308</v>
      </c>
      <c r="K339" s="4" t="s">
        <v>2308</v>
      </c>
      <c r="L339" s="4" t="s">
        <v>2308</v>
      </c>
      <c r="M339" s="4" t="s">
        <v>2308</v>
      </c>
      <c r="N339" s="4" t="s">
        <v>2308</v>
      </c>
      <c r="O339" s="4" t="s">
        <v>2308</v>
      </c>
      <c r="P339" s="4" t="s">
        <v>2308</v>
      </c>
      <c r="Q339" s="4" t="s">
        <v>2308</v>
      </c>
      <c r="R339" s="4" t="s">
        <v>542</v>
      </c>
      <c r="S339" s="4" t="s">
        <v>542</v>
      </c>
      <c r="T339" s="4" t="s">
        <v>2308</v>
      </c>
      <c r="U339" s="4" t="s">
        <v>2308</v>
      </c>
      <c r="V339" s="4">
        <v>5</v>
      </c>
      <c r="W339" s="20" t="s">
        <v>2868</v>
      </c>
    </row>
    <row r="340" spans="1:23" ht="29">
      <c r="A340" s="12" t="s">
        <v>2845</v>
      </c>
      <c r="B340" s="12" t="s">
        <v>2860</v>
      </c>
      <c r="C340" s="12" t="s">
        <v>24</v>
      </c>
      <c r="D340" s="4" t="s">
        <v>5065</v>
      </c>
      <c r="E340" s="4" t="s">
        <v>1125</v>
      </c>
      <c r="F340" s="5" t="s">
        <v>55</v>
      </c>
      <c r="G340" s="4"/>
      <c r="H340" s="5" t="s">
        <v>549</v>
      </c>
      <c r="I340" s="4" t="s">
        <v>2308</v>
      </c>
      <c r="J340" s="4" t="s">
        <v>2308</v>
      </c>
      <c r="K340" s="4" t="s">
        <v>2308</v>
      </c>
      <c r="L340" s="4" t="s">
        <v>2308</v>
      </c>
      <c r="M340" s="4" t="s">
        <v>2308</v>
      </c>
      <c r="N340" s="4" t="s">
        <v>2308</v>
      </c>
      <c r="O340" s="4" t="s">
        <v>2308</v>
      </c>
      <c r="P340" s="4" t="s">
        <v>2308</v>
      </c>
      <c r="Q340" s="4" t="s">
        <v>2308</v>
      </c>
      <c r="R340" s="4" t="s">
        <v>542</v>
      </c>
      <c r="S340" s="4" t="s">
        <v>542</v>
      </c>
      <c r="T340" s="4" t="s">
        <v>2308</v>
      </c>
      <c r="U340" s="4" t="s">
        <v>2308</v>
      </c>
      <c r="V340" s="4">
        <v>5</v>
      </c>
      <c r="W340" s="20" t="s">
        <v>2868</v>
      </c>
    </row>
    <row r="341" spans="1:23" ht="29">
      <c r="A341" s="12" t="s">
        <v>2845</v>
      </c>
      <c r="B341" s="12" t="s">
        <v>2861</v>
      </c>
      <c r="C341" s="12" t="s">
        <v>24</v>
      </c>
      <c r="D341" s="4" t="s">
        <v>5065</v>
      </c>
      <c r="E341" s="4" t="s">
        <v>1125</v>
      </c>
      <c r="F341" s="5" t="s">
        <v>2695</v>
      </c>
      <c r="G341" s="4"/>
      <c r="H341" s="5" t="s">
        <v>549</v>
      </c>
      <c r="I341" s="4" t="s">
        <v>2308</v>
      </c>
      <c r="J341" s="4" t="s">
        <v>2308</v>
      </c>
      <c r="K341" s="4" t="s">
        <v>2308</v>
      </c>
      <c r="L341" s="4" t="s">
        <v>2308</v>
      </c>
      <c r="M341" s="4" t="s">
        <v>2308</v>
      </c>
      <c r="N341" s="4" t="s">
        <v>2308</v>
      </c>
      <c r="O341" s="4" t="s">
        <v>2308</v>
      </c>
      <c r="P341" s="4" t="s">
        <v>2308</v>
      </c>
      <c r="Q341" s="4" t="s">
        <v>2308</v>
      </c>
      <c r="R341" s="4" t="s">
        <v>542</v>
      </c>
      <c r="S341" s="4" t="s">
        <v>542</v>
      </c>
      <c r="T341" s="4" t="s">
        <v>2308</v>
      </c>
      <c r="U341" s="4" t="s">
        <v>2308</v>
      </c>
      <c r="V341" s="4">
        <v>5</v>
      </c>
      <c r="W341" s="20" t="s">
        <v>2868</v>
      </c>
    </row>
    <row r="342" spans="1:23" ht="29">
      <c r="A342" s="12" t="s">
        <v>2846</v>
      </c>
      <c r="B342" s="12" t="s">
        <v>2862</v>
      </c>
      <c r="C342" s="12" t="s">
        <v>24</v>
      </c>
      <c r="D342" s="4" t="s">
        <v>5065</v>
      </c>
      <c r="E342" s="4" t="s">
        <v>1125</v>
      </c>
      <c r="F342" s="5" t="s">
        <v>55</v>
      </c>
      <c r="G342" s="4"/>
      <c r="H342" s="5" t="s">
        <v>549</v>
      </c>
      <c r="I342" s="4" t="s">
        <v>2308</v>
      </c>
      <c r="J342" s="4" t="s">
        <v>2308</v>
      </c>
      <c r="K342" s="4" t="s">
        <v>2308</v>
      </c>
      <c r="L342" s="4" t="s">
        <v>2308</v>
      </c>
      <c r="M342" s="4" t="s">
        <v>2308</v>
      </c>
      <c r="N342" s="4" t="s">
        <v>2308</v>
      </c>
      <c r="O342" s="4" t="s">
        <v>2308</v>
      </c>
      <c r="P342" s="4" t="s">
        <v>2308</v>
      </c>
      <c r="Q342" s="4" t="s">
        <v>2308</v>
      </c>
      <c r="R342" s="4" t="s">
        <v>542</v>
      </c>
      <c r="S342" s="4" t="s">
        <v>542</v>
      </c>
      <c r="T342" s="4" t="s">
        <v>2308</v>
      </c>
      <c r="U342" s="4" t="s">
        <v>2308</v>
      </c>
      <c r="V342" s="4">
        <v>5</v>
      </c>
      <c r="W342" s="20" t="s">
        <v>2868</v>
      </c>
    </row>
    <row r="343" spans="1:23" ht="29">
      <c r="A343" s="12" t="s">
        <v>2846</v>
      </c>
      <c r="B343" s="12" t="s">
        <v>2863</v>
      </c>
      <c r="C343" s="12" t="s">
        <v>24</v>
      </c>
      <c r="D343" s="4" t="s">
        <v>5065</v>
      </c>
      <c r="E343" s="4" t="s">
        <v>1125</v>
      </c>
      <c r="F343" s="5" t="s">
        <v>2695</v>
      </c>
      <c r="G343" s="4"/>
      <c r="H343" s="5" t="s">
        <v>549</v>
      </c>
      <c r="I343" s="4" t="s">
        <v>2308</v>
      </c>
      <c r="J343" s="4" t="s">
        <v>2308</v>
      </c>
      <c r="K343" s="4" t="s">
        <v>2308</v>
      </c>
      <c r="L343" s="4" t="s">
        <v>2308</v>
      </c>
      <c r="M343" s="4" t="s">
        <v>2308</v>
      </c>
      <c r="N343" s="4" t="s">
        <v>2308</v>
      </c>
      <c r="O343" s="4" t="s">
        <v>2308</v>
      </c>
      <c r="P343" s="4" t="s">
        <v>2308</v>
      </c>
      <c r="Q343" s="4" t="s">
        <v>2308</v>
      </c>
      <c r="R343" s="4" t="s">
        <v>542</v>
      </c>
      <c r="S343" s="4" t="s">
        <v>542</v>
      </c>
      <c r="T343" s="4" t="s">
        <v>2308</v>
      </c>
      <c r="U343" s="4" t="s">
        <v>2308</v>
      </c>
      <c r="V343" s="4">
        <v>5</v>
      </c>
      <c r="W343" s="20" t="s">
        <v>2868</v>
      </c>
    </row>
    <row r="344" spans="1:23" ht="29">
      <c r="A344" s="12" t="s">
        <v>2847</v>
      </c>
      <c r="B344" s="12" t="s">
        <v>2864</v>
      </c>
      <c r="C344" s="12" t="s">
        <v>24</v>
      </c>
      <c r="D344" s="4" t="s">
        <v>5065</v>
      </c>
      <c r="E344" s="4" t="s">
        <v>1125</v>
      </c>
      <c r="F344" s="5" t="s">
        <v>55</v>
      </c>
      <c r="G344" s="4"/>
      <c r="H344" s="5" t="s">
        <v>549</v>
      </c>
      <c r="I344" s="4" t="s">
        <v>2308</v>
      </c>
      <c r="J344" s="4" t="s">
        <v>2308</v>
      </c>
      <c r="K344" s="4" t="s">
        <v>2308</v>
      </c>
      <c r="L344" s="4" t="s">
        <v>2308</v>
      </c>
      <c r="M344" s="4" t="s">
        <v>2308</v>
      </c>
      <c r="N344" s="4" t="s">
        <v>2308</v>
      </c>
      <c r="O344" s="4" t="s">
        <v>2308</v>
      </c>
      <c r="P344" s="4" t="s">
        <v>2308</v>
      </c>
      <c r="Q344" s="4" t="s">
        <v>2308</v>
      </c>
      <c r="R344" s="4" t="s">
        <v>542</v>
      </c>
      <c r="S344" s="4" t="s">
        <v>542</v>
      </c>
      <c r="T344" s="4" t="s">
        <v>2308</v>
      </c>
      <c r="U344" s="4" t="s">
        <v>2308</v>
      </c>
      <c r="V344" s="4">
        <v>5</v>
      </c>
      <c r="W344" s="20" t="s">
        <v>2868</v>
      </c>
    </row>
    <row r="345" spans="1:23" ht="29">
      <c r="A345" s="12" t="s">
        <v>2847</v>
      </c>
      <c r="B345" s="12" t="s">
        <v>2865</v>
      </c>
      <c r="C345" s="12" t="s">
        <v>24</v>
      </c>
      <c r="D345" s="4" t="s">
        <v>5065</v>
      </c>
      <c r="E345" s="4" t="s">
        <v>1125</v>
      </c>
      <c r="F345" s="5" t="s">
        <v>2695</v>
      </c>
      <c r="G345" s="4"/>
      <c r="H345" s="5" t="s">
        <v>549</v>
      </c>
      <c r="I345" s="4" t="s">
        <v>2308</v>
      </c>
      <c r="J345" s="4" t="s">
        <v>2308</v>
      </c>
      <c r="K345" s="4" t="s">
        <v>2308</v>
      </c>
      <c r="L345" s="4" t="s">
        <v>2308</v>
      </c>
      <c r="M345" s="4" t="s">
        <v>2308</v>
      </c>
      <c r="N345" s="4" t="s">
        <v>2308</v>
      </c>
      <c r="O345" s="4" t="s">
        <v>2308</v>
      </c>
      <c r="P345" s="4" t="s">
        <v>2308</v>
      </c>
      <c r="Q345" s="4" t="s">
        <v>2308</v>
      </c>
      <c r="R345" s="4" t="s">
        <v>542</v>
      </c>
      <c r="S345" s="4" t="s">
        <v>542</v>
      </c>
      <c r="T345" s="4" t="s">
        <v>2308</v>
      </c>
      <c r="U345" s="4" t="s">
        <v>2308</v>
      </c>
      <c r="V345" s="4">
        <v>5</v>
      </c>
      <c r="W345" s="20" t="s">
        <v>2868</v>
      </c>
    </row>
    <row r="346" spans="1:23" ht="31.5" customHeight="1">
      <c r="A346" s="12" t="s">
        <v>2854</v>
      </c>
      <c r="B346" s="12" t="s">
        <v>2866</v>
      </c>
      <c r="C346" s="12" t="s">
        <v>24</v>
      </c>
      <c r="D346" s="4" t="s">
        <v>5065</v>
      </c>
      <c r="E346" s="4" t="s">
        <v>1125</v>
      </c>
      <c r="F346" s="5" t="s">
        <v>55</v>
      </c>
      <c r="G346" s="4"/>
      <c r="H346" s="5" t="s">
        <v>549</v>
      </c>
      <c r="I346" s="4" t="s">
        <v>2308</v>
      </c>
      <c r="J346" s="4" t="s">
        <v>2308</v>
      </c>
      <c r="K346" s="4" t="s">
        <v>2308</v>
      </c>
      <c r="L346" s="4" t="s">
        <v>2308</v>
      </c>
      <c r="M346" s="4" t="s">
        <v>2308</v>
      </c>
      <c r="N346" s="4" t="s">
        <v>2308</v>
      </c>
      <c r="O346" s="4" t="s">
        <v>2308</v>
      </c>
      <c r="P346" s="4" t="s">
        <v>2308</v>
      </c>
      <c r="Q346" s="4" t="s">
        <v>2308</v>
      </c>
      <c r="R346" s="4" t="s">
        <v>545</v>
      </c>
      <c r="S346" s="4" t="s">
        <v>545</v>
      </c>
      <c r="T346" s="4" t="s">
        <v>2308</v>
      </c>
      <c r="U346" s="4" t="s">
        <v>2308</v>
      </c>
      <c r="V346" s="4" t="s">
        <v>2308</v>
      </c>
      <c r="W346" s="20" t="s">
        <v>2869</v>
      </c>
    </row>
    <row r="347" spans="1:23" ht="34.5" customHeight="1">
      <c r="A347" s="12" t="s">
        <v>2854</v>
      </c>
      <c r="B347" s="12" t="s">
        <v>2867</v>
      </c>
      <c r="C347" s="12" t="s">
        <v>24</v>
      </c>
      <c r="D347" s="4" t="s">
        <v>5065</v>
      </c>
      <c r="E347" s="4" t="s">
        <v>1125</v>
      </c>
      <c r="F347" s="5" t="s">
        <v>2695</v>
      </c>
      <c r="G347" s="4"/>
      <c r="H347" s="5" t="s">
        <v>549</v>
      </c>
      <c r="I347" s="4" t="s">
        <v>2308</v>
      </c>
      <c r="J347" s="4" t="s">
        <v>2308</v>
      </c>
      <c r="K347" s="4" t="s">
        <v>2308</v>
      </c>
      <c r="L347" s="4" t="s">
        <v>2308</v>
      </c>
      <c r="M347" s="4" t="s">
        <v>2308</v>
      </c>
      <c r="N347" s="4" t="s">
        <v>2308</v>
      </c>
      <c r="O347" s="4" t="s">
        <v>2308</v>
      </c>
      <c r="P347" s="4" t="s">
        <v>2308</v>
      </c>
      <c r="Q347" s="4" t="s">
        <v>2308</v>
      </c>
      <c r="R347" s="4" t="s">
        <v>545</v>
      </c>
      <c r="S347" s="4" t="s">
        <v>545</v>
      </c>
      <c r="T347" s="4" t="s">
        <v>2308</v>
      </c>
      <c r="U347" s="4" t="s">
        <v>2308</v>
      </c>
      <c r="V347" s="4" t="s">
        <v>2308</v>
      </c>
      <c r="W347" s="20" t="s">
        <v>2869</v>
      </c>
    </row>
    <row r="348" spans="1:23" ht="47.5" customHeight="1">
      <c r="A348" s="12" t="s">
        <v>2896</v>
      </c>
      <c r="B348" s="12" t="s">
        <v>2899</v>
      </c>
      <c r="C348" s="12" t="s">
        <v>24</v>
      </c>
      <c r="D348" s="4" t="s">
        <v>136</v>
      </c>
      <c r="E348" s="4" t="s">
        <v>27</v>
      </c>
      <c r="F348" s="4" t="s">
        <v>74</v>
      </c>
      <c r="G348" s="4"/>
      <c r="H348" s="5" t="s">
        <v>549</v>
      </c>
      <c r="I348" s="4" t="s">
        <v>2723</v>
      </c>
      <c r="J348" s="4" t="s">
        <v>542</v>
      </c>
      <c r="K348" s="4" t="s">
        <v>2308</v>
      </c>
      <c r="L348" s="4" t="s">
        <v>2308</v>
      </c>
      <c r="M348" s="4" t="s">
        <v>2308</v>
      </c>
      <c r="N348" s="4" t="s">
        <v>2308</v>
      </c>
      <c r="O348" s="4" t="s">
        <v>2308</v>
      </c>
      <c r="P348" s="4" t="s">
        <v>2308</v>
      </c>
      <c r="Q348" s="4" t="s">
        <v>2308</v>
      </c>
      <c r="R348" s="4" t="s">
        <v>2308</v>
      </c>
      <c r="S348" s="4" t="s">
        <v>2308</v>
      </c>
      <c r="T348" s="4" t="s">
        <v>2308</v>
      </c>
      <c r="U348" s="4" t="s">
        <v>2308</v>
      </c>
      <c r="V348" s="4" t="s">
        <v>2308</v>
      </c>
      <c r="W348" s="5" t="s">
        <v>2901</v>
      </c>
    </row>
    <row r="349" spans="1:23" ht="52.5" customHeight="1">
      <c r="A349" s="12" t="s">
        <v>2896</v>
      </c>
      <c r="B349" s="12" t="s">
        <v>2900</v>
      </c>
      <c r="C349" s="12" t="s">
        <v>24</v>
      </c>
      <c r="D349" s="4" t="s">
        <v>136</v>
      </c>
      <c r="E349" s="4" t="s">
        <v>27</v>
      </c>
      <c r="F349" s="4" t="s">
        <v>166</v>
      </c>
      <c r="G349" s="4"/>
      <c r="H349" s="5" t="s">
        <v>549</v>
      </c>
      <c r="I349" s="4" t="s">
        <v>2723</v>
      </c>
      <c r="J349" s="4" t="s">
        <v>542</v>
      </c>
      <c r="K349" s="4" t="s">
        <v>2308</v>
      </c>
      <c r="L349" s="4" t="s">
        <v>2308</v>
      </c>
      <c r="M349" s="4" t="s">
        <v>2308</v>
      </c>
      <c r="N349" s="4" t="s">
        <v>2308</v>
      </c>
      <c r="O349" s="4" t="s">
        <v>2308</v>
      </c>
      <c r="P349" s="4" t="s">
        <v>2308</v>
      </c>
      <c r="Q349" s="4" t="s">
        <v>2308</v>
      </c>
      <c r="R349" s="4" t="s">
        <v>2308</v>
      </c>
      <c r="S349" s="4" t="s">
        <v>2308</v>
      </c>
      <c r="T349" s="4" t="s">
        <v>2308</v>
      </c>
      <c r="U349" s="4" t="s">
        <v>2308</v>
      </c>
      <c r="V349" s="4" t="s">
        <v>2308</v>
      </c>
      <c r="W349" s="5" t="s">
        <v>2901</v>
      </c>
    </row>
    <row r="350" spans="1:23" ht="38" customHeight="1">
      <c r="A350" s="12" t="s">
        <v>2903</v>
      </c>
      <c r="B350" s="12" t="s">
        <v>2906</v>
      </c>
      <c r="C350" s="12" t="s">
        <v>24</v>
      </c>
      <c r="D350" s="4" t="s">
        <v>403</v>
      </c>
      <c r="E350" s="4" t="s">
        <v>2694</v>
      </c>
      <c r="F350" s="4" t="s">
        <v>74</v>
      </c>
      <c r="G350" s="4"/>
      <c r="H350" s="5" t="s">
        <v>549</v>
      </c>
      <c r="I350" s="4" t="s">
        <v>2308</v>
      </c>
      <c r="J350" s="4" t="s">
        <v>2308</v>
      </c>
      <c r="K350" s="4" t="s">
        <v>2308</v>
      </c>
      <c r="L350" s="4" t="s">
        <v>2308</v>
      </c>
      <c r="M350" s="4" t="s">
        <v>545</v>
      </c>
      <c r="N350" s="4" t="s">
        <v>2308</v>
      </c>
      <c r="O350" s="4" t="s">
        <v>2308</v>
      </c>
      <c r="P350" s="4" t="s">
        <v>2308</v>
      </c>
      <c r="Q350" s="4" t="s">
        <v>2308</v>
      </c>
      <c r="R350" s="4" t="s">
        <v>545</v>
      </c>
      <c r="S350" s="4" t="s">
        <v>2308</v>
      </c>
      <c r="T350" s="4" t="s">
        <v>2308</v>
      </c>
      <c r="U350" s="4" t="s">
        <v>2308</v>
      </c>
      <c r="V350" s="4" t="s">
        <v>2308</v>
      </c>
      <c r="W350" s="5" t="s">
        <v>2912</v>
      </c>
    </row>
    <row r="351" spans="1:23" ht="116" customHeight="1">
      <c r="A351" s="12" t="s">
        <v>2919</v>
      </c>
      <c r="B351" s="12" t="s">
        <v>2927</v>
      </c>
      <c r="C351" s="4" t="s">
        <v>24</v>
      </c>
      <c r="D351" s="4" t="s">
        <v>136</v>
      </c>
      <c r="E351" s="4" t="s">
        <v>27</v>
      </c>
      <c r="F351" s="5" t="s">
        <v>166</v>
      </c>
      <c r="G351" s="4"/>
      <c r="H351" s="5" t="s">
        <v>549</v>
      </c>
      <c r="I351" s="4" t="s">
        <v>2723</v>
      </c>
      <c r="J351" s="4" t="s">
        <v>542</v>
      </c>
      <c r="K351" s="4" t="s">
        <v>542</v>
      </c>
      <c r="L351" s="4" t="s">
        <v>2308</v>
      </c>
      <c r="M351" s="4" t="s">
        <v>2761</v>
      </c>
      <c r="N351" s="4" t="s">
        <v>2308</v>
      </c>
      <c r="O351" s="4" t="s">
        <v>542</v>
      </c>
      <c r="P351" s="4" t="s">
        <v>2308</v>
      </c>
      <c r="Q351" s="4">
        <v>1</v>
      </c>
      <c r="R351" s="4" t="s">
        <v>2308</v>
      </c>
      <c r="S351" s="4" t="s">
        <v>2308</v>
      </c>
      <c r="T351" s="4" t="s">
        <v>2308</v>
      </c>
      <c r="U351" s="4" t="s">
        <v>2308</v>
      </c>
      <c r="V351" s="4" t="s">
        <v>2308</v>
      </c>
      <c r="W351" s="5" t="s">
        <v>2956</v>
      </c>
    </row>
    <row r="352" spans="1:23" ht="52" customHeight="1">
      <c r="A352" s="12" t="s">
        <v>2919</v>
      </c>
      <c r="B352" s="12" t="s">
        <v>2930</v>
      </c>
      <c r="C352" s="4" t="s">
        <v>24</v>
      </c>
      <c r="D352" s="4" t="s">
        <v>136</v>
      </c>
      <c r="E352" s="4" t="s">
        <v>27</v>
      </c>
      <c r="F352" s="5" t="s">
        <v>166</v>
      </c>
      <c r="G352" s="4"/>
      <c r="H352" s="5" t="s">
        <v>1113</v>
      </c>
      <c r="I352" s="4" t="s">
        <v>2723</v>
      </c>
      <c r="J352" s="4" t="s">
        <v>542</v>
      </c>
      <c r="K352" s="4" t="s">
        <v>542</v>
      </c>
      <c r="L352" s="4" t="s">
        <v>2308</v>
      </c>
      <c r="M352" s="4" t="s">
        <v>2308</v>
      </c>
      <c r="N352" s="4" t="s">
        <v>2308</v>
      </c>
      <c r="O352" s="4" t="s">
        <v>2308</v>
      </c>
      <c r="P352" s="4" t="s">
        <v>2308</v>
      </c>
      <c r="Q352" s="4" t="s">
        <v>2308</v>
      </c>
      <c r="R352" s="4" t="s">
        <v>2308</v>
      </c>
      <c r="S352" s="4" t="s">
        <v>2308</v>
      </c>
      <c r="T352" s="4" t="s">
        <v>2308</v>
      </c>
      <c r="U352" s="4" t="s">
        <v>2308</v>
      </c>
      <c r="V352" s="4" t="s">
        <v>2308</v>
      </c>
      <c r="W352" s="5" t="s">
        <v>2955</v>
      </c>
    </row>
    <row r="353" spans="1:23" ht="109.5" customHeight="1">
      <c r="A353" s="12" t="s">
        <v>2920</v>
      </c>
      <c r="B353" s="12" t="s">
        <v>2928</v>
      </c>
      <c r="C353" s="4" t="s">
        <v>24</v>
      </c>
      <c r="D353" s="4" t="s">
        <v>136</v>
      </c>
      <c r="E353" s="4" t="s">
        <v>27</v>
      </c>
      <c r="F353" s="5" t="s">
        <v>166</v>
      </c>
      <c r="G353" s="4"/>
      <c r="H353" s="5" t="s">
        <v>549</v>
      </c>
      <c r="I353" s="4" t="s">
        <v>2723</v>
      </c>
      <c r="J353" s="4" t="s">
        <v>542</v>
      </c>
      <c r="K353" s="4" t="s">
        <v>542</v>
      </c>
      <c r="L353" s="4" t="s">
        <v>2308</v>
      </c>
      <c r="M353" s="4" t="s">
        <v>2761</v>
      </c>
      <c r="N353" s="4" t="s">
        <v>2308</v>
      </c>
      <c r="O353" s="4" t="s">
        <v>542</v>
      </c>
      <c r="P353" s="4" t="s">
        <v>2308</v>
      </c>
      <c r="Q353" s="4">
        <v>1</v>
      </c>
      <c r="R353" s="4" t="s">
        <v>2308</v>
      </c>
      <c r="S353" s="4" t="s">
        <v>2308</v>
      </c>
      <c r="T353" s="4" t="s">
        <v>2308</v>
      </c>
      <c r="U353" s="4" t="s">
        <v>2308</v>
      </c>
      <c r="V353" s="4" t="s">
        <v>2308</v>
      </c>
      <c r="W353" s="5" t="s">
        <v>2956</v>
      </c>
    </row>
    <row r="354" spans="1:23" ht="84.5" customHeight="1">
      <c r="A354" s="12" t="s">
        <v>2920</v>
      </c>
      <c r="B354" s="12" t="s">
        <v>2940</v>
      </c>
      <c r="C354" s="4" t="s">
        <v>24</v>
      </c>
      <c r="D354" s="4" t="s">
        <v>136</v>
      </c>
      <c r="E354" s="4" t="s">
        <v>27</v>
      </c>
      <c r="F354" s="5" t="s">
        <v>166</v>
      </c>
      <c r="G354" s="4"/>
      <c r="H354" s="5" t="s">
        <v>1113</v>
      </c>
      <c r="I354" s="4" t="s">
        <v>2723</v>
      </c>
      <c r="J354" s="4" t="s">
        <v>542</v>
      </c>
      <c r="K354" s="4" t="s">
        <v>542</v>
      </c>
      <c r="L354" s="4" t="s">
        <v>2308</v>
      </c>
      <c r="M354" s="4" t="s">
        <v>2308</v>
      </c>
      <c r="N354" s="4" t="s">
        <v>2308</v>
      </c>
      <c r="O354" s="4" t="s">
        <v>2308</v>
      </c>
      <c r="P354" s="4" t="s">
        <v>2308</v>
      </c>
      <c r="Q354" s="4" t="s">
        <v>2308</v>
      </c>
      <c r="R354" s="4" t="s">
        <v>2308</v>
      </c>
      <c r="S354" s="4" t="s">
        <v>2308</v>
      </c>
      <c r="T354" s="4" t="s">
        <v>2308</v>
      </c>
      <c r="U354" s="4" t="s">
        <v>2308</v>
      </c>
      <c r="V354" s="4" t="s">
        <v>2308</v>
      </c>
      <c r="W354" s="5" t="s">
        <v>2955</v>
      </c>
    </row>
    <row r="355" spans="1:23" ht="115.5" customHeight="1">
      <c r="A355" s="12" t="s">
        <v>2921</v>
      </c>
      <c r="B355" s="12" t="s">
        <v>2929</v>
      </c>
      <c r="C355" s="4" t="s">
        <v>24</v>
      </c>
      <c r="D355" s="4" t="s">
        <v>136</v>
      </c>
      <c r="E355" s="4" t="s">
        <v>27</v>
      </c>
      <c r="F355" s="5" t="s">
        <v>166</v>
      </c>
      <c r="G355" s="4"/>
      <c r="H355" s="5" t="s">
        <v>549</v>
      </c>
      <c r="I355" s="4" t="s">
        <v>2723</v>
      </c>
      <c r="J355" s="4" t="s">
        <v>542</v>
      </c>
      <c r="K355" s="4" t="s">
        <v>542</v>
      </c>
      <c r="L355" s="4" t="s">
        <v>2308</v>
      </c>
      <c r="M355" s="4" t="s">
        <v>2761</v>
      </c>
      <c r="N355" s="4" t="s">
        <v>2308</v>
      </c>
      <c r="O355" s="4" t="s">
        <v>542</v>
      </c>
      <c r="P355" s="4" t="s">
        <v>2308</v>
      </c>
      <c r="Q355" s="4">
        <v>1</v>
      </c>
      <c r="R355" s="4" t="s">
        <v>2308</v>
      </c>
      <c r="S355" s="4" t="s">
        <v>2308</v>
      </c>
      <c r="T355" s="4" t="s">
        <v>2308</v>
      </c>
      <c r="U355" s="4" t="s">
        <v>2308</v>
      </c>
      <c r="V355" s="4" t="s">
        <v>2308</v>
      </c>
      <c r="W355" s="5" t="s">
        <v>2956</v>
      </c>
    </row>
    <row r="356" spans="1:23" ht="79.5" customHeight="1">
      <c r="A356" s="12" t="s">
        <v>2921</v>
      </c>
      <c r="B356" s="12" t="s">
        <v>2946</v>
      </c>
      <c r="C356" s="4" t="s">
        <v>24</v>
      </c>
      <c r="D356" s="4" t="s">
        <v>136</v>
      </c>
      <c r="E356" s="4" t="s">
        <v>27</v>
      </c>
      <c r="F356" s="5" t="s">
        <v>166</v>
      </c>
      <c r="G356" s="4"/>
      <c r="H356" s="5" t="s">
        <v>1113</v>
      </c>
      <c r="I356" s="4" t="s">
        <v>2723</v>
      </c>
      <c r="J356" s="4" t="s">
        <v>542</v>
      </c>
      <c r="K356" s="4" t="s">
        <v>542</v>
      </c>
      <c r="L356" s="4" t="s">
        <v>2308</v>
      </c>
      <c r="M356" s="4" t="s">
        <v>2308</v>
      </c>
      <c r="N356" s="4" t="s">
        <v>2308</v>
      </c>
      <c r="O356" s="4" t="s">
        <v>2308</v>
      </c>
      <c r="P356" s="4" t="s">
        <v>2308</v>
      </c>
      <c r="Q356" s="4" t="s">
        <v>2308</v>
      </c>
      <c r="R356" s="4" t="s">
        <v>2308</v>
      </c>
      <c r="S356" s="4" t="s">
        <v>2308</v>
      </c>
      <c r="T356" s="4" t="s">
        <v>2308</v>
      </c>
      <c r="U356" s="4" t="s">
        <v>2308</v>
      </c>
      <c r="V356" s="4" t="s">
        <v>2308</v>
      </c>
      <c r="W356" s="5" t="s">
        <v>2955</v>
      </c>
    </row>
    <row r="357" spans="1:23" ht="65.5" customHeight="1">
      <c r="A357" s="20" t="s">
        <v>2957</v>
      </c>
      <c r="B357" s="20" t="s">
        <v>2961</v>
      </c>
      <c r="C357" s="5" t="s">
        <v>24</v>
      </c>
      <c r="D357" s="5" t="s">
        <v>143</v>
      </c>
      <c r="E357" s="5" t="s">
        <v>150</v>
      </c>
      <c r="F357" s="5" t="s">
        <v>2695</v>
      </c>
      <c r="G357" s="5"/>
      <c r="H357" s="5" t="s">
        <v>1113</v>
      </c>
      <c r="I357" s="5" t="s">
        <v>2724</v>
      </c>
      <c r="J357" s="5" t="s">
        <v>2308</v>
      </c>
      <c r="K357" s="5" t="s">
        <v>542</v>
      </c>
      <c r="L357" s="5" t="s">
        <v>2308</v>
      </c>
      <c r="M357" s="5" t="s">
        <v>2308</v>
      </c>
      <c r="N357" s="5" t="s">
        <v>2308</v>
      </c>
      <c r="O357" s="5" t="s">
        <v>2308</v>
      </c>
      <c r="P357" s="5" t="s">
        <v>2308</v>
      </c>
      <c r="Q357" s="5" t="s">
        <v>2308</v>
      </c>
      <c r="R357" s="5" t="s">
        <v>2308</v>
      </c>
      <c r="S357" s="5" t="s">
        <v>2308</v>
      </c>
      <c r="T357" s="5" t="s">
        <v>2308</v>
      </c>
      <c r="U357" s="5" t="s">
        <v>2308</v>
      </c>
      <c r="V357" s="5" t="s">
        <v>2308</v>
      </c>
      <c r="W357" s="5" t="s">
        <v>2965</v>
      </c>
    </row>
    <row r="358" spans="1:23" ht="35" customHeight="1">
      <c r="A358" s="12" t="s">
        <v>3021</v>
      </c>
      <c r="B358" s="12" t="s">
        <v>3022</v>
      </c>
      <c r="C358" s="4" t="s">
        <v>1125</v>
      </c>
      <c r="D358" s="5" t="s">
        <v>5065</v>
      </c>
      <c r="E358" s="4" t="s">
        <v>1125</v>
      </c>
      <c r="F358" s="5" t="s">
        <v>2695</v>
      </c>
      <c r="G358" s="4"/>
      <c r="H358" s="5" t="s">
        <v>549</v>
      </c>
      <c r="I358" s="5" t="s">
        <v>2308</v>
      </c>
      <c r="J358" s="5" t="s">
        <v>2308</v>
      </c>
      <c r="K358" s="5" t="s">
        <v>2308</v>
      </c>
      <c r="L358" s="5" t="s">
        <v>2308</v>
      </c>
      <c r="M358" s="5" t="s">
        <v>2308</v>
      </c>
      <c r="N358" s="5" t="s">
        <v>2308</v>
      </c>
      <c r="O358" s="5" t="s">
        <v>2308</v>
      </c>
      <c r="P358" s="5" t="s">
        <v>2308</v>
      </c>
      <c r="Q358" s="5" t="s">
        <v>2308</v>
      </c>
      <c r="R358" s="4" t="s">
        <v>542</v>
      </c>
      <c r="S358" s="5" t="s">
        <v>2308</v>
      </c>
      <c r="T358" s="5" t="s">
        <v>2308</v>
      </c>
      <c r="U358" s="5" t="s">
        <v>2308</v>
      </c>
      <c r="V358" s="4">
        <v>1</v>
      </c>
      <c r="W358" s="5" t="s">
        <v>3025</v>
      </c>
    </row>
    <row r="359" spans="1:23" ht="46.5" customHeight="1">
      <c r="A359" s="12" t="s">
        <v>3021</v>
      </c>
      <c r="B359" s="12" t="s">
        <v>3023</v>
      </c>
      <c r="C359" s="4" t="s">
        <v>1125</v>
      </c>
      <c r="D359" s="5" t="s">
        <v>116</v>
      </c>
      <c r="E359" s="4" t="s">
        <v>1125</v>
      </c>
      <c r="F359" s="5" t="s">
        <v>2695</v>
      </c>
      <c r="G359" s="4"/>
      <c r="H359" s="5" t="s">
        <v>549</v>
      </c>
      <c r="I359" s="5" t="s">
        <v>2308</v>
      </c>
      <c r="J359" s="5" t="s">
        <v>2308</v>
      </c>
      <c r="K359" s="5" t="s">
        <v>2308</v>
      </c>
      <c r="L359" s="5" t="s">
        <v>2308</v>
      </c>
      <c r="M359" s="5" t="s">
        <v>2308</v>
      </c>
      <c r="N359" s="5" t="s">
        <v>2308</v>
      </c>
      <c r="O359" s="5" t="s">
        <v>2308</v>
      </c>
      <c r="P359" s="5" t="s">
        <v>2308</v>
      </c>
      <c r="Q359" s="5" t="s">
        <v>2308</v>
      </c>
      <c r="R359" s="4" t="s">
        <v>542</v>
      </c>
      <c r="S359" s="5" t="s">
        <v>2308</v>
      </c>
      <c r="T359" s="5" t="s">
        <v>2308</v>
      </c>
      <c r="U359" s="5" t="s">
        <v>2308</v>
      </c>
      <c r="V359" s="4">
        <v>1</v>
      </c>
      <c r="W359" s="5" t="s">
        <v>3025</v>
      </c>
    </row>
    <row r="360" spans="1:23" ht="43.5" customHeight="1">
      <c r="A360" s="12" t="s">
        <v>3021</v>
      </c>
      <c r="B360" s="12" t="s">
        <v>3024</v>
      </c>
      <c r="C360" s="4" t="s">
        <v>1125</v>
      </c>
      <c r="D360" s="5" t="s">
        <v>136</v>
      </c>
      <c r="E360" s="4" t="s">
        <v>1125</v>
      </c>
      <c r="F360" s="5" t="s">
        <v>2695</v>
      </c>
      <c r="G360" s="4"/>
      <c r="H360" s="5" t="s">
        <v>549</v>
      </c>
      <c r="I360" s="5" t="s">
        <v>2308</v>
      </c>
      <c r="J360" s="5" t="s">
        <v>2308</v>
      </c>
      <c r="K360" s="5" t="s">
        <v>2308</v>
      </c>
      <c r="L360" s="5" t="s">
        <v>2308</v>
      </c>
      <c r="M360" s="5" t="s">
        <v>2308</v>
      </c>
      <c r="N360" s="5" t="s">
        <v>2308</v>
      </c>
      <c r="O360" s="5" t="s">
        <v>2308</v>
      </c>
      <c r="P360" s="5" t="s">
        <v>2308</v>
      </c>
      <c r="Q360" s="5" t="s">
        <v>2308</v>
      </c>
      <c r="R360" s="4" t="s">
        <v>542</v>
      </c>
      <c r="S360" s="5" t="s">
        <v>2308</v>
      </c>
      <c r="T360" s="5" t="s">
        <v>2308</v>
      </c>
      <c r="U360" s="5" t="s">
        <v>2308</v>
      </c>
      <c r="V360" s="4">
        <v>1</v>
      </c>
      <c r="W360" s="5" t="s">
        <v>3025</v>
      </c>
    </row>
    <row r="361" spans="1:23" ht="79.5" customHeight="1">
      <c r="A361" s="12" t="s">
        <v>3028</v>
      </c>
      <c r="B361" s="12" t="s">
        <v>3029</v>
      </c>
      <c r="C361" s="4" t="s">
        <v>24</v>
      </c>
      <c r="D361" s="4" t="s">
        <v>45</v>
      </c>
      <c r="E361" s="4" t="s">
        <v>2693</v>
      </c>
      <c r="F361" s="4" t="s">
        <v>29</v>
      </c>
      <c r="G361" s="4"/>
      <c r="H361" s="5" t="s">
        <v>549</v>
      </c>
      <c r="I361" s="5" t="s">
        <v>2308</v>
      </c>
      <c r="J361" s="5" t="s">
        <v>2308</v>
      </c>
      <c r="K361" s="5" t="s">
        <v>2308</v>
      </c>
      <c r="L361" s="5" t="s">
        <v>2308</v>
      </c>
      <c r="M361" s="4" t="s">
        <v>2704</v>
      </c>
      <c r="N361" s="5" t="s">
        <v>2308</v>
      </c>
      <c r="O361" s="5" t="s">
        <v>542</v>
      </c>
      <c r="P361" s="5" t="s">
        <v>2308</v>
      </c>
      <c r="Q361" s="4">
        <v>1</v>
      </c>
      <c r="R361" s="5" t="s">
        <v>2308</v>
      </c>
      <c r="S361" s="5" t="s">
        <v>2308</v>
      </c>
      <c r="T361" s="5" t="s">
        <v>2308</v>
      </c>
      <c r="U361" s="5" t="s">
        <v>2308</v>
      </c>
      <c r="V361" s="5" t="s">
        <v>2308</v>
      </c>
      <c r="W361" s="5" t="s">
        <v>3069</v>
      </c>
    </row>
    <row r="362" spans="1:23" ht="74.5" customHeight="1">
      <c r="A362" s="12" t="s">
        <v>3028</v>
      </c>
      <c r="B362" s="12" t="s">
        <v>3054</v>
      </c>
      <c r="C362" s="4" t="s">
        <v>24</v>
      </c>
      <c r="D362" s="4" t="s">
        <v>136</v>
      </c>
      <c r="E362" s="4" t="s">
        <v>27</v>
      </c>
      <c r="F362" s="4" t="s">
        <v>166</v>
      </c>
      <c r="G362" s="4"/>
      <c r="H362" s="5" t="s">
        <v>549</v>
      </c>
      <c r="I362" s="5" t="s">
        <v>2308</v>
      </c>
      <c r="J362" s="5" t="s">
        <v>2308</v>
      </c>
      <c r="K362" s="5" t="s">
        <v>2308</v>
      </c>
      <c r="L362" s="5" t="s">
        <v>2308</v>
      </c>
      <c r="M362" s="4" t="s">
        <v>2704</v>
      </c>
      <c r="N362" s="5" t="s">
        <v>2308</v>
      </c>
      <c r="O362" s="5" t="s">
        <v>542</v>
      </c>
      <c r="P362" s="5" t="s">
        <v>2308</v>
      </c>
      <c r="Q362" s="4">
        <v>1</v>
      </c>
      <c r="R362" s="5" t="s">
        <v>2308</v>
      </c>
      <c r="S362" s="5" t="s">
        <v>2308</v>
      </c>
      <c r="T362" s="5" t="s">
        <v>2308</v>
      </c>
      <c r="U362" s="5" t="s">
        <v>2308</v>
      </c>
      <c r="V362" s="5" t="s">
        <v>2308</v>
      </c>
      <c r="W362" s="5" t="s">
        <v>3069</v>
      </c>
    </row>
    <row r="363" spans="1:23" ht="38" customHeight="1">
      <c r="A363" s="12" t="s">
        <v>3028</v>
      </c>
      <c r="B363" s="12" t="s">
        <v>3055</v>
      </c>
      <c r="C363" s="4" t="s">
        <v>24</v>
      </c>
      <c r="D363" s="4" t="s">
        <v>1125</v>
      </c>
      <c r="E363" s="4" t="s">
        <v>2263</v>
      </c>
      <c r="F363" s="5" t="s">
        <v>2695</v>
      </c>
      <c r="G363" s="4"/>
      <c r="H363" s="5" t="s">
        <v>549</v>
      </c>
      <c r="I363" s="5" t="s">
        <v>2308</v>
      </c>
      <c r="J363" s="5" t="s">
        <v>2308</v>
      </c>
      <c r="K363" s="5" t="s">
        <v>2308</v>
      </c>
      <c r="L363" s="5" t="s">
        <v>2308</v>
      </c>
      <c r="M363" s="5" t="s">
        <v>2308</v>
      </c>
      <c r="N363" s="5" t="s">
        <v>2308</v>
      </c>
      <c r="O363" s="5" t="s">
        <v>2308</v>
      </c>
      <c r="P363" s="5" t="s">
        <v>2308</v>
      </c>
      <c r="Q363" s="5" t="s">
        <v>2308</v>
      </c>
      <c r="R363" s="4" t="s">
        <v>542</v>
      </c>
      <c r="S363" s="5" t="s">
        <v>2308</v>
      </c>
      <c r="T363" s="4" t="s">
        <v>542</v>
      </c>
      <c r="U363" s="5" t="s">
        <v>2308</v>
      </c>
      <c r="V363" s="4">
        <v>3</v>
      </c>
      <c r="W363" s="5" t="s">
        <v>3068</v>
      </c>
    </row>
    <row r="364" spans="1:23" ht="52.5" customHeight="1">
      <c r="A364" s="12" t="s">
        <v>3163</v>
      </c>
      <c r="B364" s="12" t="s">
        <v>3172</v>
      </c>
      <c r="C364" s="4" t="s">
        <v>24</v>
      </c>
      <c r="D364" s="4" t="s">
        <v>1125</v>
      </c>
      <c r="E364" s="4" t="s">
        <v>1125</v>
      </c>
      <c r="F364" s="4" t="s">
        <v>1125</v>
      </c>
      <c r="G364" s="4"/>
      <c r="H364" s="5" t="s">
        <v>549</v>
      </c>
      <c r="I364" s="5" t="s">
        <v>2308</v>
      </c>
      <c r="J364" s="5" t="s">
        <v>2308</v>
      </c>
      <c r="K364" s="5" t="s">
        <v>2308</v>
      </c>
      <c r="L364" s="5" t="s">
        <v>2308</v>
      </c>
      <c r="M364" s="5" t="s">
        <v>2308</v>
      </c>
      <c r="N364" s="5" t="s">
        <v>2308</v>
      </c>
      <c r="O364" s="5" t="s">
        <v>2308</v>
      </c>
      <c r="P364" s="5" t="s">
        <v>2308</v>
      </c>
      <c r="Q364" s="5" t="s">
        <v>2308</v>
      </c>
      <c r="R364" s="4" t="s">
        <v>542</v>
      </c>
      <c r="S364" s="5" t="s">
        <v>2308</v>
      </c>
      <c r="T364" s="4" t="s">
        <v>542</v>
      </c>
      <c r="U364" s="5" t="s">
        <v>2308</v>
      </c>
      <c r="V364" s="4"/>
      <c r="W364" s="5" t="s">
        <v>3176</v>
      </c>
    </row>
    <row r="365" spans="1:23" ht="57" customHeight="1">
      <c r="A365" s="12" t="s">
        <v>3164</v>
      </c>
      <c r="B365" s="12" t="s">
        <v>3173</v>
      </c>
      <c r="C365" s="4" t="s">
        <v>24</v>
      </c>
      <c r="D365" s="4" t="s">
        <v>1125</v>
      </c>
      <c r="E365" s="4" t="s">
        <v>1125</v>
      </c>
      <c r="F365" s="4" t="s">
        <v>1125</v>
      </c>
      <c r="G365" s="4"/>
      <c r="H365" s="5" t="s">
        <v>549</v>
      </c>
      <c r="I365" s="5" t="s">
        <v>2308</v>
      </c>
      <c r="J365" s="5" t="s">
        <v>2308</v>
      </c>
      <c r="K365" s="5" t="s">
        <v>2308</v>
      </c>
      <c r="L365" s="5" t="s">
        <v>2308</v>
      </c>
      <c r="M365" s="5" t="s">
        <v>2308</v>
      </c>
      <c r="N365" s="5" t="s">
        <v>2308</v>
      </c>
      <c r="O365" s="5" t="s">
        <v>2308</v>
      </c>
      <c r="P365" s="5" t="s">
        <v>2308</v>
      </c>
      <c r="Q365" s="5" t="s">
        <v>2308</v>
      </c>
      <c r="R365" s="4" t="s">
        <v>542</v>
      </c>
      <c r="S365" s="5" t="s">
        <v>2308</v>
      </c>
      <c r="T365" s="4" t="s">
        <v>542</v>
      </c>
      <c r="U365" s="5" t="s">
        <v>2308</v>
      </c>
      <c r="V365" s="4"/>
      <c r="W365" s="5" t="s">
        <v>3176</v>
      </c>
    </row>
    <row r="366" spans="1:23" ht="53.5" customHeight="1">
      <c r="A366" s="12" t="s">
        <v>3165</v>
      </c>
      <c r="B366" s="12" t="s">
        <v>3174</v>
      </c>
      <c r="C366" s="4" t="s">
        <v>24</v>
      </c>
      <c r="D366" s="4" t="s">
        <v>136</v>
      </c>
      <c r="E366" s="4" t="s">
        <v>1125</v>
      </c>
      <c r="F366" s="4" t="s">
        <v>1125</v>
      </c>
      <c r="G366" s="4"/>
      <c r="H366" s="5" t="s">
        <v>549</v>
      </c>
      <c r="I366" s="5" t="s">
        <v>2308</v>
      </c>
      <c r="J366" s="5" t="s">
        <v>2308</v>
      </c>
      <c r="K366" s="5" t="s">
        <v>2308</v>
      </c>
      <c r="L366" s="5" t="s">
        <v>2308</v>
      </c>
      <c r="M366" s="5" t="s">
        <v>2308</v>
      </c>
      <c r="N366" s="5" t="s">
        <v>2308</v>
      </c>
      <c r="O366" s="5" t="s">
        <v>2308</v>
      </c>
      <c r="P366" s="5" t="s">
        <v>2308</v>
      </c>
      <c r="Q366" s="5" t="s">
        <v>2308</v>
      </c>
      <c r="R366" s="4" t="s">
        <v>542</v>
      </c>
      <c r="S366" s="5" t="s">
        <v>2308</v>
      </c>
      <c r="T366" s="4" t="s">
        <v>542</v>
      </c>
      <c r="U366" s="5" t="s">
        <v>2308</v>
      </c>
      <c r="V366" s="4"/>
      <c r="W366" s="5" t="s">
        <v>3176</v>
      </c>
    </row>
    <row r="367" spans="1:23" ht="53.5" customHeight="1">
      <c r="A367" s="12" t="s">
        <v>3165</v>
      </c>
      <c r="B367" s="12" t="s">
        <v>3177</v>
      </c>
      <c r="C367" s="4" t="s">
        <v>24</v>
      </c>
      <c r="D367" s="5" t="s">
        <v>143</v>
      </c>
      <c r="E367" s="4" t="s">
        <v>1125</v>
      </c>
      <c r="F367" s="4" t="s">
        <v>1125</v>
      </c>
      <c r="G367" s="4"/>
      <c r="H367" s="5" t="s">
        <v>549</v>
      </c>
      <c r="I367" s="5" t="s">
        <v>2308</v>
      </c>
      <c r="J367" s="5" t="s">
        <v>2308</v>
      </c>
      <c r="K367" s="5" t="s">
        <v>2308</v>
      </c>
      <c r="L367" s="5" t="s">
        <v>2308</v>
      </c>
      <c r="M367" s="4" t="s">
        <v>2702</v>
      </c>
      <c r="N367" s="5" t="s">
        <v>2308</v>
      </c>
      <c r="O367" s="4" t="s">
        <v>542</v>
      </c>
      <c r="P367" s="5" t="s">
        <v>2308</v>
      </c>
      <c r="Q367" s="5" t="s">
        <v>2308</v>
      </c>
      <c r="R367" s="4" t="s">
        <v>545</v>
      </c>
      <c r="S367" s="5" t="s">
        <v>2308</v>
      </c>
      <c r="T367" s="4" t="s">
        <v>545</v>
      </c>
      <c r="U367" s="5" t="s">
        <v>2308</v>
      </c>
      <c r="V367" s="5" t="s">
        <v>2308</v>
      </c>
      <c r="W367" s="5" t="s">
        <v>3178</v>
      </c>
    </row>
    <row r="368" spans="1:23" ht="54.5" customHeight="1">
      <c r="A368" s="12" t="s">
        <v>3166</v>
      </c>
      <c r="B368" s="12" t="s">
        <v>3175</v>
      </c>
      <c r="C368" s="4" t="s">
        <v>24</v>
      </c>
      <c r="D368" s="4" t="s">
        <v>1125</v>
      </c>
      <c r="E368" s="4" t="s">
        <v>1125</v>
      </c>
      <c r="F368" s="4" t="s">
        <v>1125</v>
      </c>
      <c r="G368" s="4"/>
      <c r="H368" s="5" t="s">
        <v>549</v>
      </c>
      <c r="I368" s="5" t="s">
        <v>2308</v>
      </c>
      <c r="J368" s="5" t="s">
        <v>2308</v>
      </c>
      <c r="K368" s="5" t="s">
        <v>2308</v>
      </c>
      <c r="L368" s="5" t="s">
        <v>2308</v>
      </c>
      <c r="M368" s="5" t="s">
        <v>2308</v>
      </c>
      <c r="N368" s="5" t="s">
        <v>2308</v>
      </c>
      <c r="O368" s="5" t="s">
        <v>2308</v>
      </c>
      <c r="P368" s="5" t="s">
        <v>2308</v>
      </c>
      <c r="Q368" s="5" t="s">
        <v>2308</v>
      </c>
      <c r="R368" s="4" t="s">
        <v>542</v>
      </c>
      <c r="S368" s="5" t="s">
        <v>2308</v>
      </c>
      <c r="T368" s="4" t="s">
        <v>542</v>
      </c>
      <c r="U368" s="5" t="s">
        <v>2308</v>
      </c>
      <c r="V368" s="4"/>
      <c r="W368" s="5" t="s">
        <v>3176</v>
      </c>
    </row>
    <row r="369" spans="1:23" ht="71" customHeight="1">
      <c r="A369" s="24" t="s">
        <v>3331</v>
      </c>
      <c r="B369" s="24" t="s">
        <v>3342</v>
      </c>
      <c r="C369" s="4" t="s">
        <v>24</v>
      </c>
      <c r="D369" s="4" t="s">
        <v>5065</v>
      </c>
      <c r="E369" s="4" t="s">
        <v>2693</v>
      </c>
      <c r="F369" s="4" t="s">
        <v>55</v>
      </c>
      <c r="G369" s="4"/>
      <c r="H369" s="5" t="s">
        <v>549</v>
      </c>
      <c r="I369" s="4" t="s">
        <v>2308</v>
      </c>
      <c r="J369" s="4" t="s">
        <v>2308</v>
      </c>
      <c r="K369" s="4" t="s">
        <v>2308</v>
      </c>
      <c r="L369" s="4" t="s">
        <v>2308</v>
      </c>
      <c r="M369" s="4" t="s">
        <v>2702</v>
      </c>
      <c r="N369" s="4" t="s">
        <v>2702</v>
      </c>
      <c r="O369" s="4" t="s">
        <v>2702</v>
      </c>
      <c r="P369" s="4" t="s">
        <v>2308</v>
      </c>
      <c r="Q369" s="4" t="s">
        <v>2308</v>
      </c>
      <c r="R369" s="4" t="s">
        <v>2308</v>
      </c>
      <c r="S369" s="4" t="s">
        <v>2308</v>
      </c>
      <c r="T369" s="4" t="s">
        <v>2308</v>
      </c>
      <c r="U369" s="4" t="s">
        <v>2308</v>
      </c>
      <c r="V369" s="4" t="s">
        <v>2308</v>
      </c>
      <c r="W369" s="5" t="s">
        <v>3368</v>
      </c>
    </row>
    <row r="370" spans="1:23" ht="71" customHeight="1">
      <c r="A370" s="24" t="s">
        <v>3331</v>
      </c>
      <c r="B370" s="24" t="s">
        <v>3343</v>
      </c>
      <c r="C370" s="4" t="s">
        <v>24</v>
      </c>
      <c r="D370" s="4" t="s">
        <v>5065</v>
      </c>
      <c r="E370" s="4" t="s">
        <v>2693</v>
      </c>
      <c r="F370" s="5" t="s">
        <v>2695</v>
      </c>
      <c r="G370" s="4"/>
      <c r="H370" s="5" t="s">
        <v>549</v>
      </c>
      <c r="I370" s="4" t="s">
        <v>2308</v>
      </c>
      <c r="J370" s="4" t="s">
        <v>2308</v>
      </c>
      <c r="K370" s="4" t="s">
        <v>2308</v>
      </c>
      <c r="L370" s="4" t="s">
        <v>2308</v>
      </c>
      <c r="M370" s="4" t="s">
        <v>2702</v>
      </c>
      <c r="N370" s="4" t="s">
        <v>2702</v>
      </c>
      <c r="O370" s="4" t="s">
        <v>2702</v>
      </c>
      <c r="P370" s="4" t="s">
        <v>2308</v>
      </c>
      <c r="Q370" s="4" t="s">
        <v>2308</v>
      </c>
      <c r="R370" s="4" t="s">
        <v>2308</v>
      </c>
      <c r="S370" s="4" t="s">
        <v>2308</v>
      </c>
      <c r="T370" s="4" t="s">
        <v>2308</v>
      </c>
      <c r="U370" s="4" t="s">
        <v>2308</v>
      </c>
      <c r="V370" s="4" t="s">
        <v>2308</v>
      </c>
      <c r="W370" s="5" t="s">
        <v>3368</v>
      </c>
    </row>
    <row r="371" spans="1:23" ht="71" customHeight="1">
      <c r="A371" s="24" t="s">
        <v>3336</v>
      </c>
      <c r="B371" s="24" t="s">
        <v>3345</v>
      </c>
      <c r="C371" s="4" t="s">
        <v>24</v>
      </c>
      <c r="D371" s="4" t="s">
        <v>5065</v>
      </c>
      <c r="E371" s="4" t="s">
        <v>2693</v>
      </c>
      <c r="F371" s="4" t="s">
        <v>55</v>
      </c>
      <c r="G371" s="4"/>
      <c r="H371" s="5" t="s">
        <v>549</v>
      </c>
      <c r="I371" s="4" t="s">
        <v>2308</v>
      </c>
      <c r="J371" s="4" t="s">
        <v>2308</v>
      </c>
      <c r="K371" s="4" t="s">
        <v>2308</v>
      </c>
      <c r="L371" s="4" t="s">
        <v>2308</v>
      </c>
      <c r="M371" s="4" t="s">
        <v>2702</v>
      </c>
      <c r="N371" s="4" t="s">
        <v>2702</v>
      </c>
      <c r="O371" s="4" t="s">
        <v>2702</v>
      </c>
      <c r="P371" s="4" t="s">
        <v>2308</v>
      </c>
      <c r="Q371" s="4" t="s">
        <v>2308</v>
      </c>
      <c r="R371" s="4" t="s">
        <v>2308</v>
      </c>
      <c r="S371" s="4" t="s">
        <v>2308</v>
      </c>
      <c r="T371" s="4" t="s">
        <v>2308</v>
      </c>
      <c r="U371" s="4" t="s">
        <v>2308</v>
      </c>
      <c r="V371" s="4" t="s">
        <v>2308</v>
      </c>
      <c r="W371" s="5" t="s">
        <v>3368</v>
      </c>
    </row>
    <row r="372" spans="1:23" ht="71" customHeight="1">
      <c r="A372" s="24" t="s">
        <v>3336</v>
      </c>
      <c r="B372" s="24" t="s">
        <v>3346</v>
      </c>
      <c r="C372" s="4" t="s">
        <v>24</v>
      </c>
      <c r="D372" s="4" t="s">
        <v>5065</v>
      </c>
      <c r="E372" s="4" t="s">
        <v>2693</v>
      </c>
      <c r="F372" s="5" t="s">
        <v>2695</v>
      </c>
      <c r="G372" s="4"/>
      <c r="H372" s="5" t="s">
        <v>549</v>
      </c>
      <c r="I372" s="4" t="s">
        <v>2308</v>
      </c>
      <c r="J372" s="4" t="s">
        <v>2308</v>
      </c>
      <c r="K372" s="4" t="s">
        <v>2308</v>
      </c>
      <c r="L372" s="4" t="s">
        <v>2308</v>
      </c>
      <c r="M372" s="4" t="s">
        <v>2702</v>
      </c>
      <c r="N372" s="4" t="s">
        <v>2702</v>
      </c>
      <c r="O372" s="4" t="s">
        <v>2702</v>
      </c>
      <c r="P372" s="4" t="s">
        <v>2308</v>
      </c>
      <c r="Q372" s="4" t="s">
        <v>2308</v>
      </c>
      <c r="R372" s="4" t="s">
        <v>2308</v>
      </c>
      <c r="S372" s="4" t="s">
        <v>2308</v>
      </c>
      <c r="T372" s="4" t="s">
        <v>2308</v>
      </c>
      <c r="U372" s="4" t="s">
        <v>2308</v>
      </c>
      <c r="V372" s="4" t="s">
        <v>2308</v>
      </c>
      <c r="W372" s="5" t="s">
        <v>3368</v>
      </c>
    </row>
    <row r="373" spans="1:23" ht="71" customHeight="1">
      <c r="A373" s="24" t="s">
        <v>3337</v>
      </c>
      <c r="B373" s="24" t="s">
        <v>3347</v>
      </c>
      <c r="C373" s="4" t="s">
        <v>24</v>
      </c>
      <c r="D373" s="4" t="s">
        <v>5065</v>
      </c>
      <c r="E373" s="4" t="s">
        <v>2693</v>
      </c>
      <c r="F373" s="4" t="s">
        <v>55</v>
      </c>
      <c r="G373" s="4"/>
      <c r="H373" s="5" t="s">
        <v>549</v>
      </c>
      <c r="I373" s="4" t="s">
        <v>2308</v>
      </c>
      <c r="J373" s="4" t="s">
        <v>2308</v>
      </c>
      <c r="K373" s="4" t="s">
        <v>2308</v>
      </c>
      <c r="L373" s="4" t="s">
        <v>2308</v>
      </c>
      <c r="M373" s="4" t="s">
        <v>2702</v>
      </c>
      <c r="N373" s="4" t="s">
        <v>2702</v>
      </c>
      <c r="O373" s="4" t="s">
        <v>2702</v>
      </c>
      <c r="P373" s="4" t="s">
        <v>2308</v>
      </c>
      <c r="Q373" s="4" t="s">
        <v>2308</v>
      </c>
      <c r="R373" s="4" t="s">
        <v>2308</v>
      </c>
      <c r="S373" s="4" t="s">
        <v>2308</v>
      </c>
      <c r="T373" s="4" t="s">
        <v>2308</v>
      </c>
      <c r="U373" s="4" t="s">
        <v>2308</v>
      </c>
      <c r="V373" s="4" t="s">
        <v>2308</v>
      </c>
      <c r="W373" s="5" t="s">
        <v>3368</v>
      </c>
    </row>
    <row r="374" spans="1:23" ht="71" customHeight="1">
      <c r="A374" s="24" t="s">
        <v>3337</v>
      </c>
      <c r="B374" s="24" t="s">
        <v>3348</v>
      </c>
      <c r="C374" s="4" t="s">
        <v>24</v>
      </c>
      <c r="D374" s="4" t="s">
        <v>5065</v>
      </c>
      <c r="E374" s="4" t="s">
        <v>2693</v>
      </c>
      <c r="F374" s="5" t="s">
        <v>2695</v>
      </c>
      <c r="G374" s="4"/>
      <c r="H374" s="5" t="s">
        <v>549</v>
      </c>
      <c r="I374" s="4" t="s">
        <v>2308</v>
      </c>
      <c r="J374" s="4" t="s">
        <v>2308</v>
      </c>
      <c r="K374" s="4" t="s">
        <v>2308</v>
      </c>
      <c r="L374" s="4" t="s">
        <v>2308</v>
      </c>
      <c r="M374" s="4" t="s">
        <v>2702</v>
      </c>
      <c r="N374" s="4" t="s">
        <v>2702</v>
      </c>
      <c r="O374" s="4" t="s">
        <v>2702</v>
      </c>
      <c r="P374" s="4" t="s">
        <v>2308</v>
      </c>
      <c r="Q374" s="4" t="s">
        <v>2308</v>
      </c>
      <c r="R374" s="4" t="s">
        <v>2308</v>
      </c>
      <c r="S374" s="4" t="s">
        <v>2308</v>
      </c>
      <c r="T374" s="4" t="s">
        <v>2308</v>
      </c>
      <c r="U374" s="4" t="s">
        <v>2308</v>
      </c>
      <c r="V374" s="4" t="s">
        <v>2308</v>
      </c>
      <c r="W374" s="5" t="s">
        <v>3368</v>
      </c>
    </row>
    <row r="375" spans="1:23" ht="37.5" customHeight="1">
      <c r="A375" s="24" t="s">
        <v>3339</v>
      </c>
      <c r="B375" s="24" t="s">
        <v>3351</v>
      </c>
      <c r="C375" s="4" t="s">
        <v>24</v>
      </c>
      <c r="D375" s="5" t="s">
        <v>5065</v>
      </c>
      <c r="E375" s="4" t="s">
        <v>2693</v>
      </c>
      <c r="F375" s="4" t="s">
        <v>55</v>
      </c>
      <c r="G375" s="4"/>
      <c r="H375" s="5" t="s">
        <v>549</v>
      </c>
      <c r="I375" s="4" t="s">
        <v>2308</v>
      </c>
      <c r="J375" s="4" t="s">
        <v>2308</v>
      </c>
      <c r="K375" s="4" t="s">
        <v>2308</v>
      </c>
      <c r="L375" s="4" t="s">
        <v>2308</v>
      </c>
      <c r="M375" s="4" t="s">
        <v>545</v>
      </c>
      <c r="N375" s="4" t="s">
        <v>545</v>
      </c>
      <c r="O375" s="4" t="s">
        <v>545</v>
      </c>
      <c r="P375" s="4" t="s">
        <v>2308</v>
      </c>
      <c r="Q375" s="4" t="s">
        <v>2308</v>
      </c>
      <c r="R375" s="4" t="s">
        <v>2308</v>
      </c>
      <c r="S375" s="4" t="s">
        <v>2308</v>
      </c>
      <c r="T375" s="4" t="s">
        <v>2308</v>
      </c>
      <c r="U375" s="4" t="s">
        <v>2308</v>
      </c>
      <c r="V375" s="4" t="s">
        <v>2308</v>
      </c>
      <c r="W375" s="5" t="s">
        <v>3369</v>
      </c>
    </row>
    <row r="376" spans="1:23" ht="37.5" customHeight="1">
      <c r="A376" s="24" t="s">
        <v>3340</v>
      </c>
      <c r="B376" s="24" t="s">
        <v>3354</v>
      </c>
      <c r="C376" s="4" t="s">
        <v>24</v>
      </c>
      <c r="D376" s="5" t="s">
        <v>5065</v>
      </c>
      <c r="E376" s="4" t="s">
        <v>2693</v>
      </c>
      <c r="F376" s="4" t="s">
        <v>55</v>
      </c>
      <c r="G376" s="4"/>
      <c r="H376" s="5" t="s">
        <v>549</v>
      </c>
      <c r="I376" s="4" t="s">
        <v>2308</v>
      </c>
      <c r="J376" s="4" t="s">
        <v>2308</v>
      </c>
      <c r="K376" s="4" t="s">
        <v>2308</v>
      </c>
      <c r="L376" s="4" t="s">
        <v>2308</v>
      </c>
      <c r="M376" s="4" t="s">
        <v>545</v>
      </c>
      <c r="N376" s="4" t="s">
        <v>545</v>
      </c>
      <c r="O376" s="4" t="s">
        <v>545</v>
      </c>
      <c r="P376" s="4" t="s">
        <v>2308</v>
      </c>
      <c r="Q376" s="4" t="s">
        <v>2308</v>
      </c>
      <c r="R376" s="4" t="s">
        <v>2308</v>
      </c>
      <c r="S376" s="4" t="s">
        <v>2308</v>
      </c>
      <c r="T376" s="4" t="s">
        <v>2308</v>
      </c>
      <c r="U376" s="4" t="s">
        <v>2308</v>
      </c>
      <c r="V376" s="4" t="s">
        <v>2308</v>
      </c>
      <c r="W376" s="5" t="s">
        <v>3369</v>
      </c>
    </row>
    <row r="377" spans="1:23" ht="37.5" customHeight="1">
      <c r="A377" s="24" t="s">
        <v>3341</v>
      </c>
      <c r="B377" s="24" t="s">
        <v>3355</v>
      </c>
      <c r="C377" s="4" t="s">
        <v>24</v>
      </c>
      <c r="D377" s="5" t="s">
        <v>5065</v>
      </c>
      <c r="E377" s="4" t="s">
        <v>2693</v>
      </c>
      <c r="F377" s="4" t="s">
        <v>55</v>
      </c>
      <c r="G377" s="4"/>
      <c r="H377" s="5" t="s">
        <v>549</v>
      </c>
      <c r="I377" s="4" t="s">
        <v>2308</v>
      </c>
      <c r="J377" s="4" t="s">
        <v>2308</v>
      </c>
      <c r="K377" s="4" t="s">
        <v>2308</v>
      </c>
      <c r="L377" s="4" t="s">
        <v>2308</v>
      </c>
      <c r="M377" s="4" t="s">
        <v>545</v>
      </c>
      <c r="N377" s="4" t="s">
        <v>545</v>
      </c>
      <c r="O377" s="4" t="s">
        <v>545</v>
      </c>
      <c r="P377" s="4" t="s">
        <v>2308</v>
      </c>
      <c r="Q377" s="4" t="s">
        <v>2308</v>
      </c>
      <c r="R377" s="4" t="s">
        <v>2308</v>
      </c>
      <c r="S377" s="4" t="s">
        <v>2308</v>
      </c>
      <c r="T377" s="4" t="s">
        <v>2308</v>
      </c>
      <c r="U377" s="4" t="s">
        <v>2308</v>
      </c>
      <c r="V377" s="4" t="s">
        <v>2308</v>
      </c>
      <c r="W377" s="5" t="s">
        <v>3369</v>
      </c>
    </row>
    <row r="378" spans="1:23" ht="47.5" customHeight="1">
      <c r="A378" s="24" t="s">
        <v>3386</v>
      </c>
      <c r="B378" s="24" t="s">
        <v>3389</v>
      </c>
      <c r="C378" s="4" t="s">
        <v>24</v>
      </c>
      <c r="D378" s="4" t="s">
        <v>116</v>
      </c>
      <c r="E378" s="4" t="s">
        <v>2337</v>
      </c>
      <c r="F378" s="4" t="s">
        <v>55</v>
      </c>
      <c r="G378" s="4">
        <v>2001</v>
      </c>
      <c r="H378" s="5" t="s">
        <v>549</v>
      </c>
      <c r="I378" s="4" t="s">
        <v>2308</v>
      </c>
      <c r="J378" s="4" t="s">
        <v>2308</v>
      </c>
      <c r="K378" s="4" t="s">
        <v>2308</v>
      </c>
      <c r="L378" s="4" t="s">
        <v>2308</v>
      </c>
      <c r="M378" s="4" t="s">
        <v>2703</v>
      </c>
      <c r="N378" s="4" t="s">
        <v>2308</v>
      </c>
      <c r="O378" s="4" t="s">
        <v>542</v>
      </c>
      <c r="P378" s="4" t="s">
        <v>2308</v>
      </c>
      <c r="Q378" s="4">
        <v>1</v>
      </c>
      <c r="R378" s="4" t="s">
        <v>2308</v>
      </c>
      <c r="S378" s="4" t="s">
        <v>2308</v>
      </c>
      <c r="T378" s="4" t="s">
        <v>2308</v>
      </c>
      <c r="U378" s="4" t="s">
        <v>2308</v>
      </c>
      <c r="V378" s="4" t="s">
        <v>2308</v>
      </c>
      <c r="W378" s="5" t="s">
        <v>3409</v>
      </c>
    </row>
    <row r="379" spans="1:23" ht="47" customHeight="1">
      <c r="A379" s="24" t="s">
        <v>3386</v>
      </c>
      <c r="B379" s="24" t="s">
        <v>3390</v>
      </c>
      <c r="C379" s="4" t="s">
        <v>24</v>
      </c>
      <c r="D379" s="4" t="s">
        <v>116</v>
      </c>
      <c r="E379" s="4" t="s">
        <v>2337</v>
      </c>
      <c r="F379" s="4" t="s">
        <v>55</v>
      </c>
      <c r="G379" s="4">
        <v>2002</v>
      </c>
      <c r="H379" s="5" t="s">
        <v>549</v>
      </c>
      <c r="I379" s="4" t="s">
        <v>2308</v>
      </c>
      <c r="J379" s="4" t="s">
        <v>2308</v>
      </c>
      <c r="K379" s="4" t="s">
        <v>2308</v>
      </c>
      <c r="L379" s="4" t="s">
        <v>2308</v>
      </c>
      <c r="M379" s="4" t="s">
        <v>2703</v>
      </c>
      <c r="N379" s="4" t="s">
        <v>2308</v>
      </c>
      <c r="O379" s="4" t="s">
        <v>542</v>
      </c>
      <c r="P379" s="4" t="s">
        <v>2308</v>
      </c>
      <c r="Q379" s="4">
        <v>4</v>
      </c>
      <c r="R379" s="4" t="s">
        <v>2308</v>
      </c>
      <c r="S379" s="4" t="s">
        <v>2308</v>
      </c>
      <c r="T379" s="4" t="s">
        <v>2308</v>
      </c>
      <c r="U379" s="4" t="s">
        <v>2308</v>
      </c>
      <c r="V379" s="4" t="s">
        <v>2308</v>
      </c>
      <c r="W379" s="5" t="s">
        <v>3409</v>
      </c>
    </row>
    <row r="380" spans="1:23" ht="48.5" customHeight="1">
      <c r="A380" s="24" t="s">
        <v>3386</v>
      </c>
      <c r="B380" s="24" t="s">
        <v>3391</v>
      </c>
      <c r="C380" s="4" t="s">
        <v>24</v>
      </c>
      <c r="D380" s="4" t="s">
        <v>116</v>
      </c>
      <c r="E380" s="4" t="s">
        <v>2337</v>
      </c>
      <c r="F380" s="4" t="s">
        <v>55</v>
      </c>
      <c r="G380" s="4">
        <v>2003</v>
      </c>
      <c r="H380" s="5" t="s">
        <v>549</v>
      </c>
      <c r="I380" s="4" t="s">
        <v>2308</v>
      </c>
      <c r="J380" s="4" t="s">
        <v>2308</v>
      </c>
      <c r="K380" s="4" t="s">
        <v>2308</v>
      </c>
      <c r="L380" s="4" t="s">
        <v>2308</v>
      </c>
      <c r="M380" s="4" t="s">
        <v>2703</v>
      </c>
      <c r="N380" s="4" t="s">
        <v>2308</v>
      </c>
      <c r="O380" s="4" t="s">
        <v>542</v>
      </c>
      <c r="P380" s="4" t="s">
        <v>2308</v>
      </c>
      <c r="Q380" s="4">
        <v>4</v>
      </c>
      <c r="R380" s="4" t="s">
        <v>2308</v>
      </c>
      <c r="S380" s="4" t="s">
        <v>2308</v>
      </c>
      <c r="T380" s="4" t="s">
        <v>2308</v>
      </c>
      <c r="U380" s="4" t="s">
        <v>2308</v>
      </c>
      <c r="V380" s="4" t="s">
        <v>2308</v>
      </c>
      <c r="W380" s="5" t="s">
        <v>3409</v>
      </c>
    </row>
    <row r="381" spans="1:23" ht="44" customHeight="1">
      <c r="A381" s="24" t="s">
        <v>3386</v>
      </c>
      <c r="B381" s="24" t="s">
        <v>3392</v>
      </c>
      <c r="C381" s="4" t="s">
        <v>24</v>
      </c>
      <c r="D381" s="4" t="s">
        <v>116</v>
      </c>
      <c r="E381" s="4" t="s">
        <v>2337</v>
      </c>
      <c r="F381" s="4" t="s">
        <v>55</v>
      </c>
      <c r="G381" s="4">
        <v>2004</v>
      </c>
      <c r="H381" s="5" t="s">
        <v>549</v>
      </c>
      <c r="I381" s="4" t="s">
        <v>2308</v>
      </c>
      <c r="J381" s="4" t="s">
        <v>2308</v>
      </c>
      <c r="K381" s="4" t="s">
        <v>2308</v>
      </c>
      <c r="L381" s="4" t="s">
        <v>2308</v>
      </c>
      <c r="M381" s="4" t="s">
        <v>2703</v>
      </c>
      <c r="N381" s="4" t="s">
        <v>2308</v>
      </c>
      <c r="O381" s="4" t="s">
        <v>542</v>
      </c>
      <c r="P381" s="4" t="s">
        <v>2308</v>
      </c>
      <c r="Q381" s="4">
        <v>4</v>
      </c>
      <c r="R381" s="4" t="s">
        <v>2308</v>
      </c>
      <c r="S381" s="4" t="s">
        <v>2308</v>
      </c>
      <c r="T381" s="4" t="s">
        <v>2308</v>
      </c>
      <c r="U381" s="4" t="s">
        <v>2308</v>
      </c>
      <c r="V381" s="4" t="s">
        <v>2308</v>
      </c>
      <c r="W381" s="5" t="s">
        <v>3409</v>
      </c>
    </row>
    <row r="382" spans="1:23" ht="42" customHeight="1">
      <c r="A382" s="24" t="s">
        <v>3386</v>
      </c>
      <c r="B382" s="24" t="s">
        <v>3389</v>
      </c>
      <c r="C382" s="4" t="s">
        <v>24</v>
      </c>
      <c r="D382" s="4" t="s">
        <v>116</v>
      </c>
      <c r="E382" s="4" t="s">
        <v>2337</v>
      </c>
      <c r="F382" s="4" t="s">
        <v>55</v>
      </c>
      <c r="G382" s="4">
        <v>2001</v>
      </c>
      <c r="H382" s="5" t="s">
        <v>549</v>
      </c>
      <c r="I382" s="4" t="s">
        <v>2308</v>
      </c>
      <c r="J382" s="4" t="s">
        <v>2308</v>
      </c>
      <c r="K382" s="4" t="s">
        <v>2308</v>
      </c>
      <c r="L382" s="4" t="s">
        <v>2308</v>
      </c>
      <c r="M382" s="4" t="s">
        <v>2308</v>
      </c>
      <c r="N382" s="4" t="s">
        <v>2308</v>
      </c>
      <c r="O382" s="4" t="s">
        <v>2308</v>
      </c>
      <c r="P382" s="4" t="s">
        <v>2308</v>
      </c>
      <c r="Q382" s="4" t="s">
        <v>2308</v>
      </c>
      <c r="R382" s="4" t="s">
        <v>545</v>
      </c>
      <c r="S382" s="4" t="s">
        <v>2308</v>
      </c>
      <c r="T382" s="4" t="s">
        <v>545</v>
      </c>
      <c r="U382" s="4" t="s">
        <v>2308</v>
      </c>
      <c r="V382" s="4" t="s">
        <v>2308</v>
      </c>
      <c r="W382" s="5" t="s">
        <v>3411</v>
      </c>
    </row>
    <row r="383" spans="1:23" ht="43.5">
      <c r="A383" s="24" t="s">
        <v>3386</v>
      </c>
      <c r="B383" s="24" t="s">
        <v>3390</v>
      </c>
      <c r="C383" s="4" t="s">
        <v>24</v>
      </c>
      <c r="D383" s="4" t="s">
        <v>116</v>
      </c>
      <c r="E383" s="4" t="s">
        <v>2337</v>
      </c>
      <c r="F383" s="4" t="s">
        <v>55</v>
      </c>
      <c r="G383" s="4">
        <v>2002</v>
      </c>
      <c r="H383" s="5" t="s">
        <v>549</v>
      </c>
      <c r="I383" s="4" t="s">
        <v>2308</v>
      </c>
      <c r="J383" s="4" t="s">
        <v>2308</v>
      </c>
      <c r="K383" s="4" t="s">
        <v>2308</v>
      </c>
      <c r="L383" s="4" t="s">
        <v>2308</v>
      </c>
      <c r="M383" s="4" t="s">
        <v>2308</v>
      </c>
      <c r="N383" s="4" t="s">
        <v>2308</v>
      </c>
      <c r="O383" s="4" t="s">
        <v>2308</v>
      </c>
      <c r="P383" s="4" t="s">
        <v>2308</v>
      </c>
      <c r="Q383" s="4" t="s">
        <v>2308</v>
      </c>
      <c r="R383" s="4" t="s">
        <v>542</v>
      </c>
      <c r="S383" s="4" t="s">
        <v>2308</v>
      </c>
      <c r="T383" s="4" t="s">
        <v>542</v>
      </c>
      <c r="U383" s="4" t="s">
        <v>2308</v>
      </c>
      <c r="V383" s="4">
        <v>4</v>
      </c>
      <c r="W383" s="5" t="s">
        <v>3410</v>
      </c>
    </row>
    <row r="384" spans="1:23" ht="43.5">
      <c r="A384" s="24" t="s">
        <v>3386</v>
      </c>
      <c r="B384" s="24" t="s">
        <v>3391</v>
      </c>
      <c r="C384" s="4" t="s">
        <v>24</v>
      </c>
      <c r="D384" s="4" t="s">
        <v>116</v>
      </c>
      <c r="E384" s="4" t="s">
        <v>2337</v>
      </c>
      <c r="F384" s="4" t="s">
        <v>55</v>
      </c>
      <c r="G384" s="4">
        <v>2003</v>
      </c>
      <c r="H384" s="5" t="s">
        <v>549</v>
      </c>
      <c r="I384" s="4" t="s">
        <v>2308</v>
      </c>
      <c r="J384" s="4" t="s">
        <v>2308</v>
      </c>
      <c r="K384" s="4" t="s">
        <v>2308</v>
      </c>
      <c r="L384" s="4" t="s">
        <v>2308</v>
      </c>
      <c r="M384" s="4" t="s">
        <v>2308</v>
      </c>
      <c r="N384" s="4" t="s">
        <v>2308</v>
      </c>
      <c r="O384" s="4" t="s">
        <v>2308</v>
      </c>
      <c r="P384" s="4" t="s">
        <v>2308</v>
      </c>
      <c r="Q384" s="4" t="s">
        <v>2308</v>
      </c>
      <c r="R384" s="4" t="s">
        <v>542</v>
      </c>
      <c r="S384" s="4" t="s">
        <v>2308</v>
      </c>
      <c r="T384" s="4" t="s">
        <v>542</v>
      </c>
      <c r="U384" s="4" t="s">
        <v>2308</v>
      </c>
      <c r="V384" s="4">
        <v>4</v>
      </c>
      <c r="W384" s="5" t="s">
        <v>3410</v>
      </c>
    </row>
    <row r="385" spans="1:23" ht="43.5">
      <c r="A385" s="24" t="s">
        <v>3386</v>
      </c>
      <c r="B385" s="24" t="s">
        <v>3392</v>
      </c>
      <c r="C385" s="4" t="s">
        <v>24</v>
      </c>
      <c r="D385" s="4" t="s">
        <v>116</v>
      </c>
      <c r="E385" s="4" t="s">
        <v>2337</v>
      </c>
      <c r="F385" s="4" t="s">
        <v>55</v>
      </c>
      <c r="G385" s="4">
        <v>2004</v>
      </c>
      <c r="H385" s="5" t="s">
        <v>549</v>
      </c>
      <c r="I385" s="4" t="s">
        <v>2308</v>
      </c>
      <c r="J385" s="4" t="s">
        <v>2308</v>
      </c>
      <c r="K385" s="4" t="s">
        <v>2308</v>
      </c>
      <c r="L385" s="4" t="s">
        <v>2308</v>
      </c>
      <c r="M385" s="4" t="s">
        <v>2308</v>
      </c>
      <c r="N385" s="4" t="s">
        <v>2308</v>
      </c>
      <c r="O385" s="4" t="s">
        <v>2308</v>
      </c>
      <c r="P385" s="4" t="s">
        <v>2308</v>
      </c>
      <c r="Q385" s="4" t="s">
        <v>2308</v>
      </c>
      <c r="R385" s="4" t="s">
        <v>542</v>
      </c>
      <c r="S385" s="4" t="s">
        <v>2308</v>
      </c>
      <c r="T385" s="4" t="s">
        <v>542</v>
      </c>
      <c r="U385" s="4" t="s">
        <v>2308</v>
      </c>
      <c r="V385" s="4">
        <v>4</v>
      </c>
      <c r="W385" s="5" t="s">
        <v>3410</v>
      </c>
    </row>
    <row r="386" spans="1:23" ht="52" customHeight="1">
      <c r="A386" s="24" t="s">
        <v>3419</v>
      </c>
      <c r="B386" s="24" t="s">
        <v>3423</v>
      </c>
      <c r="C386" s="4" t="s">
        <v>24</v>
      </c>
      <c r="D386" s="4" t="s">
        <v>5065</v>
      </c>
      <c r="E386" s="4" t="s">
        <v>1125</v>
      </c>
      <c r="F386" s="5" t="s">
        <v>2695</v>
      </c>
      <c r="G386" s="4"/>
      <c r="H386" s="5" t="s">
        <v>549</v>
      </c>
      <c r="I386" s="4" t="s">
        <v>2308</v>
      </c>
      <c r="J386" s="4" t="s">
        <v>2308</v>
      </c>
      <c r="K386" s="4" t="s">
        <v>2308</v>
      </c>
      <c r="L386" s="4" t="s">
        <v>2308</v>
      </c>
      <c r="M386" s="4" t="s">
        <v>2308</v>
      </c>
      <c r="N386" s="4" t="s">
        <v>2308</v>
      </c>
      <c r="O386" s="4" t="s">
        <v>2308</v>
      </c>
      <c r="P386" s="4" t="s">
        <v>2308</v>
      </c>
      <c r="Q386" s="4" t="s">
        <v>2308</v>
      </c>
      <c r="R386" s="4" t="s">
        <v>542</v>
      </c>
      <c r="S386" s="4" t="s">
        <v>2308</v>
      </c>
      <c r="T386" s="4" t="s">
        <v>2308</v>
      </c>
      <c r="U386" s="4" t="s">
        <v>2308</v>
      </c>
      <c r="V386" s="4" t="s">
        <v>2308</v>
      </c>
      <c r="W386" s="4"/>
    </row>
    <row r="387" spans="1:23" ht="52" customHeight="1">
      <c r="A387" s="24" t="s">
        <v>3420</v>
      </c>
      <c r="B387" s="24" t="s">
        <v>3424</v>
      </c>
      <c r="C387" s="4" t="s">
        <v>24</v>
      </c>
      <c r="D387" s="4" t="s">
        <v>5065</v>
      </c>
      <c r="E387" s="4" t="s">
        <v>1125</v>
      </c>
      <c r="F387" s="5" t="s">
        <v>2695</v>
      </c>
      <c r="G387" s="4"/>
      <c r="H387" s="5" t="s">
        <v>549</v>
      </c>
      <c r="I387" s="4" t="s">
        <v>2308</v>
      </c>
      <c r="J387" s="4" t="s">
        <v>2308</v>
      </c>
      <c r="K387" s="4" t="s">
        <v>2308</v>
      </c>
      <c r="L387" s="4" t="s">
        <v>2308</v>
      </c>
      <c r="M387" s="4" t="s">
        <v>2308</v>
      </c>
      <c r="N387" s="4" t="s">
        <v>2308</v>
      </c>
      <c r="O387" s="4" t="s">
        <v>2308</v>
      </c>
      <c r="P387" s="4" t="s">
        <v>2308</v>
      </c>
      <c r="Q387" s="4" t="s">
        <v>2308</v>
      </c>
      <c r="R387" s="4" t="s">
        <v>542</v>
      </c>
      <c r="S387" s="4" t="s">
        <v>2308</v>
      </c>
      <c r="T387" s="4" t="s">
        <v>2308</v>
      </c>
      <c r="U387" s="4" t="s">
        <v>2308</v>
      </c>
      <c r="V387" s="4" t="s">
        <v>2308</v>
      </c>
      <c r="W387" s="4"/>
    </row>
    <row r="388" spans="1:23" ht="61" customHeight="1">
      <c r="A388" s="24" t="s">
        <v>3427</v>
      </c>
      <c r="B388" s="24" t="s">
        <v>3438</v>
      </c>
      <c r="C388" s="4" t="s">
        <v>24</v>
      </c>
      <c r="D388" s="4" t="s">
        <v>5065</v>
      </c>
      <c r="E388" s="4" t="s">
        <v>1125</v>
      </c>
      <c r="F388" s="5" t="s">
        <v>2695</v>
      </c>
      <c r="G388" s="4">
        <v>1968</v>
      </c>
      <c r="H388" s="5" t="s">
        <v>549</v>
      </c>
      <c r="I388" s="4" t="s">
        <v>2308</v>
      </c>
      <c r="J388" s="4" t="s">
        <v>2308</v>
      </c>
      <c r="K388" s="4" t="s">
        <v>2308</v>
      </c>
      <c r="L388" s="4" t="s">
        <v>2308</v>
      </c>
      <c r="M388" s="4" t="s">
        <v>2308</v>
      </c>
      <c r="N388" s="4" t="s">
        <v>2308</v>
      </c>
      <c r="O388" s="4" t="s">
        <v>2308</v>
      </c>
      <c r="P388" s="4" t="s">
        <v>2308</v>
      </c>
      <c r="Q388" s="4" t="s">
        <v>2308</v>
      </c>
      <c r="R388" s="4" t="s">
        <v>545</v>
      </c>
      <c r="S388" s="4" t="s">
        <v>2308</v>
      </c>
      <c r="T388" s="4" t="s">
        <v>545</v>
      </c>
      <c r="U388" s="4" t="s">
        <v>2308</v>
      </c>
      <c r="V388" s="4" t="s">
        <v>2308</v>
      </c>
      <c r="W388" s="5" t="s">
        <v>3450</v>
      </c>
    </row>
    <row r="389" spans="1:23" ht="64" customHeight="1">
      <c r="A389" s="24" t="s">
        <v>3428</v>
      </c>
      <c r="B389" s="24" t="s">
        <v>3439</v>
      </c>
      <c r="C389" s="4" t="s">
        <v>24</v>
      </c>
      <c r="D389" s="4" t="s">
        <v>5065</v>
      </c>
      <c r="E389" s="4" t="s">
        <v>1125</v>
      </c>
      <c r="F389" s="5" t="s">
        <v>2695</v>
      </c>
      <c r="G389" s="4">
        <v>1968</v>
      </c>
      <c r="H389" s="5" t="s">
        <v>549</v>
      </c>
      <c r="I389" s="4" t="s">
        <v>2308</v>
      </c>
      <c r="J389" s="4" t="s">
        <v>2308</v>
      </c>
      <c r="K389" s="4" t="s">
        <v>2308</v>
      </c>
      <c r="L389" s="4" t="s">
        <v>2308</v>
      </c>
      <c r="M389" s="4" t="s">
        <v>2308</v>
      </c>
      <c r="N389" s="4" t="s">
        <v>2308</v>
      </c>
      <c r="O389" s="4" t="s">
        <v>2308</v>
      </c>
      <c r="P389" s="4" t="s">
        <v>2308</v>
      </c>
      <c r="Q389" s="4" t="s">
        <v>2308</v>
      </c>
      <c r="R389" s="4" t="s">
        <v>545</v>
      </c>
      <c r="S389" s="4" t="s">
        <v>2308</v>
      </c>
      <c r="T389" s="4" t="s">
        <v>545</v>
      </c>
      <c r="U389" s="4" t="s">
        <v>2308</v>
      </c>
      <c r="V389" s="4" t="s">
        <v>2308</v>
      </c>
      <c r="W389" s="5" t="s">
        <v>3450</v>
      </c>
    </row>
    <row r="390" spans="1:23" ht="57.5" customHeight="1">
      <c r="A390" s="24" t="s">
        <v>3432</v>
      </c>
      <c r="B390" s="24" t="s">
        <v>3440</v>
      </c>
      <c r="C390" s="4" t="s">
        <v>24</v>
      </c>
      <c r="D390" s="4" t="s">
        <v>5065</v>
      </c>
      <c r="E390" s="4" t="s">
        <v>1125</v>
      </c>
      <c r="F390" s="5" t="s">
        <v>2695</v>
      </c>
      <c r="G390" s="4">
        <v>1968</v>
      </c>
      <c r="H390" s="5" t="s">
        <v>549</v>
      </c>
      <c r="I390" s="4" t="s">
        <v>2308</v>
      </c>
      <c r="J390" s="4" t="s">
        <v>2308</v>
      </c>
      <c r="K390" s="4" t="s">
        <v>2308</v>
      </c>
      <c r="L390" s="4" t="s">
        <v>2308</v>
      </c>
      <c r="M390" s="4" t="s">
        <v>2308</v>
      </c>
      <c r="N390" s="4" t="s">
        <v>2308</v>
      </c>
      <c r="O390" s="4" t="s">
        <v>2308</v>
      </c>
      <c r="P390" s="4" t="s">
        <v>2308</v>
      </c>
      <c r="Q390" s="4" t="s">
        <v>2308</v>
      </c>
      <c r="R390" s="4" t="s">
        <v>545</v>
      </c>
      <c r="S390" s="4" t="s">
        <v>2308</v>
      </c>
      <c r="T390" s="4" t="s">
        <v>545</v>
      </c>
      <c r="U390" s="4" t="s">
        <v>2308</v>
      </c>
      <c r="V390" s="4" t="s">
        <v>2308</v>
      </c>
      <c r="W390" s="5" t="s">
        <v>3450</v>
      </c>
    </row>
    <row r="391" spans="1:23" ht="53.5" customHeight="1">
      <c r="A391" s="24" t="s">
        <v>3427</v>
      </c>
      <c r="B391" s="24" t="s">
        <v>3441</v>
      </c>
      <c r="C391" s="4" t="s">
        <v>24</v>
      </c>
      <c r="D391" s="4" t="s">
        <v>5065</v>
      </c>
      <c r="E391" s="4" t="s">
        <v>1125</v>
      </c>
      <c r="F391" s="5" t="s">
        <v>2695</v>
      </c>
      <c r="G391" s="4">
        <v>2003</v>
      </c>
      <c r="H391" s="5" t="s">
        <v>549</v>
      </c>
      <c r="I391" s="4" t="s">
        <v>2723</v>
      </c>
      <c r="J391" s="4" t="s">
        <v>2723</v>
      </c>
      <c r="K391" s="4" t="s">
        <v>2308</v>
      </c>
      <c r="L391" s="4" t="s">
        <v>2308</v>
      </c>
      <c r="M391" s="4" t="s">
        <v>2308</v>
      </c>
      <c r="N391" s="4" t="s">
        <v>2308</v>
      </c>
      <c r="O391" s="4" t="s">
        <v>2308</v>
      </c>
      <c r="P391" s="4" t="s">
        <v>2308</v>
      </c>
      <c r="Q391" s="4" t="s">
        <v>2308</v>
      </c>
      <c r="R391" s="4" t="s">
        <v>542</v>
      </c>
      <c r="S391" s="4" t="s">
        <v>2308</v>
      </c>
      <c r="T391" s="4" t="s">
        <v>542</v>
      </c>
      <c r="U391" s="4" t="s">
        <v>2308</v>
      </c>
      <c r="V391" s="4" t="s">
        <v>2308</v>
      </c>
      <c r="W391" s="5" t="s">
        <v>3451</v>
      </c>
    </row>
    <row r="392" spans="1:23" ht="57" customHeight="1">
      <c r="A392" s="24" t="s">
        <v>3428</v>
      </c>
      <c r="B392" s="24" t="s">
        <v>3442</v>
      </c>
      <c r="C392" s="4" t="s">
        <v>24</v>
      </c>
      <c r="D392" s="4" t="s">
        <v>5065</v>
      </c>
      <c r="E392" s="4" t="s">
        <v>1125</v>
      </c>
      <c r="F392" s="5" t="s">
        <v>2695</v>
      </c>
      <c r="G392" s="4">
        <v>2003</v>
      </c>
      <c r="H392" s="5" t="s">
        <v>549</v>
      </c>
      <c r="I392" s="4" t="s">
        <v>2723</v>
      </c>
      <c r="J392" s="4" t="s">
        <v>2723</v>
      </c>
      <c r="K392" s="4" t="s">
        <v>2308</v>
      </c>
      <c r="L392" s="4" t="s">
        <v>2308</v>
      </c>
      <c r="M392" s="4" t="s">
        <v>2308</v>
      </c>
      <c r="N392" s="4" t="s">
        <v>2308</v>
      </c>
      <c r="O392" s="4" t="s">
        <v>2308</v>
      </c>
      <c r="P392" s="4" t="s">
        <v>2308</v>
      </c>
      <c r="Q392" s="4" t="s">
        <v>2308</v>
      </c>
      <c r="R392" s="4" t="s">
        <v>542</v>
      </c>
      <c r="S392" s="4" t="s">
        <v>2308</v>
      </c>
      <c r="T392" s="4" t="s">
        <v>542</v>
      </c>
      <c r="U392" s="4" t="s">
        <v>2308</v>
      </c>
      <c r="V392" s="4" t="s">
        <v>2308</v>
      </c>
      <c r="W392" s="5" t="s">
        <v>3451</v>
      </c>
    </row>
    <row r="393" spans="1:23" ht="58" customHeight="1">
      <c r="A393" s="24" t="s">
        <v>3432</v>
      </c>
      <c r="B393" s="24" t="s">
        <v>3443</v>
      </c>
      <c r="C393" s="4" t="s">
        <v>24</v>
      </c>
      <c r="D393" s="4" t="s">
        <v>5065</v>
      </c>
      <c r="E393" s="4" t="s">
        <v>1125</v>
      </c>
      <c r="F393" s="5" t="s">
        <v>2695</v>
      </c>
      <c r="G393" s="4">
        <v>2003</v>
      </c>
      <c r="H393" s="5" t="s">
        <v>549</v>
      </c>
      <c r="I393" s="4" t="s">
        <v>2723</v>
      </c>
      <c r="J393" s="4" t="s">
        <v>2723</v>
      </c>
      <c r="K393" s="4" t="s">
        <v>2308</v>
      </c>
      <c r="L393" s="4" t="s">
        <v>2308</v>
      </c>
      <c r="M393" s="4" t="s">
        <v>2308</v>
      </c>
      <c r="N393" s="4" t="s">
        <v>2308</v>
      </c>
      <c r="O393" s="4" t="s">
        <v>2308</v>
      </c>
      <c r="P393" s="4" t="s">
        <v>2308</v>
      </c>
      <c r="Q393" s="4" t="s">
        <v>2308</v>
      </c>
      <c r="R393" s="4" t="s">
        <v>542</v>
      </c>
      <c r="S393" s="4" t="s">
        <v>2308</v>
      </c>
      <c r="T393" s="4" t="s">
        <v>542</v>
      </c>
      <c r="U393" s="4" t="s">
        <v>2308</v>
      </c>
      <c r="V393" s="4" t="s">
        <v>2308</v>
      </c>
      <c r="W393" s="5" t="s">
        <v>3451</v>
      </c>
    </row>
    <row r="394" spans="1:23" ht="34.5" customHeight="1">
      <c r="A394" s="24" t="s">
        <v>3435</v>
      </c>
      <c r="B394" s="24" t="s">
        <v>3456</v>
      </c>
      <c r="C394" s="4" t="s">
        <v>24</v>
      </c>
      <c r="D394" s="4" t="s">
        <v>5065</v>
      </c>
      <c r="E394" s="4" t="s">
        <v>1125</v>
      </c>
      <c r="F394" s="5" t="s">
        <v>2695</v>
      </c>
      <c r="G394" s="4"/>
      <c r="H394" s="5" t="s">
        <v>549</v>
      </c>
      <c r="I394" s="4" t="s">
        <v>2308</v>
      </c>
      <c r="J394" s="4" t="s">
        <v>2308</v>
      </c>
      <c r="K394" s="4" t="s">
        <v>2308</v>
      </c>
      <c r="L394" s="4" t="s">
        <v>2308</v>
      </c>
      <c r="M394" s="4" t="s">
        <v>2308</v>
      </c>
      <c r="N394" s="4" t="s">
        <v>2308</v>
      </c>
      <c r="O394" s="4" t="s">
        <v>2308</v>
      </c>
      <c r="P394" s="4" t="s">
        <v>2308</v>
      </c>
      <c r="Q394" s="4" t="s">
        <v>2308</v>
      </c>
      <c r="R394" s="4" t="s">
        <v>545</v>
      </c>
      <c r="S394" s="4" t="s">
        <v>2308</v>
      </c>
      <c r="T394" s="4" t="s">
        <v>2308</v>
      </c>
      <c r="U394" s="4" t="s">
        <v>2308</v>
      </c>
      <c r="V394" s="4" t="s">
        <v>2308</v>
      </c>
      <c r="W394" s="5"/>
    </row>
    <row r="395" spans="1:23" ht="40.5" customHeight="1">
      <c r="A395" s="24" t="s">
        <v>3436</v>
      </c>
      <c r="B395" s="24" t="s">
        <v>3457</v>
      </c>
      <c r="C395" s="4" t="s">
        <v>24</v>
      </c>
      <c r="D395" s="4" t="s">
        <v>5065</v>
      </c>
      <c r="E395" s="4" t="s">
        <v>1125</v>
      </c>
      <c r="F395" s="5" t="s">
        <v>2695</v>
      </c>
      <c r="G395" s="4"/>
      <c r="H395" s="5" t="s">
        <v>549</v>
      </c>
      <c r="I395" s="4" t="s">
        <v>2308</v>
      </c>
      <c r="J395" s="4" t="s">
        <v>2308</v>
      </c>
      <c r="K395" s="4" t="s">
        <v>2308</v>
      </c>
      <c r="L395" s="4" t="s">
        <v>2308</v>
      </c>
      <c r="M395" s="4" t="s">
        <v>2308</v>
      </c>
      <c r="N395" s="4" t="s">
        <v>2308</v>
      </c>
      <c r="O395" s="4" t="s">
        <v>2308</v>
      </c>
      <c r="P395" s="4" t="s">
        <v>2308</v>
      </c>
      <c r="Q395" s="4" t="s">
        <v>2308</v>
      </c>
      <c r="R395" s="4" t="s">
        <v>542</v>
      </c>
      <c r="S395" s="4" t="s">
        <v>2308</v>
      </c>
      <c r="T395" s="4" t="s">
        <v>2308</v>
      </c>
      <c r="U395" s="4" t="s">
        <v>2308</v>
      </c>
      <c r="V395" s="4" t="s">
        <v>2308</v>
      </c>
      <c r="W395" s="5"/>
    </row>
    <row r="396" spans="1:23" ht="39" customHeight="1">
      <c r="A396" s="24" t="s">
        <v>3437</v>
      </c>
      <c r="B396" s="24" t="s">
        <v>3458</v>
      </c>
      <c r="C396" s="4" t="s">
        <v>24</v>
      </c>
      <c r="D396" s="4" t="s">
        <v>5065</v>
      </c>
      <c r="E396" s="4" t="s">
        <v>1125</v>
      </c>
      <c r="F396" s="5" t="s">
        <v>2695</v>
      </c>
      <c r="G396" s="4"/>
      <c r="H396" s="5" t="s">
        <v>549</v>
      </c>
      <c r="I396" s="4" t="s">
        <v>2308</v>
      </c>
      <c r="J396" s="4" t="s">
        <v>2308</v>
      </c>
      <c r="K396" s="4" t="s">
        <v>2308</v>
      </c>
      <c r="L396" s="4" t="s">
        <v>2308</v>
      </c>
      <c r="M396" s="4" t="s">
        <v>2308</v>
      </c>
      <c r="N396" s="4" t="s">
        <v>2308</v>
      </c>
      <c r="O396" s="4" t="s">
        <v>2308</v>
      </c>
      <c r="P396" s="4" t="s">
        <v>2308</v>
      </c>
      <c r="Q396" s="4" t="s">
        <v>2308</v>
      </c>
      <c r="R396" s="4" t="s">
        <v>542</v>
      </c>
      <c r="S396" s="4" t="s">
        <v>2308</v>
      </c>
      <c r="T396" s="4" t="s">
        <v>2308</v>
      </c>
      <c r="U396" s="4" t="s">
        <v>2308</v>
      </c>
      <c r="V396" s="4" t="s">
        <v>2308</v>
      </c>
      <c r="W396" s="5"/>
    </row>
    <row r="397" spans="1:23" ht="41" customHeight="1">
      <c r="A397" s="24" t="s">
        <v>3509</v>
      </c>
      <c r="B397" s="24" t="s">
        <v>3514</v>
      </c>
      <c r="C397" s="4" t="s">
        <v>1125</v>
      </c>
      <c r="D397" s="4" t="s">
        <v>1125</v>
      </c>
      <c r="E397" s="4" t="s">
        <v>1125</v>
      </c>
      <c r="F397" s="4" t="s">
        <v>1125</v>
      </c>
      <c r="G397" s="4"/>
      <c r="H397" s="5" t="s">
        <v>549</v>
      </c>
      <c r="I397" s="4" t="s">
        <v>2308</v>
      </c>
      <c r="J397" s="4" t="s">
        <v>2308</v>
      </c>
      <c r="K397" s="4" t="s">
        <v>2308</v>
      </c>
      <c r="L397" s="4" t="s">
        <v>2308</v>
      </c>
      <c r="M397" s="4" t="s">
        <v>2308</v>
      </c>
      <c r="N397" s="4" t="s">
        <v>2308</v>
      </c>
      <c r="O397" s="4" t="s">
        <v>2308</v>
      </c>
      <c r="P397" s="4" t="s">
        <v>2308</v>
      </c>
      <c r="Q397" s="4" t="s">
        <v>2308</v>
      </c>
      <c r="R397" s="4" t="s">
        <v>542</v>
      </c>
      <c r="S397" s="4" t="s">
        <v>2308</v>
      </c>
      <c r="T397" s="4" t="s">
        <v>2308</v>
      </c>
      <c r="U397" s="4" t="s">
        <v>2308</v>
      </c>
      <c r="V397" s="4" t="s">
        <v>2308</v>
      </c>
      <c r="W397" s="20" t="s">
        <v>3534</v>
      </c>
    </row>
    <row r="398" spans="1:23" ht="143.5" customHeight="1">
      <c r="A398" s="24" t="s">
        <v>3540</v>
      </c>
      <c r="B398" s="24" t="s">
        <v>3546</v>
      </c>
      <c r="C398" s="4" t="s">
        <v>1125</v>
      </c>
      <c r="D398" s="4" t="s">
        <v>1125</v>
      </c>
      <c r="E398" s="4" t="s">
        <v>1125</v>
      </c>
      <c r="F398" s="4" t="s">
        <v>1125</v>
      </c>
      <c r="G398" s="4"/>
      <c r="H398" s="5" t="s">
        <v>549</v>
      </c>
      <c r="I398" s="4" t="s">
        <v>2723</v>
      </c>
      <c r="J398" s="4" t="s">
        <v>2723</v>
      </c>
      <c r="K398" s="4" t="s">
        <v>2308</v>
      </c>
      <c r="L398" s="4" t="s">
        <v>2308</v>
      </c>
      <c r="M398" s="4" t="s">
        <v>2308</v>
      </c>
      <c r="N398" s="4" t="s">
        <v>2308</v>
      </c>
      <c r="O398" s="4" t="s">
        <v>2308</v>
      </c>
      <c r="P398" s="4" t="s">
        <v>2308</v>
      </c>
      <c r="Q398" s="4" t="s">
        <v>2308</v>
      </c>
      <c r="R398" s="4" t="s">
        <v>542</v>
      </c>
      <c r="S398" s="4" t="s">
        <v>2308</v>
      </c>
      <c r="T398" s="4" t="s">
        <v>2308</v>
      </c>
      <c r="U398" s="4" t="s">
        <v>2308</v>
      </c>
      <c r="V398" s="4">
        <v>1</v>
      </c>
      <c r="W398" s="5" t="s">
        <v>3576</v>
      </c>
    </row>
    <row r="399" spans="1:23" ht="39" customHeight="1">
      <c r="A399" s="24" t="s">
        <v>3579</v>
      </c>
      <c r="B399" s="24" t="s">
        <v>3582</v>
      </c>
      <c r="C399" s="4" t="s">
        <v>1125</v>
      </c>
      <c r="D399" s="4" t="s">
        <v>1125</v>
      </c>
      <c r="E399" s="4" t="s">
        <v>1125</v>
      </c>
      <c r="F399" s="4" t="s">
        <v>1125</v>
      </c>
      <c r="G399" s="4"/>
      <c r="H399" s="5" t="s">
        <v>549</v>
      </c>
      <c r="I399" s="4" t="s">
        <v>2308</v>
      </c>
      <c r="J399" s="4" t="s">
        <v>2308</v>
      </c>
      <c r="K399" s="4" t="s">
        <v>2308</v>
      </c>
      <c r="L399" s="4" t="s">
        <v>2308</v>
      </c>
      <c r="M399" s="4" t="s">
        <v>2308</v>
      </c>
      <c r="N399" s="4" t="s">
        <v>2308</v>
      </c>
      <c r="O399" s="4" t="s">
        <v>2308</v>
      </c>
      <c r="P399" s="4" t="s">
        <v>2308</v>
      </c>
      <c r="Q399" s="4" t="s">
        <v>2308</v>
      </c>
      <c r="R399" s="4" t="s">
        <v>545</v>
      </c>
      <c r="S399" s="4" t="s">
        <v>2308</v>
      </c>
      <c r="T399" s="4" t="s">
        <v>2308</v>
      </c>
      <c r="U399" s="4" t="s">
        <v>2308</v>
      </c>
      <c r="V399" s="4" t="s">
        <v>2308</v>
      </c>
      <c r="W399" s="4"/>
    </row>
    <row r="400" spans="1:23" ht="68" customHeight="1">
      <c r="A400" s="24" t="s">
        <v>3581</v>
      </c>
      <c r="B400" s="24" t="s">
        <v>3622</v>
      </c>
      <c r="C400" s="4" t="s">
        <v>1125</v>
      </c>
      <c r="D400" s="4" t="s">
        <v>1125</v>
      </c>
      <c r="E400" s="4" t="s">
        <v>1125</v>
      </c>
      <c r="F400" s="4" t="s">
        <v>1125</v>
      </c>
      <c r="G400" s="4"/>
      <c r="H400" s="5" t="s">
        <v>549</v>
      </c>
      <c r="I400" s="4" t="s">
        <v>2308</v>
      </c>
      <c r="J400" s="4" t="s">
        <v>2308</v>
      </c>
      <c r="K400" s="4" t="s">
        <v>2308</v>
      </c>
      <c r="L400" s="4" t="s">
        <v>2308</v>
      </c>
      <c r="M400" s="4" t="s">
        <v>2308</v>
      </c>
      <c r="N400" s="4" t="s">
        <v>2308</v>
      </c>
      <c r="O400" s="4" t="s">
        <v>2308</v>
      </c>
      <c r="P400" s="4" t="s">
        <v>2308</v>
      </c>
      <c r="Q400" s="4" t="s">
        <v>2308</v>
      </c>
      <c r="R400" s="4" t="s">
        <v>542</v>
      </c>
      <c r="S400" s="4" t="s">
        <v>542</v>
      </c>
      <c r="T400" s="4" t="s">
        <v>2308</v>
      </c>
      <c r="U400" s="4" t="s">
        <v>2308</v>
      </c>
      <c r="V400" s="4">
        <v>4</v>
      </c>
      <c r="W400" s="5" t="s">
        <v>3623</v>
      </c>
    </row>
    <row r="401" spans="1:23" ht="67" customHeight="1">
      <c r="A401" s="27" t="s">
        <v>3626</v>
      </c>
      <c r="B401" s="27" t="s">
        <v>3629</v>
      </c>
      <c r="C401" s="5" t="s">
        <v>1125</v>
      </c>
      <c r="D401" s="5" t="s">
        <v>5065</v>
      </c>
      <c r="E401" s="4" t="s">
        <v>1125</v>
      </c>
      <c r="F401" s="4" t="s">
        <v>1125</v>
      </c>
      <c r="G401" s="4"/>
      <c r="H401" s="5" t="s">
        <v>549</v>
      </c>
      <c r="I401" s="4" t="s">
        <v>2308</v>
      </c>
      <c r="J401" s="4" t="s">
        <v>2308</v>
      </c>
      <c r="K401" s="4" t="s">
        <v>2308</v>
      </c>
      <c r="L401" s="4" t="s">
        <v>2308</v>
      </c>
      <c r="M401" s="4" t="s">
        <v>2308</v>
      </c>
      <c r="N401" s="4" t="s">
        <v>2308</v>
      </c>
      <c r="O401" s="4" t="s">
        <v>2308</v>
      </c>
      <c r="P401" s="4" t="s">
        <v>2308</v>
      </c>
      <c r="Q401" s="4" t="s">
        <v>2308</v>
      </c>
      <c r="R401" s="4" t="s">
        <v>542</v>
      </c>
      <c r="S401" s="4" t="s">
        <v>542</v>
      </c>
      <c r="T401" s="4" t="s">
        <v>542</v>
      </c>
      <c r="U401" s="4" t="s">
        <v>2308</v>
      </c>
      <c r="V401" s="4" t="s">
        <v>2308</v>
      </c>
      <c r="W401" s="5" t="s">
        <v>3632</v>
      </c>
    </row>
    <row r="402" spans="1:23" ht="44.5" customHeight="1">
      <c r="A402" s="27" t="s">
        <v>3626</v>
      </c>
      <c r="B402" s="27" t="s">
        <v>3630</v>
      </c>
      <c r="C402" s="5" t="s">
        <v>1125</v>
      </c>
      <c r="D402" s="5" t="s">
        <v>143</v>
      </c>
      <c r="E402" s="4" t="s">
        <v>1125</v>
      </c>
      <c r="F402" s="4" t="s">
        <v>1125</v>
      </c>
      <c r="G402" s="4"/>
      <c r="H402" s="5" t="s">
        <v>549</v>
      </c>
      <c r="I402" s="4" t="s">
        <v>2308</v>
      </c>
      <c r="J402" s="4" t="s">
        <v>2308</v>
      </c>
      <c r="K402" s="4" t="s">
        <v>2308</v>
      </c>
      <c r="L402" s="4" t="s">
        <v>2308</v>
      </c>
      <c r="M402" s="4" t="s">
        <v>2308</v>
      </c>
      <c r="N402" s="4" t="s">
        <v>2308</v>
      </c>
      <c r="O402" s="4" t="s">
        <v>2308</v>
      </c>
      <c r="P402" s="4" t="s">
        <v>2308</v>
      </c>
      <c r="Q402" s="4" t="s">
        <v>2308</v>
      </c>
      <c r="R402" s="4" t="s">
        <v>545</v>
      </c>
      <c r="S402" s="4" t="s">
        <v>2308</v>
      </c>
      <c r="T402" s="4" t="s">
        <v>2308</v>
      </c>
      <c r="U402" s="4" t="s">
        <v>2308</v>
      </c>
      <c r="V402" s="4" t="s">
        <v>2308</v>
      </c>
      <c r="W402" s="5" t="s">
        <v>3631</v>
      </c>
    </row>
    <row r="403" spans="1:23" ht="51.5" customHeight="1">
      <c r="A403" s="24" t="s">
        <v>3674</v>
      </c>
      <c r="B403" s="24" t="s">
        <v>3684</v>
      </c>
      <c r="C403" s="4" t="s">
        <v>24</v>
      </c>
      <c r="D403" s="5" t="s">
        <v>143</v>
      </c>
      <c r="E403" s="4" t="s">
        <v>150</v>
      </c>
      <c r="F403" s="5" t="s">
        <v>2695</v>
      </c>
      <c r="G403" s="4"/>
      <c r="H403" s="5" t="s">
        <v>549</v>
      </c>
      <c r="I403" s="4" t="s">
        <v>2308</v>
      </c>
      <c r="J403" s="4" t="s">
        <v>2308</v>
      </c>
      <c r="K403" s="4" t="s">
        <v>2308</v>
      </c>
      <c r="L403" s="4" t="s">
        <v>2308</v>
      </c>
      <c r="M403" s="4" t="s">
        <v>2308</v>
      </c>
      <c r="N403" s="4" t="s">
        <v>2308</v>
      </c>
      <c r="O403" s="4" t="s">
        <v>2308</v>
      </c>
      <c r="P403" s="4" t="s">
        <v>2308</v>
      </c>
      <c r="Q403" s="4" t="s">
        <v>2308</v>
      </c>
      <c r="R403" s="4" t="s">
        <v>2308</v>
      </c>
      <c r="S403" s="4" t="s">
        <v>2308</v>
      </c>
      <c r="T403" s="4" t="s">
        <v>2308</v>
      </c>
      <c r="U403" s="4" t="s">
        <v>2308</v>
      </c>
      <c r="V403" s="4" t="s">
        <v>2308</v>
      </c>
      <c r="W403" s="5" t="s">
        <v>3692</v>
      </c>
    </row>
    <row r="404" spans="1:23" ht="51.5" customHeight="1">
      <c r="A404" s="24" t="s">
        <v>3675</v>
      </c>
      <c r="B404" s="24" t="s">
        <v>3685</v>
      </c>
      <c r="C404" s="4" t="s">
        <v>24</v>
      </c>
      <c r="D404" s="5" t="s">
        <v>143</v>
      </c>
      <c r="E404" s="4" t="s">
        <v>150</v>
      </c>
      <c r="F404" s="5" t="s">
        <v>2695</v>
      </c>
      <c r="G404" s="4"/>
      <c r="H404" s="5" t="s">
        <v>549</v>
      </c>
      <c r="I404" s="4" t="s">
        <v>2308</v>
      </c>
      <c r="J404" s="4" t="s">
        <v>2308</v>
      </c>
      <c r="K404" s="4" t="s">
        <v>2308</v>
      </c>
      <c r="L404" s="4" t="s">
        <v>2308</v>
      </c>
      <c r="M404" s="4" t="s">
        <v>2308</v>
      </c>
      <c r="N404" s="4" t="s">
        <v>2308</v>
      </c>
      <c r="O404" s="4" t="s">
        <v>2308</v>
      </c>
      <c r="P404" s="4" t="s">
        <v>2308</v>
      </c>
      <c r="Q404" s="4" t="s">
        <v>2308</v>
      </c>
      <c r="R404" s="4" t="s">
        <v>2308</v>
      </c>
      <c r="S404" s="4" t="s">
        <v>2308</v>
      </c>
      <c r="T404" s="4" t="s">
        <v>2308</v>
      </c>
      <c r="U404" s="4" t="s">
        <v>2308</v>
      </c>
      <c r="V404" s="4" t="s">
        <v>2308</v>
      </c>
      <c r="W404" s="5" t="s">
        <v>3692</v>
      </c>
    </row>
    <row r="405" spans="1:23" ht="54.5" customHeight="1">
      <c r="A405" s="24" t="s">
        <v>3678</v>
      </c>
      <c r="B405" s="24" t="s">
        <v>3686</v>
      </c>
      <c r="C405" s="4" t="s">
        <v>24</v>
      </c>
      <c r="D405" s="5" t="s">
        <v>143</v>
      </c>
      <c r="E405" s="4" t="s">
        <v>150</v>
      </c>
      <c r="F405" s="5" t="s">
        <v>2695</v>
      </c>
      <c r="G405" s="4"/>
      <c r="H405" s="5" t="s">
        <v>549</v>
      </c>
      <c r="I405" s="4" t="s">
        <v>2308</v>
      </c>
      <c r="J405" s="4" t="s">
        <v>2308</v>
      </c>
      <c r="K405" s="4" t="s">
        <v>2308</v>
      </c>
      <c r="L405" s="4" t="s">
        <v>2308</v>
      </c>
      <c r="M405" s="4" t="s">
        <v>2308</v>
      </c>
      <c r="N405" s="4" t="s">
        <v>2308</v>
      </c>
      <c r="O405" s="4" t="s">
        <v>2308</v>
      </c>
      <c r="P405" s="4" t="s">
        <v>2308</v>
      </c>
      <c r="Q405" s="4" t="s">
        <v>2308</v>
      </c>
      <c r="R405" s="4" t="s">
        <v>2308</v>
      </c>
      <c r="S405" s="4" t="s">
        <v>2308</v>
      </c>
      <c r="T405" s="4" t="s">
        <v>2308</v>
      </c>
      <c r="U405" s="4" t="s">
        <v>2308</v>
      </c>
      <c r="V405" s="4" t="s">
        <v>2308</v>
      </c>
      <c r="W405" s="5" t="s">
        <v>3692</v>
      </c>
    </row>
    <row r="406" spans="1:23" ht="56" customHeight="1">
      <c r="A406" s="24" t="s">
        <v>3674</v>
      </c>
      <c r="B406" s="24" t="s">
        <v>3688</v>
      </c>
      <c r="C406" s="4" t="s">
        <v>24</v>
      </c>
      <c r="D406" s="5" t="s">
        <v>143</v>
      </c>
      <c r="E406" s="4" t="s">
        <v>150</v>
      </c>
      <c r="F406" s="5" t="s">
        <v>55</v>
      </c>
      <c r="G406" s="4"/>
      <c r="H406" s="5" t="s">
        <v>549</v>
      </c>
      <c r="I406" s="4" t="s">
        <v>2308</v>
      </c>
      <c r="J406" s="4" t="s">
        <v>2308</v>
      </c>
      <c r="K406" s="4" t="s">
        <v>2308</v>
      </c>
      <c r="L406" s="4" t="s">
        <v>2308</v>
      </c>
      <c r="M406" s="4" t="s">
        <v>2308</v>
      </c>
      <c r="N406" s="4" t="s">
        <v>2308</v>
      </c>
      <c r="O406" s="4" t="s">
        <v>2308</v>
      </c>
      <c r="P406" s="4" t="s">
        <v>2308</v>
      </c>
      <c r="Q406" s="4" t="s">
        <v>2308</v>
      </c>
      <c r="R406" s="4" t="s">
        <v>545</v>
      </c>
      <c r="S406" s="4" t="s">
        <v>2308</v>
      </c>
      <c r="T406" s="4" t="s">
        <v>2308</v>
      </c>
      <c r="U406" s="4" t="s">
        <v>2308</v>
      </c>
      <c r="V406" s="4" t="s">
        <v>2308</v>
      </c>
      <c r="W406" s="5" t="s">
        <v>3692</v>
      </c>
    </row>
    <row r="407" spans="1:23" ht="51.5" customHeight="1">
      <c r="A407" s="24" t="s">
        <v>3675</v>
      </c>
      <c r="B407" s="24" t="s">
        <v>3689</v>
      </c>
      <c r="C407" s="4" t="s">
        <v>24</v>
      </c>
      <c r="D407" s="5" t="s">
        <v>143</v>
      </c>
      <c r="E407" s="4" t="s">
        <v>150</v>
      </c>
      <c r="F407" s="5" t="s">
        <v>55</v>
      </c>
      <c r="G407" s="4"/>
      <c r="H407" s="5" t="s">
        <v>549</v>
      </c>
      <c r="I407" s="4" t="s">
        <v>2308</v>
      </c>
      <c r="J407" s="4" t="s">
        <v>2308</v>
      </c>
      <c r="K407" s="4" t="s">
        <v>2308</v>
      </c>
      <c r="L407" s="4" t="s">
        <v>2308</v>
      </c>
      <c r="M407" s="4" t="s">
        <v>2308</v>
      </c>
      <c r="N407" s="4" t="s">
        <v>2308</v>
      </c>
      <c r="O407" s="4" t="s">
        <v>2308</v>
      </c>
      <c r="P407" s="4" t="s">
        <v>2308</v>
      </c>
      <c r="Q407" s="4" t="s">
        <v>2308</v>
      </c>
      <c r="R407" s="4" t="s">
        <v>545</v>
      </c>
      <c r="S407" s="4" t="s">
        <v>2308</v>
      </c>
      <c r="T407" s="4" t="s">
        <v>2308</v>
      </c>
      <c r="U407" s="4" t="s">
        <v>2308</v>
      </c>
      <c r="V407" s="4" t="s">
        <v>2308</v>
      </c>
      <c r="W407" s="5" t="s">
        <v>3692</v>
      </c>
    </row>
    <row r="408" spans="1:23" ht="60" customHeight="1">
      <c r="A408" s="24" t="s">
        <v>3678</v>
      </c>
      <c r="B408" s="24" t="s">
        <v>3690</v>
      </c>
      <c r="C408" s="4" t="s">
        <v>24</v>
      </c>
      <c r="D408" s="5" t="s">
        <v>143</v>
      </c>
      <c r="E408" s="4" t="s">
        <v>150</v>
      </c>
      <c r="F408" s="5" t="s">
        <v>55</v>
      </c>
      <c r="G408" s="4"/>
      <c r="H408" s="5" t="s">
        <v>549</v>
      </c>
      <c r="I408" s="4" t="s">
        <v>2308</v>
      </c>
      <c r="J408" s="4" t="s">
        <v>2308</v>
      </c>
      <c r="K408" s="4" t="s">
        <v>2308</v>
      </c>
      <c r="L408" s="4" t="s">
        <v>2308</v>
      </c>
      <c r="M408" s="4" t="s">
        <v>2308</v>
      </c>
      <c r="N408" s="4" t="s">
        <v>2308</v>
      </c>
      <c r="O408" s="4" t="s">
        <v>2308</v>
      </c>
      <c r="P408" s="4" t="s">
        <v>2308</v>
      </c>
      <c r="Q408" s="4" t="s">
        <v>2308</v>
      </c>
      <c r="R408" s="4" t="s">
        <v>545</v>
      </c>
      <c r="S408" s="4" t="s">
        <v>2308</v>
      </c>
      <c r="T408" s="4" t="s">
        <v>2308</v>
      </c>
      <c r="U408" s="4" t="s">
        <v>2308</v>
      </c>
      <c r="V408" s="4" t="s">
        <v>2308</v>
      </c>
      <c r="W408" s="5" t="s">
        <v>3692</v>
      </c>
    </row>
    <row r="409" spans="1:23" ht="80.5" customHeight="1">
      <c r="A409" s="24" t="s">
        <v>3674</v>
      </c>
      <c r="B409" s="24" t="s">
        <v>3693</v>
      </c>
      <c r="C409" s="4" t="s">
        <v>24</v>
      </c>
      <c r="D409" s="5" t="s">
        <v>1125</v>
      </c>
      <c r="E409" s="4" t="s">
        <v>1264</v>
      </c>
      <c r="F409" s="5" t="s">
        <v>2695</v>
      </c>
      <c r="G409" s="4"/>
      <c r="H409" s="5" t="s">
        <v>549</v>
      </c>
      <c r="I409" s="4" t="s">
        <v>2723</v>
      </c>
      <c r="J409" s="4" t="s">
        <v>2308</v>
      </c>
      <c r="K409" s="4" t="s">
        <v>2308</v>
      </c>
      <c r="L409" s="4" t="s">
        <v>2308</v>
      </c>
      <c r="M409" s="4" t="s">
        <v>2308</v>
      </c>
      <c r="N409" s="4" t="s">
        <v>2308</v>
      </c>
      <c r="O409" s="4" t="s">
        <v>2308</v>
      </c>
      <c r="P409" s="4" t="s">
        <v>2308</v>
      </c>
      <c r="Q409" s="4" t="s">
        <v>2308</v>
      </c>
      <c r="R409" s="4" t="s">
        <v>545</v>
      </c>
      <c r="S409" s="4" t="s">
        <v>2308</v>
      </c>
      <c r="T409" s="4" t="s">
        <v>2308</v>
      </c>
      <c r="U409" s="4" t="s">
        <v>2308</v>
      </c>
      <c r="V409" s="4" t="s">
        <v>2308</v>
      </c>
      <c r="W409" s="5" t="s">
        <v>3701</v>
      </c>
    </row>
    <row r="410" spans="1:23" ht="80.5" customHeight="1">
      <c r="A410" s="24" t="s">
        <v>3675</v>
      </c>
      <c r="B410" s="24" t="s">
        <v>3694</v>
      </c>
      <c r="C410" s="4" t="s">
        <v>24</v>
      </c>
      <c r="D410" s="5" t="s">
        <v>1125</v>
      </c>
      <c r="E410" s="4" t="s">
        <v>1264</v>
      </c>
      <c r="F410" s="5" t="s">
        <v>2695</v>
      </c>
      <c r="G410" s="4"/>
      <c r="H410" s="5" t="s">
        <v>549</v>
      </c>
      <c r="I410" s="4" t="s">
        <v>2723</v>
      </c>
      <c r="J410" s="4" t="s">
        <v>2308</v>
      </c>
      <c r="K410" s="4" t="s">
        <v>2308</v>
      </c>
      <c r="L410" s="4" t="s">
        <v>2308</v>
      </c>
      <c r="M410" s="4" t="s">
        <v>2308</v>
      </c>
      <c r="N410" s="4" t="s">
        <v>2308</v>
      </c>
      <c r="O410" s="4" t="s">
        <v>2308</v>
      </c>
      <c r="P410" s="4" t="s">
        <v>2308</v>
      </c>
      <c r="Q410" s="4" t="s">
        <v>2308</v>
      </c>
      <c r="R410" s="4" t="s">
        <v>545</v>
      </c>
      <c r="S410" s="4" t="s">
        <v>2308</v>
      </c>
      <c r="T410" s="4" t="s">
        <v>2308</v>
      </c>
      <c r="U410" s="4" t="s">
        <v>2308</v>
      </c>
      <c r="V410" s="4" t="s">
        <v>2308</v>
      </c>
      <c r="W410" s="5" t="s">
        <v>3701</v>
      </c>
    </row>
    <row r="411" spans="1:23" ht="80.5" customHeight="1">
      <c r="A411" s="24" t="s">
        <v>3678</v>
      </c>
      <c r="B411" s="24" t="s">
        <v>3695</v>
      </c>
      <c r="C411" s="4" t="s">
        <v>24</v>
      </c>
      <c r="D411" s="5" t="s">
        <v>1125</v>
      </c>
      <c r="E411" s="4" t="s">
        <v>1264</v>
      </c>
      <c r="F411" s="5" t="s">
        <v>2695</v>
      </c>
      <c r="G411" s="4"/>
      <c r="H411" s="5" t="s">
        <v>549</v>
      </c>
      <c r="I411" s="4" t="s">
        <v>2723</v>
      </c>
      <c r="J411" s="4" t="s">
        <v>2308</v>
      </c>
      <c r="K411" s="4" t="s">
        <v>2308</v>
      </c>
      <c r="L411" s="4" t="s">
        <v>2308</v>
      </c>
      <c r="M411" s="4" t="s">
        <v>2308</v>
      </c>
      <c r="N411" s="4" t="s">
        <v>2308</v>
      </c>
      <c r="O411" s="4" t="s">
        <v>2308</v>
      </c>
      <c r="P411" s="4" t="s">
        <v>2308</v>
      </c>
      <c r="Q411" s="4" t="s">
        <v>2308</v>
      </c>
      <c r="R411" s="4" t="s">
        <v>545</v>
      </c>
      <c r="S411" s="4" t="s">
        <v>2308</v>
      </c>
      <c r="T411" s="4" t="s">
        <v>2308</v>
      </c>
      <c r="U411" s="4" t="s">
        <v>2308</v>
      </c>
      <c r="V411" s="4" t="s">
        <v>2308</v>
      </c>
      <c r="W411" s="5" t="s">
        <v>3701</v>
      </c>
    </row>
    <row r="412" spans="1:23" ht="80.5" customHeight="1">
      <c r="A412" s="24" t="s">
        <v>3674</v>
      </c>
      <c r="B412" s="24" t="s">
        <v>3697</v>
      </c>
      <c r="C412" s="4" t="s">
        <v>24</v>
      </c>
      <c r="D412" s="5" t="s">
        <v>1125</v>
      </c>
      <c r="E412" s="4" t="s">
        <v>1264</v>
      </c>
      <c r="F412" s="5" t="s">
        <v>55</v>
      </c>
      <c r="G412" s="4"/>
      <c r="H412" s="5" t="s">
        <v>549</v>
      </c>
      <c r="I412" s="4" t="s">
        <v>2723</v>
      </c>
      <c r="J412" s="4" t="s">
        <v>2308</v>
      </c>
      <c r="K412" s="4" t="s">
        <v>2308</v>
      </c>
      <c r="L412" s="4" t="s">
        <v>2308</v>
      </c>
      <c r="M412" s="4" t="s">
        <v>2308</v>
      </c>
      <c r="N412" s="4" t="s">
        <v>2308</v>
      </c>
      <c r="O412" s="4" t="s">
        <v>2308</v>
      </c>
      <c r="P412" s="4" t="s">
        <v>2308</v>
      </c>
      <c r="Q412" s="4" t="s">
        <v>2308</v>
      </c>
      <c r="R412" s="4" t="s">
        <v>545</v>
      </c>
      <c r="S412" s="4" t="s">
        <v>2308</v>
      </c>
      <c r="T412" s="4" t="s">
        <v>2308</v>
      </c>
      <c r="U412" s="4" t="s">
        <v>2308</v>
      </c>
      <c r="V412" s="4" t="s">
        <v>2308</v>
      </c>
      <c r="W412" s="5" t="s">
        <v>3701</v>
      </c>
    </row>
    <row r="413" spans="1:23" ht="80.5" customHeight="1">
      <c r="A413" s="24" t="s">
        <v>3675</v>
      </c>
      <c r="B413" s="24" t="s">
        <v>3698</v>
      </c>
      <c r="C413" s="4" t="s">
        <v>24</v>
      </c>
      <c r="D413" s="5" t="s">
        <v>1125</v>
      </c>
      <c r="E413" s="4" t="s">
        <v>1264</v>
      </c>
      <c r="F413" s="5" t="s">
        <v>55</v>
      </c>
      <c r="G413" s="4"/>
      <c r="H413" s="5" t="s">
        <v>549</v>
      </c>
      <c r="I413" s="4" t="s">
        <v>2723</v>
      </c>
      <c r="J413" s="4" t="s">
        <v>2308</v>
      </c>
      <c r="K413" s="4" t="s">
        <v>2308</v>
      </c>
      <c r="L413" s="4" t="s">
        <v>2308</v>
      </c>
      <c r="M413" s="4" t="s">
        <v>2308</v>
      </c>
      <c r="N413" s="4" t="s">
        <v>2308</v>
      </c>
      <c r="O413" s="4" t="s">
        <v>2308</v>
      </c>
      <c r="P413" s="4" t="s">
        <v>2308</v>
      </c>
      <c r="Q413" s="4" t="s">
        <v>2308</v>
      </c>
      <c r="R413" s="4" t="s">
        <v>545</v>
      </c>
      <c r="S413" s="4" t="s">
        <v>2308</v>
      </c>
      <c r="T413" s="4" t="s">
        <v>2308</v>
      </c>
      <c r="U413" s="4" t="s">
        <v>2308</v>
      </c>
      <c r="V413" s="4" t="s">
        <v>2308</v>
      </c>
      <c r="W413" s="5" t="s">
        <v>3701</v>
      </c>
    </row>
    <row r="414" spans="1:23" ht="80.5" customHeight="1">
      <c r="A414" s="24" t="s">
        <v>3678</v>
      </c>
      <c r="B414" s="24" t="s">
        <v>3699</v>
      </c>
      <c r="C414" s="4" t="s">
        <v>24</v>
      </c>
      <c r="D414" s="5" t="s">
        <v>1125</v>
      </c>
      <c r="E414" s="4" t="s">
        <v>1264</v>
      </c>
      <c r="F414" s="5" t="s">
        <v>55</v>
      </c>
      <c r="G414" s="4"/>
      <c r="H414" s="5" t="s">
        <v>549</v>
      </c>
      <c r="I414" s="4" t="s">
        <v>2723</v>
      </c>
      <c r="J414" s="4" t="s">
        <v>2308</v>
      </c>
      <c r="K414" s="4" t="s">
        <v>2308</v>
      </c>
      <c r="L414" s="4" t="s">
        <v>2308</v>
      </c>
      <c r="M414" s="4" t="s">
        <v>2308</v>
      </c>
      <c r="N414" s="4" t="s">
        <v>2308</v>
      </c>
      <c r="O414" s="4" t="s">
        <v>2308</v>
      </c>
      <c r="P414" s="4" t="s">
        <v>2308</v>
      </c>
      <c r="Q414" s="4" t="s">
        <v>2308</v>
      </c>
      <c r="R414" s="4" t="s">
        <v>545</v>
      </c>
      <c r="S414" s="4" t="s">
        <v>2308</v>
      </c>
      <c r="T414" s="4" t="s">
        <v>2308</v>
      </c>
      <c r="U414" s="4" t="s">
        <v>2308</v>
      </c>
      <c r="V414" s="4" t="s">
        <v>2308</v>
      </c>
      <c r="W414" s="5" t="s">
        <v>3701</v>
      </c>
    </row>
    <row r="415" spans="1:23" ht="80.5" customHeight="1">
      <c r="A415" s="24" t="s">
        <v>3674</v>
      </c>
      <c r="B415" s="24" t="s">
        <v>3703</v>
      </c>
      <c r="C415" s="4" t="s">
        <v>24</v>
      </c>
      <c r="D415" s="5" t="s">
        <v>136</v>
      </c>
      <c r="E415" s="4" t="s">
        <v>27</v>
      </c>
      <c r="F415" s="5" t="s">
        <v>2695</v>
      </c>
      <c r="G415" s="4"/>
      <c r="H415" s="5" t="s">
        <v>549</v>
      </c>
      <c r="I415" s="4" t="s">
        <v>2723</v>
      </c>
      <c r="J415" s="4" t="s">
        <v>2308</v>
      </c>
      <c r="K415" s="4" t="s">
        <v>2308</v>
      </c>
      <c r="L415" s="4" t="s">
        <v>2308</v>
      </c>
      <c r="M415" s="4" t="s">
        <v>2308</v>
      </c>
      <c r="N415" s="4" t="s">
        <v>2308</v>
      </c>
      <c r="O415" s="4" t="s">
        <v>2308</v>
      </c>
      <c r="P415" s="4" t="s">
        <v>2308</v>
      </c>
      <c r="Q415" s="4" t="s">
        <v>2308</v>
      </c>
      <c r="R415" s="4" t="s">
        <v>545</v>
      </c>
      <c r="S415" s="4" t="s">
        <v>2308</v>
      </c>
      <c r="T415" s="4" t="s">
        <v>2308</v>
      </c>
      <c r="U415" s="4" t="s">
        <v>2308</v>
      </c>
      <c r="V415" s="4" t="s">
        <v>2308</v>
      </c>
      <c r="W415" s="5" t="s">
        <v>3701</v>
      </c>
    </row>
    <row r="416" spans="1:23" ht="80.5" customHeight="1">
      <c r="A416" s="24" t="s">
        <v>3675</v>
      </c>
      <c r="B416" s="24" t="s">
        <v>3704</v>
      </c>
      <c r="C416" s="4" t="s">
        <v>24</v>
      </c>
      <c r="D416" s="5" t="s">
        <v>136</v>
      </c>
      <c r="E416" s="4" t="s">
        <v>27</v>
      </c>
      <c r="F416" s="5" t="s">
        <v>2695</v>
      </c>
      <c r="G416" s="4"/>
      <c r="H416" s="5" t="s">
        <v>549</v>
      </c>
      <c r="I416" s="4" t="s">
        <v>2723</v>
      </c>
      <c r="J416" s="4" t="s">
        <v>2308</v>
      </c>
      <c r="K416" s="4" t="s">
        <v>2308</v>
      </c>
      <c r="L416" s="4" t="s">
        <v>2308</v>
      </c>
      <c r="M416" s="4" t="s">
        <v>2308</v>
      </c>
      <c r="N416" s="4" t="s">
        <v>2308</v>
      </c>
      <c r="O416" s="4" t="s">
        <v>2308</v>
      </c>
      <c r="P416" s="4" t="s">
        <v>2308</v>
      </c>
      <c r="Q416" s="4" t="s">
        <v>2308</v>
      </c>
      <c r="R416" s="4" t="s">
        <v>545</v>
      </c>
      <c r="S416" s="4" t="s">
        <v>2308</v>
      </c>
      <c r="T416" s="4" t="s">
        <v>2308</v>
      </c>
      <c r="U416" s="4" t="s">
        <v>2308</v>
      </c>
      <c r="V416" s="4" t="s">
        <v>2308</v>
      </c>
      <c r="W416" s="5" t="s">
        <v>3701</v>
      </c>
    </row>
    <row r="417" spans="1:23" ht="80.5" customHeight="1">
      <c r="A417" s="24" t="s">
        <v>3678</v>
      </c>
      <c r="B417" s="24" t="s">
        <v>3705</v>
      </c>
      <c r="C417" s="4" t="s">
        <v>24</v>
      </c>
      <c r="D417" s="5" t="s">
        <v>136</v>
      </c>
      <c r="E417" s="4" t="s">
        <v>27</v>
      </c>
      <c r="F417" s="5" t="s">
        <v>2695</v>
      </c>
      <c r="G417" s="4"/>
      <c r="H417" s="5" t="s">
        <v>549</v>
      </c>
      <c r="I417" s="4" t="s">
        <v>2723</v>
      </c>
      <c r="J417" s="4" t="s">
        <v>2308</v>
      </c>
      <c r="K417" s="4" t="s">
        <v>2308</v>
      </c>
      <c r="L417" s="4" t="s">
        <v>2308</v>
      </c>
      <c r="M417" s="4" t="s">
        <v>2308</v>
      </c>
      <c r="N417" s="4" t="s">
        <v>2308</v>
      </c>
      <c r="O417" s="4" t="s">
        <v>2308</v>
      </c>
      <c r="P417" s="4" t="s">
        <v>2308</v>
      </c>
      <c r="Q417" s="4" t="s">
        <v>2308</v>
      </c>
      <c r="R417" s="4" t="s">
        <v>545</v>
      </c>
      <c r="S417" s="4" t="s">
        <v>2308</v>
      </c>
      <c r="T417" s="4" t="s">
        <v>2308</v>
      </c>
      <c r="U417" s="4" t="s">
        <v>2308</v>
      </c>
      <c r="V417" s="4" t="s">
        <v>2308</v>
      </c>
      <c r="W417" s="5" t="s">
        <v>3701</v>
      </c>
    </row>
    <row r="418" spans="1:23" ht="80.5" customHeight="1">
      <c r="A418" s="24" t="s">
        <v>3674</v>
      </c>
      <c r="B418" s="24" t="s">
        <v>3706</v>
      </c>
      <c r="C418" s="4" t="s">
        <v>24</v>
      </c>
      <c r="D418" s="5" t="s">
        <v>136</v>
      </c>
      <c r="E418" s="4" t="s">
        <v>27</v>
      </c>
      <c r="F418" s="5" t="s">
        <v>55</v>
      </c>
      <c r="G418" s="4"/>
      <c r="H418" s="5" t="s">
        <v>549</v>
      </c>
      <c r="I418" s="4" t="s">
        <v>2723</v>
      </c>
      <c r="J418" s="4" t="s">
        <v>2308</v>
      </c>
      <c r="K418" s="4" t="s">
        <v>2308</v>
      </c>
      <c r="L418" s="4" t="s">
        <v>2308</v>
      </c>
      <c r="M418" s="4" t="s">
        <v>2308</v>
      </c>
      <c r="N418" s="4" t="s">
        <v>2308</v>
      </c>
      <c r="O418" s="4" t="s">
        <v>2308</v>
      </c>
      <c r="P418" s="4" t="s">
        <v>2308</v>
      </c>
      <c r="Q418" s="4" t="s">
        <v>2308</v>
      </c>
      <c r="R418" s="4" t="s">
        <v>545</v>
      </c>
      <c r="S418" s="4" t="s">
        <v>2308</v>
      </c>
      <c r="T418" s="4" t="s">
        <v>2308</v>
      </c>
      <c r="U418" s="4" t="s">
        <v>2308</v>
      </c>
      <c r="V418" s="4" t="s">
        <v>2308</v>
      </c>
      <c r="W418" s="5" t="s">
        <v>3701</v>
      </c>
    </row>
    <row r="419" spans="1:23" ht="80.5" customHeight="1">
      <c r="A419" s="24" t="s">
        <v>3675</v>
      </c>
      <c r="B419" s="24" t="s">
        <v>3707</v>
      </c>
      <c r="C419" s="4" t="s">
        <v>24</v>
      </c>
      <c r="D419" s="5" t="s">
        <v>136</v>
      </c>
      <c r="E419" s="4" t="s">
        <v>27</v>
      </c>
      <c r="F419" s="5" t="s">
        <v>55</v>
      </c>
      <c r="G419" s="4"/>
      <c r="H419" s="5" t="s">
        <v>549</v>
      </c>
      <c r="I419" s="4" t="s">
        <v>2723</v>
      </c>
      <c r="J419" s="4" t="s">
        <v>2308</v>
      </c>
      <c r="K419" s="4" t="s">
        <v>2308</v>
      </c>
      <c r="L419" s="4" t="s">
        <v>2308</v>
      </c>
      <c r="M419" s="4" t="s">
        <v>2308</v>
      </c>
      <c r="N419" s="4" t="s">
        <v>2308</v>
      </c>
      <c r="O419" s="4" t="s">
        <v>2308</v>
      </c>
      <c r="P419" s="4" t="s">
        <v>2308</v>
      </c>
      <c r="Q419" s="4" t="s">
        <v>2308</v>
      </c>
      <c r="R419" s="4" t="s">
        <v>545</v>
      </c>
      <c r="S419" s="4" t="s">
        <v>2308</v>
      </c>
      <c r="T419" s="4" t="s">
        <v>2308</v>
      </c>
      <c r="U419" s="4" t="s">
        <v>2308</v>
      </c>
      <c r="V419" s="4" t="s">
        <v>2308</v>
      </c>
      <c r="W419" s="5" t="s">
        <v>3701</v>
      </c>
    </row>
    <row r="420" spans="1:23" ht="80.5" customHeight="1">
      <c r="A420" s="24" t="s">
        <v>3678</v>
      </c>
      <c r="B420" s="24" t="s">
        <v>3708</v>
      </c>
      <c r="C420" s="4" t="s">
        <v>24</v>
      </c>
      <c r="D420" s="5" t="s">
        <v>136</v>
      </c>
      <c r="E420" s="4" t="s">
        <v>27</v>
      </c>
      <c r="F420" s="5" t="s">
        <v>55</v>
      </c>
      <c r="G420" s="4"/>
      <c r="H420" s="5" t="s">
        <v>549</v>
      </c>
      <c r="I420" s="4" t="s">
        <v>2723</v>
      </c>
      <c r="J420" s="4" t="s">
        <v>2308</v>
      </c>
      <c r="K420" s="4" t="s">
        <v>2308</v>
      </c>
      <c r="L420" s="4" t="s">
        <v>2308</v>
      </c>
      <c r="M420" s="4" t="s">
        <v>2308</v>
      </c>
      <c r="N420" s="4" t="s">
        <v>2308</v>
      </c>
      <c r="O420" s="4" t="s">
        <v>2308</v>
      </c>
      <c r="P420" s="4" t="s">
        <v>2308</v>
      </c>
      <c r="Q420" s="4" t="s">
        <v>2308</v>
      </c>
      <c r="R420" s="4" t="s">
        <v>545</v>
      </c>
      <c r="S420" s="4" t="s">
        <v>2308</v>
      </c>
      <c r="T420" s="4" t="s">
        <v>2308</v>
      </c>
      <c r="U420" s="4" t="s">
        <v>2308</v>
      </c>
      <c r="V420" s="4" t="s">
        <v>2308</v>
      </c>
      <c r="W420" s="5" t="s">
        <v>3701</v>
      </c>
    </row>
    <row r="421" spans="1:23" ht="42" customHeight="1">
      <c r="A421" s="24" t="s">
        <v>3679</v>
      </c>
      <c r="B421" s="24" t="s">
        <v>3687</v>
      </c>
      <c r="C421" s="4" t="s">
        <v>24</v>
      </c>
      <c r="D421" s="4" t="s">
        <v>1125</v>
      </c>
      <c r="E421" s="4" t="s">
        <v>1125</v>
      </c>
      <c r="F421" s="4" t="s">
        <v>1125</v>
      </c>
      <c r="G421" s="4">
        <v>1998</v>
      </c>
      <c r="H421" s="5" t="s">
        <v>549</v>
      </c>
      <c r="I421" s="4" t="s">
        <v>545</v>
      </c>
      <c r="J421" s="4" t="s">
        <v>2308</v>
      </c>
      <c r="K421" s="4" t="s">
        <v>2308</v>
      </c>
      <c r="L421" s="4" t="s">
        <v>2308</v>
      </c>
      <c r="M421" s="4" t="s">
        <v>2308</v>
      </c>
      <c r="N421" s="4" t="s">
        <v>2308</v>
      </c>
      <c r="O421" s="4" t="s">
        <v>2308</v>
      </c>
      <c r="P421" s="4" t="s">
        <v>2308</v>
      </c>
      <c r="Q421" s="4" t="s">
        <v>2308</v>
      </c>
      <c r="R421" s="4" t="s">
        <v>542</v>
      </c>
      <c r="S421" s="4" t="s">
        <v>2308</v>
      </c>
      <c r="T421" s="4" t="s">
        <v>2308</v>
      </c>
      <c r="U421" s="4" t="s">
        <v>2308</v>
      </c>
      <c r="V421" s="4" t="s">
        <v>2308</v>
      </c>
      <c r="W421" s="4" t="s">
        <v>3107</v>
      </c>
    </row>
    <row r="422" spans="1:23" ht="41.5" customHeight="1">
      <c r="A422" s="24" t="s">
        <v>3679</v>
      </c>
      <c r="B422" s="24" t="s">
        <v>3691</v>
      </c>
      <c r="C422" s="4" t="s">
        <v>24</v>
      </c>
      <c r="D422" s="4" t="s">
        <v>1125</v>
      </c>
      <c r="E422" s="4" t="s">
        <v>1125</v>
      </c>
      <c r="F422" s="4" t="s">
        <v>1125</v>
      </c>
      <c r="G422" s="4">
        <v>1998</v>
      </c>
      <c r="H422" s="5" t="s">
        <v>549</v>
      </c>
      <c r="I422" s="4" t="s">
        <v>545</v>
      </c>
      <c r="J422" s="4" t="s">
        <v>2308</v>
      </c>
      <c r="K422" s="4" t="s">
        <v>2308</v>
      </c>
      <c r="L422" s="4" t="s">
        <v>2308</v>
      </c>
      <c r="M422" s="4" t="s">
        <v>2308</v>
      </c>
      <c r="N422" s="4" t="s">
        <v>2308</v>
      </c>
      <c r="O422" s="4" t="s">
        <v>2308</v>
      </c>
      <c r="P422" s="4" t="s">
        <v>2308</v>
      </c>
      <c r="Q422" s="4" t="s">
        <v>2308</v>
      </c>
      <c r="R422" s="4" t="s">
        <v>542</v>
      </c>
      <c r="S422" s="4" t="s">
        <v>2308</v>
      </c>
      <c r="T422" s="4" t="s">
        <v>2308</v>
      </c>
      <c r="U422" s="4" t="s">
        <v>2308</v>
      </c>
      <c r="V422" s="4" t="s">
        <v>2308</v>
      </c>
      <c r="W422" s="4" t="s">
        <v>3107</v>
      </c>
    </row>
    <row r="423" spans="1:23" ht="49" customHeight="1">
      <c r="A423" s="24" t="s">
        <v>3679</v>
      </c>
      <c r="B423" s="24" t="s">
        <v>3696</v>
      </c>
      <c r="C423" s="4" t="s">
        <v>24</v>
      </c>
      <c r="D423" s="4" t="s">
        <v>1125</v>
      </c>
      <c r="E423" s="4" t="s">
        <v>1264</v>
      </c>
      <c r="F423" s="4" t="s">
        <v>1125</v>
      </c>
      <c r="G423" s="4">
        <v>2017</v>
      </c>
      <c r="H423" s="5" t="s">
        <v>549</v>
      </c>
      <c r="I423" s="4" t="s">
        <v>545</v>
      </c>
      <c r="J423" s="4" t="s">
        <v>2308</v>
      </c>
      <c r="K423" s="4" t="s">
        <v>2308</v>
      </c>
      <c r="L423" s="4" t="s">
        <v>2308</v>
      </c>
      <c r="M423" s="4" t="s">
        <v>2308</v>
      </c>
      <c r="N423" s="4" t="s">
        <v>2308</v>
      </c>
      <c r="O423" s="4" t="s">
        <v>2308</v>
      </c>
      <c r="P423" s="4" t="s">
        <v>2308</v>
      </c>
      <c r="Q423" s="4" t="s">
        <v>2308</v>
      </c>
      <c r="R423" s="4" t="s">
        <v>545</v>
      </c>
      <c r="S423" s="4" t="s">
        <v>2308</v>
      </c>
      <c r="T423" s="4" t="s">
        <v>2308</v>
      </c>
      <c r="U423" s="4" t="s">
        <v>2308</v>
      </c>
      <c r="V423" s="4" t="s">
        <v>2308</v>
      </c>
      <c r="W423" s="5" t="s">
        <v>3702</v>
      </c>
    </row>
    <row r="424" spans="1:23" ht="46" customHeight="1">
      <c r="A424" s="24" t="s">
        <v>3679</v>
      </c>
      <c r="B424" s="24" t="s">
        <v>3700</v>
      </c>
      <c r="C424" s="4" t="s">
        <v>24</v>
      </c>
      <c r="D424" s="4" t="s">
        <v>1125</v>
      </c>
      <c r="E424" s="4" t="s">
        <v>1264</v>
      </c>
      <c r="F424" s="4" t="s">
        <v>1125</v>
      </c>
      <c r="G424" s="4">
        <v>2017</v>
      </c>
      <c r="H424" s="5" t="s">
        <v>549</v>
      </c>
      <c r="I424" s="4" t="s">
        <v>545</v>
      </c>
      <c r="J424" s="4" t="s">
        <v>2308</v>
      </c>
      <c r="K424" s="4" t="s">
        <v>2308</v>
      </c>
      <c r="L424" s="4" t="s">
        <v>2308</v>
      </c>
      <c r="M424" s="4" t="s">
        <v>2308</v>
      </c>
      <c r="N424" s="4" t="s">
        <v>2308</v>
      </c>
      <c r="O424" s="4" t="s">
        <v>2308</v>
      </c>
      <c r="P424" s="4" t="s">
        <v>2308</v>
      </c>
      <c r="Q424" s="4" t="s">
        <v>2308</v>
      </c>
      <c r="R424" s="4" t="s">
        <v>545</v>
      </c>
      <c r="S424" s="4" t="s">
        <v>2308</v>
      </c>
      <c r="T424" s="4" t="s">
        <v>2308</v>
      </c>
      <c r="U424" s="4" t="s">
        <v>2308</v>
      </c>
      <c r="V424" s="4" t="s">
        <v>2308</v>
      </c>
      <c r="W424" s="5" t="s">
        <v>3702</v>
      </c>
    </row>
    <row r="425" spans="1:23" ht="72" customHeight="1">
      <c r="A425" s="24" t="s">
        <v>3713</v>
      </c>
      <c r="B425" s="24" t="s">
        <v>3718</v>
      </c>
      <c r="C425" s="4" t="s">
        <v>24</v>
      </c>
      <c r="D425" s="5" t="s">
        <v>404</v>
      </c>
      <c r="E425" s="4" t="s">
        <v>1125</v>
      </c>
      <c r="F425" s="4" t="s">
        <v>1125</v>
      </c>
      <c r="G425" s="4">
        <v>2009</v>
      </c>
      <c r="H425" s="5" t="s">
        <v>549</v>
      </c>
      <c r="I425" s="4" t="s">
        <v>2308</v>
      </c>
      <c r="J425" s="4" t="s">
        <v>2308</v>
      </c>
      <c r="K425" s="4" t="s">
        <v>2308</v>
      </c>
      <c r="L425" s="4" t="s">
        <v>2308</v>
      </c>
      <c r="M425" s="4" t="s">
        <v>2761</v>
      </c>
      <c r="N425" s="4" t="s">
        <v>2308</v>
      </c>
      <c r="O425" s="4" t="s">
        <v>2308</v>
      </c>
      <c r="P425" s="4" t="s">
        <v>2308</v>
      </c>
      <c r="Q425" s="4">
        <v>1</v>
      </c>
      <c r="R425" s="4" t="s">
        <v>545</v>
      </c>
      <c r="S425" s="4" t="s">
        <v>545</v>
      </c>
      <c r="T425" s="4" t="s">
        <v>545</v>
      </c>
      <c r="U425" s="4" t="s">
        <v>545</v>
      </c>
      <c r="V425" s="4" t="s">
        <v>2308</v>
      </c>
      <c r="W425" s="5" t="s">
        <v>3743</v>
      </c>
    </row>
    <row r="426" spans="1:23" ht="68.5" customHeight="1">
      <c r="A426" s="24" t="s">
        <v>3713</v>
      </c>
      <c r="B426" s="24" t="s">
        <v>3719</v>
      </c>
      <c r="C426" s="4" t="s">
        <v>24</v>
      </c>
      <c r="D426" s="5" t="s">
        <v>403</v>
      </c>
      <c r="E426" s="4" t="s">
        <v>1125</v>
      </c>
      <c r="F426" s="4" t="s">
        <v>1125</v>
      </c>
      <c r="G426" s="4">
        <v>2009</v>
      </c>
      <c r="H426" s="5" t="s">
        <v>549</v>
      </c>
      <c r="I426" s="4" t="s">
        <v>2308</v>
      </c>
      <c r="J426" s="4" t="s">
        <v>2308</v>
      </c>
      <c r="K426" s="4" t="s">
        <v>2308</v>
      </c>
      <c r="L426" s="4" t="s">
        <v>2308</v>
      </c>
      <c r="M426" s="4" t="s">
        <v>2761</v>
      </c>
      <c r="N426" s="4" t="s">
        <v>2308</v>
      </c>
      <c r="O426" s="4" t="s">
        <v>2308</v>
      </c>
      <c r="P426" s="4" t="s">
        <v>2308</v>
      </c>
      <c r="Q426" s="4">
        <v>1</v>
      </c>
      <c r="R426" s="4" t="s">
        <v>545</v>
      </c>
      <c r="S426" s="4" t="s">
        <v>545</v>
      </c>
      <c r="T426" s="4" t="s">
        <v>545</v>
      </c>
      <c r="U426" s="4" t="s">
        <v>545</v>
      </c>
      <c r="V426" s="4" t="s">
        <v>2308</v>
      </c>
      <c r="W426" s="5" t="s">
        <v>3743</v>
      </c>
    </row>
    <row r="427" spans="1:23" ht="65.5" customHeight="1">
      <c r="A427" s="24" t="s">
        <v>3713</v>
      </c>
      <c r="B427" s="24" t="s">
        <v>3720</v>
      </c>
      <c r="C427" s="4" t="s">
        <v>24</v>
      </c>
      <c r="D427" s="5" t="s">
        <v>404</v>
      </c>
      <c r="E427" s="4" t="s">
        <v>1125</v>
      </c>
      <c r="F427" s="4" t="s">
        <v>1125</v>
      </c>
      <c r="G427" s="4">
        <v>2010</v>
      </c>
      <c r="H427" s="5" t="s">
        <v>549</v>
      </c>
      <c r="I427" s="4" t="s">
        <v>2308</v>
      </c>
      <c r="J427" s="4" t="s">
        <v>2308</v>
      </c>
      <c r="K427" s="4" t="s">
        <v>2308</v>
      </c>
      <c r="L427" s="4" t="s">
        <v>2308</v>
      </c>
      <c r="M427" s="4" t="s">
        <v>2761</v>
      </c>
      <c r="N427" s="4" t="s">
        <v>2308</v>
      </c>
      <c r="O427" s="4" t="s">
        <v>2308</v>
      </c>
      <c r="P427" s="4" t="s">
        <v>2308</v>
      </c>
      <c r="Q427" s="4">
        <v>1</v>
      </c>
      <c r="R427" s="4" t="s">
        <v>545</v>
      </c>
      <c r="S427" s="4" t="s">
        <v>545</v>
      </c>
      <c r="T427" s="4" t="s">
        <v>545</v>
      </c>
      <c r="U427" s="4" t="s">
        <v>545</v>
      </c>
      <c r="V427" s="4" t="s">
        <v>2308</v>
      </c>
      <c r="W427" s="5" t="s">
        <v>3744</v>
      </c>
    </row>
    <row r="428" spans="1:23" ht="69" customHeight="1">
      <c r="A428" s="24" t="s">
        <v>3713</v>
      </c>
      <c r="B428" s="24" t="s">
        <v>3721</v>
      </c>
      <c r="C428" s="4" t="s">
        <v>24</v>
      </c>
      <c r="D428" s="5" t="s">
        <v>403</v>
      </c>
      <c r="E428" s="4" t="s">
        <v>1125</v>
      </c>
      <c r="F428" s="4" t="s">
        <v>1125</v>
      </c>
      <c r="G428" s="4">
        <v>2010</v>
      </c>
      <c r="H428" s="5" t="s">
        <v>549</v>
      </c>
      <c r="I428" s="4" t="s">
        <v>2308</v>
      </c>
      <c r="J428" s="4" t="s">
        <v>2308</v>
      </c>
      <c r="K428" s="4" t="s">
        <v>2308</v>
      </c>
      <c r="L428" s="4" t="s">
        <v>2308</v>
      </c>
      <c r="M428" s="4" t="s">
        <v>2761</v>
      </c>
      <c r="N428" s="4" t="s">
        <v>2308</v>
      </c>
      <c r="O428" s="4" t="s">
        <v>2308</v>
      </c>
      <c r="P428" s="4" t="s">
        <v>2308</v>
      </c>
      <c r="Q428" s="4">
        <v>1</v>
      </c>
      <c r="R428" s="4" t="s">
        <v>545</v>
      </c>
      <c r="S428" s="4" t="s">
        <v>545</v>
      </c>
      <c r="T428" s="4" t="s">
        <v>545</v>
      </c>
      <c r="U428" s="4" t="s">
        <v>545</v>
      </c>
      <c r="V428" s="4" t="s">
        <v>2308</v>
      </c>
      <c r="W428" s="5" t="s">
        <v>3744</v>
      </c>
    </row>
    <row r="429" spans="1:23" ht="69" customHeight="1">
      <c r="A429" s="24" t="s">
        <v>3713</v>
      </c>
      <c r="B429" s="24" t="s">
        <v>3723</v>
      </c>
      <c r="C429" s="4" t="s">
        <v>24</v>
      </c>
      <c r="D429" s="5" t="s">
        <v>404</v>
      </c>
      <c r="E429" s="4" t="s">
        <v>1125</v>
      </c>
      <c r="F429" s="4" t="s">
        <v>1125</v>
      </c>
      <c r="G429" s="4">
        <v>2011</v>
      </c>
      <c r="H429" s="5" t="s">
        <v>549</v>
      </c>
      <c r="I429" s="4" t="s">
        <v>2308</v>
      </c>
      <c r="J429" s="4" t="s">
        <v>2308</v>
      </c>
      <c r="K429" s="4" t="s">
        <v>2308</v>
      </c>
      <c r="L429" s="4" t="s">
        <v>2308</v>
      </c>
      <c r="M429" s="4" t="s">
        <v>2761</v>
      </c>
      <c r="N429" s="4" t="s">
        <v>2308</v>
      </c>
      <c r="O429" s="4" t="s">
        <v>2308</v>
      </c>
      <c r="P429" s="4" t="s">
        <v>2308</v>
      </c>
      <c r="Q429" s="4">
        <v>2</v>
      </c>
      <c r="R429" s="4" t="s">
        <v>545</v>
      </c>
      <c r="S429" s="4" t="s">
        <v>545</v>
      </c>
      <c r="T429" s="4" t="s">
        <v>545</v>
      </c>
      <c r="U429" s="4" t="s">
        <v>545</v>
      </c>
      <c r="V429" s="4" t="s">
        <v>2308</v>
      </c>
      <c r="W429" s="5" t="s">
        <v>3745</v>
      </c>
    </row>
    <row r="430" spans="1:23" ht="69" customHeight="1">
      <c r="A430" s="24" t="s">
        <v>3713</v>
      </c>
      <c r="B430" s="24" t="s">
        <v>3725</v>
      </c>
      <c r="C430" s="4" t="s">
        <v>24</v>
      </c>
      <c r="D430" s="5" t="s">
        <v>403</v>
      </c>
      <c r="E430" s="4" t="s">
        <v>1125</v>
      </c>
      <c r="F430" s="4" t="s">
        <v>1125</v>
      </c>
      <c r="G430" s="4">
        <v>2011</v>
      </c>
      <c r="H430" s="5" t="s">
        <v>549</v>
      </c>
      <c r="I430" s="4" t="s">
        <v>2308</v>
      </c>
      <c r="J430" s="4" t="s">
        <v>2308</v>
      </c>
      <c r="K430" s="4" t="s">
        <v>2308</v>
      </c>
      <c r="L430" s="4" t="s">
        <v>2308</v>
      </c>
      <c r="M430" s="4" t="s">
        <v>2761</v>
      </c>
      <c r="N430" s="4" t="s">
        <v>2308</v>
      </c>
      <c r="O430" s="4" t="s">
        <v>2308</v>
      </c>
      <c r="P430" s="4" t="s">
        <v>2308</v>
      </c>
      <c r="Q430" s="4">
        <v>2</v>
      </c>
      <c r="R430" s="4" t="s">
        <v>545</v>
      </c>
      <c r="S430" s="4" t="s">
        <v>545</v>
      </c>
      <c r="T430" s="4" t="s">
        <v>545</v>
      </c>
      <c r="U430" s="4" t="s">
        <v>545</v>
      </c>
      <c r="V430" s="4" t="s">
        <v>2308</v>
      </c>
      <c r="W430" s="5" t="s">
        <v>3745</v>
      </c>
    </row>
    <row r="431" spans="1:23" ht="69" customHeight="1">
      <c r="A431" s="24" t="s">
        <v>3713</v>
      </c>
      <c r="B431" s="24" t="s">
        <v>3726</v>
      </c>
      <c r="C431" s="4" t="s">
        <v>24</v>
      </c>
      <c r="D431" s="5" t="s">
        <v>404</v>
      </c>
      <c r="E431" s="4" t="s">
        <v>1125</v>
      </c>
      <c r="F431" s="4" t="s">
        <v>1125</v>
      </c>
      <c r="G431" s="4">
        <v>2012</v>
      </c>
      <c r="H431" s="5" t="s">
        <v>549</v>
      </c>
      <c r="I431" s="4" t="s">
        <v>2308</v>
      </c>
      <c r="J431" s="4" t="s">
        <v>2308</v>
      </c>
      <c r="K431" s="4" t="s">
        <v>2308</v>
      </c>
      <c r="L431" s="4" t="s">
        <v>2308</v>
      </c>
      <c r="M431" s="4" t="s">
        <v>2761</v>
      </c>
      <c r="N431" s="4" t="s">
        <v>2308</v>
      </c>
      <c r="O431" s="4" t="s">
        <v>2308</v>
      </c>
      <c r="P431" s="4" t="s">
        <v>2308</v>
      </c>
      <c r="Q431" s="4">
        <v>2</v>
      </c>
      <c r="R431" s="4" t="s">
        <v>545</v>
      </c>
      <c r="S431" s="4" t="s">
        <v>545</v>
      </c>
      <c r="T431" s="4" t="s">
        <v>545</v>
      </c>
      <c r="U431" s="4" t="s">
        <v>545</v>
      </c>
      <c r="V431" s="4" t="s">
        <v>2308</v>
      </c>
      <c r="W431" s="5" t="s">
        <v>3746</v>
      </c>
    </row>
    <row r="432" spans="1:23" ht="69" customHeight="1">
      <c r="A432" s="24" t="s">
        <v>3713</v>
      </c>
      <c r="B432" s="24" t="s">
        <v>3727</v>
      </c>
      <c r="C432" s="4" t="s">
        <v>24</v>
      </c>
      <c r="D432" s="5" t="s">
        <v>403</v>
      </c>
      <c r="E432" s="4" t="s">
        <v>1125</v>
      </c>
      <c r="F432" s="4" t="s">
        <v>1125</v>
      </c>
      <c r="G432" s="4">
        <v>2012</v>
      </c>
      <c r="H432" s="5" t="s">
        <v>549</v>
      </c>
      <c r="I432" s="4" t="s">
        <v>2308</v>
      </c>
      <c r="J432" s="4" t="s">
        <v>2308</v>
      </c>
      <c r="K432" s="4" t="s">
        <v>2308</v>
      </c>
      <c r="L432" s="4" t="s">
        <v>2308</v>
      </c>
      <c r="M432" s="4" t="s">
        <v>2761</v>
      </c>
      <c r="N432" s="4" t="s">
        <v>2308</v>
      </c>
      <c r="O432" s="4" t="s">
        <v>2308</v>
      </c>
      <c r="P432" s="4" t="s">
        <v>2308</v>
      </c>
      <c r="Q432" s="4">
        <v>2</v>
      </c>
      <c r="R432" s="4" t="s">
        <v>545</v>
      </c>
      <c r="S432" s="4" t="s">
        <v>545</v>
      </c>
      <c r="T432" s="4" t="s">
        <v>545</v>
      </c>
      <c r="U432" s="4" t="s">
        <v>545</v>
      </c>
      <c r="V432" s="4" t="s">
        <v>2308</v>
      </c>
      <c r="W432" s="5" t="s">
        <v>3746</v>
      </c>
    </row>
    <row r="433" spans="1:23" ht="49" customHeight="1">
      <c r="A433" s="4" t="s">
        <v>3765</v>
      </c>
      <c r="B433" s="4" t="s">
        <v>3769</v>
      </c>
      <c r="C433" s="4" t="s">
        <v>1125</v>
      </c>
      <c r="D433" s="4" t="s">
        <v>1125</v>
      </c>
      <c r="E433" s="4" t="s">
        <v>1125</v>
      </c>
      <c r="F433" s="4" t="s">
        <v>1125</v>
      </c>
      <c r="G433" s="4">
        <v>2000</v>
      </c>
      <c r="H433" s="5" t="s">
        <v>549</v>
      </c>
      <c r="I433" s="4" t="s">
        <v>2308</v>
      </c>
      <c r="J433" s="4" t="s">
        <v>2308</v>
      </c>
      <c r="K433" s="4" t="s">
        <v>2308</v>
      </c>
      <c r="L433" s="4" t="s">
        <v>2308</v>
      </c>
      <c r="M433" s="4" t="s">
        <v>2308</v>
      </c>
      <c r="N433" s="4" t="s">
        <v>2308</v>
      </c>
      <c r="O433" s="4" t="s">
        <v>2308</v>
      </c>
      <c r="P433" s="4" t="s">
        <v>2308</v>
      </c>
      <c r="Q433" s="4" t="s">
        <v>2308</v>
      </c>
      <c r="R433" s="4" t="s">
        <v>542</v>
      </c>
      <c r="S433" s="4" t="s">
        <v>2308</v>
      </c>
      <c r="T433" s="4" t="s">
        <v>2308</v>
      </c>
      <c r="U433" s="4" t="s">
        <v>2308</v>
      </c>
      <c r="V433">
        <v>2</v>
      </c>
      <c r="W433" s="5" t="s">
        <v>3779</v>
      </c>
    </row>
    <row r="434" spans="1:23" ht="42" customHeight="1">
      <c r="A434" s="4" t="s">
        <v>3765</v>
      </c>
      <c r="B434" s="4" t="s">
        <v>3770</v>
      </c>
      <c r="C434" s="4" t="s">
        <v>1125</v>
      </c>
      <c r="D434" s="4" t="s">
        <v>1125</v>
      </c>
      <c r="E434" s="4" t="s">
        <v>1125</v>
      </c>
      <c r="F434" s="4" t="s">
        <v>1125</v>
      </c>
      <c r="G434" s="4">
        <v>2006</v>
      </c>
      <c r="H434" s="5" t="s">
        <v>549</v>
      </c>
      <c r="I434" s="4" t="s">
        <v>2308</v>
      </c>
      <c r="J434" s="4" t="s">
        <v>2308</v>
      </c>
      <c r="K434" s="4" t="s">
        <v>2308</v>
      </c>
      <c r="L434" s="4" t="s">
        <v>2308</v>
      </c>
      <c r="M434" s="4" t="s">
        <v>2308</v>
      </c>
      <c r="N434" s="4" t="s">
        <v>2308</v>
      </c>
      <c r="O434" s="4" t="s">
        <v>2308</v>
      </c>
      <c r="P434" s="4" t="s">
        <v>2308</v>
      </c>
      <c r="Q434" s="4" t="s">
        <v>2308</v>
      </c>
      <c r="R434" s="4" t="s">
        <v>545</v>
      </c>
      <c r="S434" s="4" t="s">
        <v>2308</v>
      </c>
      <c r="T434" s="4" t="s">
        <v>2308</v>
      </c>
      <c r="U434" s="4" t="s">
        <v>2308</v>
      </c>
      <c r="V434" s="4" t="s">
        <v>2308</v>
      </c>
      <c r="W434" s="5" t="s">
        <v>3778</v>
      </c>
    </row>
    <row r="435" spans="1:23" ht="60.5" customHeight="1">
      <c r="A435" s="12" t="s">
        <v>3786</v>
      </c>
      <c r="B435" s="12" t="s">
        <v>3789</v>
      </c>
      <c r="C435" s="4" t="s">
        <v>24</v>
      </c>
      <c r="D435" s="5" t="s">
        <v>5065</v>
      </c>
      <c r="E435" s="4" t="s">
        <v>1125</v>
      </c>
      <c r="F435" s="4" t="s">
        <v>1125</v>
      </c>
      <c r="G435" s="4"/>
      <c r="H435" s="5" t="s">
        <v>549</v>
      </c>
      <c r="I435" s="4" t="s">
        <v>2308</v>
      </c>
      <c r="J435" s="4" t="s">
        <v>2308</v>
      </c>
      <c r="K435" s="4" t="s">
        <v>2308</v>
      </c>
      <c r="L435" s="4" t="s">
        <v>2308</v>
      </c>
      <c r="M435" s="4" t="s">
        <v>2308</v>
      </c>
      <c r="N435" s="4" t="s">
        <v>2308</v>
      </c>
      <c r="O435" s="4" t="s">
        <v>2308</v>
      </c>
      <c r="P435" s="4" t="s">
        <v>2308</v>
      </c>
      <c r="Q435" s="4" t="s">
        <v>2308</v>
      </c>
      <c r="R435" s="4" t="s">
        <v>542</v>
      </c>
      <c r="S435" s="4" t="s">
        <v>2308</v>
      </c>
      <c r="T435" s="4" t="s">
        <v>2308</v>
      </c>
      <c r="U435" s="4" t="s">
        <v>2308</v>
      </c>
      <c r="V435" s="4">
        <v>1</v>
      </c>
      <c r="W435" s="5" t="s">
        <v>3799</v>
      </c>
    </row>
    <row r="436" spans="1:23" ht="52" customHeight="1">
      <c r="A436" s="12" t="s">
        <v>3846</v>
      </c>
      <c r="B436" s="12" t="s">
        <v>3850</v>
      </c>
      <c r="C436" s="4" t="s">
        <v>24</v>
      </c>
      <c r="D436" s="4" t="s">
        <v>1125</v>
      </c>
      <c r="E436" s="4" t="s">
        <v>1125</v>
      </c>
      <c r="F436" s="4" t="s">
        <v>1125</v>
      </c>
      <c r="G436" s="4"/>
      <c r="H436" s="5" t="s">
        <v>549</v>
      </c>
      <c r="I436" s="4" t="s">
        <v>2308</v>
      </c>
      <c r="J436" s="4" t="s">
        <v>2308</v>
      </c>
      <c r="K436" s="4" t="s">
        <v>2308</v>
      </c>
      <c r="L436" s="4" t="s">
        <v>2308</v>
      </c>
      <c r="M436" s="4" t="s">
        <v>2308</v>
      </c>
      <c r="N436" s="4" t="s">
        <v>2308</v>
      </c>
      <c r="O436" s="4" t="s">
        <v>2308</v>
      </c>
      <c r="P436" s="4" t="s">
        <v>2308</v>
      </c>
      <c r="Q436" s="4" t="s">
        <v>2308</v>
      </c>
      <c r="R436" s="4" t="s">
        <v>542</v>
      </c>
      <c r="S436" s="4" t="s">
        <v>2308</v>
      </c>
      <c r="T436" s="4" t="s">
        <v>2308</v>
      </c>
      <c r="U436" s="4" t="s">
        <v>2308</v>
      </c>
      <c r="V436" s="4">
        <v>2</v>
      </c>
      <c r="W436" s="5" t="s">
        <v>3861</v>
      </c>
    </row>
    <row r="437" spans="1:23" ht="50" customHeight="1">
      <c r="A437" s="12" t="s">
        <v>3881</v>
      </c>
      <c r="B437" s="12" t="s">
        <v>3887</v>
      </c>
      <c r="C437" s="4" t="s">
        <v>24</v>
      </c>
      <c r="D437" s="5" t="s">
        <v>5065</v>
      </c>
      <c r="E437" s="5" t="s">
        <v>2837</v>
      </c>
      <c r="F437" s="5" t="s">
        <v>2695</v>
      </c>
      <c r="G437" s="4"/>
      <c r="H437" s="5" t="s">
        <v>549</v>
      </c>
      <c r="I437" s="4" t="s">
        <v>2723</v>
      </c>
      <c r="J437" s="4" t="s">
        <v>2308</v>
      </c>
      <c r="K437" s="4" t="s">
        <v>2308</v>
      </c>
      <c r="L437" s="4" t="s">
        <v>2308</v>
      </c>
      <c r="M437" s="4" t="s">
        <v>2308</v>
      </c>
      <c r="N437" s="4" t="s">
        <v>2308</v>
      </c>
      <c r="O437" s="4" t="s">
        <v>2308</v>
      </c>
      <c r="P437" s="4" t="s">
        <v>2308</v>
      </c>
      <c r="Q437" s="4" t="s">
        <v>2308</v>
      </c>
      <c r="R437" s="4" t="s">
        <v>2308</v>
      </c>
      <c r="S437" s="4" t="s">
        <v>2308</v>
      </c>
      <c r="T437" s="4" t="s">
        <v>2308</v>
      </c>
      <c r="U437" s="4" t="s">
        <v>2308</v>
      </c>
      <c r="V437" s="4" t="s">
        <v>2308</v>
      </c>
      <c r="W437" s="5" t="s">
        <v>3888</v>
      </c>
    </row>
    <row r="438" spans="1:23" ht="50" customHeight="1">
      <c r="A438" s="12" t="s">
        <v>3899</v>
      </c>
      <c r="B438" s="12" t="s">
        <v>3906</v>
      </c>
      <c r="C438" s="4" t="s">
        <v>24</v>
      </c>
      <c r="D438" s="4" t="s">
        <v>1125</v>
      </c>
      <c r="E438" s="4" t="s">
        <v>2693</v>
      </c>
      <c r="F438" s="5" t="s">
        <v>55</v>
      </c>
      <c r="G438" s="4"/>
      <c r="H438" s="5" t="s">
        <v>2706</v>
      </c>
      <c r="I438" s="4" t="s">
        <v>2308</v>
      </c>
      <c r="J438" s="4" t="s">
        <v>2308</v>
      </c>
      <c r="K438" s="4" t="s">
        <v>2308</v>
      </c>
      <c r="L438" s="4" t="s">
        <v>2308</v>
      </c>
      <c r="M438" s="4" t="s">
        <v>2308</v>
      </c>
      <c r="N438" s="4" t="s">
        <v>2308</v>
      </c>
      <c r="O438" s="4" t="s">
        <v>2308</v>
      </c>
      <c r="P438" s="4" t="s">
        <v>2308</v>
      </c>
      <c r="Q438" s="4" t="s">
        <v>2308</v>
      </c>
      <c r="R438" s="4" t="s">
        <v>542</v>
      </c>
      <c r="S438" s="4" t="s">
        <v>2308</v>
      </c>
      <c r="T438" s="4" t="s">
        <v>542</v>
      </c>
      <c r="U438" s="4" t="s">
        <v>2308</v>
      </c>
      <c r="V438" s="4">
        <v>4</v>
      </c>
      <c r="W438" s="5" t="s">
        <v>4176</v>
      </c>
    </row>
    <row r="439" spans="1:23" ht="82" customHeight="1">
      <c r="A439" s="12" t="s">
        <v>3979</v>
      </c>
      <c r="B439" s="4" t="s">
        <v>3996</v>
      </c>
      <c r="C439" s="4" t="s">
        <v>24</v>
      </c>
      <c r="D439" s="5" t="s">
        <v>5065</v>
      </c>
      <c r="E439" s="4" t="s">
        <v>1125</v>
      </c>
      <c r="F439" s="4" t="s">
        <v>1125</v>
      </c>
      <c r="G439" s="4"/>
      <c r="H439" s="5" t="s">
        <v>549</v>
      </c>
      <c r="I439" s="4" t="s">
        <v>2723</v>
      </c>
      <c r="J439" s="4" t="s">
        <v>542</v>
      </c>
      <c r="K439" s="4" t="s">
        <v>2308</v>
      </c>
      <c r="L439" s="4" t="s">
        <v>2308</v>
      </c>
      <c r="M439" s="4" t="s">
        <v>2308</v>
      </c>
      <c r="N439" s="4" t="s">
        <v>2308</v>
      </c>
      <c r="O439" s="4" t="s">
        <v>2308</v>
      </c>
      <c r="P439" s="4" t="s">
        <v>2308</v>
      </c>
      <c r="Q439" s="4" t="s">
        <v>2308</v>
      </c>
      <c r="R439" s="4" t="s">
        <v>2308</v>
      </c>
      <c r="S439" s="4" t="s">
        <v>2308</v>
      </c>
      <c r="T439" s="4" t="s">
        <v>2308</v>
      </c>
      <c r="U439" s="4" t="s">
        <v>2308</v>
      </c>
      <c r="V439" s="4" t="s">
        <v>2308</v>
      </c>
      <c r="W439" s="5" t="s">
        <v>4002</v>
      </c>
    </row>
    <row r="440" spans="1:23" ht="86" customHeight="1">
      <c r="A440" s="12" t="s">
        <v>3980</v>
      </c>
      <c r="B440" s="4" t="s">
        <v>3997</v>
      </c>
      <c r="C440" s="4" t="s">
        <v>24</v>
      </c>
      <c r="D440" s="5" t="s">
        <v>5065</v>
      </c>
      <c r="E440" s="4" t="s">
        <v>1125</v>
      </c>
      <c r="F440" s="4" t="s">
        <v>1125</v>
      </c>
      <c r="G440" s="4"/>
      <c r="H440" s="5" t="s">
        <v>549</v>
      </c>
      <c r="I440" s="4" t="s">
        <v>2723</v>
      </c>
      <c r="J440" s="4" t="s">
        <v>542</v>
      </c>
      <c r="K440" s="4" t="s">
        <v>2308</v>
      </c>
      <c r="L440" s="4" t="s">
        <v>2308</v>
      </c>
      <c r="M440" s="4" t="s">
        <v>2308</v>
      </c>
      <c r="N440" s="4" t="s">
        <v>2308</v>
      </c>
      <c r="O440" s="4" t="s">
        <v>2308</v>
      </c>
      <c r="P440" s="4" t="s">
        <v>2308</v>
      </c>
      <c r="Q440" s="4" t="s">
        <v>2308</v>
      </c>
      <c r="R440" s="4" t="s">
        <v>2308</v>
      </c>
      <c r="S440" s="4" t="s">
        <v>2308</v>
      </c>
      <c r="T440" s="4" t="s">
        <v>2308</v>
      </c>
      <c r="U440" s="4" t="s">
        <v>2308</v>
      </c>
      <c r="V440" s="4" t="s">
        <v>2308</v>
      </c>
      <c r="W440" s="5" t="s">
        <v>4002</v>
      </c>
    </row>
    <row r="441" spans="1:23" ht="79" customHeight="1">
      <c r="A441" s="12" t="s">
        <v>3981</v>
      </c>
      <c r="B441" s="4" t="s">
        <v>3998</v>
      </c>
      <c r="C441" s="4" t="s">
        <v>24</v>
      </c>
      <c r="D441" s="5" t="s">
        <v>5065</v>
      </c>
      <c r="E441" s="4" t="s">
        <v>1125</v>
      </c>
      <c r="F441" s="4" t="s">
        <v>1125</v>
      </c>
      <c r="G441" s="4"/>
      <c r="H441" s="5" t="s">
        <v>549</v>
      </c>
      <c r="I441" s="4" t="s">
        <v>2723</v>
      </c>
      <c r="J441" s="4" t="s">
        <v>542</v>
      </c>
      <c r="K441" s="4" t="s">
        <v>2308</v>
      </c>
      <c r="L441" s="4" t="s">
        <v>2308</v>
      </c>
      <c r="M441" s="4" t="s">
        <v>2308</v>
      </c>
      <c r="N441" s="4" t="s">
        <v>2308</v>
      </c>
      <c r="O441" s="4" t="s">
        <v>2308</v>
      </c>
      <c r="P441" s="4" t="s">
        <v>2308</v>
      </c>
      <c r="Q441" s="4" t="s">
        <v>2308</v>
      </c>
      <c r="R441" s="4" t="s">
        <v>2308</v>
      </c>
      <c r="S441" s="4" t="s">
        <v>2308</v>
      </c>
      <c r="T441" s="4" t="s">
        <v>2308</v>
      </c>
      <c r="U441" s="4" t="s">
        <v>2308</v>
      </c>
      <c r="V441" s="4" t="s">
        <v>2308</v>
      </c>
      <c r="W441" s="5" t="s">
        <v>4002</v>
      </c>
    </row>
    <row r="442" spans="1:23" ht="75.5" customHeight="1">
      <c r="A442" s="12" t="s">
        <v>3979</v>
      </c>
      <c r="B442" s="4" t="s">
        <v>3999</v>
      </c>
      <c r="C442" s="4" t="s">
        <v>24</v>
      </c>
      <c r="D442" s="5" t="s">
        <v>5065</v>
      </c>
      <c r="E442" s="4" t="s">
        <v>1125</v>
      </c>
      <c r="F442" s="4" t="s">
        <v>1125</v>
      </c>
      <c r="G442" s="4"/>
      <c r="H442" s="5" t="s">
        <v>549</v>
      </c>
      <c r="I442" s="4" t="s">
        <v>2724</v>
      </c>
      <c r="J442" s="4" t="s">
        <v>542</v>
      </c>
      <c r="K442" s="4" t="s">
        <v>2308</v>
      </c>
      <c r="L442" s="4" t="s">
        <v>2308</v>
      </c>
      <c r="M442" s="4" t="s">
        <v>2308</v>
      </c>
      <c r="N442" s="4" t="s">
        <v>2308</v>
      </c>
      <c r="O442" s="4" t="s">
        <v>2308</v>
      </c>
      <c r="P442" s="4" t="s">
        <v>2308</v>
      </c>
      <c r="Q442" s="4" t="s">
        <v>2308</v>
      </c>
      <c r="R442" s="4" t="s">
        <v>2308</v>
      </c>
      <c r="S442" s="4" t="s">
        <v>2308</v>
      </c>
      <c r="T442" s="4" t="s">
        <v>2308</v>
      </c>
      <c r="U442" s="4" t="s">
        <v>2308</v>
      </c>
      <c r="V442" s="4" t="s">
        <v>2308</v>
      </c>
      <c r="W442" s="5" t="s">
        <v>4002</v>
      </c>
    </row>
    <row r="443" spans="1:23" ht="84.5" customHeight="1">
      <c r="A443" s="12" t="s">
        <v>3980</v>
      </c>
      <c r="B443" s="4" t="s">
        <v>4000</v>
      </c>
      <c r="C443" s="4" t="s">
        <v>24</v>
      </c>
      <c r="D443" s="5" t="s">
        <v>5065</v>
      </c>
      <c r="E443" s="4" t="s">
        <v>1125</v>
      </c>
      <c r="F443" s="4" t="s">
        <v>1125</v>
      </c>
      <c r="G443" s="4"/>
      <c r="H443" s="5" t="s">
        <v>549</v>
      </c>
      <c r="I443" s="4" t="s">
        <v>2724</v>
      </c>
      <c r="J443" s="4" t="s">
        <v>542</v>
      </c>
      <c r="K443" s="4" t="s">
        <v>2308</v>
      </c>
      <c r="L443" s="4" t="s">
        <v>2308</v>
      </c>
      <c r="M443" s="4" t="s">
        <v>2308</v>
      </c>
      <c r="N443" s="4" t="s">
        <v>2308</v>
      </c>
      <c r="O443" s="4" t="s">
        <v>2308</v>
      </c>
      <c r="P443" s="4" t="s">
        <v>2308</v>
      </c>
      <c r="Q443" s="4" t="s">
        <v>2308</v>
      </c>
      <c r="R443" s="4" t="s">
        <v>2308</v>
      </c>
      <c r="S443" s="4" t="s">
        <v>2308</v>
      </c>
      <c r="T443" s="4" t="s">
        <v>2308</v>
      </c>
      <c r="U443" s="4" t="s">
        <v>2308</v>
      </c>
      <c r="V443" s="4" t="s">
        <v>2308</v>
      </c>
      <c r="W443" s="5" t="s">
        <v>4002</v>
      </c>
    </row>
    <row r="444" spans="1:23" ht="84" customHeight="1">
      <c r="A444" s="12" t="s">
        <v>3981</v>
      </c>
      <c r="B444" s="4" t="s">
        <v>4001</v>
      </c>
      <c r="C444" s="4" t="s">
        <v>24</v>
      </c>
      <c r="D444" s="5" t="s">
        <v>5065</v>
      </c>
      <c r="E444" s="4" t="s">
        <v>1125</v>
      </c>
      <c r="F444" s="4" t="s">
        <v>1125</v>
      </c>
      <c r="G444" s="4"/>
      <c r="H444" s="5" t="s">
        <v>549</v>
      </c>
      <c r="I444" s="4" t="s">
        <v>2724</v>
      </c>
      <c r="J444" s="4" t="s">
        <v>542</v>
      </c>
      <c r="K444" s="4" t="s">
        <v>2308</v>
      </c>
      <c r="L444" s="4" t="s">
        <v>2308</v>
      </c>
      <c r="M444" s="4" t="s">
        <v>2308</v>
      </c>
      <c r="N444" s="4" t="s">
        <v>2308</v>
      </c>
      <c r="O444" s="4" t="s">
        <v>2308</v>
      </c>
      <c r="P444" s="4" t="s">
        <v>2308</v>
      </c>
      <c r="Q444" s="4" t="s">
        <v>2308</v>
      </c>
      <c r="R444" s="4" t="s">
        <v>2308</v>
      </c>
      <c r="S444" s="4" t="s">
        <v>2308</v>
      </c>
      <c r="T444" s="4" t="s">
        <v>2308</v>
      </c>
      <c r="U444" s="4" t="s">
        <v>2308</v>
      </c>
      <c r="V444" s="4" t="s">
        <v>2308</v>
      </c>
      <c r="W444" s="5" t="s">
        <v>4002</v>
      </c>
    </row>
    <row r="445" spans="1:23" ht="69.5" customHeight="1">
      <c r="A445" s="12" t="s">
        <v>4021</v>
      </c>
      <c r="B445" s="12" t="s">
        <v>4025</v>
      </c>
      <c r="C445" s="4" t="s">
        <v>24</v>
      </c>
      <c r="D445" s="4" t="s">
        <v>116</v>
      </c>
      <c r="E445" s="4" t="s">
        <v>3525</v>
      </c>
      <c r="F445" s="4" t="s">
        <v>74</v>
      </c>
      <c r="G445" s="4"/>
      <c r="H445" s="5" t="s">
        <v>2706</v>
      </c>
      <c r="I445" s="4" t="s">
        <v>2308</v>
      </c>
      <c r="J445" s="4" t="s">
        <v>2308</v>
      </c>
      <c r="K445" s="4" t="s">
        <v>2308</v>
      </c>
      <c r="L445" s="4" t="s">
        <v>2308</v>
      </c>
      <c r="M445" s="4" t="s">
        <v>2308</v>
      </c>
      <c r="N445" s="4" t="s">
        <v>2308</v>
      </c>
      <c r="O445" s="4" t="s">
        <v>2308</v>
      </c>
      <c r="P445" s="4" t="s">
        <v>2308</v>
      </c>
      <c r="Q445" s="4" t="s">
        <v>2308</v>
      </c>
      <c r="R445" s="4" t="s">
        <v>542</v>
      </c>
      <c r="S445" s="4" t="s">
        <v>542</v>
      </c>
      <c r="T445" s="4" t="s">
        <v>542</v>
      </c>
      <c r="U445" s="4" t="s">
        <v>2308</v>
      </c>
      <c r="V445" s="4" t="s">
        <v>2308</v>
      </c>
      <c r="W445" s="5" t="s">
        <v>4035</v>
      </c>
    </row>
    <row r="446" spans="1:23" ht="98" customHeight="1">
      <c r="A446" s="12" t="s">
        <v>4021</v>
      </c>
      <c r="B446" s="12" t="s">
        <v>4027</v>
      </c>
      <c r="C446" s="4" t="s">
        <v>24</v>
      </c>
      <c r="D446" s="4" t="s">
        <v>116</v>
      </c>
      <c r="E446" s="4" t="s">
        <v>3525</v>
      </c>
      <c r="F446" s="5" t="s">
        <v>2695</v>
      </c>
      <c r="G446" s="4"/>
      <c r="H446" s="5" t="s">
        <v>2706</v>
      </c>
      <c r="I446" s="4" t="s">
        <v>2308</v>
      </c>
      <c r="J446" s="4" t="s">
        <v>2308</v>
      </c>
      <c r="K446" s="4" t="s">
        <v>2308</v>
      </c>
      <c r="L446" s="4" t="s">
        <v>2308</v>
      </c>
      <c r="M446" s="4" t="s">
        <v>2702</v>
      </c>
      <c r="N446" s="4" t="s">
        <v>542</v>
      </c>
      <c r="O446" s="4" t="s">
        <v>542</v>
      </c>
      <c r="P446" s="4" t="s">
        <v>2308</v>
      </c>
      <c r="Q446" s="4" t="s">
        <v>2308</v>
      </c>
      <c r="R446" s="4" t="s">
        <v>545</v>
      </c>
      <c r="S446" s="4" t="s">
        <v>2308</v>
      </c>
      <c r="T446" s="4" t="s">
        <v>2308</v>
      </c>
      <c r="U446" s="4" t="s">
        <v>2308</v>
      </c>
      <c r="V446" s="4" t="s">
        <v>2308</v>
      </c>
      <c r="W446" s="5" t="s">
        <v>4036</v>
      </c>
    </row>
    <row r="447" spans="1:23" ht="67.5" customHeight="1">
      <c r="A447" s="12" t="s">
        <v>4021</v>
      </c>
      <c r="B447" s="12" t="s">
        <v>4032</v>
      </c>
      <c r="C447" s="4" t="s">
        <v>24</v>
      </c>
      <c r="D447" s="4" t="s">
        <v>5065</v>
      </c>
      <c r="E447" s="4" t="s">
        <v>26</v>
      </c>
      <c r="F447" s="5" t="s">
        <v>1125</v>
      </c>
      <c r="G447" s="4"/>
      <c r="H447" s="5" t="s">
        <v>2706</v>
      </c>
      <c r="I447" s="4" t="s">
        <v>2308</v>
      </c>
      <c r="J447" s="4" t="s">
        <v>2308</v>
      </c>
      <c r="K447" s="4" t="s">
        <v>2308</v>
      </c>
      <c r="L447" s="4" t="s">
        <v>2308</v>
      </c>
      <c r="M447" s="4" t="s">
        <v>2308</v>
      </c>
      <c r="N447" s="4" t="s">
        <v>2308</v>
      </c>
      <c r="O447" s="4" t="s">
        <v>2308</v>
      </c>
      <c r="P447" s="4" t="s">
        <v>2308</v>
      </c>
      <c r="Q447" s="4" t="s">
        <v>2308</v>
      </c>
      <c r="R447" s="4" t="s">
        <v>2308</v>
      </c>
      <c r="S447" s="4" t="s">
        <v>2308</v>
      </c>
      <c r="T447" s="4" t="s">
        <v>2308</v>
      </c>
      <c r="U447" s="4" t="s">
        <v>2308</v>
      </c>
      <c r="V447" s="4" t="s">
        <v>2308</v>
      </c>
      <c r="W447" s="5" t="s">
        <v>4035</v>
      </c>
    </row>
    <row r="448" spans="1:23" ht="67.5" customHeight="1">
      <c r="A448" s="12" t="s">
        <v>4021</v>
      </c>
      <c r="B448" s="12" t="s">
        <v>4033</v>
      </c>
      <c r="C448" s="4" t="s">
        <v>24</v>
      </c>
      <c r="D448" s="4" t="s">
        <v>45</v>
      </c>
      <c r="E448" s="4" t="s">
        <v>26</v>
      </c>
      <c r="F448" s="5" t="s">
        <v>1125</v>
      </c>
      <c r="G448" s="4"/>
      <c r="H448" s="5" t="s">
        <v>2706</v>
      </c>
      <c r="I448" s="4" t="s">
        <v>2308</v>
      </c>
      <c r="J448" s="4" t="s">
        <v>2308</v>
      </c>
      <c r="K448" s="4" t="s">
        <v>2308</v>
      </c>
      <c r="L448" s="4" t="s">
        <v>2308</v>
      </c>
      <c r="M448" s="4" t="s">
        <v>2308</v>
      </c>
      <c r="N448" s="4" t="s">
        <v>2308</v>
      </c>
      <c r="O448" s="4" t="s">
        <v>2308</v>
      </c>
      <c r="P448" s="4" t="s">
        <v>2308</v>
      </c>
      <c r="Q448" s="4" t="s">
        <v>2308</v>
      </c>
      <c r="R448" s="4" t="s">
        <v>542</v>
      </c>
      <c r="S448" s="4" t="s">
        <v>2308</v>
      </c>
      <c r="T448" s="4" t="s">
        <v>2308</v>
      </c>
      <c r="U448" s="4" t="s">
        <v>2308</v>
      </c>
      <c r="V448" s="4" t="s">
        <v>2308</v>
      </c>
      <c r="W448" s="5" t="s">
        <v>4035</v>
      </c>
    </row>
    <row r="449" spans="1:23" ht="40" customHeight="1">
      <c r="A449" s="12" t="s">
        <v>4038</v>
      </c>
      <c r="B449" s="12" t="s">
        <v>4046</v>
      </c>
      <c r="C449" s="4" t="s">
        <v>24</v>
      </c>
      <c r="D449" s="4" t="s">
        <v>5065</v>
      </c>
      <c r="E449" s="4" t="s">
        <v>1125</v>
      </c>
      <c r="F449" s="4" t="s">
        <v>1125</v>
      </c>
      <c r="G449" s="4"/>
      <c r="H449" s="5" t="s">
        <v>549</v>
      </c>
      <c r="I449" s="4" t="s">
        <v>2723</v>
      </c>
      <c r="J449" s="4" t="s">
        <v>2308</v>
      </c>
      <c r="K449" s="4" t="s">
        <v>2308</v>
      </c>
      <c r="L449" s="4" t="s">
        <v>2308</v>
      </c>
      <c r="M449" s="4" t="s">
        <v>2308</v>
      </c>
      <c r="N449" s="4" t="s">
        <v>2308</v>
      </c>
      <c r="O449" s="4" t="s">
        <v>2308</v>
      </c>
      <c r="P449" s="4" t="s">
        <v>2308</v>
      </c>
      <c r="Q449" s="4" t="s">
        <v>2308</v>
      </c>
      <c r="R449" s="4" t="s">
        <v>542</v>
      </c>
      <c r="S449" s="4" t="s">
        <v>2308</v>
      </c>
      <c r="T449" s="4" t="s">
        <v>2308</v>
      </c>
      <c r="U449" s="4" t="s">
        <v>2308</v>
      </c>
      <c r="V449" s="4" t="s">
        <v>2308</v>
      </c>
      <c r="W449" s="5" t="s">
        <v>4049</v>
      </c>
    </row>
    <row r="450" spans="1:23" ht="40" customHeight="1">
      <c r="A450" s="12" t="s">
        <v>4039</v>
      </c>
      <c r="B450" s="12" t="s">
        <v>4047</v>
      </c>
      <c r="C450" s="4" t="s">
        <v>24</v>
      </c>
      <c r="D450" s="4" t="s">
        <v>5065</v>
      </c>
      <c r="E450" s="4" t="s">
        <v>1125</v>
      </c>
      <c r="F450" s="4" t="s">
        <v>1125</v>
      </c>
      <c r="G450" s="4"/>
      <c r="H450" s="5" t="s">
        <v>549</v>
      </c>
      <c r="I450" s="4" t="s">
        <v>2723</v>
      </c>
      <c r="J450" s="4" t="s">
        <v>2308</v>
      </c>
      <c r="K450" s="4" t="s">
        <v>2308</v>
      </c>
      <c r="L450" s="4" t="s">
        <v>2308</v>
      </c>
      <c r="M450" s="4" t="s">
        <v>2308</v>
      </c>
      <c r="N450" s="4" t="s">
        <v>2308</v>
      </c>
      <c r="O450" s="4" t="s">
        <v>2308</v>
      </c>
      <c r="P450" s="4" t="s">
        <v>2308</v>
      </c>
      <c r="Q450" s="4" t="s">
        <v>2308</v>
      </c>
      <c r="R450" s="4" t="s">
        <v>542</v>
      </c>
      <c r="S450" s="4" t="s">
        <v>2308</v>
      </c>
      <c r="T450" s="4" t="s">
        <v>2308</v>
      </c>
      <c r="U450" s="4" t="s">
        <v>2308</v>
      </c>
      <c r="V450" s="4" t="s">
        <v>2308</v>
      </c>
      <c r="W450" s="5" t="s">
        <v>4049</v>
      </c>
    </row>
    <row r="451" spans="1:23" ht="40" customHeight="1">
      <c r="A451" s="12" t="s">
        <v>4044</v>
      </c>
      <c r="B451" s="12" t="s">
        <v>4048</v>
      </c>
      <c r="C451" s="4" t="s">
        <v>24</v>
      </c>
      <c r="D451" s="4" t="s">
        <v>5065</v>
      </c>
      <c r="E451" s="4" t="s">
        <v>1125</v>
      </c>
      <c r="F451" s="4" t="s">
        <v>1125</v>
      </c>
      <c r="G451" s="4"/>
      <c r="H451" s="5" t="s">
        <v>549</v>
      </c>
      <c r="I451" s="4" t="s">
        <v>2723</v>
      </c>
      <c r="J451" s="4" t="s">
        <v>2308</v>
      </c>
      <c r="K451" s="4" t="s">
        <v>2308</v>
      </c>
      <c r="L451" s="4" t="s">
        <v>2308</v>
      </c>
      <c r="M451" s="4" t="s">
        <v>2308</v>
      </c>
      <c r="N451" s="4" t="s">
        <v>2308</v>
      </c>
      <c r="O451" s="4" t="s">
        <v>2308</v>
      </c>
      <c r="P451" s="4" t="s">
        <v>2308</v>
      </c>
      <c r="Q451" s="4" t="s">
        <v>2308</v>
      </c>
      <c r="R451" s="4" t="s">
        <v>542</v>
      </c>
      <c r="S451" s="4" t="s">
        <v>2308</v>
      </c>
      <c r="T451" s="4" t="s">
        <v>2308</v>
      </c>
      <c r="U451" s="4" t="s">
        <v>2308</v>
      </c>
      <c r="V451" s="4" t="s">
        <v>2308</v>
      </c>
      <c r="W451" s="5" t="s">
        <v>4049</v>
      </c>
    </row>
    <row r="452" spans="1:23" ht="83" customHeight="1">
      <c r="A452" s="24" t="s">
        <v>4097</v>
      </c>
      <c r="B452" s="12" t="s">
        <v>4098</v>
      </c>
      <c r="C452" s="4" t="s">
        <v>1125</v>
      </c>
      <c r="D452" s="4" t="s">
        <v>2308</v>
      </c>
      <c r="E452" s="4" t="s">
        <v>2308</v>
      </c>
      <c r="F452" s="5" t="s">
        <v>2695</v>
      </c>
      <c r="G452" s="4">
        <v>1992</v>
      </c>
      <c r="H452" s="5" t="s">
        <v>4126</v>
      </c>
      <c r="I452" s="4" t="s">
        <v>2724</v>
      </c>
      <c r="J452" s="4" t="s">
        <v>542</v>
      </c>
      <c r="K452" s="4" t="s">
        <v>2308</v>
      </c>
      <c r="L452" s="4" t="s">
        <v>2308</v>
      </c>
      <c r="M452" s="4" t="s">
        <v>2308</v>
      </c>
      <c r="N452" s="4" t="s">
        <v>2308</v>
      </c>
      <c r="O452" s="4" t="s">
        <v>2308</v>
      </c>
      <c r="P452" s="4" t="s">
        <v>2308</v>
      </c>
      <c r="Q452" s="4" t="s">
        <v>2308</v>
      </c>
      <c r="R452" s="4" t="s">
        <v>2308</v>
      </c>
      <c r="S452" s="4" t="s">
        <v>2308</v>
      </c>
      <c r="T452" s="4" t="s">
        <v>2308</v>
      </c>
      <c r="U452" s="4" t="s">
        <v>2308</v>
      </c>
      <c r="V452" s="4" t="s">
        <v>2308</v>
      </c>
      <c r="W452" s="5" t="s">
        <v>4127</v>
      </c>
    </row>
    <row r="453" spans="1:23" ht="83" customHeight="1">
      <c r="A453" s="24" t="s">
        <v>4108</v>
      </c>
      <c r="B453" s="12" t="s">
        <v>4121</v>
      </c>
      <c r="C453" s="4" t="s">
        <v>1125</v>
      </c>
      <c r="D453" s="4" t="s">
        <v>2308</v>
      </c>
      <c r="E453" s="4" t="s">
        <v>2308</v>
      </c>
      <c r="F453" s="5" t="s">
        <v>2695</v>
      </c>
      <c r="G453" s="4">
        <v>1992</v>
      </c>
      <c r="H453" s="5" t="s">
        <v>4126</v>
      </c>
      <c r="I453" s="4" t="s">
        <v>2724</v>
      </c>
      <c r="J453" s="4" t="s">
        <v>542</v>
      </c>
      <c r="K453" s="4" t="s">
        <v>2308</v>
      </c>
      <c r="L453" s="4" t="s">
        <v>2308</v>
      </c>
      <c r="M453" s="4" t="s">
        <v>2308</v>
      </c>
      <c r="N453" s="4" t="s">
        <v>2308</v>
      </c>
      <c r="O453" s="4" t="s">
        <v>2308</v>
      </c>
      <c r="P453" s="4" t="s">
        <v>2308</v>
      </c>
      <c r="Q453" s="4" t="s">
        <v>2308</v>
      </c>
      <c r="R453" s="4" t="s">
        <v>2308</v>
      </c>
      <c r="S453" s="4" t="s">
        <v>2308</v>
      </c>
      <c r="T453" s="4" t="s">
        <v>2308</v>
      </c>
      <c r="U453" s="4" t="s">
        <v>2308</v>
      </c>
      <c r="V453" s="4" t="s">
        <v>2308</v>
      </c>
      <c r="W453" s="5" t="s">
        <v>4127</v>
      </c>
    </row>
    <row r="454" spans="1:23" ht="83" customHeight="1">
      <c r="A454" s="24" t="s">
        <v>4109</v>
      </c>
      <c r="B454" s="12" t="s">
        <v>4122</v>
      </c>
      <c r="C454" s="4" t="s">
        <v>1125</v>
      </c>
      <c r="D454" s="4" t="s">
        <v>2308</v>
      </c>
      <c r="E454" s="4" t="s">
        <v>2308</v>
      </c>
      <c r="F454" s="5" t="s">
        <v>2695</v>
      </c>
      <c r="G454" s="4">
        <v>1992</v>
      </c>
      <c r="H454" s="5" t="s">
        <v>4126</v>
      </c>
      <c r="I454" s="4" t="s">
        <v>2724</v>
      </c>
      <c r="J454" s="4" t="s">
        <v>542</v>
      </c>
      <c r="K454" s="4" t="s">
        <v>2308</v>
      </c>
      <c r="L454" s="4" t="s">
        <v>2308</v>
      </c>
      <c r="M454" s="4" t="s">
        <v>2308</v>
      </c>
      <c r="N454" s="4" t="s">
        <v>2308</v>
      </c>
      <c r="O454" s="4" t="s">
        <v>2308</v>
      </c>
      <c r="P454" s="4" t="s">
        <v>2308</v>
      </c>
      <c r="Q454" s="4" t="s">
        <v>2308</v>
      </c>
      <c r="R454" s="4" t="s">
        <v>2308</v>
      </c>
      <c r="S454" s="4" t="s">
        <v>2308</v>
      </c>
      <c r="T454" s="4" t="s">
        <v>2308</v>
      </c>
      <c r="U454" s="4" t="s">
        <v>2308</v>
      </c>
      <c r="V454" s="4" t="s">
        <v>2308</v>
      </c>
      <c r="W454" s="5" t="s">
        <v>4127</v>
      </c>
    </row>
    <row r="455" spans="1:23" ht="83" customHeight="1">
      <c r="A455" s="24" t="s">
        <v>4110</v>
      </c>
      <c r="B455" s="12" t="s">
        <v>4123</v>
      </c>
      <c r="C455" s="4" t="s">
        <v>1125</v>
      </c>
      <c r="D455" s="4" t="s">
        <v>2308</v>
      </c>
      <c r="E455" s="4" t="s">
        <v>2308</v>
      </c>
      <c r="F455" s="5" t="s">
        <v>2695</v>
      </c>
      <c r="G455" s="4">
        <v>1992</v>
      </c>
      <c r="H455" s="5" t="s">
        <v>4126</v>
      </c>
      <c r="I455" s="4" t="s">
        <v>2724</v>
      </c>
      <c r="J455" s="4" t="s">
        <v>542</v>
      </c>
      <c r="K455" s="4" t="s">
        <v>2308</v>
      </c>
      <c r="L455" s="4" t="s">
        <v>2308</v>
      </c>
      <c r="M455" s="4" t="s">
        <v>2308</v>
      </c>
      <c r="N455" s="4" t="s">
        <v>2308</v>
      </c>
      <c r="O455" s="4" t="s">
        <v>2308</v>
      </c>
      <c r="P455" s="4" t="s">
        <v>2308</v>
      </c>
      <c r="Q455" s="4" t="s">
        <v>2308</v>
      </c>
      <c r="R455" s="4" t="s">
        <v>2308</v>
      </c>
      <c r="S455" s="4" t="s">
        <v>2308</v>
      </c>
      <c r="T455" s="4" t="s">
        <v>2308</v>
      </c>
      <c r="U455" s="4" t="s">
        <v>2308</v>
      </c>
      <c r="V455" s="4" t="s">
        <v>2308</v>
      </c>
      <c r="W455" s="5" t="s">
        <v>4127</v>
      </c>
    </row>
    <row r="456" spans="1:23" ht="83" customHeight="1">
      <c r="A456" s="24" t="s">
        <v>4111</v>
      </c>
      <c r="B456" s="12" t="s">
        <v>4124</v>
      </c>
      <c r="C456" s="4" t="s">
        <v>1125</v>
      </c>
      <c r="D456" s="4" t="s">
        <v>2308</v>
      </c>
      <c r="E456" s="4" t="s">
        <v>2308</v>
      </c>
      <c r="F456" s="5" t="s">
        <v>2695</v>
      </c>
      <c r="G456" s="4">
        <v>1992</v>
      </c>
      <c r="H456" s="5" t="s">
        <v>4126</v>
      </c>
      <c r="I456" s="4" t="s">
        <v>2724</v>
      </c>
      <c r="J456" s="4" t="s">
        <v>542</v>
      </c>
      <c r="K456" s="4" t="s">
        <v>2308</v>
      </c>
      <c r="L456" s="4" t="s">
        <v>2308</v>
      </c>
      <c r="M456" s="4" t="s">
        <v>2308</v>
      </c>
      <c r="N456" s="4" t="s">
        <v>2308</v>
      </c>
      <c r="O456" s="4" t="s">
        <v>2308</v>
      </c>
      <c r="P456" s="4" t="s">
        <v>2308</v>
      </c>
      <c r="Q456" s="4" t="s">
        <v>2308</v>
      </c>
      <c r="R456" s="4" t="s">
        <v>2308</v>
      </c>
      <c r="S456" s="4" t="s">
        <v>2308</v>
      </c>
      <c r="T456" s="4" t="s">
        <v>2308</v>
      </c>
      <c r="U456" s="4" t="s">
        <v>2308</v>
      </c>
      <c r="V456" s="4" t="s">
        <v>2308</v>
      </c>
      <c r="W456" s="5" t="s">
        <v>4127</v>
      </c>
    </row>
    <row r="457" spans="1:23" ht="83" customHeight="1">
      <c r="A457" s="24" t="s">
        <v>4112</v>
      </c>
      <c r="B457" s="12" t="s">
        <v>4115</v>
      </c>
      <c r="C457" s="4" t="s">
        <v>1125</v>
      </c>
      <c r="D457" s="4" t="s">
        <v>2308</v>
      </c>
      <c r="E457" s="4" t="s">
        <v>2308</v>
      </c>
      <c r="F457" s="5" t="s">
        <v>2695</v>
      </c>
      <c r="G457" s="4">
        <v>1992</v>
      </c>
      <c r="H457" s="5" t="s">
        <v>4126</v>
      </c>
      <c r="I457" s="4" t="s">
        <v>2724</v>
      </c>
      <c r="J457" s="4" t="s">
        <v>542</v>
      </c>
      <c r="K457" s="4" t="s">
        <v>2308</v>
      </c>
      <c r="L457" s="4" t="s">
        <v>2308</v>
      </c>
      <c r="M457" s="4" t="s">
        <v>2308</v>
      </c>
      <c r="N457" s="4" t="s">
        <v>2308</v>
      </c>
      <c r="O457" s="4" t="s">
        <v>2308</v>
      </c>
      <c r="P457" s="4" t="s">
        <v>2308</v>
      </c>
      <c r="Q457" s="4" t="s">
        <v>2308</v>
      </c>
      <c r="R457" s="4" t="s">
        <v>2308</v>
      </c>
      <c r="S457" s="4" t="s">
        <v>2308</v>
      </c>
      <c r="T457" s="4" t="s">
        <v>2308</v>
      </c>
      <c r="U457" s="4" t="s">
        <v>2308</v>
      </c>
      <c r="V457" s="4" t="s">
        <v>2308</v>
      </c>
      <c r="W457" s="5" t="s">
        <v>4127</v>
      </c>
    </row>
    <row r="458" spans="1:23" ht="44.5" customHeight="1">
      <c r="A458" s="24" t="s">
        <v>4097</v>
      </c>
      <c r="B458" s="12" t="s">
        <v>4116</v>
      </c>
      <c r="C458" s="4" t="s">
        <v>1125</v>
      </c>
      <c r="D458" s="4" t="s">
        <v>2308</v>
      </c>
      <c r="E458" s="4" t="s">
        <v>2308</v>
      </c>
      <c r="F458" s="5" t="s">
        <v>2695</v>
      </c>
      <c r="G458" s="12">
        <v>2005</v>
      </c>
      <c r="H458" s="5" t="s">
        <v>4126</v>
      </c>
      <c r="I458" s="4" t="s">
        <v>2723</v>
      </c>
      <c r="J458" s="4" t="s">
        <v>542</v>
      </c>
      <c r="K458" s="4" t="s">
        <v>2308</v>
      </c>
      <c r="L458" s="4" t="s">
        <v>2308</v>
      </c>
      <c r="M458" s="4" t="s">
        <v>2308</v>
      </c>
      <c r="N458" s="4" t="s">
        <v>2308</v>
      </c>
      <c r="O458" s="4" t="s">
        <v>2308</v>
      </c>
      <c r="P458" s="4" t="s">
        <v>2308</v>
      </c>
      <c r="Q458" s="4" t="s">
        <v>2308</v>
      </c>
      <c r="R458" s="4" t="s">
        <v>2308</v>
      </c>
      <c r="S458" s="4" t="s">
        <v>2308</v>
      </c>
      <c r="T458" s="4" t="s">
        <v>2308</v>
      </c>
      <c r="U458" s="4" t="s">
        <v>2308</v>
      </c>
      <c r="V458" s="4" t="s">
        <v>2308</v>
      </c>
      <c r="W458" s="5" t="s">
        <v>4133</v>
      </c>
    </row>
    <row r="459" spans="1:23" ht="44.5" customHeight="1">
      <c r="A459" s="24" t="s">
        <v>4108</v>
      </c>
      <c r="B459" s="12" t="s">
        <v>4128</v>
      </c>
      <c r="C459" s="4" t="s">
        <v>1125</v>
      </c>
      <c r="D459" s="4" t="s">
        <v>2308</v>
      </c>
      <c r="E459" s="4" t="s">
        <v>2308</v>
      </c>
      <c r="F459" s="5" t="s">
        <v>2695</v>
      </c>
      <c r="G459" s="12">
        <v>2005</v>
      </c>
      <c r="H459" s="5" t="s">
        <v>4126</v>
      </c>
      <c r="I459" s="4" t="s">
        <v>2723</v>
      </c>
      <c r="J459" s="4" t="s">
        <v>542</v>
      </c>
      <c r="K459" s="4" t="s">
        <v>2308</v>
      </c>
      <c r="L459" s="4" t="s">
        <v>2308</v>
      </c>
      <c r="M459" s="4" t="s">
        <v>2308</v>
      </c>
      <c r="N459" s="4" t="s">
        <v>2308</v>
      </c>
      <c r="O459" s="4" t="s">
        <v>2308</v>
      </c>
      <c r="P459" s="4" t="s">
        <v>2308</v>
      </c>
      <c r="Q459" s="4" t="s">
        <v>2308</v>
      </c>
      <c r="R459" s="4" t="s">
        <v>2308</v>
      </c>
      <c r="S459" s="4" t="s">
        <v>2308</v>
      </c>
      <c r="T459" s="4" t="s">
        <v>2308</v>
      </c>
      <c r="U459" s="4" t="s">
        <v>2308</v>
      </c>
      <c r="V459" s="4" t="s">
        <v>2308</v>
      </c>
      <c r="W459" s="5" t="s">
        <v>4133</v>
      </c>
    </row>
    <row r="460" spans="1:23" ht="44.5" customHeight="1">
      <c r="A460" s="24" t="s">
        <v>4109</v>
      </c>
      <c r="B460" s="12" t="s">
        <v>4129</v>
      </c>
      <c r="C460" s="4" t="s">
        <v>1125</v>
      </c>
      <c r="D460" s="4" t="s">
        <v>2308</v>
      </c>
      <c r="E460" s="4" t="s">
        <v>2308</v>
      </c>
      <c r="F460" s="5" t="s">
        <v>2695</v>
      </c>
      <c r="G460" s="12">
        <v>2005</v>
      </c>
      <c r="H460" s="5" t="s">
        <v>4126</v>
      </c>
      <c r="I460" s="4" t="s">
        <v>2723</v>
      </c>
      <c r="J460" s="4" t="s">
        <v>542</v>
      </c>
      <c r="K460" s="4" t="s">
        <v>2308</v>
      </c>
      <c r="L460" s="4" t="s">
        <v>2308</v>
      </c>
      <c r="M460" s="4" t="s">
        <v>2308</v>
      </c>
      <c r="N460" s="4" t="s">
        <v>2308</v>
      </c>
      <c r="O460" s="4" t="s">
        <v>2308</v>
      </c>
      <c r="P460" s="4" t="s">
        <v>2308</v>
      </c>
      <c r="Q460" s="4" t="s">
        <v>2308</v>
      </c>
      <c r="R460" s="4" t="s">
        <v>2308</v>
      </c>
      <c r="S460" s="4" t="s">
        <v>2308</v>
      </c>
      <c r="T460" s="4" t="s">
        <v>2308</v>
      </c>
      <c r="U460" s="4" t="s">
        <v>2308</v>
      </c>
      <c r="V460" s="4" t="s">
        <v>2308</v>
      </c>
      <c r="W460" s="5" t="s">
        <v>4133</v>
      </c>
    </row>
    <row r="461" spans="1:23" ht="44.5" customHeight="1">
      <c r="A461" s="24" t="s">
        <v>4110</v>
      </c>
      <c r="B461" s="12" t="s">
        <v>4130</v>
      </c>
      <c r="C461" s="4" t="s">
        <v>1125</v>
      </c>
      <c r="D461" s="4" t="s">
        <v>2308</v>
      </c>
      <c r="E461" s="4" t="s">
        <v>2308</v>
      </c>
      <c r="F461" s="5" t="s">
        <v>2695</v>
      </c>
      <c r="G461" s="12">
        <v>2005</v>
      </c>
      <c r="H461" s="5" t="s">
        <v>4126</v>
      </c>
      <c r="I461" s="4" t="s">
        <v>2723</v>
      </c>
      <c r="J461" s="4" t="s">
        <v>542</v>
      </c>
      <c r="K461" s="4" t="s">
        <v>2308</v>
      </c>
      <c r="L461" s="4" t="s">
        <v>2308</v>
      </c>
      <c r="M461" s="4" t="s">
        <v>2308</v>
      </c>
      <c r="N461" s="4" t="s">
        <v>2308</v>
      </c>
      <c r="O461" s="4" t="s">
        <v>2308</v>
      </c>
      <c r="P461" s="4" t="s">
        <v>2308</v>
      </c>
      <c r="Q461" s="4" t="s">
        <v>2308</v>
      </c>
      <c r="R461" s="4" t="s">
        <v>2308</v>
      </c>
      <c r="S461" s="4" t="s">
        <v>2308</v>
      </c>
      <c r="T461" s="4" t="s">
        <v>2308</v>
      </c>
      <c r="U461" s="4" t="s">
        <v>2308</v>
      </c>
      <c r="V461" s="4" t="s">
        <v>2308</v>
      </c>
      <c r="W461" s="5" t="s">
        <v>4133</v>
      </c>
    </row>
    <row r="462" spans="1:23" ht="44.5" customHeight="1">
      <c r="A462" s="24" t="s">
        <v>4111</v>
      </c>
      <c r="B462" s="12" t="s">
        <v>4131</v>
      </c>
      <c r="C462" s="4" t="s">
        <v>1125</v>
      </c>
      <c r="D462" s="4" t="s">
        <v>2308</v>
      </c>
      <c r="E462" s="4" t="s">
        <v>2308</v>
      </c>
      <c r="F462" s="5" t="s">
        <v>2695</v>
      </c>
      <c r="G462" s="12">
        <v>2005</v>
      </c>
      <c r="H462" s="5" t="s">
        <v>4126</v>
      </c>
      <c r="I462" s="4" t="s">
        <v>2723</v>
      </c>
      <c r="J462" s="4" t="s">
        <v>542</v>
      </c>
      <c r="K462" s="4" t="s">
        <v>2308</v>
      </c>
      <c r="L462" s="4" t="s">
        <v>2308</v>
      </c>
      <c r="M462" s="4" t="s">
        <v>2308</v>
      </c>
      <c r="N462" s="4" t="s">
        <v>2308</v>
      </c>
      <c r="O462" s="4" t="s">
        <v>2308</v>
      </c>
      <c r="P462" s="4" t="s">
        <v>2308</v>
      </c>
      <c r="Q462" s="4" t="s">
        <v>2308</v>
      </c>
      <c r="R462" s="4" t="s">
        <v>2308</v>
      </c>
      <c r="S462" s="4" t="s">
        <v>2308</v>
      </c>
      <c r="T462" s="4" t="s">
        <v>2308</v>
      </c>
      <c r="U462" s="4" t="s">
        <v>2308</v>
      </c>
      <c r="V462" s="4" t="s">
        <v>2308</v>
      </c>
      <c r="W462" s="5" t="s">
        <v>4133</v>
      </c>
    </row>
    <row r="463" spans="1:23" ht="44.5" customHeight="1">
      <c r="A463" s="24" t="s">
        <v>4112</v>
      </c>
      <c r="B463" s="12" t="s">
        <v>4117</v>
      </c>
      <c r="C463" s="4" t="s">
        <v>1125</v>
      </c>
      <c r="D463" s="4" t="s">
        <v>2308</v>
      </c>
      <c r="E463" s="4" t="s">
        <v>2308</v>
      </c>
      <c r="F463" s="5" t="s">
        <v>2695</v>
      </c>
      <c r="G463" s="12">
        <v>2005</v>
      </c>
      <c r="H463" s="5" t="s">
        <v>4126</v>
      </c>
      <c r="I463" s="4" t="s">
        <v>2723</v>
      </c>
      <c r="J463" s="4" t="s">
        <v>542</v>
      </c>
      <c r="K463" s="4" t="s">
        <v>2308</v>
      </c>
      <c r="L463" s="4" t="s">
        <v>2308</v>
      </c>
      <c r="M463" s="4" t="s">
        <v>2308</v>
      </c>
      <c r="N463" s="4" t="s">
        <v>2308</v>
      </c>
      <c r="O463" s="4" t="s">
        <v>2308</v>
      </c>
      <c r="P463" s="4" t="s">
        <v>2308</v>
      </c>
      <c r="Q463" s="4" t="s">
        <v>2308</v>
      </c>
      <c r="R463" s="4" t="s">
        <v>2308</v>
      </c>
      <c r="S463" s="4" t="s">
        <v>2308</v>
      </c>
      <c r="T463" s="4" t="s">
        <v>2308</v>
      </c>
      <c r="U463" s="4" t="s">
        <v>2308</v>
      </c>
      <c r="V463" s="4" t="s">
        <v>2308</v>
      </c>
      <c r="W463" s="5" t="s">
        <v>4133</v>
      </c>
    </row>
    <row r="464" spans="1:23" ht="40" customHeight="1">
      <c r="A464" s="12" t="s">
        <v>4157</v>
      </c>
      <c r="B464" s="4" t="s">
        <v>4167</v>
      </c>
      <c r="C464" s="4" t="s">
        <v>24</v>
      </c>
      <c r="D464" s="5" t="s">
        <v>5065</v>
      </c>
      <c r="E464" s="4" t="s">
        <v>2693</v>
      </c>
      <c r="F464" s="4" t="s">
        <v>55</v>
      </c>
      <c r="G464" s="4"/>
      <c r="H464" s="5" t="s">
        <v>2706</v>
      </c>
      <c r="I464" s="4" t="s">
        <v>2308</v>
      </c>
      <c r="J464" s="4" t="s">
        <v>2308</v>
      </c>
      <c r="K464" s="4" t="s">
        <v>2308</v>
      </c>
      <c r="L464" s="4" t="s">
        <v>2308</v>
      </c>
      <c r="M464" s="4" t="s">
        <v>2702</v>
      </c>
      <c r="N464" s="4" t="s">
        <v>2308</v>
      </c>
      <c r="O464" s="4" t="s">
        <v>2308</v>
      </c>
      <c r="P464" s="4" t="s">
        <v>2308</v>
      </c>
      <c r="Q464" s="4" t="s">
        <v>2308</v>
      </c>
      <c r="R464" s="4" t="s">
        <v>2308</v>
      </c>
      <c r="S464" s="4" t="s">
        <v>2308</v>
      </c>
      <c r="T464" s="4" t="s">
        <v>2308</v>
      </c>
      <c r="U464" s="4" t="s">
        <v>2308</v>
      </c>
      <c r="V464" s="4" t="s">
        <v>2308</v>
      </c>
      <c r="W464" s="5" t="s">
        <v>4175</v>
      </c>
    </row>
    <row r="465" spans="1:23" ht="40" customHeight="1">
      <c r="A465" s="12" t="s">
        <v>4157</v>
      </c>
      <c r="B465" s="4" t="s">
        <v>4168</v>
      </c>
      <c r="C465" s="4" t="s">
        <v>24</v>
      </c>
      <c r="D465" s="5" t="s">
        <v>45</v>
      </c>
      <c r="E465" s="4" t="s">
        <v>2693</v>
      </c>
      <c r="F465" s="4" t="s">
        <v>55</v>
      </c>
      <c r="G465" s="4"/>
      <c r="H465" s="5" t="s">
        <v>2706</v>
      </c>
      <c r="I465" s="4" t="s">
        <v>2308</v>
      </c>
      <c r="J465" s="4" t="s">
        <v>2308</v>
      </c>
      <c r="K465" s="4" t="s">
        <v>2308</v>
      </c>
      <c r="L465" s="4" t="s">
        <v>2308</v>
      </c>
      <c r="M465" s="4" t="s">
        <v>2702</v>
      </c>
      <c r="N465" s="4" t="s">
        <v>2308</v>
      </c>
      <c r="O465" s="4" t="s">
        <v>2308</v>
      </c>
      <c r="P465" s="4" t="s">
        <v>2308</v>
      </c>
      <c r="Q465" s="4" t="s">
        <v>2308</v>
      </c>
      <c r="R465" s="4" t="s">
        <v>2308</v>
      </c>
      <c r="S465" s="4" t="s">
        <v>2308</v>
      </c>
      <c r="T465" s="4" t="s">
        <v>2308</v>
      </c>
      <c r="U465" s="4" t="s">
        <v>2308</v>
      </c>
      <c r="V465" s="4" t="s">
        <v>2308</v>
      </c>
      <c r="W465" s="5" t="s">
        <v>4175</v>
      </c>
    </row>
    <row r="466" spans="1:23" ht="40" customHeight="1">
      <c r="A466" s="12" t="s">
        <v>4158</v>
      </c>
      <c r="B466" s="4" t="s">
        <v>4169</v>
      </c>
      <c r="C466" s="4" t="s">
        <v>24</v>
      </c>
      <c r="D466" s="5" t="s">
        <v>5065</v>
      </c>
      <c r="E466" s="4" t="s">
        <v>2693</v>
      </c>
      <c r="F466" s="4" t="s">
        <v>55</v>
      </c>
      <c r="G466" s="4">
        <v>1989</v>
      </c>
      <c r="H466" s="5" t="s">
        <v>2706</v>
      </c>
      <c r="I466" s="4" t="s">
        <v>2308</v>
      </c>
      <c r="J466" s="4" t="s">
        <v>2308</v>
      </c>
      <c r="K466" s="4" t="s">
        <v>2308</v>
      </c>
      <c r="L466" s="4" t="s">
        <v>2308</v>
      </c>
      <c r="M466" s="4" t="s">
        <v>2761</v>
      </c>
      <c r="N466" s="4" t="s">
        <v>2308</v>
      </c>
      <c r="O466" s="4" t="s">
        <v>2308</v>
      </c>
      <c r="P466" s="4" t="s">
        <v>2308</v>
      </c>
      <c r="Q466" s="4" t="s">
        <v>2308</v>
      </c>
      <c r="R466" s="4" t="s">
        <v>2308</v>
      </c>
      <c r="S466" s="4" t="s">
        <v>2308</v>
      </c>
      <c r="T466" s="4" t="s">
        <v>2308</v>
      </c>
      <c r="U466" s="4" t="s">
        <v>2308</v>
      </c>
      <c r="V466" s="4" t="s">
        <v>2308</v>
      </c>
      <c r="W466" s="4" t="s">
        <v>4174</v>
      </c>
    </row>
    <row r="467" spans="1:23" ht="40" customHeight="1">
      <c r="A467" s="12" t="s">
        <v>4158</v>
      </c>
      <c r="B467" s="4" t="s">
        <v>4170</v>
      </c>
      <c r="C467" s="4" t="s">
        <v>24</v>
      </c>
      <c r="D467" s="5" t="s">
        <v>45</v>
      </c>
      <c r="E467" s="4" t="s">
        <v>2693</v>
      </c>
      <c r="F467" s="4" t="s">
        <v>55</v>
      </c>
      <c r="G467" s="4">
        <v>1989</v>
      </c>
      <c r="H467" s="5" t="s">
        <v>2706</v>
      </c>
      <c r="I467" s="4" t="s">
        <v>2308</v>
      </c>
      <c r="J467" s="4" t="s">
        <v>2308</v>
      </c>
      <c r="K467" s="4" t="s">
        <v>2308</v>
      </c>
      <c r="L467" s="4" t="s">
        <v>2308</v>
      </c>
      <c r="M467" s="4" t="s">
        <v>2761</v>
      </c>
      <c r="N467" s="4" t="s">
        <v>2308</v>
      </c>
      <c r="O467" s="4" t="s">
        <v>2308</v>
      </c>
      <c r="P467" s="4" t="s">
        <v>2308</v>
      </c>
      <c r="Q467" s="4" t="s">
        <v>2308</v>
      </c>
      <c r="R467" s="4" t="s">
        <v>2308</v>
      </c>
      <c r="S467" s="4" t="s">
        <v>2308</v>
      </c>
      <c r="T467" s="4" t="s">
        <v>2308</v>
      </c>
      <c r="U467" s="4" t="s">
        <v>2308</v>
      </c>
      <c r="V467" s="4" t="s">
        <v>2308</v>
      </c>
      <c r="W467" s="4" t="s">
        <v>4174</v>
      </c>
    </row>
    <row r="468" spans="1:23" ht="64" customHeight="1">
      <c r="A468" s="12" t="s">
        <v>4178</v>
      </c>
      <c r="B468" s="12" t="s">
        <v>4182</v>
      </c>
      <c r="C468" s="4" t="s">
        <v>24</v>
      </c>
      <c r="D468" s="5" t="s">
        <v>5065</v>
      </c>
      <c r="E468" s="4" t="s">
        <v>2693</v>
      </c>
      <c r="F468" s="5" t="s">
        <v>2695</v>
      </c>
      <c r="G468" s="4"/>
      <c r="H468" s="5" t="s">
        <v>549</v>
      </c>
      <c r="I468" s="4" t="s">
        <v>2308</v>
      </c>
      <c r="J468" s="4" t="s">
        <v>2308</v>
      </c>
      <c r="K468" s="4" t="s">
        <v>2308</v>
      </c>
      <c r="L468" s="4" t="s">
        <v>2308</v>
      </c>
      <c r="M468" s="4" t="s">
        <v>2702</v>
      </c>
      <c r="N468" s="4" t="s">
        <v>2308</v>
      </c>
      <c r="O468" s="4" t="s">
        <v>2308</v>
      </c>
      <c r="P468" s="4" t="s">
        <v>2308</v>
      </c>
      <c r="Q468" s="4">
        <v>4</v>
      </c>
      <c r="R468" s="4" t="s">
        <v>2308</v>
      </c>
      <c r="S468" s="4" t="s">
        <v>2308</v>
      </c>
      <c r="T468" s="4" t="s">
        <v>2308</v>
      </c>
      <c r="U468" s="4" t="s">
        <v>2308</v>
      </c>
      <c r="V468" s="4" t="s">
        <v>2308</v>
      </c>
      <c r="W468" s="5" t="s">
        <v>4185</v>
      </c>
    </row>
    <row r="469" spans="1:23" ht="75.5" customHeight="1">
      <c r="A469" s="12" t="s">
        <v>4178</v>
      </c>
      <c r="B469" s="12" t="s">
        <v>4183</v>
      </c>
      <c r="C469" s="4" t="s">
        <v>24</v>
      </c>
      <c r="D469" s="5" t="s">
        <v>45</v>
      </c>
      <c r="E469" s="4" t="s">
        <v>2693</v>
      </c>
      <c r="F469" s="5" t="s">
        <v>2695</v>
      </c>
      <c r="G469" s="4"/>
      <c r="H469" s="5" t="s">
        <v>549</v>
      </c>
      <c r="I469" s="4" t="s">
        <v>2308</v>
      </c>
      <c r="J469" s="4" t="s">
        <v>2308</v>
      </c>
      <c r="K469" s="4" t="s">
        <v>2308</v>
      </c>
      <c r="L469" s="4" t="s">
        <v>2308</v>
      </c>
      <c r="M469" s="4" t="s">
        <v>2702</v>
      </c>
      <c r="N469" s="4" t="s">
        <v>2308</v>
      </c>
      <c r="O469" s="4" t="s">
        <v>2308</v>
      </c>
      <c r="P469" s="4" t="s">
        <v>2308</v>
      </c>
      <c r="Q469" s="4">
        <v>4</v>
      </c>
      <c r="R469" s="4" t="s">
        <v>2308</v>
      </c>
      <c r="S469" s="4" t="s">
        <v>2308</v>
      </c>
      <c r="T469" s="4" t="s">
        <v>2308</v>
      </c>
      <c r="U469" s="4" t="s">
        <v>2308</v>
      </c>
      <c r="V469" s="4" t="s">
        <v>2308</v>
      </c>
      <c r="W469" s="5" t="s">
        <v>4185</v>
      </c>
    </row>
    <row r="470" spans="1:23" ht="52" customHeight="1">
      <c r="A470" s="12" t="s">
        <v>4195</v>
      </c>
      <c r="B470" s="4" t="s">
        <v>4203</v>
      </c>
      <c r="C470" s="4" t="s">
        <v>24</v>
      </c>
      <c r="D470" s="5" t="s">
        <v>3903</v>
      </c>
      <c r="E470" s="4" t="s">
        <v>1125</v>
      </c>
      <c r="F470" s="4" t="s">
        <v>2308</v>
      </c>
      <c r="G470" s="4"/>
      <c r="H470" s="5" t="s">
        <v>549</v>
      </c>
      <c r="I470" s="4" t="s">
        <v>2308</v>
      </c>
      <c r="J470" s="4" t="s">
        <v>2308</v>
      </c>
      <c r="K470" s="4" t="s">
        <v>2308</v>
      </c>
      <c r="L470" s="4" t="s">
        <v>2308</v>
      </c>
      <c r="M470" s="4" t="s">
        <v>2308</v>
      </c>
      <c r="N470" s="4" t="s">
        <v>2308</v>
      </c>
      <c r="O470" s="4" t="s">
        <v>2308</v>
      </c>
      <c r="P470" s="4" t="s">
        <v>2308</v>
      </c>
      <c r="Q470" s="4" t="s">
        <v>2308</v>
      </c>
      <c r="R470" s="4" t="s">
        <v>542</v>
      </c>
      <c r="S470" s="4" t="s">
        <v>542</v>
      </c>
      <c r="T470" s="4" t="s">
        <v>542</v>
      </c>
      <c r="U470" s="4" t="s">
        <v>2308</v>
      </c>
      <c r="V470" s="4">
        <v>3</v>
      </c>
      <c r="W470" s="5" t="s">
        <v>4227</v>
      </c>
    </row>
    <row r="471" spans="1:23" ht="57.5" customHeight="1">
      <c r="A471" s="12" t="s">
        <v>4195</v>
      </c>
      <c r="B471" s="4" t="s">
        <v>4204</v>
      </c>
      <c r="C471" s="4" t="s">
        <v>24</v>
      </c>
      <c r="D471" s="5" t="s">
        <v>877</v>
      </c>
      <c r="E471" s="4" t="s">
        <v>1125</v>
      </c>
      <c r="F471" s="4" t="s">
        <v>2308</v>
      </c>
      <c r="G471" s="4"/>
      <c r="H471" s="5" t="s">
        <v>549</v>
      </c>
      <c r="I471" s="4" t="s">
        <v>2308</v>
      </c>
      <c r="J471" s="4" t="s">
        <v>2308</v>
      </c>
      <c r="K471" s="4" t="s">
        <v>2308</v>
      </c>
      <c r="L471" s="4" t="s">
        <v>2308</v>
      </c>
      <c r="M471" s="4" t="s">
        <v>2308</v>
      </c>
      <c r="N471" s="4" t="s">
        <v>2308</v>
      </c>
      <c r="O471" s="4" t="s">
        <v>2308</v>
      </c>
      <c r="P471" s="4" t="s">
        <v>2308</v>
      </c>
      <c r="Q471" s="4" t="s">
        <v>2308</v>
      </c>
      <c r="R471" s="4" t="s">
        <v>542</v>
      </c>
      <c r="S471" s="4" t="s">
        <v>542</v>
      </c>
      <c r="T471" s="4" t="s">
        <v>542</v>
      </c>
      <c r="U471" s="4" t="s">
        <v>2308</v>
      </c>
      <c r="V471" s="4">
        <v>3</v>
      </c>
      <c r="W471" s="5" t="s">
        <v>4227</v>
      </c>
    </row>
    <row r="472" spans="1:23" ht="53" customHeight="1">
      <c r="A472" s="12" t="s">
        <v>4196</v>
      </c>
      <c r="B472" s="4" t="s">
        <v>4213</v>
      </c>
      <c r="C472" s="4" t="s">
        <v>24</v>
      </c>
      <c r="D472" s="5" t="s">
        <v>5065</v>
      </c>
      <c r="E472" s="4" t="s">
        <v>1125</v>
      </c>
      <c r="F472" s="4" t="s">
        <v>2308</v>
      </c>
      <c r="G472" s="4"/>
      <c r="H472" s="5" t="s">
        <v>549</v>
      </c>
      <c r="I472" s="4" t="s">
        <v>2308</v>
      </c>
      <c r="J472" s="4" t="s">
        <v>2308</v>
      </c>
      <c r="K472" s="4" t="s">
        <v>2308</v>
      </c>
      <c r="L472" s="4" t="s">
        <v>2308</v>
      </c>
      <c r="M472" s="4" t="s">
        <v>2308</v>
      </c>
      <c r="N472" s="4" t="s">
        <v>2308</v>
      </c>
      <c r="O472" s="4" t="s">
        <v>2308</v>
      </c>
      <c r="P472" s="4" t="s">
        <v>2308</v>
      </c>
      <c r="Q472" s="4" t="s">
        <v>2308</v>
      </c>
      <c r="R472" s="4" t="s">
        <v>542</v>
      </c>
      <c r="S472" s="4" t="s">
        <v>542</v>
      </c>
      <c r="T472" s="4" t="s">
        <v>542</v>
      </c>
      <c r="U472" s="4" t="s">
        <v>2308</v>
      </c>
      <c r="V472" s="4">
        <v>3</v>
      </c>
      <c r="W472" s="5" t="s">
        <v>4227</v>
      </c>
    </row>
    <row r="473" spans="1:23" ht="52" customHeight="1">
      <c r="A473" s="12" t="s">
        <v>4196</v>
      </c>
      <c r="B473" s="4" t="s">
        <v>4214</v>
      </c>
      <c r="C473" s="4" t="s">
        <v>24</v>
      </c>
      <c r="D473" s="5" t="s">
        <v>45</v>
      </c>
      <c r="E473" s="4" t="s">
        <v>1125</v>
      </c>
      <c r="F473" s="4" t="s">
        <v>2308</v>
      </c>
      <c r="G473" s="4"/>
      <c r="H473" s="5" t="s">
        <v>549</v>
      </c>
      <c r="I473" s="4" t="s">
        <v>2308</v>
      </c>
      <c r="J473" s="4" t="s">
        <v>2308</v>
      </c>
      <c r="K473" s="4" t="s">
        <v>2308</v>
      </c>
      <c r="L473" s="4" t="s">
        <v>2308</v>
      </c>
      <c r="M473" s="4" t="s">
        <v>2308</v>
      </c>
      <c r="N473" s="4" t="s">
        <v>2308</v>
      </c>
      <c r="O473" s="4" t="s">
        <v>2308</v>
      </c>
      <c r="P473" s="4" t="s">
        <v>2308</v>
      </c>
      <c r="Q473" s="4" t="s">
        <v>2308</v>
      </c>
      <c r="R473" s="4" t="s">
        <v>542</v>
      </c>
      <c r="S473" s="4" t="s">
        <v>542</v>
      </c>
      <c r="T473" s="4" t="s">
        <v>542</v>
      </c>
      <c r="U473" s="4" t="s">
        <v>2308</v>
      </c>
      <c r="V473" s="4">
        <v>3</v>
      </c>
      <c r="W473" s="5" t="s">
        <v>4227</v>
      </c>
    </row>
    <row r="474" spans="1:23" ht="49" customHeight="1">
      <c r="A474" s="12" t="s">
        <v>4260</v>
      </c>
      <c r="B474" s="12" t="s">
        <v>4264</v>
      </c>
      <c r="C474" s="4" t="s">
        <v>24</v>
      </c>
      <c r="D474" s="4" t="s">
        <v>1125</v>
      </c>
      <c r="E474" s="4" t="s">
        <v>1125</v>
      </c>
      <c r="F474" s="4" t="s">
        <v>1125</v>
      </c>
      <c r="G474" s="4"/>
      <c r="H474" s="5" t="s">
        <v>549</v>
      </c>
      <c r="I474" s="4" t="s">
        <v>2308</v>
      </c>
      <c r="J474" s="4" t="s">
        <v>2308</v>
      </c>
      <c r="K474" s="4" t="s">
        <v>2308</v>
      </c>
      <c r="L474" s="4" t="s">
        <v>2308</v>
      </c>
      <c r="M474" s="4" t="s">
        <v>2308</v>
      </c>
      <c r="N474" s="4" t="s">
        <v>2308</v>
      </c>
      <c r="O474" s="4" t="s">
        <v>2308</v>
      </c>
      <c r="P474" s="4" t="s">
        <v>2308</v>
      </c>
      <c r="Q474" s="4" t="s">
        <v>2308</v>
      </c>
      <c r="R474" s="4" t="s">
        <v>545</v>
      </c>
      <c r="S474" s="4" t="s">
        <v>545</v>
      </c>
      <c r="T474" s="4" t="s">
        <v>545</v>
      </c>
      <c r="U474" s="4" t="s">
        <v>545</v>
      </c>
      <c r="V474" s="4" t="s">
        <v>2308</v>
      </c>
      <c r="W474" s="5" t="s">
        <v>4266</v>
      </c>
    </row>
    <row r="475" spans="1:23" ht="52.5" customHeight="1">
      <c r="A475" s="12" t="s">
        <v>4260</v>
      </c>
      <c r="B475" s="12" t="s">
        <v>4267</v>
      </c>
      <c r="C475" s="4" t="s">
        <v>24</v>
      </c>
      <c r="D475" s="4" t="s">
        <v>1125</v>
      </c>
      <c r="E475" s="4" t="s">
        <v>1125</v>
      </c>
      <c r="F475" s="4" t="s">
        <v>1125</v>
      </c>
      <c r="G475" s="4">
        <v>1974</v>
      </c>
      <c r="H475" s="5" t="s">
        <v>549</v>
      </c>
      <c r="I475" s="4" t="s">
        <v>2308</v>
      </c>
      <c r="J475" s="4" t="s">
        <v>2308</v>
      </c>
      <c r="K475" s="4" t="s">
        <v>2308</v>
      </c>
      <c r="L475" s="4" t="s">
        <v>2308</v>
      </c>
      <c r="M475" s="4" t="s">
        <v>2308</v>
      </c>
      <c r="N475" s="4" t="s">
        <v>2308</v>
      </c>
      <c r="O475" s="4" t="s">
        <v>2308</v>
      </c>
      <c r="P475" s="4" t="s">
        <v>2308</v>
      </c>
      <c r="Q475" s="4" t="s">
        <v>2308</v>
      </c>
      <c r="R475" s="4" t="s">
        <v>542</v>
      </c>
      <c r="S475" s="4" t="s">
        <v>545</v>
      </c>
      <c r="T475" s="4" t="s">
        <v>545</v>
      </c>
      <c r="U475" s="4" t="s">
        <v>545</v>
      </c>
      <c r="V475" s="4" t="s">
        <v>2308</v>
      </c>
      <c r="W475" s="5" t="s">
        <v>4268</v>
      </c>
    </row>
    <row r="476" spans="1:23" ht="67.5" customHeight="1">
      <c r="A476" s="12" t="s">
        <v>4270</v>
      </c>
      <c r="B476" s="12" t="s">
        <v>4274</v>
      </c>
      <c r="C476" s="4" t="s">
        <v>24</v>
      </c>
      <c r="D476" s="4" t="s">
        <v>1125</v>
      </c>
      <c r="E476" s="4" t="s">
        <v>1125</v>
      </c>
      <c r="F476" s="4" t="s">
        <v>1125</v>
      </c>
      <c r="G476" s="4"/>
      <c r="H476" s="5" t="s">
        <v>549</v>
      </c>
      <c r="I476" s="4" t="s">
        <v>2308</v>
      </c>
      <c r="J476" s="4" t="s">
        <v>2308</v>
      </c>
      <c r="K476" s="4" t="s">
        <v>2308</v>
      </c>
      <c r="L476" s="4" t="s">
        <v>2308</v>
      </c>
      <c r="M476" s="4" t="s">
        <v>2703</v>
      </c>
      <c r="N476" s="4" t="s">
        <v>542</v>
      </c>
      <c r="O476" s="4" t="s">
        <v>542</v>
      </c>
      <c r="P476" s="4" t="s">
        <v>2308</v>
      </c>
      <c r="Q476" s="4" t="s">
        <v>2308</v>
      </c>
      <c r="R476" s="4" t="s">
        <v>2308</v>
      </c>
      <c r="S476" s="4" t="s">
        <v>2308</v>
      </c>
      <c r="T476" s="4" t="s">
        <v>2308</v>
      </c>
      <c r="U476" s="4" t="s">
        <v>2308</v>
      </c>
      <c r="V476" s="4" t="s">
        <v>2308</v>
      </c>
      <c r="W476" s="20" t="s">
        <v>4304</v>
      </c>
    </row>
    <row r="477" spans="1:23" ht="92.5" customHeight="1">
      <c r="A477" s="12" t="s">
        <v>4271</v>
      </c>
      <c r="B477" s="12" t="s">
        <v>4282</v>
      </c>
      <c r="C477" s="4" t="s">
        <v>24</v>
      </c>
      <c r="D477" s="4" t="s">
        <v>1125</v>
      </c>
      <c r="E477" s="4" t="s">
        <v>1125</v>
      </c>
      <c r="F477" s="4" t="s">
        <v>1125</v>
      </c>
      <c r="G477" s="4"/>
      <c r="H477" s="5" t="s">
        <v>549</v>
      </c>
      <c r="I477" s="4" t="s">
        <v>2308</v>
      </c>
      <c r="J477" s="4" t="s">
        <v>2308</v>
      </c>
      <c r="K477" s="4" t="s">
        <v>2308</v>
      </c>
      <c r="L477" s="4" t="s">
        <v>2308</v>
      </c>
      <c r="M477" s="4" t="s">
        <v>2704</v>
      </c>
      <c r="N477" s="4" t="s">
        <v>542</v>
      </c>
      <c r="O477" s="4" t="s">
        <v>542</v>
      </c>
      <c r="P477" s="4" t="s">
        <v>2308</v>
      </c>
      <c r="Q477" s="4">
        <v>1</v>
      </c>
      <c r="R477" s="4" t="s">
        <v>2308</v>
      </c>
      <c r="S477" s="4" t="s">
        <v>2308</v>
      </c>
      <c r="T477" s="4" t="s">
        <v>2308</v>
      </c>
      <c r="U477" s="4" t="s">
        <v>2308</v>
      </c>
      <c r="V477" s="4" t="s">
        <v>2308</v>
      </c>
      <c r="W477" s="20" t="s">
        <v>4303</v>
      </c>
    </row>
    <row r="478" spans="1:23" ht="82" customHeight="1">
      <c r="A478" s="12" t="s">
        <v>4364</v>
      </c>
      <c r="B478" s="12" t="s">
        <v>4383</v>
      </c>
      <c r="C478" s="4" t="s">
        <v>24</v>
      </c>
      <c r="D478" s="4" t="s">
        <v>45</v>
      </c>
      <c r="E478" s="4" t="s">
        <v>1125</v>
      </c>
      <c r="F478" s="4" t="s">
        <v>74</v>
      </c>
      <c r="G478" s="4">
        <v>2007</v>
      </c>
      <c r="H478" s="5" t="s">
        <v>549</v>
      </c>
      <c r="I478" s="4" t="s">
        <v>2723</v>
      </c>
      <c r="J478" s="4" t="s">
        <v>542</v>
      </c>
      <c r="K478" s="4" t="s">
        <v>542</v>
      </c>
      <c r="L478" s="4" t="s">
        <v>542</v>
      </c>
      <c r="M478" s="4" t="s">
        <v>2308</v>
      </c>
      <c r="N478" s="4" t="s">
        <v>2308</v>
      </c>
      <c r="O478" s="4" t="s">
        <v>2308</v>
      </c>
      <c r="P478" s="4" t="s">
        <v>2308</v>
      </c>
      <c r="Q478" s="4" t="s">
        <v>2308</v>
      </c>
      <c r="R478" s="4" t="s">
        <v>2308</v>
      </c>
      <c r="S478" s="4" t="s">
        <v>2308</v>
      </c>
      <c r="T478" s="4" t="s">
        <v>2308</v>
      </c>
      <c r="U478" s="4" t="s">
        <v>2308</v>
      </c>
      <c r="V478" s="4" t="s">
        <v>2308</v>
      </c>
      <c r="W478" s="5" t="s">
        <v>4408</v>
      </c>
    </row>
    <row r="479" spans="1:23" ht="82" customHeight="1">
      <c r="A479" s="12" t="s">
        <v>4368</v>
      </c>
      <c r="B479" s="12" t="s">
        <v>4384</v>
      </c>
      <c r="C479" s="4" t="s">
        <v>24</v>
      </c>
      <c r="D479" s="4" t="s">
        <v>45</v>
      </c>
      <c r="E479" s="4" t="s">
        <v>1125</v>
      </c>
      <c r="F479" s="4" t="s">
        <v>74</v>
      </c>
      <c r="G479" s="4">
        <v>2007</v>
      </c>
      <c r="H479" s="5" t="s">
        <v>549</v>
      </c>
      <c r="I479" s="4" t="s">
        <v>2723</v>
      </c>
      <c r="J479" s="4" t="s">
        <v>542</v>
      </c>
      <c r="K479" s="4" t="s">
        <v>542</v>
      </c>
      <c r="L479" s="4" t="s">
        <v>542</v>
      </c>
      <c r="M479" s="4" t="s">
        <v>2308</v>
      </c>
      <c r="N479" s="4" t="s">
        <v>2308</v>
      </c>
      <c r="O479" s="4" t="s">
        <v>2308</v>
      </c>
      <c r="P479" s="4" t="s">
        <v>2308</v>
      </c>
      <c r="Q479" s="4" t="s">
        <v>2308</v>
      </c>
      <c r="R479" s="4" t="s">
        <v>2308</v>
      </c>
      <c r="S479" s="4" t="s">
        <v>2308</v>
      </c>
      <c r="T479" s="4" t="s">
        <v>2308</v>
      </c>
      <c r="U479" s="4" t="s">
        <v>2308</v>
      </c>
      <c r="V479" s="4" t="s">
        <v>2308</v>
      </c>
      <c r="W479" s="5" t="s">
        <v>4408</v>
      </c>
    </row>
    <row r="480" spans="1:23" ht="82" customHeight="1">
      <c r="A480" s="12" t="s">
        <v>4369</v>
      </c>
      <c r="B480" s="12" t="s">
        <v>4385</v>
      </c>
      <c r="C480" s="4" t="s">
        <v>24</v>
      </c>
      <c r="D480" s="4" t="s">
        <v>45</v>
      </c>
      <c r="E480" s="4" t="s">
        <v>1125</v>
      </c>
      <c r="F480" s="4" t="s">
        <v>74</v>
      </c>
      <c r="G480" s="4">
        <v>2007</v>
      </c>
      <c r="H480" s="5" t="s">
        <v>549</v>
      </c>
      <c r="I480" s="4" t="s">
        <v>2723</v>
      </c>
      <c r="J480" s="4" t="s">
        <v>542</v>
      </c>
      <c r="K480" s="4" t="s">
        <v>542</v>
      </c>
      <c r="L480" s="4" t="s">
        <v>542</v>
      </c>
      <c r="M480" s="4" t="s">
        <v>2308</v>
      </c>
      <c r="N480" s="4" t="s">
        <v>2308</v>
      </c>
      <c r="O480" s="4" t="s">
        <v>2308</v>
      </c>
      <c r="P480" s="4" t="s">
        <v>2308</v>
      </c>
      <c r="Q480" s="4" t="s">
        <v>2308</v>
      </c>
      <c r="R480" s="4" t="s">
        <v>2308</v>
      </c>
      <c r="S480" s="4" t="s">
        <v>2308</v>
      </c>
      <c r="T480" s="4" t="s">
        <v>2308</v>
      </c>
      <c r="U480" s="4" t="s">
        <v>2308</v>
      </c>
      <c r="V480" s="4" t="s">
        <v>2308</v>
      </c>
      <c r="W480" s="5" t="s">
        <v>4408</v>
      </c>
    </row>
    <row r="481" spans="1:23" ht="82" customHeight="1">
      <c r="A481" s="12" t="s">
        <v>4370</v>
      </c>
      <c r="B481" s="12" t="s">
        <v>4386</v>
      </c>
      <c r="C481" s="4" t="s">
        <v>24</v>
      </c>
      <c r="D481" s="4" t="s">
        <v>45</v>
      </c>
      <c r="E481" s="4" t="s">
        <v>1125</v>
      </c>
      <c r="F481" s="4" t="s">
        <v>74</v>
      </c>
      <c r="G481" s="4">
        <v>2007</v>
      </c>
      <c r="H481" s="5" t="s">
        <v>549</v>
      </c>
      <c r="I481" s="4" t="s">
        <v>2723</v>
      </c>
      <c r="J481" s="4" t="s">
        <v>542</v>
      </c>
      <c r="K481" s="4" t="s">
        <v>542</v>
      </c>
      <c r="L481" s="4" t="s">
        <v>542</v>
      </c>
      <c r="M481" s="4" t="s">
        <v>2308</v>
      </c>
      <c r="N481" s="4" t="s">
        <v>2308</v>
      </c>
      <c r="O481" s="4" t="s">
        <v>2308</v>
      </c>
      <c r="P481" s="4" t="s">
        <v>2308</v>
      </c>
      <c r="Q481" s="4" t="s">
        <v>2308</v>
      </c>
      <c r="R481" s="4" t="s">
        <v>2308</v>
      </c>
      <c r="S481" s="4" t="s">
        <v>2308</v>
      </c>
      <c r="T481" s="4" t="s">
        <v>2308</v>
      </c>
      <c r="U481" s="4" t="s">
        <v>2308</v>
      </c>
      <c r="V481" s="4" t="s">
        <v>2308</v>
      </c>
      <c r="W481" s="5" t="s">
        <v>4408</v>
      </c>
    </row>
    <row r="482" spans="1:23" ht="82" customHeight="1">
      <c r="A482" s="12" t="s">
        <v>4371</v>
      </c>
      <c r="B482" s="12" t="s">
        <v>4387</v>
      </c>
      <c r="C482" s="4" t="s">
        <v>24</v>
      </c>
      <c r="D482" s="4" t="s">
        <v>45</v>
      </c>
      <c r="E482" s="4" t="s">
        <v>1125</v>
      </c>
      <c r="F482" s="4" t="s">
        <v>74</v>
      </c>
      <c r="G482" s="4">
        <v>2007</v>
      </c>
      <c r="H482" s="5" t="s">
        <v>549</v>
      </c>
      <c r="I482" s="4" t="s">
        <v>2723</v>
      </c>
      <c r="J482" s="4" t="s">
        <v>542</v>
      </c>
      <c r="K482" s="4" t="s">
        <v>542</v>
      </c>
      <c r="L482" s="4" t="s">
        <v>542</v>
      </c>
      <c r="M482" s="4" t="s">
        <v>2308</v>
      </c>
      <c r="N482" s="4" t="s">
        <v>2308</v>
      </c>
      <c r="O482" s="4" t="s">
        <v>2308</v>
      </c>
      <c r="P482" s="4" t="s">
        <v>2308</v>
      </c>
      <c r="Q482" s="4" t="s">
        <v>2308</v>
      </c>
      <c r="R482" s="4" t="s">
        <v>2308</v>
      </c>
      <c r="S482" s="4" t="s">
        <v>2308</v>
      </c>
      <c r="T482" s="4" t="s">
        <v>2308</v>
      </c>
      <c r="U482" s="4" t="s">
        <v>2308</v>
      </c>
      <c r="V482" s="4" t="s">
        <v>2308</v>
      </c>
      <c r="W482" s="5" t="s">
        <v>4408</v>
      </c>
    </row>
    <row r="483" spans="1:23" ht="82" customHeight="1">
      <c r="A483" s="12" t="s">
        <v>4372</v>
      </c>
      <c r="B483" s="12" t="s">
        <v>4388</v>
      </c>
      <c r="C483" s="4" t="s">
        <v>24</v>
      </c>
      <c r="D483" s="4" t="s">
        <v>45</v>
      </c>
      <c r="E483" s="4" t="s">
        <v>1125</v>
      </c>
      <c r="F483" s="4" t="s">
        <v>74</v>
      </c>
      <c r="G483" s="4">
        <v>2007</v>
      </c>
      <c r="H483" s="5" t="s">
        <v>549</v>
      </c>
      <c r="I483" s="4" t="s">
        <v>2723</v>
      </c>
      <c r="J483" s="4" t="s">
        <v>542</v>
      </c>
      <c r="K483" s="4" t="s">
        <v>542</v>
      </c>
      <c r="L483" s="4" t="s">
        <v>542</v>
      </c>
      <c r="M483" s="4" t="s">
        <v>2308</v>
      </c>
      <c r="N483" s="4" t="s">
        <v>2308</v>
      </c>
      <c r="O483" s="4" t="s">
        <v>2308</v>
      </c>
      <c r="P483" s="4" t="s">
        <v>2308</v>
      </c>
      <c r="Q483" s="4" t="s">
        <v>2308</v>
      </c>
      <c r="R483" s="4" t="s">
        <v>2308</v>
      </c>
      <c r="S483" s="4" t="s">
        <v>2308</v>
      </c>
      <c r="T483" s="4" t="s">
        <v>2308</v>
      </c>
      <c r="U483" s="4" t="s">
        <v>2308</v>
      </c>
      <c r="V483" s="4" t="s">
        <v>2308</v>
      </c>
      <c r="W483" s="5" t="s">
        <v>4408</v>
      </c>
    </row>
    <row r="484" spans="1:23" ht="82" customHeight="1">
      <c r="A484" s="12" t="s">
        <v>4373</v>
      </c>
      <c r="B484" s="12" t="s">
        <v>4389</v>
      </c>
      <c r="C484" s="4" t="s">
        <v>24</v>
      </c>
      <c r="D484" s="4" t="s">
        <v>45</v>
      </c>
      <c r="E484" s="4" t="s">
        <v>1125</v>
      </c>
      <c r="F484" s="4" t="s">
        <v>74</v>
      </c>
      <c r="G484" s="4">
        <v>2007</v>
      </c>
      <c r="H484" s="5" t="s">
        <v>549</v>
      </c>
      <c r="I484" s="4" t="s">
        <v>2723</v>
      </c>
      <c r="J484" s="4" t="s">
        <v>542</v>
      </c>
      <c r="K484" s="4" t="s">
        <v>542</v>
      </c>
      <c r="L484" s="4" t="s">
        <v>542</v>
      </c>
      <c r="M484" s="4" t="s">
        <v>2308</v>
      </c>
      <c r="N484" s="4" t="s">
        <v>2308</v>
      </c>
      <c r="O484" s="4" t="s">
        <v>2308</v>
      </c>
      <c r="P484" s="4" t="s">
        <v>2308</v>
      </c>
      <c r="Q484" s="4" t="s">
        <v>2308</v>
      </c>
      <c r="R484" s="4" t="s">
        <v>2308</v>
      </c>
      <c r="S484" s="4" t="s">
        <v>2308</v>
      </c>
      <c r="T484" s="4" t="s">
        <v>2308</v>
      </c>
      <c r="U484" s="4" t="s">
        <v>2308</v>
      </c>
      <c r="V484" s="4" t="s">
        <v>2308</v>
      </c>
      <c r="W484" s="5" t="s">
        <v>4408</v>
      </c>
    </row>
    <row r="485" spans="1:23" ht="82" customHeight="1">
      <c r="A485" s="12" t="s">
        <v>4374</v>
      </c>
      <c r="B485" s="12" t="s">
        <v>4390</v>
      </c>
      <c r="C485" s="4" t="s">
        <v>24</v>
      </c>
      <c r="D485" s="4" t="s">
        <v>45</v>
      </c>
      <c r="E485" s="4" t="s">
        <v>1125</v>
      </c>
      <c r="F485" s="4" t="s">
        <v>74</v>
      </c>
      <c r="G485" s="4">
        <v>2007</v>
      </c>
      <c r="H485" s="5" t="s">
        <v>549</v>
      </c>
      <c r="I485" s="4" t="s">
        <v>2723</v>
      </c>
      <c r="J485" s="4" t="s">
        <v>542</v>
      </c>
      <c r="K485" s="4" t="s">
        <v>542</v>
      </c>
      <c r="L485" s="4" t="s">
        <v>542</v>
      </c>
      <c r="M485" s="4" t="s">
        <v>2308</v>
      </c>
      <c r="N485" s="4" t="s">
        <v>2308</v>
      </c>
      <c r="O485" s="4" t="s">
        <v>2308</v>
      </c>
      <c r="P485" s="4" t="s">
        <v>2308</v>
      </c>
      <c r="Q485" s="4" t="s">
        <v>2308</v>
      </c>
      <c r="R485" s="4" t="s">
        <v>2308</v>
      </c>
      <c r="S485" s="4" t="s">
        <v>2308</v>
      </c>
      <c r="T485" s="4" t="s">
        <v>2308</v>
      </c>
      <c r="U485" s="4" t="s">
        <v>2308</v>
      </c>
      <c r="V485" s="4" t="s">
        <v>2308</v>
      </c>
      <c r="W485" s="5" t="s">
        <v>4408</v>
      </c>
    </row>
    <row r="486" spans="1:23" ht="82" customHeight="1">
      <c r="A486" s="12" t="s">
        <v>4375</v>
      </c>
      <c r="B486" s="12" t="s">
        <v>4391</v>
      </c>
      <c r="C486" s="4" t="s">
        <v>24</v>
      </c>
      <c r="D486" s="4" t="s">
        <v>45</v>
      </c>
      <c r="E486" s="4" t="s">
        <v>1125</v>
      </c>
      <c r="F486" s="4" t="s">
        <v>74</v>
      </c>
      <c r="G486" s="4">
        <v>2007</v>
      </c>
      <c r="H486" s="5" t="s">
        <v>549</v>
      </c>
      <c r="I486" s="4" t="s">
        <v>2723</v>
      </c>
      <c r="J486" s="4" t="s">
        <v>542</v>
      </c>
      <c r="K486" s="4" t="s">
        <v>542</v>
      </c>
      <c r="L486" s="4" t="s">
        <v>542</v>
      </c>
      <c r="M486" s="4" t="s">
        <v>2308</v>
      </c>
      <c r="N486" s="4" t="s">
        <v>2308</v>
      </c>
      <c r="O486" s="4" t="s">
        <v>2308</v>
      </c>
      <c r="P486" s="4" t="s">
        <v>2308</v>
      </c>
      <c r="Q486" s="4" t="s">
        <v>2308</v>
      </c>
      <c r="R486" s="4" t="s">
        <v>2308</v>
      </c>
      <c r="S486" s="4" t="s">
        <v>2308</v>
      </c>
      <c r="T486" s="4" t="s">
        <v>2308</v>
      </c>
      <c r="U486" s="4" t="s">
        <v>2308</v>
      </c>
      <c r="V486" s="4" t="s">
        <v>2308</v>
      </c>
      <c r="W486" s="5" t="s">
        <v>4408</v>
      </c>
    </row>
    <row r="487" spans="1:23" ht="82" customHeight="1">
      <c r="A487" s="12" t="s">
        <v>4376</v>
      </c>
      <c r="B487" s="12" t="s">
        <v>4392</v>
      </c>
      <c r="C487" s="4" t="s">
        <v>24</v>
      </c>
      <c r="D487" s="4" t="s">
        <v>45</v>
      </c>
      <c r="E487" s="4" t="s">
        <v>1125</v>
      </c>
      <c r="F487" s="4" t="s">
        <v>74</v>
      </c>
      <c r="G487" s="4">
        <v>2007</v>
      </c>
      <c r="H487" s="5" t="s">
        <v>549</v>
      </c>
      <c r="I487" s="4" t="s">
        <v>2723</v>
      </c>
      <c r="J487" s="4" t="s">
        <v>542</v>
      </c>
      <c r="K487" s="4" t="s">
        <v>542</v>
      </c>
      <c r="L487" s="4" t="s">
        <v>542</v>
      </c>
      <c r="M487" s="4" t="s">
        <v>2308</v>
      </c>
      <c r="N487" s="4" t="s">
        <v>2308</v>
      </c>
      <c r="O487" s="4" t="s">
        <v>2308</v>
      </c>
      <c r="P487" s="4" t="s">
        <v>2308</v>
      </c>
      <c r="Q487" s="4" t="s">
        <v>2308</v>
      </c>
      <c r="R487" s="4" t="s">
        <v>2308</v>
      </c>
      <c r="S487" s="4" t="s">
        <v>2308</v>
      </c>
      <c r="T487" s="4" t="s">
        <v>2308</v>
      </c>
      <c r="U487" s="4" t="s">
        <v>2308</v>
      </c>
      <c r="V487" s="4" t="s">
        <v>2308</v>
      </c>
      <c r="W487" s="5" t="s">
        <v>4408</v>
      </c>
    </row>
    <row r="488" spans="1:23" ht="82" customHeight="1">
      <c r="A488" s="12" t="s">
        <v>4377</v>
      </c>
      <c r="B488" s="12" t="s">
        <v>4393</v>
      </c>
      <c r="C488" s="4" t="s">
        <v>24</v>
      </c>
      <c r="D488" s="4" t="s">
        <v>45</v>
      </c>
      <c r="E488" s="4" t="s">
        <v>1125</v>
      </c>
      <c r="F488" s="4" t="s">
        <v>74</v>
      </c>
      <c r="G488" s="4">
        <v>2007</v>
      </c>
      <c r="H488" s="5" t="s">
        <v>549</v>
      </c>
      <c r="I488" s="4" t="s">
        <v>2723</v>
      </c>
      <c r="J488" s="4" t="s">
        <v>542</v>
      </c>
      <c r="K488" s="4" t="s">
        <v>542</v>
      </c>
      <c r="L488" s="4" t="s">
        <v>542</v>
      </c>
      <c r="M488" s="4" t="s">
        <v>2308</v>
      </c>
      <c r="N488" s="4" t="s">
        <v>2308</v>
      </c>
      <c r="O488" s="4" t="s">
        <v>2308</v>
      </c>
      <c r="P488" s="4" t="s">
        <v>2308</v>
      </c>
      <c r="Q488" s="4" t="s">
        <v>2308</v>
      </c>
      <c r="R488" s="4" t="s">
        <v>2308</v>
      </c>
      <c r="S488" s="4" t="s">
        <v>2308</v>
      </c>
      <c r="T488" s="4" t="s">
        <v>2308</v>
      </c>
      <c r="U488" s="4" t="s">
        <v>2308</v>
      </c>
      <c r="V488" s="4" t="s">
        <v>2308</v>
      </c>
      <c r="W488" s="5" t="s">
        <v>4408</v>
      </c>
    </row>
    <row r="489" spans="1:23" ht="82" customHeight="1">
      <c r="A489" s="12" t="s">
        <v>4364</v>
      </c>
      <c r="B489" s="12" t="s">
        <v>4396</v>
      </c>
      <c r="C489" s="4" t="s">
        <v>24</v>
      </c>
      <c r="D489" s="4" t="s">
        <v>45</v>
      </c>
      <c r="E489" s="4" t="s">
        <v>1125</v>
      </c>
      <c r="F489" s="5" t="s">
        <v>2695</v>
      </c>
      <c r="G489" s="4">
        <v>2007</v>
      </c>
      <c r="H489" s="5" t="s">
        <v>549</v>
      </c>
      <c r="I489" s="4" t="s">
        <v>2723</v>
      </c>
      <c r="J489" s="4" t="s">
        <v>542</v>
      </c>
      <c r="K489" s="4" t="s">
        <v>542</v>
      </c>
      <c r="L489" s="4" t="s">
        <v>542</v>
      </c>
      <c r="M489" s="4" t="s">
        <v>2308</v>
      </c>
      <c r="N489" s="4" t="s">
        <v>2308</v>
      </c>
      <c r="O489" s="4" t="s">
        <v>2308</v>
      </c>
      <c r="P489" s="4" t="s">
        <v>2308</v>
      </c>
      <c r="Q489" s="4" t="s">
        <v>2308</v>
      </c>
      <c r="R489" s="4" t="s">
        <v>2308</v>
      </c>
      <c r="S489" s="4" t="s">
        <v>2308</v>
      </c>
      <c r="T489" s="4" t="s">
        <v>2308</v>
      </c>
      <c r="U489" s="4" t="s">
        <v>2308</v>
      </c>
      <c r="V489" s="4" t="s">
        <v>2308</v>
      </c>
      <c r="W489" s="5" t="s">
        <v>4408</v>
      </c>
    </row>
    <row r="490" spans="1:23" ht="82" customHeight="1">
      <c r="A490" s="12" t="s">
        <v>4368</v>
      </c>
      <c r="B490" s="12" t="s">
        <v>4397</v>
      </c>
      <c r="C490" s="4" t="s">
        <v>24</v>
      </c>
      <c r="D490" s="4" t="s">
        <v>45</v>
      </c>
      <c r="E490" s="4" t="s">
        <v>1125</v>
      </c>
      <c r="F490" s="5" t="s">
        <v>2695</v>
      </c>
      <c r="G490" s="4">
        <v>2007</v>
      </c>
      <c r="H490" s="5" t="s">
        <v>549</v>
      </c>
      <c r="I490" s="4" t="s">
        <v>2723</v>
      </c>
      <c r="J490" s="4" t="s">
        <v>542</v>
      </c>
      <c r="K490" s="4" t="s">
        <v>542</v>
      </c>
      <c r="L490" s="4" t="s">
        <v>542</v>
      </c>
      <c r="M490" s="4" t="s">
        <v>2308</v>
      </c>
      <c r="N490" s="4" t="s">
        <v>2308</v>
      </c>
      <c r="O490" s="4" t="s">
        <v>2308</v>
      </c>
      <c r="P490" s="4" t="s">
        <v>2308</v>
      </c>
      <c r="Q490" s="4" t="s">
        <v>2308</v>
      </c>
      <c r="R490" s="4" t="s">
        <v>2308</v>
      </c>
      <c r="S490" s="4" t="s">
        <v>2308</v>
      </c>
      <c r="T490" s="4" t="s">
        <v>2308</v>
      </c>
      <c r="U490" s="4" t="s">
        <v>2308</v>
      </c>
      <c r="V490" s="4" t="s">
        <v>2308</v>
      </c>
      <c r="W490" s="5" t="s">
        <v>4408</v>
      </c>
    </row>
    <row r="491" spans="1:23" ht="82" customHeight="1">
      <c r="A491" s="12" t="s">
        <v>4369</v>
      </c>
      <c r="B491" s="12" t="s">
        <v>4398</v>
      </c>
      <c r="C491" s="4" t="s">
        <v>24</v>
      </c>
      <c r="D491" s="4" t="s">
        <v>45</v>
      </c>
      <c r="E491" s="4" t="s">
        <v>1125</v>
      </c>
      <c r="F491" s="5" t="s">
        <v>2695</v>
      </c>
      <c r="G491" s="4">
        <v>2007</v>
      </c>
      <c r="H491" s="5" t="s">
        <v>549</v>
      </c>
      <c r="I491" s="4" t="s">
        <v>2723</v>
      </c>
      <c r="J491" s="4" t="s">
        <v>542</v>
      </c>
      <c r="K491" s="4" t="s">
        <v>542</v>
      </c>
      <c r="L491" s="4" t="s">
        <v>542</v>
      </c>
      <c r="M491" s="4" t="s">
        <v>2308</v>
      </c>
      <c r="N491" s="4" t="s">
        <v>2308</v>
      </c>
      <c r="O491" s="4" t="s">
        <v>2308</v>
      </c>
      <c r="P491" s="4" t="s">
        <v>2308</v>
      </c>
      <c r="Q491" s="4" t="s">
        <v>2308</v>
      </c>
      <c r="R491" s="4" t="s">
        <v>2308</v>
      </c>
      <c r="S491" s="4" t="s">
        <v>2308</v>
      </c>
      <c r="T491" s="4" t="s">
        <v>2308</v>
      </c>
      <c r="U491" s="4" t="s">
        <v>2308</v>
      </c>
      <c r="V491" s="4" t="s">
        <v>2308</v>
      </c>
      <c r="W491" s="5" t="s">
        <v>4408</v>
      </c>
    </row>
    <row r="492" spans="1:23" ht="82" customHeight="1">
      <c r="A492" s="12" t="s">
        <v>4370</v>
      </c>
      <c r="B492" s="12" t="s">
        <v>4399</v>
      </c>
      <c r="C492" s="4" t="s">
        <v>24</v>
      </c>
      <c r="D492" s="4" t="s">
        <v>45</v>
      </c>
      <c r="E492" s="4" t="s">
        <v>1125</v>
      </c>
      <c r="F492" s="5" t="s">
        <v>2695</v>
      </c>
      <c r="G492" s="4">
        <v>2007</v>
      </c>
      <c r="H492" s="5" t="s">
        <v>549</v>
      </c>
      <c r="I492" s="4" t="s">
        <v>2723</v>
      </c>
      <c r="J492" s="4" t="s">
        <v>542</v>
      </c>
      <c r="K492" s="4" t="s">
        <v>542</v>
      </c>
      <c r="L492" s="4" t="s">
        <v>542</v>
      </c>
      <c r="M492" s="4" t="s">
        <v>2308</v>
      </c>
      <c r="N492" s="4" t="s">
        <v>2308</v>
      </c>
      <c r="O492" s="4" t="s">
        <v>2308</v>
      </c>
      <c r="P492" s="4" t="s">
        <v>2308</v>
      </c>
      <c r="Q492" s="4" t="s">
        <v>2308</v>
      </c>
      <c r="R492" s="4" t="s">
        <v>2308</v>
      </c>
      <c r="S492" s="4" t="s">
        <v>2308</v>
      </c>
      <c r="T492" s="4" t="s">
        <v>2308</v>
      </c>
      <c r="U492" s="4" t="s">
        <v>2308</v>
      </c>
      <c r="V492" s="4" t="s">
        <v>2308</v>
      </c>
      <c r="W492" s="5" t="s">
        <v>4408</v>
      </c>
    </row>
    <row r="493" spans="1:23" ht="82" customHeight="1">
      <c r="A493" s="12" t="s">
        <v>4371</v>
      </c>
      <c r="B493" s="12" t="s">
        <v>4400</v>
      </c>
      <c r="C493" s="4" t="s">
        <v>24</v>
      </c>
      <c r="D493" s="4" t="s">
        <v>45</v>
      </c>
      <c r="E493" s="4" t="s">
        <v>1125</v>
      </c>
      <c r="F493" s="5" t="s">
        <v>2695</v>
      </c>
      <c r="G493" s="4">
        <v>2007</v>
      </c>
      <c r="H493" s="5" t="s">
        <v>549</v>
      </c>
      <c r="I493" s="4" t="s">
        <v>2723</v>
      </c>
      <c r="J493" s="4" t="s">
        <v>542</v>
      </c>
      <c r="K493" s="4" t="s">
        <v>542</v>
      </c>
      <c r="L493" s="4" t="s">
        <v>542</v>
      </c>
      <c r="M493" s="4" t="s">
        <v>2308</v>
      </c>
      <c r="N493" s="4" t="s">
        <v>2308</v>
      </c>
      <c r="O493" s="4" t="s">
        <v>2308</v>
      </c>
      <c r="P493" s="4" t="s">
        <v>2308</v>
      </c>
      <c r="Q493" s="4" t="s">
        <v>2308</v>
      </c>
      <c r="R493" s="4" t="s">
        <v>2308</v>
      </c>
      <c r="S493" s="4" t="s">
        <v>2308</v>
      </c>
      <c r="T493" s="4" t="s">
        <v>2308</v>
      </c>
      <c r="U493" s="4" t="s">
        <v>2308</v>
      </c>
      <c r="V493" s="4" t="s">
        <v>2308</v>
      </c>
      <c r="W493" s="5" t="s">
        <v>4408</v>
      </c>
    </row>
    <row r="494" spans="1:23" ht="82" customHeight="1">
      <c r="A494" s="12" t="s">
        <v>4372</v>
      </c>
      <c r="B494" s="12" t="s">
        <v>4401</v>
      </c>
      <c r="C494" s="4" t="s">
        <v>24</v>
      </c>
      <c r="D494" s="4" t="s">
        <v>45</v>
      </c>
      <c r="E494" s="4" t="s">
        <v>1125</v>
      </c>
      <c r="F494" s="5" t="s">
        <v>2695</v>
      </c>
      <c r="G494" s="4">
        <v>2007</v>
      </c>
      <c r="H494" s="5" t="s">
        <v>549</v>
      </c>
      <c r="I494" s="4" t="s">
        <v>2723</v>
      </c>
      <c r="J494" s="4" t="s">
        <v>542</v>
      </c>
      <c r="K494" s="4" t="s">
        <v>542</v>
      </c>
      <c r="L494" s="4" t="s">
        <v>542</v>
      </c>
      <c r="M494" s="4" t="s">
        <v>2308</v>
      </c>
      <c r="N494" s="4" t="s">
        <v>2308</v>
      </c>
      <c r="O494" s="4" t="s">
        <v>2308</v>
      </c>
      <c r="P494" s="4" t="s">
        <v>2308</v>
      </c>
      <c r="Q494" s="4" t="s">
        <v>2308</v>
      </c>
      <c r="R494" s="4" t="s">
        <v>2308</v>
      </c>
      <c r="S494" s="4" t="s">
        <v>2308</v>
      </c>
      <c r="T494" s="4" t="s">
        <v>2308</v>
      </c>
      <c r="U494" s="4" t="s">
        <v>2308</v>
      </c>
      <c r="V494" s="4" t="s">
        <v>2308</v>
      </c>
      <c r="W494" s="5" t="s">
        <v>4408</v>
      </c>
    </row>
    <row r="495" spans="1:23" ht="82" customHeight="1">
      <c r="A495" s="12" t="s">
        <v>4373</v>
      </c>
      <c r="B495" s="12" t="s">
        <v>4402</v>
      </c>
      <c r="C495" s="4" t="s">
        <v>24</v>
      </c>
      <c r="D495" s="4" t="s">
        <v>45</v>
      </c>
      <c r="E495" s="4" t="s">
        <v>1125</v>
      </c>
      <c r="F495" s="5" t="s">
        <v>2695</v>
      </c>
      <c r="G495" s="4">
        <v>2007</v>
      </c>
      <c r="H495" s="5" t="s">
        <v>549</v>
      </c>
      <c r="I495" s="4" t="s">
        <v>2723</v>
      </c>
      <c r="J495" s="4" t="s">
        <v>542</v>
      </c>
      <c r="K495" s="4" t="s">
        <v>542</v>
      </c>
      <c r="L495" s="4" t="s">
        <v>542</v>
      </c>
      <c r="M495" s="4" t="s">
        <v>2308</v>
      </c>
      <c r="N495" s="4" t="s">
        <v>2308</v>
      </c>
      <c r="O495" s="4" t="s">
        <v>2308</v>
      </c>
      <c r="P495" s="4" t="s">
        <v>2308</v>
      </c>
      <c r="Q495" s="4" t="s">
        <v>2308</v>
      </c>
      <c r="R495" s="4" t="s">
        <v>2308</v>
      </c>
      <c r="S495" s="4" t="s">
        <v>2308</v>
      </c>
      <c r="T495" s="4" t="s">
        <v>2308</v>
      </c>
      <c r="U495" s="4" t="s">
        <v>2308</v>
      </c>
      <c r="V495" s="4" t="s">
        <v>2308</v>
      </c>
      <c r="W495" s="5" t="s">
        <v>4408</v>
      </c>
    </row>
    <row r="496" spans="1:23" ht="82" customHeight="1">
      <c r="A496" s="12" t="s">
        <v>4374</v>
      </c>
      <c r="B496" s="12" t="s">
        <v>4403</v>
      </c>
      <c r="C496" s="4" t="s">
        <v>24</v>
      </c>
      <c r="D496" s="4" t="s">
        <v>45</v>
      </c>
      <c r="E496" s="4" t="s">
        <v>1125</v>
      </c>
      <c r="F496" s="5" t="s">
        <v>2695</v>
      </c>
      <c r="G496" s="4">
        <v>2007</v>
      </c>
      <c r="H496" s="5" t="s">
        <v>549</v>
      </c>
      <c r="I496" s="4" t="s">
        <v>2723</v>
      </c>
      <c r="J496" s="4" t="s">
        <v>542</v>
      </c>
      <c r="K496" s="4" t="s">
        <v>542</v>
      </c>
      <c r="L496" s="4" t="s">
        <v>542</v>
      </c>
      <c r="M496" s="4" t="s">
        <v>2308</v>
      </c>
      <c r="N496" s="4" t="s">
        <v>2308</v>
      </c>
      <c r="O496" s="4" t="s">
        <v>2308</v>
      </c>
      <c r="P496" s="4" t="s">
        <v>2308</v>
      </c>
      <c r="Q496" s="4" t="s">
        <v>2308</v>
      </c>
      <c r="R496" s="4" t="s">
        <v>2308</v>
      </c>
      <c r="S496" s="4" t="s">
        <v>2308</v>
      </c>
      <c r="T496" s="4" t="s">
        <v>2308</v>
      </c>
      <c r="U496" s="4" t="s">
        <v>2308</v>
      </c>
      <c r="V496" s="4" t="s">
        <v>2308</v>
      </c>
      <c r="W496" s="5" t="s">
        <v>4408</v>
      </c>
    </row>
    <row r="497" spans="1:23" ht="82" customHeight="1">
      <c r="A497" s="12" t="s">
        <v>4375</v>
      </c>
      <c r="B497" s="12" t="s">
        <v>4404</v>
      </c>
      <c r="C497" s="4" t="s">
        <v>24</v>
      </c>
      <c r="D497" s="4" t="s">
        <v>45</v>
      </c>
      <c r="E497" s="4" t="s">
        <v>1125</v>
      </c>
      <c r="F497" s="5" t="s">
        <v>2695</v>
      </c>
      <c r="G497" s="4">
        <v>2007</v>
      </c>
      <c r="H497" s="5" t="s">
        <v>549</v>
      </c>
      <c r="I497" s="4" t="s">
        <v>2723</v>
      </c>
      <c r="J497" s="4" t="s">
        <v>542</v>
      </c>
      <c r="K497" s="4" t="s">
        <v>542</v>
      </c>
      <c r="L497" s="4" t="s">
        <v>542</v>
      </c>
      <c r="M497" s="4" t="s">
        <v>2308</v>
      </c>
      <c r="N497" s="4" t="s">
        <v>2308</v>
      </c>
      <c r="O497" s="4" t="s">
        <v>2308</v>
      </c>
      <c r="P497" s="4" t="s">
        <v>2308</v>
      </c>
      <c r="Q497" s="4" t="s">
        <v>2308</v>
      </c>
      <c r="R497" s="4" t="s">
        <v>2308</v>
      </c>
      <c r="S497" s="4" t="s">
        <v>2308</v>
      </c>
      <c r="T497" s="4" t="s">
        <v>2308</v>
      </c>
      <c r="U497" s="4" t="s">
        <v>2308</v>
      </c>
      <c r="V497" s="4" t="s">
        <v>2308</v>
      </c>
      <c r="W497" s="5" t="s">
        <v>4408</v>
      </c>
    </row>
    <row r="498" spans="1:23" ht="82" customHeight="1">
      <c r="A498" s="12" t="s">
        <v>4376</v>
      </c>
      <c r="B498" s="12" t="s">
        <v>4405</v>
      </c>
      <c r="C498" s="4" t="s">
        <v>24</v>
      </c>
      <c r="D498" s="4" t="s">
        <v>45</v>
      </c>
      <c r="E498" s="4" t="s">
        <v>1125</v>
      </c>
      <c r="F498" s="5" t="s">
        <v>2695</v>
      </c>
      <c r="G498" s="4">
        <v>2007</v>
      </c>
      <c r="H498" s="5" t="s">
        <v>549</v>
      </c>
      <c r="I498" s="4" t="s">
        <v>2723</v>
      </c>
      <c r="J498" s="4" t="s">
        <v>542</v>
      </c>
      <c r="K498" s="4" t="s">
        <v>542</v>
      </c>
      <c r="L498" s="4" t="s">
        <v>542</v>
      </c>
      <c r="M498" s="4" t="s">
        <v>2308</v>
      </c>
      <c r="N498" s="4" t="s">
        <v>2308</v>
      </c>
      <c r="O498" s="4" t="s">
        <v>2308</v>
      </c>
      <c r="P498" s="4" t="s">
        <v>2308</v>
      </c>
      <c r="Q498" s="4" t="s">
        <v>2308</v>
      </c>
      <c r="R498" s="4" t="s">
        <v>2308</v>
      </c>
      <c r="S498" s="4" t="s">
        <v>2308</v>
      </c>
      <c r="T498" s="4" t="s">
        <v>2308</v>
      </c>
      <c r="U498" s="4" t="s">
        <v>2308</v>
      </c>
      <c r="V498" s="4" t="s">
        <v>2308</v>
      </c>
      <c r="W498" s="5" t="s">
        <v>4408</v>
      </c>
    </row>
    <row r="499" spans="1:23" ht="82" customHeight="1">
      <c r="A499" s="12" t="s">
        <v>4377</v>
      </c>
      <c r="B499" s="12" t="s">
        <v>4406</v>
      </c>
      <c r="C499" s="4" t="s">
        <v>24</v>
      </c>
      <c r="D499" s="4" t="s">
        <v>45</v>
      </c>
      <c r="E499" s="4" t="s">
        <v>1125</v>
      </c>
      <c r="F499" s="5" t="s">
        <v>2695</v>
      </c>
      <c r="G499" s="4">
        <v>2007</v>
      </c>
      <c r="H499" s="5" t="s">
        <v>549</v>
      </c>
      <c r="I499" s="4" t="s">
        <v>2723</v>
      </c>
      <c r="J499" s="4" t="s">
        <v>542</v>
      </c>
      <c r="K499" s="4" t="s">
        <v>542</v>
      </c>
      <c r="L499" s="4" t="s">
        <v>542</v>
      </c>
      <c r="M499" s="4" t="s">
        <v>2308</v>
      </c>
      <c r="N499" s="4" t="s">
        <v>2308</v>
      </c>
      <c r="O499" s="4" t="s">
        <v>2308</v>
      </c>
      <c r="P499" s="4" t="s">
        <v>2308</v>
      </c>
      <c r="Q499" s="4" t="s">
        <v>2308</v>
      </c>
      <c r="R499" s="4" t="s">
        <v>2308</v>
      </c>
      <c r="S499" s="4" t="s">
        <v>2308</v>
      </c>
      <c r="T499" s="4" t="s">
        <v>2308</v>
      </c>
      <c r="U499" s="4" t="s">
        <v>2308</v>
      </c>
      <c r="V499" s="4" t="s">
        <v>2308</v>
      </c>
      <c r="W499" s="5" t="s">
        <v>4408</v>
      </c>
    </row>
    <row r="500" spans="1:23" ht="53.5" customHeight="1">
      <c r="A500" s="4" t="s">
        <v>4411</v>
      </c>
      <c r="B500" s="12" t="s">
        <v>4414</v>
      </c>
      <c r="C500" s="4" t="s">
        <v>24</v>
      </c>
      <c r="D500" s="4" t="s">
        <v>1125</v>
      </c>
      <c r="E500" s="4" t="s">
        <v>1125</v>
      </c>
      <c r="F500" s="4" t="s">
        <v>2308</v>
      </c>
      <c r="G500" s="4"/>
      <c r="H500" s="5" t="s">
        <v>549</v>
      </c>
      <c r="I500" s="4" t="s">
        <v>2308</v>
      </c>
      <c r="J500" s="4" t="s">
        <v>2308</v>
      </c>
      <c r="K500" s="4" t="s">
        <v>2308</v>
      </c>
      <c r="L500" s="4" t="s">
        <v>2308</v>
      </c>
      <c r="M500" s="4" t="s">
        <v>545</v>
      </c>
      <c r="N500" s="4" t="s">
        <v>545</v>
      </c>
      <c r="O500" s="4" t="s">
        <v>545</v>
      </c>
      <c r="P500" s="4" t="s">
        <v>545</v>
      </c>
      <c r="Q500" s="4" t="s">
        <v>2308</v>
      </c>
      <c r="R500" s="4" t="s">
        <v>545</v>
      </c>
      <c r="S500" s="4" t="s">
        <v>545</v>
      </c>
      <c r="T500" s="4" t="s">
        <v>545</v>
      </c>
      <c r="U500" s="4" t="s">
        <v>545</v>
      </c>
      <c r="V500" s="4" t="s">
        <v>2308</v>
      </c>
      <c r="W500" s="20" t="s">
        <v>4430</v>
      </c>
    </row>
    <row r="501" spans="1:23" ht="115.5" customHeight="1">
      <c r="A501" s="4" t="s">
        <v>4413</v>
      </c>
      <c r="B501" s="12" t="s">
        <v>4417</v>
      </c>
      <c r="C501" s="4" t="s">
        <v>24</v>
      </c>
      <c r="D501" s="4" t="s">
        <v>45</v>
      </c>
      <c r="E501" s="4" t="s">
        <v>1125</v>
      </c>
      <c r="F501" s="4" t="s">
        <v>2308</v>
      </c>
      <c r="G501" s="4"/>
      <c r="H501" s="5" t="s">
        <v>549</v>
      </c>
      <c r="I501" s="4" t="s">
        <v>2308</v>
      </c>
      <c r="J501" s="4" t="s">
        <v>2308</v>
      </c>
      <c r="K501" s="4" t="s">
        <v>2308</v>
      </c>
      <c r="L501" s="4" t="s">
        <v>2308</v>
      </c>
      <c r="M501" s="4" t="s">
        <v>2761</v>
      </c>
      <c r="N501" s="4" t="s">
        <v>2308</v>
      </c>
      <c r="O501" s="4" t="s">
        <v>542</v>
      </c>
      <c r="P501" s="4" t="s">
        <v>2308</v>
      </c>
      <c r="Q501" s="4">
        <v>4</v>
      </c>
      <c r="R501" s="4" t="s">
        <v>2308</v>
      </c>
      <c r="S501" s="4" t="s">
        <v>2308</v>
      </c>
      <c r="T501" s="4" t="s">
        <v>2308</v>
      </c>
      <c r="U501" s="4" t="s">
        <v>2308</v>
      </c>
      <c r="V501" s="4" t="s">
        <v>2308</v>
      </c>
      <c r="W501" s="5" t="s">
        <v>4431</v>
      </c>
    </row>
    <row r="502" spans="1:23" ht="86.5" customHeight="1">
      <c r="A502" s="4" t="s">
        <v>4413</v>
      </c>
      <c r="B502" s="12" t="s">
        <v>4418</v>
      </c>
      <c r="C502" s="4" t="s">
        <v>24</v>
      </c>
      <c r="D502" s="4" t="s">
        <v>2308</v>
      </c>
      <c r="E502" s="4" t="s">
        <v>1125</v>
      </c>
      <c r="F502" s="4" t="s">
        <v>2308</v>
      </c>
      <c r="G502" s="4"/>
      <c r="H502" s="5" t="s">
        <v>549</v>
      </c>
      <c r="I502" s="4" t="s">
        <v>2308</v>
      </c>
      <c r="J502" s="4" t="s">
        <v>2308</v>
      </c>
      <c r="K502" s="4" t="s">
        <v>2308</v>
      </c>
      <c r="L502" s="4" t="s">
        <v>2308</v>
      </c>
      <c r="M502" s="4" t="s">
        <v>2308</v>
      </c>
      <c r="N502" s="4" t="s">
        <v>2308</v>
      </c>
      <c r="O502" s="4" t="s">
        <v>2308</v>
      </c>
      <c r="P502" s="4" t="s">
        <v>2308</v>
      </c>
      <c r="Q502" s="4" t="s">
        <v>2308</v>
      </c>
      <c r="R502" s="4" t="s">
        <v>542</v>
      </c>
      <c r="S502" s="4" t="s">
        <v>2308</v>
      </c>
      <c r="T502" s="4" t="s">
        <v>542</v>
      </c>
      <c r="U502" s="4" t="s">
        <v>2308</v>
      </c>
      <c r="V502" s="4">
        <v>4</v>
      </c>
      <c r="W502" s="4"/>
    </row>
    <row r="503" spans="1:23" ht="103" customHeight="1">
      <c r="A503" s="4" t="s">
        <v>4671</v>
      </c>
      <c r="B503" s="12" t="s">
        <v>4680</v>
      </c>
      <c r="C503" s="4" t="s">
        <v>24</v>
      </c>
      <c r="D503" s="4" t="s">
        <v>1125</v>
      </c>
      <c r="E503" s="5" t="s">
        <v>2837</v>
      </c>
      <c r="F503" s="5" t="s">
        <v>2695</v>
      </c>
      <c r="G503" s="4">
        <v>1980</v>
      </c>
      <c r="H503" s="5" t="s">
        <v>549</v>
      </c>
      <c r="I503" s="4" t="s">
        <v>2308</v>
      </c>
      <c r="J503" s="4" t="s">
        <v>2308</v>
      </c>
      <c r="K503" s="4" t="s">
        <v>2308</v>
      </c>
      <c r="L503" s="4" t="s">
        <v>2308</v>
      </c>
      <c r="M503" s="4" t="s">
        <v>2308</v>
      </c>
      <c r="N503" s="4" t="s">
        <v>2308</v>
      </c>
      <c r="O503" s="4" t="s">
        <v>2308</v>
      </c>
      <c r="P503" s="4" t="s">
        <v>2308</v>
      </c>
      <c r="Q503" s="4" t="s">
        <v>2308</v>
      </c>
      <c r="R503" s="4" t="s">
        <v>542</v>
      </c>
      <c r="S503" s="4" t="s">
        <v>2308</v>
      </c>
      <c r="T503" s="4" t="s">
        <v>2308</v>
      </c>
      <c r="U503" s="4" t="s">
        <v>2308</v>
      </c>
      <c r="V503" s="4">
        <v>2</v>
      </c>
      <c r="W503" s="5" t="s">
        <v>4686</v>
      </c>
    </row>
    <row r="504" spans="1:23" ht="103" customHeight="1">
      <c r="A504" s="4" t="s">
        <v>4672</v>
      </c>
      <c r="B504" s="12" t="s">
        <v>4681</v>
      </c>
      <c r="C504" s="4" t="s">
        <v>24</v>
      </c>
      <c r="D504" s="4" t="s">
        <v>1125</v>
      </c>
      <c r="E504" s="5" t="s">
        <v>2837</v>
      </c>
      <c r="F504" s="5" t="s">
        <v>2695</v>
      </c>
      <c r="G504" s="4">
        <v>1980</v>
      </c>
      <c r="H504" s="5" t="s">
        <v>549</v>
      </c>
      <c r="I504" s="4" t="s">
        <v>2308</v>
      </c>
      <c r="J504" s="4" t="s">
        <v>2308</v>
      </c>
      <c r="K504" s="4" t="s">
        <v>2308</v>
      </c>
      <c r="L504" s="4" t="s">
        <v>2308</v>
      </c>
      <c r="M504" s="4" t="s">
        <v>2308</v>
      </c>
      <c r="N504" s="4" t="s">
        <v>2308</v>
      </c>
      <c r="O504" s="4" t="s">
        <v>2308</v>
      </c>
      <c r="P504" s="4" t="s">
        <v>2308</v>
      </c>
      <c r="Q504" s="4" t="s">
        <v>2308</v>
      </c>
      <c r="R504" s="4" t="s">
        <v>542</v>
      </c>
      <c r="S504" s="4" t="s">
        <v>2308</v>
      </c>
      <c r="T504" s="4" t="s">
        <v>2308</v>
      </c>
      <c r="U504" s="4" t="s">
        <v>2308</v>
      </c>
      <c r="V504" s="4">
        <v>2</v>
      </c>
      <c r="W504" s="5" t="s">
        <v>4686</v>
      </c>
    </row>
    <row r="505" spans="1:23" ht="103" customHeight="1">
      <c r="A505" s="4" t="s">
        <v>4673</v>
      </c>
      <c r="B505" s="12" t="s">
        <v>4682</v>
      </c>
      <c r="C505" s="4" t="s">
        <v>24</v>
      </c>
      <c r="D505" s="4" t="s">
        <v>1125</v>
      </c>
      <c r="E505" s="5" t="s">
        <v>2837</v>
      </c>
      <c r="F505" s="5" t="s">
        <v>2695</v>
      </c>
      <c r="G505" s="4">
        <v>1980</v>
      </c>
      <c r="H505" s="5" t="s">
        <v>549</v>
      </c>
      <c r="I505" s="4" t="s">
        <v>2308</v>
      </c>
      <c r="J505" s="4" t="s">
        <v>2308</v>
      </c>
      <c r="K505" s="4" t="s">
        <v>2308</v>
      </c>
      <c r="L505" s="4" t="s">
        <v>2308</v>
      </c>
      <c r="M505" s="4" t="s">
        <v>2308</v>
      </c>
      <c r="N505" s="4" t="s">
        <v>2308</v>
      </c>
      <c r="O505" s="4" t="s">
        <v>2308</v>
      </c>
      <c r="P505" s="4" t="s">
        <v>2308</v>
      </c>
      <c r="Q505" s="4" t="s">
        <v>2308</v>
      </c>
      <c r="R505" s="4" t="s">
        <v>542</v>
      </c>
      <c r="S505" s="4" t="s">
        <v>2308</v>
      </c>
      <c r="T505" s="4" t="s">
        <v>2308</v>
      </c>
      <c r="U505" s="4" t="s">
        <v>2308</v>
      </c>
      <c r="V505" s="4">
        <v>2</v>
      </c>
      <c r="W505" s="5" t="s">
        <v>4686</v>
      </c>
    </row>
    <row r="506" spans="1:23" ht="103" customHeight="1">
      <c r="A506" s="4" t="s">
        <v>4671</v>
      </c>
      <c r="B506" s="12" t="s">
        <v>4683</v>
      </c>
      <c r="C506" s="4" t="s">
        <v>24</v>
      </c>
      <c r="D506" s="4" t="s">
        <v>1125</v>
      </c>
      <c r="E506" s="185" t="s">
        <v>2693</v>
      </c>
      <c r="F506" s="5" t="s">
        <v>2695</v>
      </c>
      <c r="G506" s="4">
        <v>1980</v>
      </c>
      <c r="H506" s="5" t="s">
        <v>549</v>
      </c>
      <c r="I506" s="4" t="s">
        <v>2308</v>
      </c>
      <c r="J506" s="4" t="s">
        <v>2308</v>
      </c>
      <c r="K506" s="4" t="s">
        <v>2308</v>
      </c>
      <c r="L506" s="4" t="s">
        <v>2308</v>
      </c>
      <c r="M506" s="4" t="s">
        <v>2308</v>
      </c>
      <c r="N506" s="4" t="s">
        <v>2308</v>
      </c>
      <c r="O506" s="4" t="s">
        <v>2308</v>
      </c>
      <c r="P506" s="4" t="s">
        <v>2308</v>
      </c>
      <c r="Q506" s="4" t="s">
        <v>2308</v>
      </c>
      <c r="R506" s="4" t="s">
        <v>542</v>
      </c>
      <c r="S506" s="4" t="s">
        <v>2308</v>
      </c>
      <c r="T506" s="4" t="s">
        <v>2308</v>
      </c>
      <c r="U506" s="4" t="s">
        <v>2308</v>
      </c>
      <c r="V506" s="4">
        <v>2</v>
      </c>
      <c r="W506" s="5" t="s">
        <v>4686</v>
      </c>
    </row>
    <row r="507" spans="1:23" ht="103" customHeight="1">
      <c r="A507" s="4" t="s">
        <v>4672</v>
      </c>
      <c r="B507" s="12" t="s">
        <v>4684</v>
      </c>
      <c r="C507" s="4" t="s">
        <v>24</v>
      </c>
      <c r="D507" s="4" t="s">
        <v>1125</v>
      </c>
      <c r="E507" s="185" t="s">
        <v>2693</v>
      </c>
      <c r="F507" s="5" t="s">
        <v>2695</v>
      </c>
      <c r="G507" s="4">
        <v>1980</v>
      </c>
      <c r="H507" s="5" t="s">
        <v>549</v>
      </c>
      <c r="I507" s="4" t="s">
        <v>2308</v>
      </c>
      <c r="J507" s="4" t="s">
        <v>2308</v>
      </c>
      <c r="K507" s="4" t="s">
        <v>2308</v>
      </c>
      <c r="L507" s="4" t="s">
        <v>2308</v>
      </c>
      <c r="M507" s="4" t="s">
        <v>2308</v>
      </c>
      <c r="N507" s="4" t="s">
        <v>2308</v>
      </c>
      <c r="O507" s="4" t="s">
        <v>2308</v>
      </c>
      <c r="P507" s="4" t="s">
        <v>2308</v>
      </c>
      <c r="Q507" s="4" t="s">
        <v>2308</v>
      </c>
      <c r="R507" s="4" t="s">
        <v>542</v>
      </c>
      <c r="S507" s="4" t="s">
        <v>2308</v>
      </c>
      <c r="T507" s="4" t="s">
        <v>2308</v>
      </c>
      <c r="U507" s="4" t="s">
        <v>2308</v>
      </c>
      <c r="V507" s="4">
        <v>2</v>
      </c>
      <c r="W507" s="5" t="s">
        <v>4686</v>
      </c>
    </row>
    <row r="508" spans="1:23" ht="103" customHeight="1">
      <c r="A508" s="4" t="s">
        <v>4673</v>
      </c>
      <c r="B508" s="12" t="s">
        <v>4685</v>
      </c>
      <c r="C508" s="4" t="s">
        <v>24</v>
      </c>
      <c r="D508" s="4" t="s">
        <v>1125</v>
      </c>
      <c r="E508" s="185" t="s">
        <v>2693</v>
      </c>
      <c r="F508" s="5" t="s">
        <v>2695</v>
      </c>
      <c r="G508" s="4">
        <v>1980</v>
      </c>
      <c r="H508" s="5" t="s">
        <v>549</v>
      </c>
      <c r="I508" s="4" t="s">
        <v>2308</v>
      </c>
      <c r="J508" s="4" t="s">
        <v>2308</v>
      </c>
      <c r="K508" s="4" t="s">
        <v>2308</v>
      </c>
      <c r="L508" s="4" t="s">
        <v>2308</v>
      </c>
      <c r="M508" s="4" t="s">
        <v>2308</v>
      </c>
      <c r="N508" s="4" t="s">
        <v>2308</v>
      </c>
      <c r="O508" s="4" t="s">
        <v>2308</v>
      </c>
      <c r="P508" s="4" t="s">
        <v>2308</v>
      </c>
      <c r="Q508" s="4" t="s">
        <v>2308</v>
      </c>
      <c r="R508" s="4" t="s">
        <v>542</v>
      </c>
      <c r="S508" s="4" t="s">
        <v>2308</v>
      </c>
      <c r="T508" s="4" t="s">
        <v>2308</v>
      </c>
      <c r="U508" s="4" t="s">
        <v>2308</v>
      </c>
      <c r="V508" s="4">
        <v>2</v>
      </c>
      <c r="W508" s="5" t="s">
        <v>4686</v>
      </c>
    </row>
    <row r="509" spans="1:23" ht="51" customHeight="1">
      <c r="A509" s="12" t="s">
        <v>4694</v>
      </c>
      <c r="B509" s="12" t="s">
        <v>4701</v>
      </c>
      <c r="C509" s="4" t="s">
        <v>1125</v>
      </c>
      <c r="D509" s="4" t="s">
        <v>5065</v>
      </c>
      <c r="E509" s="4" t="s">
        <v>1125</v>
      </c>
      <c r="F509" s="4" t="s">
        <v>74</v>
      </c>
      <c r="G509" s="4"/>
      <c r="H509" s="5" t="s">
        <v>1113</v>
      </c>
      <c r="I509" s="4" t="s">
        <v>2723</v>
      </c>
      <c r="J509" s="4" t="s">
        <v>2308</v>
      </c>
      <c r="K509" s="4" t="s">
        <v>2308</v>
      </c>
      <c r="L509" s="4" t="s">
        <v>2308</v>
      </c>
      <c r="M509" s="4" t="s">
        <v>2308</v>
      </c>
      <c r="N509" s="4" t="s">
        <v>2308</v>
      </c>
      <c r="O509" s="4" t="s">
        <v>2308</v>
      </c>
      <c r="P509" s="4" t="s">
        <v>2308</v>
      </c>
      <c r="Q509" s="4" t="s">
        <v>2308</v>
      </c>
      <c r="R509" s="4" t="s">
        <v>2308</v>
      </c>
      <c r="S509" s="4" t="s">
        <v>2308</v>
      </c>
      <c r="T509" s="4" t="s">
        <v>2308</v>
      </c>
      <c r="U509" s="4" t="s">
        <v>2308</v>
      </c>
      <c r="V509" s="4" t="s">
        <v>2308</v>
      </c>
      <c r="W509" s="5" t="s">
        <v>4710</v>
      </c>
    </row>
    <row r="510" spans="1:23" ht="52" customHeight="1">
      <c r="A510" s="4" t="s">
        <v>4695</v>
      </c>
      <c r="B510" s="12" t="s">
        <v>4704</v>
      </c>
      <c r="C510" s="4" t="s">
        <v>1125</v>
      </c>
      <c r="D510" s="4" t="s">
        <v>5065</v>
      </c>
      <c r="E510" s="4" t="s">
        <v>1125</v>
      </c>
      <c r="F510" s="4" t="s">
        <v>74</v>
      </c>
      <c r="G510" s="4"/>
      <c r="H510" s="5" t="s">
        <v>1113</v>
      </c>
      <c r="I510" s="4" t="s">
        <v>2723</v>
      </c>
      <c r="J510" s="4" t="s">
        <v>2308</v>
      </c>
      <c r="K510" s="4" t="s">
        <v>2308</v>
      </c>
      <c r="L510" s="4" t="s">
        <v>2308</v>
      </c>
      <c r="M510" s="4" t="s">
        <v>2308</v>
      </c>
      <c r="N510" s="4" t="s">
        <v>2308</v>
      </c>
      <c r="O510" s="4" t="s">
        <v>2308</v>
      </c>
      <c r="P510" s="4" t="s">
        <v>2308</v>
      </c>
      <c r="Q510" s="4" t="s">
        <v>2308</v>
      </c>
      <c r="R510" s="4" t="s">
        <v>2308</v>
      </c>
      <c r="S510" s="4" t="s">
        <v>2308</v>
      </c>
      <c r="T510" s="4" t="s">
        <v>2308</v>
      </c>
      <c r="U510" s="4" t="s">
        <v>2308</v>
      </c>
      <c r="V510" s="4" t="s">
        <v>2308</v>
      </c>
      <c r="W510" s="5" t="s">
        <v>4710</v>
      </c>
    </row>
    <row r="511" spans="1:23" ht="55.5" customHeight="1">
      <c r="A511" s="4" t="s">
        <v>4785</v>
      </c>
      <c r="B511" s="12" t="s">
        <v>4789</v>
      </c>
      <c r="C511" s="4" t="s">
        <v>1125</v>
      </c>
      <c r="D511" s="4" t="s">
        <v>1125</v>
      </c>
      <c r="E511" s="4" t="s">
        <v>1125</v>
      </c>
      <c r="F511" s="4" t="s">
        <v>74</v>
      </c>
      <c r="G511" s="4"/>
      <c r="H511" s="5" t="s">
        <v>549</v>
      </c>
      <c r="I511" s="4" t="s">
        <v>2724</v>
      </c>
      <c r="J511" s="4" t="s">
        <v>2308</v>
      </c>
      <c r="K511" s="4" t="s">
        <v>2308</v>
      </c>
      <c r="L511" s="4" t="s">
        <v>2308</v>
      </c>
      <c r="M511" s="4" t="s">
        <v>2308</v>
      </c>
      <c r="N511" s="4" t="s">
        <v>2308</v>
      </c>
      <c r="O511" s="4" t="s">
        <v>2308</v>
      </c>
      <c r="P511" s="4" t="s">
        <v>2308</v>
      </c>
      <c r="Q511" s="4" t="s">
        <v>2308</v>
      </c>
      <c r="R511" s="4" t="s">
        <v>2308</v>
      </c>
      <c r="S511" s="4" t="s">
        <v>2308</v>
      </c>
      <c r="T511" s="4" t="s">
        <v>2308</v>
      </c>
      <c r="U511" s="4" t="s">
        <v>2308</v>
      </c>
      <c r="V511" s="4" t="s">
        <v>2308</v>
      </c>
      <c r="W511" s="5" t="s">
        <v>4792</v>
      </c>
    </row>
    <row r="512" spans="1:23" ht="55.5" customHeight="1">
      <c r="A512" s="12" t="s">
        <v>4786</v>
      </c>
      <c r="B512" s="12" t="s">
        <v>4790</v>
      </c>
      <c r="C512" s="4" t="s">
        <v>1125</v>
      </c>
      <c r="D512" s="4" t="s">
        <v>1125</v>
      </c>
      <c r="E512" s="4" t="s">
        <v>1125</v>
      </c>
      <c r="F512" s="4" t="s">
        <v>74</v>
      </c>
      <c r="G512" s="4"/>
      <c r="H512" s="5" t="s">
        <v>549</v>
      </c>
      <c r="I512" s="4" t="s">
        <v>2724</v>
      </c>
      <c r="J512" s="4" t="s">
        <v>2308</v>
      </c>
      <c r="K512" s="4" t="s">
        <v>2308</v>
      </c>
      <c r="L512" s="4" t="s">
        <v>2308</v>
      </c>
      <c r="M512" s="4" t="s">
        <v>2308</v>
      </c>
      <c r="N512" s="4" t="s">
        <v>2308</v>
      </c>
      <c r="O512" s="4" t="s">
        <v>2308</v>
      </c>
      <c r="P512" s="4" t="s">
        <v>2308</v>
      </c>
      <c r="Q512" s="4" t="s">
        <v>2308</v>
      </c>
      <c r="R512" s="4" t="s">
        <v>2308</v>
      </c>
      <c r="S512" s="4" t="s">
        <v>2308</v>
      </c>
      <c r="T512" s="4" t="s">
        <v>2308</v>
      </c>
      <c r="U512" s="4" t="s">
        <v>2308</v>
      </c>
      <c r="V512" s="4" t="s">
        <v>2308</v>
      </c>
      <c r="W512" s="5" t="s">
        <v>4792</v>
      </c>
    </row>
    <row r="513" spans="1:23" ht="35" customHeight="1">
      <c r="A513" s="12" t="s">
        <v>4828</v>
      </c>
      <c r="B513" s="12" t="s">
        <v>4834</v>
      </c>
      <c r="C513" s="4" t="s">
        <v>1125</v>
      </c>
      <c r="D513" s="4" t="s">
        <v>5065</v>
      </c>
      <c r="E513" s="4" t="s">
        <v>1125</v>
      </c>
      <c r="F513" s="5" t="s">
        <v>2695</v>
      </c>
      <c r="G513" s="4">
        <v>1968</v>
      </c>
      <c r="H513" s="5" t="s">
        <v>549</v>
      </c>
      <c r="I513" s="4" t="s">
        <v>2308</v>
      </c>
      <c r="J513" s="4" t="s">
        <v>2308</v>
      </c>
      <c r="K513" s="4" t="s">
        <v>2308</v>
      </c>
      <c r="L513" s="4" t="s">
        <v>2308</v>
      </c>
      <c r="M513" s="4" t="s">
        <v>2308</v>
      </c>
      <c r="N513" s="4" t="s">
        <v>2308</v>
      </c>
      <c r="O513" s="4" t="s">
        <v>2308</v>
      </c>
      <c r="P513" s="4" t="s">
        <v>2308</v>
      </c>
      <c r="Q513" s="4" t="s">
        <v>2308</v>
      </c>
      <c r="R513" s="4" t="s">
        <v>542</v>
      </c>
      <c r="S513" s="4" t="s">
        <v>2308</v>
      </c>
      <c r="T513" s="4" t="s">
        <v>2308</v>
      </c>
      <c r="U513" s="4" t="s">
        <v>2308</v>
      </c>
      <c r="V513" s="4" t="s">
        <v>2308</v>
      </c>
      <c r="W513" s="4"/>
    </row>
    <row r="514" spans="1:23" ht="35" customHeight="1">
      <c r="A514" s="12" t="s">
        <v>4832</v>
      </c>
      <c r="B514" s="12" t="s">
        <v>4835</v>
      </c>
      <c r="C514" s="4" t="s">
        <v>1125</v>
      </c>
      <c r="D514" s="4" t="s">
        <v>5065</v>
      </c>
      <c r="E514" s="4" t="s">
        <v>1125</v>
      </c>
      <c r="F514" s="5" t="s">
        <v>2695</v>
      </c>
      <c r="G514" s="4">
        <v>1968</v>
      </c>
      <c r="H514" s="5" t="s">
        <v>549</v>
      </c>
      <c r="I514" s="4" t="s">
        <v>2308</v>
      </c>
      <c r="J514" s="4" t="s">
        <v>2308</v>
      </c>
      <c r="K514" s="4" t="s">
        <v>2308</v>
      </c>
      <c r="L514" s="4" t="s">
        <v>2308</v>
      </c>
      <c r="M514" s="4" t="s">
        <v>2308</v>
      </c>
      <c r="N514" s="4" t="s">
        <v>2308</v>
      </c>
      <c r="O514" s="4" t="s">
        <v>2308</v>
      </c>
      <c r="P514" s="4" t="s">
        <v>2308</v>
      </c>
      <c r="Q514" s="4" t="s">
        <v>2308</v>
      </c>
      <c r="R514" s="4" t="s">
        <v>542</v>
      </c>
      <c r="S514" s="4" t="s">
        <v>2308</v>
      </c>
      <c r="T514" s="4" t="s">
        <v>2308</v>
      </c>
      <c r="U514" s="4" t="s">
        <v>2308</v>
      </c>
      <c r="V514" s="4" t="s">
        <v>2308</v>
      </c>
      <c r="W514" s="4"/>
    </row>
    <row r="515" spans="1:23" ht="37" customHeight="1">
      <c r="A515" s="12" t="s">
        <v>4828</v>
      </c>
      <c r="B515" s="12" t="s">
        <v>4838</v>
      </c>
      <c r="C515" s="4" t="s">
        <v>1125</v>
      </c>
      <c r="D515" s="4" t="s">
        <v>5065</v>
      </c>
      <c r="E515" s="4" t="s">
        <v>1125</v>
      </c>
      <c r="F515" s="5" t="s">
        <v>55</v>
      </c>
      <c r="G515" s="4">
        <v>1968</v>
      </c>
      <c r="H515" s="5" t="s">
        <v>549</v>
      </c>
      <c r="I515" s="4" t="s">
        <v>2308</v>
      </c>
      <c r="J515" s="4" t="s">
        <v>2308</v>
      </c>
      <c r="K515" s="4" t="s">
        <v>2308</v>
      </c>
      <c r="L515" s="4" t="s">
        <v>2308</v>
      </c>
      <c r="M515" s="4" t="s">
        <v>2308</v>
      </c>
      <c r="N515" s="4" t="s">
        <v>2308</v>
      </c>
      <c r="O515" s="4" t="s">
        <v>2308</v>
      </c>
      <c r="P515" s="4" t="s">
        <v>2308</v>
      </c>
      <c r="Q515" s="4" t="s">
        <v>2308</v>
      </c>
      <c r="R515" s="4" t="s">
        <v>542</v>
      </c>
      <c r="S515" s="4" t="s">
        <v>2308</v>
      </c>
      <c r="T515" s="4" t="s">
        <v>2308</v>
      </c>
      <c r="U515" s="4" t="s">
        <v>2308</v>
      </c>
      <c r="V515" s="4" t="s">
        <v>2308</v>
      </c>
      <c r="W515" s="4"/>
    </row>
    <row r="516" spans="1:23" ht="37" customHeight="1">
      <c r="A516" s="12" t="s">
        <v>4832</v>
      </c>
      <c r="B516" s="12" t="s">
        <v>4839</v>
      </c>
      <c r="C516" s="4" t="s">
        <v>1125</v>
      </c>
      <c r="D516" s="4" t="s">
        <v>5065</v>
      </c>
      <c r="E516" s="4" t="s">
        <v>1125</v>
      </c>
      <c r="F516" s="5" t="s">
        <v>55</v>
      </c>
      <c r="G516" s="4">
        <v>1968</v>
      </c>
      <c r="H516" s="5" t="s">
        <v>549</v>
      </c>
      <c r="I516" s="4" t="s">
        <v>2308</v>
      </c>
      <c r="J516" s="4" t="s">
        <v>2308</v>
      </c>
      <c r="K516" s="4" t="s">
        <v>2308</v>
      </c>
      <c r="L516" s="4" t="s">
        <v>2308</v>
      </c>
      <c r="M516" s="4" t="s">
        <v>2308</v>
      </c>
      <c r="N516" s="4" t="s">
        <v>2308</v>
      </c>
      <c r="O516" s="4" t="s">
        <v>2308</v>
      </c>
      <c r="P516" s="4" t="s">
        <v>2308</v>
      </c>
      <c r="Q516" s="4" t="s">
        <v>2308</v>
      </c>
      <c r="R516" s="4" t="s">
        <v>542</v>
      </c>
      <c r="S516" s="4" t="s">
        <v>2308</v>
      </c>
      <c r="T516" s="4" t="s">
        <v>2308</v>
      </c>
      <c r="U516" s="4" t="s">
        <v>2308</v>
      </c>
      <c r="V516" s="4" t="s">
        <v>2308</v>
      </c>
      <c r="W516" s="4"/>
    </row>
    <row r="517" spans="1:23" ht="61" customHeight="1">
      <c r="A517" s="12" t="s">
        <v>4884</v>
      </c>
      <c r="B517" s="12" t="s">
        <v>4889</v>
      </c>
      <c r="C517" s="4" t="s">
        <v>1125</v>
      </c>
      <c r="D517" s="4" t="s">
        <v>5065</v>
      </c>
      <c r="E517" s="4" t="s">
        <v>1125</v>
      </c>
      <c r="F517" s="5" t="s">
        <v>2695</v>
      </c>
      <c r="G517" s="4"/>
      <c r="H517" s="5" t="s">
        <v>549</v>
      </c>
      <c r="I517" s="4" t="s">
        <v>2723</v>
      </c>
      <c r="J517" s="4" t="s">
        <v>2723</v>
      </c>
      <c r="K517" s="4" t="s">
        <v>542</v>
      </c>
      <c r="L517" s="4" t="s">
        <v>2308</v>
      </c>
      <c r="M517" s="4" t="s">
        <v>2308</v>
      </c>
      <c r="N517" s="4" t="s">
        <v>2308</v>
      </c>
      <c r="O517" s="4" t="s">
        <v>2308</v>
      </c>
      <c r="P517" s="4" t="s">
        <v>2308</v>
      </c>
      <c r="Q517" s="4" t="s">
        <v>2308</v>
      </c>
      <c r="R517" s="4" t="s">
        <v>2308</v>
      </c>
      <c r="S517" s="4" t="s">
        <v>2308</v>
      </c>
      <c r="T517" s="4" t="s">
        <v>2308</v>
      </c>
      <c r="U517" s="4" t="s">
        <v>2308</v>
      </c>
      <c r="V517" s="4" t="s">
        <v>2308</v>
      </c>
      <c r="W517" s="20" t="s">
        <v>4906</v>
      </c>
    </row>
    <row r="518" spans="1:23" ht="49" customHeight="1">
      <c r="A518" s="20" t="s">
        <v>4910</v>
      </c>
      <c r="B518" s="20" t="s">
        <v>4960</v>
      </c>
      <c r="C518" s="5" t="s">
        <v>24</v>
      </c>
      <c r="D518" s="4" t="s">
        <v>5065</v>
      </c>
      <c r="E518" s="5" t="s">
        <v>1125</v>
      </c>
      <c r="F518" s="5" t="s">
        <v>2695</v>
      </c>
      <c r="G518" s="4">
        <v>1974</v>
      </c>
      <c r="H518" s="5" t="s">
        <v>549</v>
      </c>
      <c r="I518" s="4" t="s">
        <v>2723</v>
      </c>
      <c r="J518" s="4" t="s">
        <v>2723</v>
      </c>
      <c r="K518" s="4" t="s">
        <v>2308</v>
      </c>
      <c r="L518" s="4" t="s">
        <v>2308</v>
      </c>
      <c r="M518" s="4" t="s">
        <v>2308</v>
      </c>
      <c r="N518" s="4" t="s">
        <v>2308</v>
      </c>
      <c r="O518" s="4" t="s">
        <v>2308</v>
      </c>
      <c r="P518" s="4" t="s">
        <v>2308</v>
      </c>
      <c r="Q518" s="4" t="s">
        <v>2308</v>
      </c>
      <c r="R518" s="4" t="s">
        <v>542</v>
      </c>
      <c r="S518" s="4" t="s">
        <v>2308</v>
      </c>
      <c r="T518" s="4" t="s">
        <v>2308</v>
      </c>
      <c r="U518" s="4" t="s">
        <v>2308</v>
      </c>
      <c r="V518" s="4" t="s">
        <v>2308</v>
      </c>
      <c r="W518" s="5" t="s">
        <v>5028</v>
      </c>
    </row>
    <row r="519" spans="1:23" ht="38" customHeight="1">
      <c r="A519" s="12" t="s">
        <v>5037</v>
      </c>
      <c r="B519" s="12" t="s">
        <v>5043</v>
      </c>
      <c r="C519" s="5" t="s">
        <v>24</v>
      </c>
      <c r="D519" s="4" t="s">
        <v>5065</v>
      </c>
      <c r="E519" s="4" t="s">
        <v>1125</v>
      </c>
      <c r="F519" s="5" t="s">
        <v>2695</v>
      </c>
      <c r="G519" s="4">
        <v>1976</v>
      </c>
      <c r="H519" s="5" t="s">
        <v>549</v>
      </c>
      <c r="I519" s="4" t="s">
        <v>2308</v>
      </c>
      <c r="J519" s="4" t="s">
        <v>2308</v>
      </c>
      <c r="K519" s="4" t="s">
        <v>2308</v>
      </c>
      <c r="L519" s="4" t="s">
        <v>2308</v>
      </c>
      <c r="M519" s="4" t="s">
        <v>2308</v>
      </c>
      <c r="N519" s="4" t="s">
        <v>2308</v>
      </c>
      <c r="O519" s="4" t="s">
        <v>2308</v>
      </c>
      <c r="P519" s="4" t="s">
        <v>2308</v>
      </c>
      <c r="Q519" s="4" t="s">
        <v>2308</v>
      </c>
      <c r="R519" s="4" t="s">
        <v>545</v>
      </c>
      <c r="S519" s="4" t="s">
        <v>2308</v>
      </c>
      <c r="T519" s="4" t="s">
        <v>2308</v>
      </c>
      <c r="U519" s="4" t="s">
        <v>2308</v>
      </c>
      <c r="V519" s="4" t="s">
        <v>2308</v>
      </c>
      <c r="W519" s="4"/>
    </row>
    <row r="520" spans="1:23" ht="38" customHeight="1">
      <c r="A520" s="12" t="s">
        <v>5037</v>
      </c>
      <c r="B520" s="12" t="s">
        <v>5044</v>
      </c>
      <c r="C520" s="5" t="s">
        <v>24</v>
      </c>
      <c r="D520" s="4" t="s">
        <v>116</v>
      </c>
      <c r="E520" s="4" t="s">
        <v>1125</v>
      </c>
      <c r="F520" s="5" t="s">
        <v>2695</v>
      </c>
      <c r="G520" s="4">
        <v>1976</v>
      </c>
      <c r="H520" s="5" t="s">
        <v>549</v>
      </c>
      <c r="I520" s="4" t="s">
        <v>2308</v>
      </c>
      <c r="J520" s="4" t="s">
        <v>2308</v>
      </c>
      <c r="K520" s="4" t="s">
        <v>2308</v>
      </c>
      <c r="L520" s="4" t="s">
        <v>2308</v>
      </c>
      <c r="M520" s="4" t="s">
        <v>2308</v>
      </c>
      <c r="N520" s="4" t="s">
        <v>2308</v>
      </c>
      <c r="O520" s="4" t="s">
        <v>2308</v>
      </c>
      <c r="P520" s="4" t="s">
        <v>2308</v>
      </c>
      <c r="Q520" s="4" t="s">
        <v>2308</v>
      </c>
      <c r="R520" s="4" t="s">
        <v>545</v>
      </c>
      <c r="S520" s="4" t="s">
        <v>2308</v>
      </c>
      <c r="T520" s="4" t="s">
        <v>2308</v>
      </c>
      <c r="U520" s="4" t="s">
        <v>2308</v>
      </c>
      <c r="V520" s="4" t="s">
        <v>2308</v>
      </c>
      <c r="W520" s="4"/>
    </row>
    <row r="521" spans="1:23" ht="69" customHeight="1">
      <c r="A521" s="12" t="s">
        <v>5037</v>
      </c>
      <c r="B521" s="12" t="s">
        <v>5045</v>
      </c>
      <c r="C521" s="5" t="s">
        <v>24</v>
      </c>
      <c r="D521" s="4" t="s">
        <v>5065</v>
      </c>
      <c r="E521" s="4" t="s">
        <v>1125</v>
      </c>
      <c r="F521" s="5" t="s">
        <v>2695</v>
      </c>
      <c r="G521" s="4">
        <v>1977</v>
      </c>
      <c r="H521" s="5" t="s">
        <v>549</v>
      </c>
      <c r="I521" s="4" t="s">
        <v>2308</v>
      </c>
      <c r="J521" s="4" t="s">
        <v>2308</v>
      </c>
      <c r="K521" s="4" t="s">
        <v>2308</v>
      </c>
      <c r="L521" s="4" t="s">
        <v>2308</v>
      </c>
      <c r="M521" s="4" t="s">
        <v>2308</v>
      </c>
      <c r="N521" s="4" t="s">
        <v>2308</v>
      </c>
      <c r="O521" s="4" t="s">
        <v>2308</v>
      </c>
      <c r="P521" s="4" t="s">
        <v>2308</v>
      </c>
      <c r="Q521" s="4" t="s">
        <v>2308</v>
      </c>
      <c r="R521" s="4" t="s">
        <v>542</v>
      </c>
      <c r="S521" s="4" t="s">
        <v>2308</v>
      </c>
      <c r="T521" s="4" t="s">
        <v>2308</v>
      </c>
      <c r="U521" s="4" t="s">
        <v>2308</v>
      </c>
      <c r="V521" s="4">
        <v>3</v>
      </c>
      <c r="W521" s="5" t="s">
        <v>5052</v>
      </c>
    </row>
    <row r="522" spans="1:23" ht="64.5" customHeight="1">
      <c r="A522" s="12" t="s">
        <v>5037</v>
      </c>
      <c r="B522" s="12" t="s">
        <v>5046</v>
      </c>
      <c r="C522" s="5" t="s">
        <v>24</v>
      </c>
      <c r="D522" s="4" t="s">
        <v>116</v>
      </c>
      <c r="E522" s="4" t="s">
        <v>1125</v>
      </c>
      <c r="F522" s="5" t="s">
        <v>2695</v>
      </c>
      <c r="G522" s="4">
        <v>1977</v>
      </c>
      <c r="H522" s="5" t="s">
        <v>549</v>
      </c>
      <c r="I522" s="4" t="s">
        <v>2308</v>
      </c>
      <c r="J522" s="4" t="s">
        <v>2308</v>
      </c>
      <c r="K522" s="4" t="s">
        <v>2308</v>
      </c>
      <c r="L522" s="4" t="s">
        <v>2308</v>
      </c>
      <c r="M522" s="4" t="s">
        <v>2308</v>
      </c>
      <c r="N522" s="4" t="s">
        <v>2308</v>
      </c>
      <c r="O522" s="4" t="s">
        <v>2308</v>
      </c>
      <c r="P522" s="4" t="s">
        <v>2308</v>
      </c>
      <c r="Q522" s="4" t="s">
        <v>2308</v>
      </c>
      <c r="R522" s="4" t="s">
        <v>542</v>
      </c>
      <c r="S522" s="4" t="s">
        <v>2308</v>
      </c>
      <c r="T522" s="4" t="s">
        <v>2308</v>
      </c>
      <c r="U522" s="4" t="s">
        <v>2308</v>
      </c>
      <c r="V522" s="4">
        <v>3</v>
      </c>
      <c r="W522" s="5" t="s">
        <v>5052</v>
      </c>
    </row>
    <row r="523" spans="1:23" ht="33.5" customHeight="1">
      <c r="A523" s="12" t="s">
        <v>5054</v>
      </c>
      <c r="B523" s="12" t="s">
        <v>5058</v>
      </c>
      <c r="C523" s="4" t="s">
        <v>24</v>
      </c>
      <c r="D523" s="4" t="s">
        <v>5065</v>
      </c>
      <c r="E523" s="4" t="s">
        <v>2693</v>
      </c>
      <c r="F523" s="5" t="s">
        <v>2695</v>
      </c>
      <c r="G523" s="4"/>
      <c r="H523" s="5" t="s">
        <v>549</v>
      </c>
      <c r="I523" s="4" t="s">
        <v>2308</v>
      </c>
      <c r="J523" s="4" t="s">
        <v>2308</v>
      </c>
      <c r="K523" s="4" t="s">
        <v>2308</v>
      </c>
      <c r="L523" s="4" t="s">
        <v>2308</v>
      </c>
      <c r="M523" s="4" t="s">
        <v>2308</v>
      </c>
      <c r="N523" s="4" t="s">
        <v>2308</v>
      </c>
      <c r="O523" s="4" t="s">
        <v>2308</v>
      </c>
      <c r="P523" s="4" t="s">
        <v>2308</v>
      </c>
      <c r="Q523" s="4" t="s">
        <v>2308</v>
      </c>
      <c r="R523" s="4" t="s">
        <v>545</v>
      </c>
      <c r="S523" s="4" t="s">
        <v>2308</v>
      </c>
      <c r="T523" s="4" t="s">
        <v>2308</v>
      </c>
      <c r="U523" s="4" t="s">
        <v>2308</v>
      </c>
      <c r="V523" s="4" t="s">
        <v>2308</v>
      </c>
      <c r="W523" s="4"/>
    </row>
    <row r="524" spans="1:23" ht="29">
      <c r="A524" s="12" t="s">
        <v>5054</v>
      </c>
      <c r="B524" s="12" t="s">
        <v>5059</v>
      </c>
      <c r="C524" s="4" t="s">
        <v>24</v>
      </c>
      <c r="D524" s="4" t="s">
        <v>116</v>
      </c>
      <c r="E524" s="4" t="s">
        <v>1267</v>
      </c>
      <c r="F524" s="5" t="s">
        <v>2695</v>
      </c>
      <c r="G524" s="4"/>
      <c r="H524" s="5" t="s">
        <v>549</v>
      </c>
      <c r="I524" s="4" t="s">
        <v>2308</v>
      </c>
      <c r="J524" s="4" t="s">
        <v>2308</v>
      </c>
      <c r="K524" s="4" t="s">
        <v>2308</v>
      </c>
      <c r="L524" s="4" t="s">
        <v>2308</v>
      </c>
      <c r="M524" s="4" t="s">
        <v>2308</v>
      </c>
      <c r="N524" s="4" t="s">
        <v>2308</v>
      </c>
      <c r="O524" s="4" t="s">
        <v>2308</v>
      </c>
      <c r="P524" s="4" t="s">
        <v>2308</v>
      </c>
      <c r="Q524" s="4" t="s">
        <v>2308</v>
      </c>
      <c r="R524" s="4" t="s">
        <v>545</v>
      </c>
      <c r="S524" s="4" t="s">
        <v>2308</v>
      </c>
      <c r="T524" s="4" t="s">
        <v>2308</v>
      </c>
      <c r="U524" s="4" t="s">
        <v>2308</v>
      </c>
      <c r="V524" s="4" t="s">
        <v>2308</v>
      </c>
      <c r="W524" s="4"/>
    </row>
    <row r="525" spans="1:23" ht="29">
      <c r="A525" s="12" t="s">
        <v>5054</v>
      </c>
      <c r="B525" s="12" t="s">
        <v>5060</v>
      </c>
      <c r="C525" s="4" t="s">
        <v>24</v>
      </c>
      <c r="D525" s="4" t="s">
        <v>5065</v>
      </c>
      <c r="E525" s="4" t="s">
        <v>1151</v>
      </c>
      <c r="F525" s="5" t="s">
        <v>2695</v>
      </c>
      <c r="G525" s="4"/>
      <c r="H525" s="5" t="s">
        <v>549</v>
      </c>
      <c r="I525" s="4" t="s">
        <v>2308</v>
      </c>
      <c r="J525" s="4" t="s">
        <v>2308</v>
      </c>
      <c r="K525" s="4" t="s">
        <v>2308</v>
      </c>
      <c r="L525" s="4" t="s">
        <v>2308</v>
      </c>
      <c r="M525" s="4" t="s">
        <v>2308</v>
      </c>
      <c r="N525" s="4" t="s">
        <v>2308</v>
      </c>
      <c r="O525" s="4" t="s">
        <v>2308</v>
      </c>
      <c r="P525" s="4" t="s">
        <v>2308</v>
      </c>
      <c r="Q525" s="4" t="s">
        <v>2308</v>
      </c>
      <c r="R525" s="4" t="s">
        <v>545</v>
      </c>
      <c r="S525" s="4" t="s">
        <v>2308</v>
      </c>
      <c r="T525" s="4" t="s">
        <v>2308</v>
      </c>
      <c r="U525" s="4" t="s">
        <v>2308</v>
      </c>
      <c r="V525" s="4" t="s">
        <v>2308</v>
      </c>
      <c r="W525" s="4"/>
    </row>
    <row r="526" spans="1:23" ht="29">
      <c r="A526" s="12" t="s">
        <v>5054</v>
      </c>
      <c r="B526" s="12" t="s">
        <v>5061</v>
      </c>
      <c r="C526" s="4" t="s">
        <v>24</v>
      </c>
      <c r="D526" s="4" t="s">
        <v>116</v>
      </c>
      <c r="E526" s="4" t="s">
        <v>1151</v>
      </c>
      <c r="F526" s="5" t="s">
        <v>2695</v>
      </c>
      <c r="G526" s="4"/>
      <c r="H526" s="5" t="s">
        <v>549</v>
      </c>
      <c r="I526" s="4" t="s">
        <v>2308</v>
      </c>
      <c r="J526" s="4" t="s">
        <v>2308</v>
      </c>
      <c r="K526" s="4" t="s">
        <v>2308</v>
      </c>
      <c r="L526" s="4" t="s">
        <v>2308</v>
      </c>
      <c r="M526" s="4" t="s">
        <v>2308</v>
      </c>
      <c r="N526" s="4" t="s">
        <v>2308</v>
      </c>
      <c r="O526" s="4" t="s">
        <v>2308</v>
      </c>
      <c r="P526" s="4" t="s">
        <v>2308</v>
      </c>
      <c r="Q526" s="4" t="s">
        <v>2308</v>
      </c>
      <c r="R526" s="4" t="s">
        <v>545</v>
      </c>
      <c r="S526" s="4" t="s">
        <v>2308</v>
      </c>
      <c r="T526" s="4" t="s">
        <v>2308</v>
      </c>
      <c r="U526" s="4" t="s">
        <v>2308</v>
      </c>
      <c r="V526" s="4" t="s">
        <v>2308</v>
      </c>
      <c r="W526" s="4"/>
    </row>
  </sheetData>
  <phoneticPr fontId="6" type="noConversion"/>
  <conditionalFormatting sqref="A154:A155">
    <cfRule type="duplicateValues" dxfId="139" priority="131"/>
  </conditionalFormatting>
  <conditionalFormatting sqref="B154">
    <cfRule type="duplicateValues" dxfId="138" priority="132"/>
  </conditionalFormatting>
  <conditionalFormatting sqref="B155">
    <cfRule type="duplicateValues" dxfId="137" priority="133"/>
  </conditionalFormatting>
  <conditionalFormatting sqref="A155">
    <cfRule type="duplicateValues" dxfId="136" priority="134"/>
  </conditionalFormatting>
  <conditionalFormatting sqref="A156">
    <cfRule type="duplicateValues" dxfId="135" priority="135"/>
  </conditionalFormatting>
  <conditionalFormatting sqref="B156">
    <cfRule type="duplicateValues" dxfId="134" priority="136"/>
  </conditionalFormatting>
  <conditionalFormatting sqref="A157">
    <cfRule type="duplicateValues" dxfId="133" priority="137"/>
  </conditionalFormatting>
  <conditionalFormatting sqref="B157">
    <cfRule type="duplicateValues" dxfId="132" priority="138"/>
  </conditionalFormatting>
  <conditionalFormatting sqref="A158">
    <cfRule type="duplicateValues" dxfId="131" priority="139"/>
  </conditionalFormatting>
  <conditionalFormatting sqref="B158">
    <cfRule type="duplicateValues" dxfId="130" priority="140"/>
  </conditionalFormatting>
  <conditionalFormatting sqref="A159">
    <cfRule type="duplicateValues" dxfId="129" priority="141"/>
  </conditionalFormatting>
  <conditionalFormatting sqref="B159">
    <cfRule type="duplicateValues" dxfId="128" priority="142"/>
  </conditionalFormatting>
  <conditionalFormatting sqref="A160">
    <cfRule type="duplicateValues" dxfId="127" priority="143"/>
  </conditionalFormatting>
  <conditionalFormatting sqref="B160">
    <cfRule type="duplicateValues" dxfId="126" priority="144"/>
  </conditionalFormatting>
  <conditionalFormatting sqref="A161">
    <cfRule type="duplicateValues" dxfId="125" priority="145"/>
  </conditionalFormatting>
  <conditionalFormatting sqref="B161">
    <cfRule type="duplicateValues" dxfId="124" priority="146"/>
  </conditionalFormatting>
  <conditionalFormatting sqref="A162">
    <cfRule type="duplicateValues" dxfId="123" priority="147"/>
  </conditionalFormatting>
  <conditionalFormatting sqref="B162">
    <cfRule type="duplicateValues" dxfId="122" priority="148"/>
  </conditionalFormatting>
  <conditionalFormatting sqref="A163">
    <cfRule type="duplicateValues" dxfId="121" priority="149"/>
  </conditionalFormatting>
  <conditionalFormatting sqref="B163">
    <cfRule type="duplicateValues" dxfId="120" priority="150"/>
  </conditionalFormatting>
  <conditionalFormatting sqref="A164">
    <cfRule type="duplicateValues" dxfId="119" priority="151"/>
  </conditionalFormatting>
  <conditionalFormatting sqref="B164">
    <cfRule type="duplicateValues" dxfId="118" priority="152"/>
  </conditionalFormatting>
  <conditionalFormatting sqref="A165">
    <cfRule type="duplicateValues" dxfId="117" priority="153"/>
  </conditionalFormatting>
  <conditionalFormatting sqref="B165">
    <cfRule type="duplicateValues" dxfId="116" priority="154"/>
  </conditionalFormatting>
  <conditionalFormatting sqref="A166">
    <cfRule type="duplicateValues" dxfId="115" priority="155"/>
  </conditionalFormatting>
  <conditionalFormatting sqref="B166">
    <cfRule type="duplicateValues" dxfId="114" priority="156"/>
  </conditionalFormatting>
  <conditionalFormatting sqref="A167">
    <cfRule type="duplicateValues" dxfId="113" priority="157"/>
  </conditionalFormatting>
  <conditionalFormatting sqref="B167">
    <cfRule type="duplicateValues" dxfId="112" priority="158"/>
  </conditionalFormatting>
  <conditionalFormatting sqref="A168">
    <cfRule type="duplicateValues" dxfId="111" priority="159"/>
  </conditionalFormatting>
  <conditionalFormatting sqref="B168">
    <cfRule type="duplicateValues" dxfId="110" priority="160"/>
  </conditionalFormatting>
  <conditionalFormatting sqref="A169">
    <cfRule type="duplicateValues" dxfId="109" priority="161"/>
  </conditionalFormatting>
  <conditionalFormatting sqref="B169">
    <cfRule type="duplicateValues" dxfId="108" priority="162"/>
  </conditionalFormatting>
  <conditionalFormatting sqref="A170">
    <cfRule type="duplicateValues" dxfId="107" priority="163"/>
  </conditionalFormatting>
  <conditionalFormatting sqref="B170">
    <cfRule type="duplicateValues" dxfId="106" priority="164"/>
  </conditionalFormatting>
  <conditionalFormatting sqref="A171">
    <cfRule type="duplicateValues" dxfId="105" priority="165"/>
  </conditionalFormatting>
  <conditionalFormatting sqref="B171">
    <cfRule type="duplicateValues" dxfId="104" priority="166"/>
  </conditionalFormatting>
  <conditionalFormatting sqref="A172">
    <cfRule type="duplicateValues" dxfId="103" priority="167"/>
  </conditionalFormatting>
  <conditionalFormatting sqref="B172">
    <cfRule type="duplicateValues" dxfId="102" priority="168"/>
  </conditionalFormatting>
  <conditionalFormatting sqref="A173">
    <cfRule type="duplicateValues" dxfId="101" priority="169"/>
  </conditionalFormatting>
  <conditionalFormatting sqref="B173">
    <cfRule type="duplicateValues" dxfId="100" priority="170"/>
  </conditionalFormatting>
  <conditionalFormatting sqref="A174">
    <cfRule type="duplicateValues" dxfId="99" priority="171"/>
  </conditionalFormatting>
  <conditionalFormatting sqref="B174">
    <cfRule type="duplicateValues" dxfId="98" priority="172"/>
  </conditionalFormatting>
  <conditionalFormatting sqref="A175">
    <cfRule type="duplicateValues" dxfId="97" priority="173"/>
  </conditionalFormatting>
  <conditionalFormatting sqref="B175">
    <cfRule type="duplicateValues" dxfId="96" priority="174"/>
  </conditionalFormatting>
  <conditionalFormatting sqref="A176">
    <cfRule type="duplicateValues" dxfId="95" priority="175"/>
  </conditionalFormatting>
  <conditionalFormatting sqref="B176">
    <cfRule type="duplicateValues" dxfId="94" priority="176"/>
  </conditionalFormatting>
  <conditionalFormatting sqref="A177">
    <cfRule type="duplicateValues" dxfId="93" priority="177"/>
  </conditionalFormatting>
  <conditionalFormatting sqref="B177">
    <cfRule type="duplicateValues" dxfId="92" priority="178"/>
  </conditionalFormatting>
  <conditionalFormatting sqref="A178">
    <cfRule type="duplicateValues" dxfId="91" priority="179"/>
  </conditionalFormatting>
  <conditionalFormatting sqref="B178">
    <cfRule type="duplicateValues" dxfId="90" priority="180"/>
  </conditionalFormatting>
  <conditionalFormatting sqref="A179">
    <cfRule type="duplicateValues" dxfId="89" priority="181"/>
  </conditionalFormatting>
  <conditionalFormatting sqref="B179">
    <cfRule type="duplicateValues" dxfId="88" priority="182"/>
  </conditionalFormatting>
  <conditionalFormatting sqref="B180:B181">
    <cfRule type="duplicateValues" dxfId="87" priority="79"/>
  </conditionalFormatting>
  <conditionalFormatting sqref="A180:A181">
    <cfRule type="duplicateValues" dxfId="86" priority="82"/>
  </conditionalFormatting>
  <conditionalFormatting sqref="A196">
    <cfRule type="duplicateValues" dxfId="85" priority="109"/>
  </conditionalFormatting>
  <conditionalFormatting sqref="B196">
    <cfRule type="duplicateValues" dxfId="84" priority="110"/>
  </conditionalFormatting>
  <conditionalFormatting sqref="A197">
    <cfRule type="duplicateValues" dxfId="83" priority="111"/>
  </conditionalFormatting>
  <conditionalFormatting sqref="B197">
    <cfRule type="duplicateValues" dxfId="82" priority="112"/>
  </conditionalFormatting>
  <conditionalFormatting sqref="A198">
    <cfRule type="duplicateValues" dxfId="81" priority="113"/>
  </conditionalFormatting>
  <conditionalFormatting sqref="B198">
    <cfRule type="duplicateValues" dxfId="80" priority="114"/>
  </conditionalFormatting>
  <conditionalFormatting sqref="A199">
    <cfRule type="duplicateValues" dxfId="79" priority="115"/>
  </conditionalFormatting>
  <conditionalFormatting sqref="B199">
    <cfRule type="duplicateValues" dxfId="78" priority="116"/>
  </conditionalFormatting>
  <conditionalFormatting sqref="A200">
    <cfRule type="duplicateValues" dxfId="77" priority="117"/>
  </conditionalFormatting>
  <conditionalFormatting sqref="B200">
    <cfRule type="duplicateValues" dxfId="76" priority="118"/>
  </conditionalFormatting>
  <conditionalFormatting sqref="A201">
    <cfRule type="duplicateValues" dxfId="75" priority="119"/>
  </conditionalFormatting>
  <conditionalFormatting sqref="B201">
    <cfRule type="duplicateValues" dxfId="74" priority="120"/>
  </conditionalFormatting>
  <conditionalFormatting sqref="A202">
    <cfRule type="duplicateValues" dxfId="73" priority="61"/>
  </conditionalFormatting>
  <conditionalFormatting sqref="B202">
    <cfRule type="duplicateValues" dxfId="72" priority="62"/>
  </conditionalFormatting>
  <conditionalFormatting sqref="A203">
    <cfRule type="duplicateValues" dxfId="71" priority="63"/>
  </conditionalFormatting>
  <conditionalFormatting sqref="B203">
    <cfRule type="duplicateValues" dxfId="70" priority="64"/>
  </conditionalFormatting>
  <conditionalFormatting sqref="B182:B183">
    <cfRule type="duplicateValues" dxfId="69" priority="77"/>
  </conditionalFormatting>
  <conditionalFormatting sqref="A182:A183">
    <cfRule type="duplicateValues" dxfId="68" priority="78"/>
  </conditionalFormatting>
  <conditionalFormatting sqref="B184:B185">
    <cfRule type="duplicateValues" dxfId="67" priority="75"/>
  </conditionalFormatting>
  <conditionalFormatting sqref="A184:A185">
    <cfRule type="duplicateValues" dxfId="66" priority="76"/>
  </conditionalFormatting>
  <conditionalFormatting sqref="B186:B187">
    <cfRule type="duplicateValues" dxfId="65" priority="73"/>
  </conditionalFormatting>
  <conditionalFormatting sqref="A186:A187">
    <cfRule type="duplicateValues" dxfId="64" priority="74"/>
  </conditionalFormatting>
  <conditionalFormatting sqref="B188:B189">
    <cfRule type="duplicateValues" dxfId="63" priority="71"/>
  </conditionalFormatting>
  <conditionalFormatting sqref="A188:A189">
    <cfRule type="duplicateValues" dxfId="62" priority="72"/>
  </conditionalFormatting>
  <conditionalFormatting sqref="B190:B191">
    <cfRule type="duplicateValues" dxfId="61" priority="69"/>
  </conditionalFormatting>
  <conditionalFormatting sqref="A190:A191">
    <cfRule type="duplicateValues" dxfId="60" priority="70"/>
  </conditionalFormatting>
  <conditionalFormatting sqref="B192:B193">
    <cfRule type="duplicateValues" dxfId="59" priority="67"/>
  </conditionalFormatting>
  <conditionalFormatting sqref="A192:A193">
    <cfRule type="duplicateValues" dxfId="58" priority="68"/>
  </conditionalFormatting>
  <conditionalFormatting sqref="B194:B195">
    <cfRule type="duplicateValues" dxfId="57" priority="65"/>
  </conditionalFormatting>
  <conditionalFormatting sqref="A194:A195">
    <cfRule type="duplicateValues" dxfId="56" priority="66"/>
  </conditionalFormatting>
  <conditionalFormatting sqref="A204">
    <cfRule type="duplicateValues" dxfId="55" priority="57"/>
  </conditionalFormatting>
  <conditionalFormatting sqref="B204">
    <cfRule type="duplicateValues" dxfId="54" priority="58"/>
  </conditionalFormatting>
  <conditionalFormatting sqref="A205">
    <cfRule type="duplicateValues" dxfId="53" priority="59"/>
  </conditionalFormatting>
  <conditionalFormatting sqref="B205">
    <cfRule type="duplicateValues" dxfId="52" priority="60"/>
  </conditionalFormatting>
  <conditionalFormatting sqref="A206">
    <cfRule type="duplicateValues" dxfId="51" priority="53"/>
  </conditionalFormatting>
  <conditionalFormatting sqref="B206">
    <cfRule type="duplicateValues" dxfId="50" priority="54"/>
  </conditionalFormatting>
  <conditionalFormatting sqref="A207">
    <cfRule type="duplicateValues" dxfId="49" priority="55"/>
  </conditionalFormatting>
  <conditionalFormatting sqref="B207">
    <cfRule type="duplicateValues" dxfId="48" priority="56"/>
  </conditionalFormatting>
  <conditionalFormatting sqref="A208">
    <cfRule type="duplicateValues" dxfId="47" priority="49"/>
  </conditionalFormatting>
  <conditionalFormatting sqref="B208">
    <cfRule type="duplicateValues" dxfId="46" priority="50"/>
  </conditionalFormatting>
  <conditionalFormatting sqref="A209">
    <cfRule type="duplicateValues" dxfId="45" priority="51"/>
  </conditionalFormatting>
  <conditionalFormatting sqref="B209">
    <cfRule type="duplicateValues" dxfId="44" priority="52"/>
  </conditionalFormatting>
  <conditionalFormatting sqref="A210">
    <cfRule type="duplicateValues" dxfId="43" priority="45"/>
  </conditionalFormatting>
  <conditionalFormatting sqref="B210">
    <cfRule type="duplicateValues" dxfId="42" priority="46"/>
  </conditionalFormatting>
  <conditionalFormatting sqref="A211">
    <cfRule type="duplicateValues" dxfId="41" priority="47"/>
  </conditionalFormatting>
  <conditionalFormatting sqref="B211">
    <cfRule type="duplicateValues" dxfId="40" priority="48"/>
  </conditionalFormatting>
  <conditionalFormatting sqref="A212">
    <cfRule type="duplicateValues" dxfId="39" priority="41"/>
  </conditionalFormatting>
  <conditionalFormatting sqref="B212">
    <cfRule type="duplicateValues" dxfId="38" priority="42"/>
  </conditionalFormatting>
  <conditionalFormatting sqref="A213">
    <cfRule type="duplicateValues" dxfId="37" priority="43"/>
  </conditionalFormatting>
  <conditionalFormatting sqref="B213">
    <cfRule type="duplicateValues" dxfId="36" priority="44"/>
  </conditionalFormatting>
  <conditionalFormatting sqref="A214">
    <cfRule type="duplicateValues" dxfId="35" priority="37"/>
  </conditionalFormatting>
  <conditionalFormatting sqref="B214">
    <cfRule type="duplicateValues" dxfId="34" priority="38"/>
  </conditionalFormatting>
  <conditionalFormatting sqref="A215">
    <cfRule type="duplicateValues" dxfId="33" priority="39"/>
  </conditionalFormatting>
  <conditionalFormatting sqref="B215">
    <cfRule type="duplicateValues" dxfId="32" priority="40"/>
  </conditionalFormatting>
  <conditionalFormatting sqref="A216">
    <cfRule type="duplicateValues" dxfId="31" priority="33"/>
  </conditionalFormatting>
  <conditionalFormatting sqref="B216">
    <cfRule type="duplicateValues" dxfId="30" priority="34"/>
  </conditionalFormatting>
  <conditionalFormatting sqref="A217">
    <cfRule type="duplicateValues" dxfId="29" priority="35"/>
  </conditionalFormatting>
  <conditionalFormatting sqref="B217">
    <cfRule type="duplicateValues" dxfId="28" priority="36"/>
  </conditionalFormatting>
  <conditionalFormatting sqref="A218">
    <cfRule type="duplicateValues" dxfId="27" priority="29"/>
  </conditionalFormatting>
  <conditionalFormatting sqref="B218">
    <cfRule type="duplicateValues" dxfId="26" priority="30"/>
  </conditionalFormatting>
  <conditionalFormatting sqref="A219">
    <cfRule type="duplicateValues" dxfId="25" priority="31"/>
  </conditionalFormatting>
  <conditionalFormatting sqref="B219">
    <cfRule type="duplicateValues" dxfId="24" priority="32"/>
  </conditionalFormatting>
  <conditionalFormatting sqref="A220">
    <cfRule type="duplicateValues" dxfId="23" priority="21"/>
  </conditionalFormatting>
  <conditionalFormatting sqref="B220">
    <cfRule type="duplicateValues" dxfId="22" priority="22"/>
  </conditionalFormatting>
  <conditionalFormatting sqref="A221">
    <cfRule type="duplicateValues" dxfId="21" priority="23"/>
  </conditionalFormatting>
  <conditionalFormatting sqref="B221">
    <cfRule type="duplicateValues" dxfId="20" priority="24"/>
  </conditionalFormatting>
  <conditionalFormatting sqref="A222">
    <cfRule type="duplicateValues" dxfId="19" priority="17"/>
  </conditionalFormatting>
  <conditionalFormatting sqref="B222">
    <cfRule type="duplicateValues" dxfId="18" priority="18"/>
  </conditionalFormatting>
  <conditionalFormatting sqref="A223">
    <cfRule type="duplicateValues" dxfId="17" priority="19"/>
  </conditionalFormatting>
  <conditionalFormatting sqref="B223">
    <cfRule type="duplicateValues" dxfId="16" priority="20"/>
  </conditionalFormatting>
  <conditionalFormatting sqref="A224">
    <cfRule type="duplicateValues" dxfId="15" priority="13"/>
  </conditionalFormatting>
  <conditionalFormatting sqref="B224">
    <cfRule type="duplicateValues" dxfId="14" priority="14"/>
  </conditionalFormatting>
  <conditionalFormatting sqref="A225">
    <cfRule type="duplicateValues" dxfId="13" priority="15"/>
  </conditionalFormatting>
  <conditionalFormatting sqref="B225">
    <cfRule type="duplicateValues" dxfId="12" priority="16"/>
  </conditionalFormatting>
  <conditionalFormatting sqref="A226">
    <cfRule type="duplicateValues" dxfId="11" priority="9"/>
  </conditionalFormatting>
  <conditionalFormatting sqref="B226">
    <cfRule type="duplicateValues" dxfId="10" priority="10"/>
  </conditionalFormatting>
  <conditionalFormatting sqref="A227">
    <cfRule type="duplicateValues" dxfId="9" priority="11"/>
  </conditionalFormatting>
  <conditionalFormatting sqref="B227">
    <cfRule type="duplicateValues" dxfId="8" priority="12"/>
  </conditionalFormatting>
  <conditionalFormatting sqref="A228">
    <cfRule type="duplicateValues" dxfId="7" priority="5"/>
  </conditionalFormatting>
  <conditionalFormatting sqref="B228">
    <cfRule type="duplicateValues" dxfId="6" priority="6"/>
  </conditionalFormatting>
  <conditionalFormatting sqref="A229">
    <cfRule type="duplicateValues" dxfId="5" priority="7"/>
  </conditionalFormatting>
  <conditionalFormatting sqref="B229">
    <cfRule type="duplicateValues" dxfId="4" priority="8"/>
  </conditionalFormatting>
  <conditionalFormatting sqref="A230">
    <cfRule type="duplicateValues" dxfId="3" priority="1"/>
  </conditionalFormatting>
  <conditionalFormatting sqref="B230">
    <cfRule type="duplicateValues" dxfId="2" priority="2"/>
  </conditionalFormatting>
  <conditionalFormatting sqref="A231">
    <cfRule type="duplicateValues" dxfId="1" priority="3"/>
  </conditionalFormatting>
  <conditionalFormatting sqref="B231">
    <cfRule type="duplicateValues" dxfId="0" priority="4"/>
  </conditionalFormatting>
  <dataValidations xWindow="1690" yWindow="825" count="6">
    <dataValidation allowBlank="1" showInputMessage="1" showErrorMessage="1" prompt="The same as Case study ID in Record Info" sqref="A1:A13 B304:B305 B326 B351:B356 B361:B368 A500:A1048576 B403:B420 B476:B477 A401:A477 A26:A397" xr:uid="{789C1EFA-5E6C-442F-8216-3BDC4A89D4BA}"/>
    <dataValidation allowBlank="1" showInputMessage="1" showErrorMessage="1" prompt="Case study ID +.1, .2 etc for each relevant PCB" sqref="B1:B13 B527:B1048576 B306:B325 B327:B350 B357:B360 B378:B397 B401:B402 B421:B463 B468:B475 B500:B522 B26:B303" xr:uid="{1190FADE-3D78-440A-B3B4-901F35638C37}"/>
    <dataValidation showInputMessage="1" showErrorMessage="1" sqref="W107:W111 W129" xr:uid="{6BE443F6-EE1E-444D-AA67-D1DD94ADA919}"/>
    <dataValidation allowBlank="1" showInputMessage="1" showErrorMessage="1" prompt="Study ID + letter denoting case study: 1a, 1b, 1c etc." sqref="A14:B25 A478:B499" xr:uid="{9B49D527-4568-45EF-ACB7-88D850410F7C}"/>
    <dataValidation allowBlank="1" showInputMessage="1" showErrorMessage="1" prompt="Case study ID + .1, .2 etc for each direct fire creation PCB associated with the case study" sqref="B369:B377 B464:B467 B523:B526" xr:uid="{7687EF30-3597-4A79-9EE7-28C1CA362F13}"/>
    <dataValidation type="whole" allowBlank="1" showInputMessage="1" showErrorMessage="1" prompt="Blank if refers to all study years" sqref="G527:G1048576 G1:G522" xr:uid="{A7CD2C9D-7B72-4BC4-B631-CD1DBB9E2AB6}">
      <formula1>1900</formula1>
      <formula2>2020</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1690" yWindow="825" count="14">
        <x14:dataValidation type="list" allowBlank="1" showInputMessage="1" showErrorMessage="1" xr:uid="{5784EDA0-2583-4E9A-B464-2E8E79C5C345}">
          <x14:formula1>
            <xm:f>'IGNORE Lookups'!$N$3:$N$5</xm:f>
          </x14:formula1>
          <xm:sqref>R306:S308 U318:V318 N304:P305 R304:U305 T303:U303 R302:S303 T307:U308 N309:P309 R309:U311 I317 Q315 M317:Q319 S318 N311:P316 R313:V315 Q313 I321:Q321 V519:V520 N320:Q320 N322:Q322 I323:Q323 J322:L322 N324:Q324 I325:Q325 J324:L324 N326:Q326 I327:Q327 J326:L326 N328:Q328 I329:Q329 J328:L328 U320:U329 T317:T329 I336:I347 N350:Q350 J330:Q349 N351:P351 M352:Q352 I350 M354:Q354 N353:P353 N355:P355 V367 I358:Q360 M356:Q357 T348:V357 J350:L357 V361:V362 N361:O362 I382:M387 I378:L381 I361:L368 I399:J402 Q382:Q396 V399 V401:V405 K397:Q402 K388:P396 I388:J390 I394:J397 M368:O368 N367:O367 M363:O366 I403:Q408 T406:V424 V434 J409:N424 Q409:Q424 N425:N432 O409:P432 V425:V432 S425:U436 S445:T445 J439:J444 N446:O446 R445:R446 R448:R451 J452:J463 T438 R438 R470:T475 U474:U475 N476:O477 J478:L499 I502:Q508 S501:V501 I501:L501 N501:P501 S502:U508 S509:V512 I513:I516 J527:L1048576 S513:U516 N527:P1048576 I523:V526 R527:U1048576 R517:V518 R501:R516 I519:U522 K517:Q517 J509:Q516 S320:S368 S378:S424 N378:P387 T358:U368 T378:U405 R369:V377 V378:V382 P361:P377 Q363:Q377 R317:R368 R378:R436 N1:P301 R1:U301 J1:L320</xm:sqref>
        </x14:dataValidation>
        <x14:dataValidation type="list" allowBlank="1" showInputMessage="1" showErrorMessage="1" xr:uid="{618469B9-E411-45CA-9EDC-BE5CA85273E9}">
          <x14:formula1>
            <xm:f>'IGNORE Lookups'!$O$3:$O$8</xm:f>
          </x14:formula1>
          <xm:sqref>V521:V522 Q304:Q305 V304:V305 Q309 V309 R312:U312 V311:V312 S319 Q311:Q312 Q316:U316 V316:V317 S317 U317 U319 Q314 T330:U347 V319:V347 Q351 Q353 Q355 V358:V360 Q361:Q362 V363:V366 V368 Q378:Q381 V400 V383:V398 Q425:Q432 V433 V435:V436 V527:V1048576 V438 Q468:Q469 V470:V473 Q476:Q477 Q501 V502:V508 V513:V516 Q527:Q1048576 V1:V301 Q1:Q301</xm:sqref>
        </x14:dataValidation>
        <x14:dataValidation type="list" allowBlank="1" showInputMessage="1" showErrorMessage="1" xr:uid="{8876755B-3CA7-4440-B2BF-5CD937CE7773}">
          <x14:formula1>
            <xm:f>'IGNORE Lookups'!$P$3:$P$8</xm:f>
          </x14:formula1>
          <xm:sqref>N302:Q303 N306:Q308 V302:V303 T306:V306 T302:U302 V307:V308 V310 N310:Q310 M527:M1048576 M320 M322 M324 M326 M328 M350:M351 M353 M355 M361:M362 M367 M425:M432 M446 M464:M469 M476:M477 R500:U500 N500:P500 M500:M501 M369:O377 M378:M381 M1:M316</xm:sqref>
        </x14:dataValidation>
        <x14:dataValidation type="list" allowBlank="1" showInputMessage="1" showErrorMessage="1" xr:uid="{B521FD45-8B2C-4A35-A6BC-7171A2CE50C7}">
          <x14:formula1>
            <xm:f>'IGNORE Lookups'!$E$3:$E$9</xm:f>
          </x14:formula1>
          <xm:sqref>C527:C1048576 D397:D400 F433:F436 F397:F402 D433:D434 C378:C463 E517 C509:C522 C1:C368</xm:sqref>
        </x14:dataValidation>
        <x14:dataValidation type="list" allowBlank="1" showInputMessage="1" showErrorMessage="1" xr:uid="{056AA4F5-E713-40EC-B978-219F2FB4C20C}">
          <x14:formula1>
            <xm:f>'IGNORE Lookups'!$G$3:$G$11</xm:f>
          </x14:formula1>
          <xm:sqref>F378:F396 F403:F420 F437:F438 F445:F463 F527:F1048576 G523:G526 F518:F522 F468:F516 F1:F368</xm:sqref>
        </x14:dataValidation>
        <x14:dataValidation type="list" allowBlank="1" showInputMessage="1" showErrorMessage="1" xr:uid="{D139BA2A-A8CE-4FD9-A551-22565AB56751}">
          <x14:formula1>
            <xm:f>'IGNORE Lookups'!$M$11:$M$14</xm:f>
          </x14:formula1>
          <xm:sqref>I517:I518 I318:I320 I322 I324 I326 I328 I330:I335 I348:I349 I351:I357 I391:J393 I369:L377 I398:J398 J425:L432 M445:Q445 J445:L448 K439:V444 U445:V445 P446:Q448 M447:O448 R447 J449:Q451 S446:V451 U470:U473 K452:V463 J433:Q438 V437 R437 T437 S437:S438 U437:U438 N464:P469 R464:V469 Q464:Q467 V474:V500 J470:Q475 P476:P499 R476:U477 J476:L477 Q500 M478:O499 Q478:U499 J500:L500 I509:I512 J517 J518:Q518 I527:I1048576 I464:L469 I409:I463 I470:I500 I1:I316</xm:sqref>
        </x14:dataValidation>
        <x14:dataValidation type="list" allowBlank="1" showInputMessage="1" showErrorMessage="1" xr:uid="{78583B00-A782-4DA4-8469-012CB440C913}">
          <x14:formula1>
            <xm:f>'IGNORE Lookups'!$F$3:$F$23</xm:f>
          </x14:formula1>
          <xm:sqref>F421:F432 F439:F444</xm:sqref>
        </x14:dataValidation>
        <x14:dataValidation type="list" allowBlank="1" showInputMessage="1" showErrorMessage="1" prompt="One of: Human Deliberate, Human Accidental, Human Escaped, Lightning, Other Natural, Unknown" xr:uid="{D6270B99-3CAA-4FDE-8C79-DC23EE1EA267}">
          <x14:formula1>
            <xm:f>'IGNORE Lookups'!$E$3:$E$9</xm:f>
          </x14:formula1>
          <xm:sqref>C464:C508 C523:C526 C369:D377</xm:sqref>
        </x14:dataValidation>
        <x14:dataValidation type="list" allowBlank="1" showInputMessage="1" showErrorMessage="1" xr:uid="{52330A1E-065F-4614-AA45-67C0321233CC}">
          <x14:formula1>
            <xm:f>'IGNORE Lookups'!$G$3:$G$10</xm:f>
          </x14:formula1>
          <xm:sqref>F369:F377 F464:F467 F517 F523:F526</xm:sqref>
        </x14:dataValidation>
        <x14:dataValidation type="list" allowBlank="1" showInputMessage="1" showErrorMessage="1" xr:uid="{C62BBB27-69CC-4E4D-94A2-5E6A05E8E3FE}">
          <x14:formula1>
            <xm:f>'IGNORE Lookups'!$C$23:$C$43</xm:f>
          </x14:formula1>
          <xm:sqref>D401:D432 D378:D396 D435:D463 D470:D473 D478:D516 D518:D1048576 E518 D1:D368</xm:sqref>
        </x14:dataValidation>
        <x14:dataValidation type="list" allowBlank="1" showInputMessage="1" showErrorMessage="1" xr:uid="{3AA910F3-6C3C-41E6-AF7A-06FA2D20B586}">
          <x14:formula1>
            <xm:f>'IGNORE Lookups'!$C$23:$C$44</xm:f>
          </x14:formula1>
          <xm:sqref>D464:D469 D517</xm:sqref>
        </x14:dataValidation>
        <x14:dataValidation type="list" allowBlank="1" showInputMessage="1" showErrorMessage="1" prompt="Existing categories include: crop field preparation, crop residue removal, forest clearance, pasture maintenance, habitat maintenance, pyrome management, pest mangagement, arson._x000a_" xr:uid="{6397E824-EF40-4F03-B00A-2EA1EA617E3E}">
          <x14:formula1>
            <xm:f>'IGNORE Lookups'!$F$3:$F$27</xm:f>
          </x14:formula1>
          <xm:sqref>E369:E377</xm:sqref>
        </x14:dataValidation>
        <x14:dataValidation type="list" allowBlank="1" showInputMessage="1" showErrorMessage="1" xr:uid="{4436F0BA-E15C-410B-91C2-17366665921A}">
          <x14:formula1>
            <xm:f>'IGNORE Lookups'!$F$3:$F$27</xm:f>
          </x14:formula1>
          <xm:sqref>D474:D477 E378:E516 E519:E1048576 D369:D377 E1:E368</xm:sqref>
        </x14:dataValidation>
        <x14:dataValidation type="list" allowBlank="1" showInputMessage="1" showErrorMessage="1" prompt="Existing categories include: National Government, State or local government, International NGOs, Private sector, Multinational corporation" xr:uid="{1887C121-C230-47BD-9D97-2DC3165AFC17}">
          <x14:formula1>
            <xm:f>'IGNORE Lookups'!$N$11:$N$18</xm:f>
          </x14:formula1>
          <xm:sqref>H1:H1048576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6E78-DE8A-4AFB-9037-F30AB9A8F20A}">
  <dimension ref="A1:P44"/>
  <sheetViews>
    <sheetView zoomScale="55" zoomScaleNormal="55" workbookViewId="0">
      <selection activeCell="F14" sqref="F14"/>
    </sheetView>
  </sheetViews>
  <sheetFormatPr defaultRowHeight="14.5"/>
  <cols>
    <col min="1" max="1" width="19.08984375" customWidth="1"/>
    <col min="2" max="2" width="24.54296875" customWidth="1"/>
    <col min="3" max="3" width="27.81640625" customWidth="1"/>
    <col min="4" max="4" width="30.54296875" customWidth="1"/>
    <col min="5" max="5" width="22.81640625" customWidth="1"/>
    <col min="6" max="6" width="24.08984375" customWidth="1"/>
    <col min="7" max="7" width="24.36328125" customWidth="1"/>
    <col min="8" max="8" width="25.54296875" customWidth="1"/>
    <col min="9" max="9" width="25.6328125" customWidth="1"/>
    <col min="10" max="10" width="23.81640625" customWidth="1"/>
    <col min="13" max="13" width="13.1796875" customWidth="1"/>
    <col min="14" max="14" width="16" customWidth="1"/>
    <col min="16" max="16" width="18.08984375" customWidth="1"/>
  </cols>
  <sheetData>
    <row r="1" spans="1:16">
      <c r="A1" s="124" t="s">
        <v>2676</v>
      </c>
      <c r="B1" s="125"/>
      <c r="C1" s="126"/>
      <c r="E1" s="124" t="s">
        <v>2697</v>
      </c>
      <c r="F1" s="125"/>
      <c r="G1" s="125"/>
      <c r="H1" s="125"/>
      <c r="I1" s="125"/>
      <c r="J1" s="126"/>
      <c r="L1" s="124" t="s">
        <v>2698</v>
      </c>
      <c r="M1" s="125"/>
      <c r="N1" s="125" t="s">
        <v>2700</v>
      </c>
      <c r="O1" s="125"/>
      <c r="P1" s="126"/>
    </row>
    <row r="2" spans="1:16" ht="34" customHeight="1">
      <c r="A2" s="127" t="s">
        <v>97</v>
      </c>
      <c r="B2" s="128" t="s">
        <v>2668</v>
      </c>
      <c r="C2" s="129" t="s">
        <v>2673</v>
      </c>
      <c r="E2" s="145" t="s">
        <v>7</v>
      </c>
      <c r="F2" s="128" t="s">
        <v>8</v>
      </c>
      <c r="G2" s="128" t="s">
        <v>124</v>
      </c>
      <c r="H2" s="128" t="s">
        <v>531</v>
      </c>
      <c r="I2" s="128" t="s">
        <v>406</v>
      </c>
      <c r="J2" s="129" t="s">
        <v>2687</v>
      </c>
      <c r="L2" s="152" t="s">
        <v>2699</v>
      </c>
      <c r="M2" s="131"/>
      <c r="N2" s="140" t="s">
        <v>2699</v>
      </c>
      <c r="O2" s="131"/>
      <c r="P2" s="132" t="s">
        <v>2701</v>
      </c>
    </row>
    <row r="3" spans="1:16">
      <c r="A3" s="130" t="s">
        <v>2430</v>
      </c>
      <c r="B3" s="131" t="s">
        <v>2431</v>
      </c>
      <c r="C3" s="132" t="s">
        <v>67</v>
      </c>
      <c r="E3" s="130" t="s">
        <v>24</v>
      </c>
      <c r="F3" s="131" t="s">
        <v>27</v>
      </c>
      <c r="G3" s="146" t="s">
        <v>74</v>
      </c>
      <c r="H3" s="131" t="s">
        <v>532</v>
      </c>
      <c r="I3" s="131" t="s">
        <v>194</v>
      </c>
      <c r="J3" s="132" t="s">
        <v>64</v>
      </c>
      <c r="L3" s="138">
        <v>0</v>
      </c>
      <c r="M3" s="131"/>
      <c r="N3" s="131" t="s">
        <v>542</v>
      </c>
      <c r="O3" s="131">
        <v>1</v>
      </c>
      <c r="P3" s="143" t="s">
        <v>2702</v>
      </c>
    </row>
    <row r="4" spans="1:16">
      <c r="A4" s="130" t="s">
        <v>2449</v>
      </c>
      <c r="B4" s="131" t="s">
        <v>2438</v>
      </c>
      <c r="C4" s="132" t="s">
        <v>2674</v>
      </c>
      <c r="E4" s="130" t="s">
        <v>31</v>
      </c>
      <c r="F4" s="131" t="s">
        <v>2692</v>
      </c>
      <c r="G4" s="146" t="s">
        <v>55</v>
      </c>
      <c r="H4" s="131"/>
      <c r="I4" s="131" t="s">
        <v>195</v>
      </c>
      <c r="J4" s="132" t="s">
        <v>76</v>
      </c>
      <c r="L4" s="138">
        <v>1</v>
      </c>
      <c r="M4" s="131"/>
      <c r="N4" s="131" t="s">
        <v>545</v>
      </c>
      <c r="O4" s="131">
        <v>2</v>
      </c>
      <c r="P4" s="143" t="s">
        <v>2703</v>
      </c>
    </row>
    <row r="5" spans="1:16" ht="29">
      <c r="A5" s="130" t="s">
        <v>2666</v>
      </c>
      <c r="B5" s="131" t="s">
        <v>2669</v>
      </c>
      <c r="C5" s="132" t="s">
        <v>2675</v>
      </c>
      <c r="E5" s="130" t="s">
        <v>2491</v>
      </c>
      <c r="F5" s="131" t="s">
        <v>25</v>
      </c>
      <c r="G5" s="146" t="s">
        <v>2695</v>
      </c>
      <c r="H5" s="131"/>
      <c r="I5" s="131" t="s">
        <v>38</v>
      </c>
      <c r="J5" s="132" t="s">
        <v>2688</v>
      </c>
      <c r="L5" s="138">
        <v>2</v>
      </c>
      <c r="M5" s="131"/>
      <c r="N5" s="131" t="s">
        <v>2308</v>
      </c>
      <c r="O5" s="131">
        <v>3</v>
      </c>
      <c r="P5" s="143" t="s">
        <v>2704</v>
      </c>
    </row>
    <row r="6" spans="1:16">
      <c r="A6" s="130" t="s">
        <v>2667</v>
      </c>
      <c r="B6" s="139" t="s">
        <v>4907</v>
      </c>
      <c r="C6" s="132" t="s">
        <v>155</v>
      </c>
      <c r="E6" s="130" t="s">
        <v>2689</v>
      </c>
      <c r="F6" s="131" t="s">
        <v>26</v>
      </c>
      <c r="G6" s="146" t="s">
        <v>28</v>
      </c>
      <c r="H6" s="131"/>
      <c r="I6" s="131" t="s">
        <v>86</v>
      </c>
      <c r="J6" s="132" t="s">
        <v>2344</v>
      </c>
      <c r="L6" s="138">
        <v>3</v>
      </c>
      <c r="M6" s="131"/>
      <c r="N6" s="131"/>
      <c r="O6" s="131">
        <v>4</v>
      </c>
      <c r="P6" s="132" t="s">
        <v>2761</v>
      </c>
    </row>
    <row r="7" spans="1:16">
      <c r="A7" s="130"/>
      <c r="B7" s="131" t="s">
        <v>2432</v>
      </c>
      <c r="C7" s="132"/>
      <c r="E7" s="130" t="s">
        <v>2690</v>
      </c>
      <c r="F7" s="131" t="s">
        <v>1264</v>
      </c>
      <c r="G7" s="146" t="s">
        <v>29</v>
      </c>
      <c r="H7" s="131"/>
      <c r="I7" s="131" t="s">
        <v>34</v>
      </c>
      <c r="J7" s="132" t="s">
        <v>2308</v>
      </c>
      <c r="L7" s="138" t="s">
        <v>2308</v>
      </c>
      <c r="M7" s="131"/>
      <c r="N7" s="131"/>
      <c r="O7" s="131">
        <v>5</v>
      </c>
      <c r="P7" s="132" t="s">
        <v>545</v>
      </c>
    </row>
    <row r="8" spans="1:16">
      <c r="A8" s="130"/>
      <c r="B8" s="131" t="s">
        <v>2455</v>
      </c>
      <c r="C8" s="132"/>
      <c r="E8" s="130" t="s">
        <v>2691</v>
      </c>
      <c r="F8" s="131" t="s">
        <v>2378</v>
      </c>
      <c r="G8" s="146" t="s">
        <v>166</v>
      </c>
      <c r="H8" s="131"/>
      <c r="I8" s="131" t="s">
        <v>411</v>
      </c>
      <c r="J8" s="132"/>
      <c r="L8" s="130"/>
      <c r="M8" s="131"/>
      <c r="N8" s="131"/>
      <c r="O8" s="131" t="s">
        <v>2308</v>
      </c>
      <c r="P8" s="132" t="s">
        <v>2308</v>
      </c>
    </row>
    <row r="9" spans="1:16">
      <c r="A9" s="130"/>
      <c r="B9" s="131" t="s">
        <v>2670</v>
      </c>
      <c r="C9" s="132"/>
      <c r="E9" s="130" t="s">
        <v>1125</v>
      </c>
      <c r="F9" s="144" t="s">
        <v>2373</v>
      </c>
      <c r="G9" s="146" t="s">
        <v>2696</v>
      </c>
      <c r="H9" s="131"/>
      <c r="I9" s="131" t="s">
        <v>412</v>
      </c>
      <c r="J9" s="132"/>
      <c r="L9" s="130"/>
      <c r="M9" s="131"/>
      <c r="N9" s="131"/>
      <c r="O9" s="131"/>
      <c r="P9" s="132"/>
    </row>
    <row r="10" spans="1:16">
      <c r="A10" s="130"/>
      <c r="B10" s="131" t="s">
        <v>2453</v>
      </c>
      <c r="C10" s="132"/>
      <c r="E10" s="130"/>
      <c r="F10" s="144" t="s">
        <v>1267</v>
      </c>
      <c r="G10" s="146" t="s">
        <v>2308</v>
      </c>
      <c r="H10" s="131"/>
      <c r="I10" s="131" t="s">
        <v>432</v>
      </c>
      <c r="J10" s="132"/>
      <c r="L10" s="130"/>
      <c r="M10" s="149" t="s">
        <v>614</v>
      </c>
      <c r="N10" s="128" t="s">
        <v>2705</v>
      </c>
      <c r="O10" s="131"/>
      <c r="P10" s="132"/>
    </row>
    <row r="11" spans="1:16" ht="29">
      <c r="A11" s="130"/>
      <c r="B11" s="131" t="s">
        <v>2671</v>
      </c>
      <c r="C11" s="132"/>
      <c r="E11" s="130"/>
      <c r="F11" s="144" t="s">
        <v>1151</v>
      </c>
      <c r="G11" s="154" t="s">
        <v>1125</v>
      </c>
      <c r="H11" s="131"/>
      <c r="I11" s="131" t="s">
        <v>68</v>
      </c>
      <c r="J11" s="132"/>
      <c r="L11" s="130"/>
      <c r="M11" s="146" t="s">
        <v>2723</v>
      </c>
      <c r="N11" s="146" t="s">
        <v>549</v>
      </c>
      <c r="O11" s="131"/>
      <c r="P11" s="132"/>
    </row>
    <row r="12" spans="1:16" ht="29">
      <c r="A12" s="130"/>
      <c r="B12" s="131" t="s">
        <v>2672</v>
      </c>
      <c r="C12" s="132"/>
      <c r="E12" s="130"/>
      <c r="F12" s="144" t="s">
        <v>413</v>
      </c>
      <c r="G12" s="131"/>
      <c r="H12" s="131"/>
      <c r="I12" s="131" t="s">
        <v>35</v>
      </c>
      <c r="J12" s="132"/>
      <c r="L12" s="130"/>
      <c r="M12" s="146" t="s">
        <v>2724</v>
      </c>
      <c r="N12" s="131" t="s">
        <v>2706</v>
      </c>
      <c r="O12" s="131"/>
      <c r="P12" s="132"/>
    </row>
    <row r="13" spans="1:16">
      <c r="A13" s="130"/>
      <c r="B13" s="131" t="s">
        <v>3714</v>
      </c>
      <c r="C13" s="132"/>
      <c r="E13" s="130"/>
      <c r="F13" s="144" t="s">
        <v>150</v>
      </c>
      <c r="G13" s="131"/>
      <c r="H13" s="131"/>
      <c r="I13" s="131" t="s">
        <v>133</v>
      </c>
      <c r="J13" s="132"/>
      <c r="L13" s="130"/>
      <c r="M13" s="139" t="s">
        <v>545</v>
      </c>
      <c r="N13" s="131" t="s">
        <v>1113</v>
      </c>
      <c r="O13" s="131"/>
      <c r="P13" s="132"/>
    </row>
    <row r="14" spans="1:16" ht="15" thickBot="1">
      <c r="A14" s="133"/>
      <c r="B14" s="134" t="s">
        <v>2447</v>
      </c>
      <c r="C14" s="135"/>
      <c r="E14" s="130"/>
      <c r="F14" s="144" t="s">
        <v>149</v>
      </c>
      <c r="G14" s="131"/>
      <c r="H14" s="131"/>
      <c r="I14" s="131" t="s">
        <v>2308</v>
      </c>
      <c r="J14" s="132"/>
      <c r="L14" s="130"/>
      <c r="M14" s="139" t="s">
        <v>2308</v>
      </c>
      <c r="N14" s="131" t="s">
        <v>2707</v>
      </c>
      <c r="O14" s="131"/>
      <c r="P14" s="132"/>
    </row>
    <row r="15" spans="1:16">
      <c r="A15" s="131"/>
      <c r="B15" s="131"/>
      <c r="C15" s="131"/>
      <c r="E15" s="130"/>
      <c r="F15" s="144" t="s">
        <v>2263</v>
      </c>
      <c r="G15" s="131"/>
      <c r="H15" s="131"/>
      <c r="I15" s="131"/>
      <c r="J15" s="132"/>
      <c r="L15" s="130"/>
      <c r="M15" s="131"/>
      <c r="N15" s="131" t="s">
        <v>2708</v>
      </c>
      <c r="O15" s="131"/>
      <c r="P15" s="132"/>
    </row>
    <row r="16" spans="1:16" ht="15" thickBot="1">
      <c r="A16" s="131"/>
      <c r="B16" s="131"/>
      <c r="C16" s="131"/>
      <c r="E16" s="130"/>
      <c r="F16" s="144" t="s">
        <v>32</v>
      </c>
      <c r="G16" s="131"/>
      <c r="H16" s="131"/>
      <c r="I16" s="131"/>
      <c r="J16" s="132"/>
      <c r="L16" s="133"/>
      <c r="M16" s="134"/>
      <c r="N16" s="134" t="s">
        <v>2308</v>
      </c>
      <c r="O16" s="134"/>
      <c r="P16" s="135"/>
    </row>
    <row r="17" spans="1:14">
      <c r="A17" s="131"/>
      <c r="B17" s="131"/>
      <c r="C17" s="131"/>
      <c r="E17" s="130"/>
      <c r="F17" s="144" t="s">
        <v>2316</v>
      </c>
      <c r="G17" s="131"/>
      <c r="H17" s="131"/>
      <c r="I17" s="131"/>
      <c r="J17" s="147"/>
      <c r="N17" s="139" t="s">
        <v>2756</v>
      </c>
    </row>
    <row r="18" spans="1:14">
      <c r="A18" s="131"/>
      <c r="B18" s="131"/>
      <c r="C18" s="131"/>
      <c r="E18" s="130"/>
      <c r="F18" s="144" t="s">
        <v>30</v>
      </c>
      <c r="G18" s="131"/>
      <c r="H18" s="131"/>
      <c r="I18" s="131"/>
      <c r="J18" s="132"/>
      <c r="N18" s="139" t="s">
        <v>4126</v>
      </c>
    </row>
    <row r="19" spans="1:14">
      <c r="A19" s="131"/>
      <c r="B19" s="131"/>
      <c r="C19" s="131"/>
      <c r="E19" s="130"/>
      <c r="F19" s="144" t="s">
        <v>2337</v>
      </c>
      <c r="G19" s="131"/>
      <c r="H19" s="131"/>
      <c r="I19" s="131"/>
      <c r="J19" s="132"/>
    </row>
    <row r="20" spans="1:14" ht="15" thickBot="1">
      <c r="A20" s="131"/>
      <c r="B20" s="131"/>
      <c r="C20" s="131"/>
      <c r="E20" s="130"/>
      <c r="F20" s="144" t="s">
        <v>61</v>
      </c>
      <c r="G20" s="131"/>
      <c r="H20" s="131"/>
      <c r="I20" s="131"/>
      <c r="J20" s="132"/>
    </row>
    <row r="21" spans="1:14">
      <c r="A21" s="136" t="s">
        <v>2677</v>
      </c>
      <c r="B21" s="125"/>
      <c r="C21" s="126"/>
      <c r="E21" s="130"/>
      <c r="F21" s="156" t="s">
        <v>2837</v>
      </c>
      <c r="G21" s="131"/>
      <c r="H21" s="131"/>
      <c r="I21" s="131"/>
      <c r="J21" s="132"/>
    </row>
    <row r="22" spans="1:14" ht="15.5">
      <c r="A22" s="137" t="s">
        <v>13</v>
      </c>
      <c r="B22" s="141" t="s">
        <v>2311</v>
      </c>
      <c r="C22" s="142" t="s">
        <v>2317</v>
      </c>
      <c r="E22" s="130"/>
      <c r="F22" s="144" t="s">
        <v>1125</v>
      </c>
      <c r="G22" s="131"/>
      <c r="H22" s="131"/>
      <c r="I22" s="131"/>
      <c r="J22" s="132"/>
    </row>
    <row r="23" spans="1:14">
      <c r="A23" s="138" t="s">
        <v>69</v>
      </c>
      <c r="B23" s="139" t="s">
        <v>402</v>
      </c>
      <c r="C23" s="143" t="s">
        <v>136</v>
      </c>
      <c r="E23" s="130"/>
      <c r="F23" s="144" t="s">
        <v>2308</v>
      </c>
      <c r="G23" s="131"/>
      <c r="H23" s="131"/>
      <c r="I23" s="131"/>
      <c r="J23" s="132"/>
    </row>
    <row r="24" spans="1:14" ht="29">
      <c r="A24" s="138" t="s">
        <v>1218</v>
      </c>
      <c r="B24" s="139" t="s">
        <v>12</v>
      </c>
      <c r="C24" s="143" t="s">
        <v>404</v>
      </c>
      <c r="E24" s="130"/>
      <c r="F24" s="144" t="s">
        <v>3525</v>
      </c>
      <c r="G24" s="131"/>
      <c r="H24" s="131"/>
      <c r="I24" s="131"/>
      <c r="J24" s="132"/>
    </row>
    <row r="25" spans="1:14" ht="29">
      <c r="A25" s="144" t="s">
        <v>70</v>
      </c>
      <c r="B25" s="139" t="s">
        <v>2678</v>
      </c>
      <c r="C25" s="143" t="s">
        <v>403</v>
      </c>
      <c r="E25" s="130"/>
      <c r="F25" s="144" t="s">
        <v>3529</v>
      </c>
      <c r="G25" s="131"/>
      <c r="H25" s="131"/>
      <c r="I25" s="131"/>
      <c r="J25" s="132"/>
    </row>
    <row r="26" spans="1:14">
      <c r="A26" s="144" t="s">
        <v>2290</v>
      </c>
      <c r="B26" s="139" t="s">
        <v>2679</v>
      </c>
      <c r="C26" s="143" t="s">
        <v>84</v>
      </c>
      <c r="E26" s="130"/>
      <c r="F26" s="144" t="s">
        <v>4211</v>
      </c>
      <c r="G26" s="131"/>
      <c r="H26" s="131"/>
      <c r="I26" s="131"/>
      <c r="J26" s="132"/>
    </row>
    <row r="27" spans="1:14">
      <c r="A27" s="144" t="s">
        <v>32</v>
      </c>
      <c r="B27" s="139" t="s">
        <v>2308</v>
      </c>
      <c r="C27" s="143" t="s">
        <v>5066</v>
      </c>
      <c r="E27" s="130"/>
      <c r="F27" s="144" t="s">
        <v>3027</v>
      </c>
      <c r="G27" s="131"/>
      <c r="H27" s="131"/>
      <c r="I27" s="131"/>
      <c r="J27" s="132"/>
    </row>
    <row r="28" spans="1:14" ht="29">
      <c r="A28" s="131" t="s">
        <v>2308</v>
      </c>
      <c r="B28" s="131"/>
      <c r="C28" s="143" t="s">
        <v>5065</v>
      </c>
      <c r="E28" s="148" t="s">
        <v>2419</v>
      </c>
      <c r="F28" s="149" t="s">
        <v>2420</v>
      </c>
      <c r="G28" s="149" t="s">
        <v>2429</v>
      </c>
      <c r="H28" s="128" t="s">
        <v>2466</v>
      </c>
      <c r="I28" s="131"/>
      <c r="J28" s="132"/>
    </row>
    <row r="29" spans="1:14" ht="29">
      <c r="A29" s="131"/>
      <c r="B29" s="131"/>
      <c r="C29" s="143" t="s">
        <v>3903</v>
      </c>
      <c r="E29" s="138" t="s">
        <v>2396</v>
      </c>
      <c r="F29" s="144" t="s">
        <v>2394</v>
      </c>
      <c r="G29" s="144" t="s">
        <v>2560</v>
      </c>
      <c r="H29" s="144" t="s">
        <v>2407</v>
      </c>
      <c r="I29" s="131"/>
      <c r="J29" s="132"/>
    </row>
    <row r="30" spans="1:14" ht="29">
      <c r="A30" s="144"/>
      <c r="B30" s="131"/>
      <c r="C30" s="143" t="s">
        <v>3904</v>
      </c>
      <c r="E30" s="138" t="s">
        <v>2397</v>
      </c>
      <c r="F30" s="144" t="s">
        <v>2407</v>
      </c>
      <c r="G30" s="144" t="s">
        <v>2406</v>
      </c>
      <c r="H30" s="144" t="s">
        <v>2433</v>
      </c>
      <c r="I30" s="131"/>
      <c r="J30" s="132"/>
    </row>
    <row r="31" spans="1:14">
      <c r="A31" s="144" t="s">
        <v>2386</v>
      </c>
      <c r="B31" s="131"/>
      <c r="C31" s="143" t="s">
        <v>45</v>
      </c>
      <c r="E31" s="138" t="s">
        <v>2398</v>
      </c>
      <c r="F31" s="144" t="s">
        <v>2405</v>
      </c>
      <c r="G31" s="144" t="s">
        <v>2408</v>
      </c>
      <c r="H31" s="144" t="s">
        <v>2434</v>
      </c>
      <c r="I31" s="131"/>
      <c r="J31" s="132"/>
    </row>
    <row r="32" spans="1:14">
      <c r="A32" s="144" t="s">
        <v>542</v>
      </c>
      <c r="B32" s="131"/>
      <c r="C32" s="143" t="s">
        <v>2680</v>
      </c>
      <c r="E32" s="138" t="s">
        <v>2399</v>
      </c>
      <c r="F32" s="144" t="s">
        <v>2406</v>
      </c>
      <c r="G32" s="144" t="s">
        <v>2421</v>
      </c>
      <c r="H32" s="144" t="s">
        <v>2435</v>
      </c>
      <c r="I32" s="131"/>
      <c r="J32" s="132"/>
    </row>
    <row r="33" spans="1:10">
      <c r="A33" s="144" t="s">
        <v>545</v>
      </c>
      <c r="B33" s="131"/>
      <c r="C33" s="143" t="s">
        <v>2681</v>
      </c>
      <c r="E33" s="138" t="s">
        <v>2400</v>
      </c>
      <c r="F33" s="144" t="s">
        <v>2408</v>
      </c>
      <c r="G33" s="144" t="s">
        <v>2422</v>
      </c>
      <c r="H33" s="144" t="s">
        <v>2437</v>
      </c>
      <c r="I33" s="131"/>
      <c r="J33" s="132"/>
    </row>
    <row r="34" spans="1:10">
      <c r="A34" s="144"/>
      <c r="B34" s="131"/>
      <c r="C34" s="143" t="s">
        <v>116</v>
      </c>
      <c r="E34" s="138" t="s">
        <v>2401</v>
      </c>
      <c r="F34" s="144" t="s">
        <v>2409</v>
      </c>
      <c r="G34" s="144" t="s">
        <v>2423</v>
      </c>
      <c r="H34" s="144" t="s">
        <v>2879</v>
      </c>
      <c r="I34" s="131"/>
      <c r="J34" s="132"/>
    </row>
    <row r="35" spans="1:10">
      <c r="A35" s="144"/>
      <c r="B35" s="131"/>
      <c r="C35" s="143" t="s">
        <v>877</v>
      </c>
      <c r="E35" s="138" t="s">
        <v>2402</v>
      </c>
      <c r="F35" s="144" t="s">
        <v>2410</v>
      </c>
      <c r="G35" s="144" t="s">
        <v>2424</v>
      </c>
      <c r="H35" s="144" t="s">
        <v>2308</v>
      </c>
      <c r="I35" s="131"/>
      <c r="J35" s="132"/>
    </row>
    <row r="36" spans="1:10">
      <c r="A36" s="138"/>
      <c r="B36" s="131"/>
      <c r="C36" s="143" t="s">
        <v>2683</v>
      </c>
      <c r="E36" s="138" t="s">
        <v>2403</v>
      </c>
      <c r="F36" s="144" t="s">
        <v>2411</v>
      </c>
      <c r="G36" s="144" t="s">
        <v>2425</v>
      </c>
      <c r="H36" s="144"/>
      <c r="I36" s="131"/>
      <c r="J36" s="132"/>
    </row>
    <row r="37" spans="1:10" ht="29">
      <c r="A37" s="138"/>
      <c r="B37" s="131"/>
      <c r="C37" s="143" t="s">
        <v>2684</v>
      </c>
      <c r="E37" s="138" t="s">
        <v>2404</v>
      </c>
      <c r="F37" s="144" t="s">
        <v>2412</v>
      </c>
      <c r="G37" s="144" t="s">
        <v>2426</v>
      </c>
      <c r="H37" s="144"/>
      <c r="I37" s="131"/>
      <c r="J37" s="132"/>
    </row>
    <row r="38" spans="1:10">
      <c r="A38" s="138"/>
      <c r="B38" s="131"/>
      <c r="C38" s="143" t="s">
        <v>2682</v>
      </c>
      <c r="E38" s="138" t="s">
        <v>2405</v>
      </c>
      <c r="F38" s="144" t="s">
        <v>2413</v>
      </c>
      <c r="G38" s="144" t="s">
        <v>2427</v>
      </c>
      <c r="H38" s="144"/>
      <c r="I38" s="131"/>
      <c r="J38" s="132"/>
    </row>
    <row r="39" spans="1:10">
      <c r="A39" s="130"/>
      <c r="B39" s="131"/>
      <c r="C39" s="143" t="s">
        <v>2685</v>
      </c>
      <c r="E39" s="138" t="s">
        <v>2406</v>
      </c>
      <c r="F39" s="144" t="s">
        <v>2414</v>
      </c>
      <c r="G39" s="144" t="s">
        <v>2428</v>
      </c>
      <c r="H39" s="144"/>
      <c r="I39" s="131"/>
      <c r="J39" s="132"/>
    </row>
    <row r="40" spans="1:10" ht="15" thickBot="1">
      <c r="A40" s="133"/>
      <c r="B40" s="134"/>
      <c r="C40" s="143" t="s">
        <v>2686</v>
      </c>
      <c r="E40" s="138" t="s">
        <v>2878</v>
      </c>
      <c r="F40" s="144" t="s">
        <v>2415</v>
      </c>
      <c r="G40" s="144" t="s">
        <v>2308</v>
      </c>
      <c r="H40" s="144"/>
      <c r="I40" s="134"/>
      <c r="J40" s="135"/>
    </row>
    <row r="41" spans="1:10" ht="15" thickBot="1">
      <c r="C41" s="135" t="s">
        <v>2308</v>
      </c>
      <c r="E41" s="130" t="s">
        <v>2879</v>
      </c>
      <c r="F41" s="144" t="s">
        <v>2416</v>
      </c>
      <c r="G41" s="144"/>
      <c r="H41" s="144"/>
    </row>
    <row r="42" spans="1:10">
      <c r="C42" s="151" t="s">
        <v>1125</v>
      </c>
      <c r="E42" s="130" t="s">
        <v>2308</v>
      </c>
      <c r="F42" s="144" t="s">
        <v>2417</v>
      </c>
      <c r="G42" s="144"/>
      <c r="H42" s="144"/>
    </row>
    <row r="43" spans="1:10">
      <c r="C43" s="4" t="s">
        <v>143</v>
      </c>
      <c r="E43" s="130"/>
      <c r="F43" s="131" t="s">
        <v>2418</v>
      </c>
      <c r="G43" s="144"/>
      <c r="H43" s="144"/>
    </row>
    <row r="44" spans="1:10" ht="15" thickBot="1">
      <c r="C44" s="154" t="s">
        <v>3243</v>
      </c>
      <c r="E44" s="133"/>
      <c r="F44" s="150" t="s">
        <v>2308</v>
      </c>
      <c r="G44" s="134"/>
      <c r="H44" s="134"/>
    </row>
  </sheetData>
  <phoneticPr fontId="6" type="noConversion"/>
  <dataValidations count="2">
    <dataValidation allowBlank="1" showInputMessage="1" showErrorMessage="1" prompt="One of: Academic, NGO, Government" sqref="A2" xr:uid="{F576C842-C2AD-4841-BC3B-E65AE6D80DCD}"/>
    <dataValidation type="list" allowBlank="1" showInputMessage="1" showErrorMessage="1" prompt="See AFT table, page 1 of database protocol" sqref="C43" xr:uid="{E15F1B84-A3A4-4C84-ADEC-15CEB80BCC37}">
      <formula1>$C$23:$C$41</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Record info</vt:lpstr>
      <vt:lpstr>Land use</vt:lpstr>
      <vt:lpstr>Reported burning</vt:lpstr>
      <vt:lpstr>Estimated burning</vt:lpstr>
      <vt:lpstr>Fire suppression</vt:lpstr>
      <vt:lpstr>Fire Policy</vt:lpstr>
      <vt:lpstr>IGNORE Lookups</vt:lpstr>
      <vt:lpstr>'Land use'!Print_Titles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dc:creator>
  <cp:lastModifiedBy>Oli</cp:lastModifiedBy>
  <dcterms:created xsi:type="dcterms:W3CDTF">2020-02-04T16:25:24Z</dcterms:created>
  <dcterms:modified xsi:type="dcterms:W3CDTF">2020-06-29T13:23:17Z</dcterms:modified>
</cp:coreProperties>
</file>